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Yi/Downloads/SS_STW/"/>
    </mc:Choice>
  </mc:AlternateContent>
  <xr:revisionPtr revIDLastSave="0" documentId="13_ncr:1_{351DB582-ECF9-1B4D-91D4-B6EC8652C903}" xr6:coauthVersionLast="46" xr6:coauthVersionMax="46" xr10:uidLastSave="{00000000-0000-0000-0000-000000000000}"/>
  <bookViews>
    <workbookView xWindow="0" yWindow="500" windowWidth="28800" windowHeight="15940" activeTab="3" xr2:uid="{00000000-000D-0000-FFFF-FFFF00000000}"/>
  </bookViews>
  <sheets>
    <sheet name="SS-BCL-BWDW200" sheetId="1" r:id="rId1"/>
    <sheet name="SS-BCL-DICE-6PK" sheetId="2" r:id="rId2"/>
    <sheet name="SS-BCL-HTOSS-A" sheetId="3" r:id="rId3"/>
    <sheet name="SS-DD-BAMBOO-CRIB-042852E" sheetId="4" r:id="rId4"/>
    <sheet name="SS-DD-BAMBOO-CRIB-PAD-DEEP-2PK" sheetId="5" r:id="rId5"/>
    <sheet name="SS-DD-ORGANIC-FITTED-CRIB-18285" sheetId="6" r:id="rId6"/>
    <sheet name="SS-DD-ORGANIC-FITTED-MATTRESS-1" sheetId="7" r:id="rId7"/>
    <sheet name="SS-DD-ORGANIC-FITTED-MINI-CRIB-" sheetId="8" r:id="rId8"/>
    <sheet name="SS-DD-WM17X24-FBA-3PK-BG" sheetId="9" r:id="rId9"/>
    <sheet name="SS-DD-WM17X24-FBA-BG" sheetId="10" r:id="rId10"/>
    <sheet name="SS-DD-WMCP-FBA-3PK-BG" sheetId="11" r:id="rId11"/>
    <sheet name="SS-DD-WMCP-FBA-BG" sheetId="12" r:id="rId12"/>
    <sheet name="SS-DD-WMO1-FBA-4PK-BG" sheetId="13" r:id="rId13"/>
    <sheet name="SS-DD-WMO1-FBA-BG" sheetId="14" r:id="rId14"/>
    <sheet name="SS-DD-WMOL-FBA-2PK-BG" sheetId="15" r:id="rId15"/>
    <sheet name="SS-DD-WMOL-FBA-BG" sheetId="16" r:id="rId16"/>
    <sheet name="SS-DD-WMS1-FBA-2PK" sheetId="17" r:id="rId17"/>
    <sheet name="SS-DD-WMS1-FBA-BG" sheetId="18" r:id="rId18"/>
    <sheet name="SS-DD-WMS3-FBA-BG" sheetId="19" r:id="rId19"/>
    <sheet name="SS-DD-WMS3-FBA-BG-2PK" sheetId="20" r:id="rId20"/>
    <sheet name="SS-DD-WMXL-BG" sheetId="21" r:id="rId21"/>
    <sheet name="SS-IL-BTL16C-12-A" sheetId="22" r:id="rId22"/>
    <sheet name="SS-DD-WMXL-TUCK-FBA-BG" sheetId="23" r:id="rId23"/>
    <sheet name="SS-HC-BLOCKING9G" sheetId="24" r:id="rId24"/>
    <sheet name="SS-IL-BTL32A-6PK" sheetId="25" r:id="rId25"/>
    <sheet name="SS-J-W6f12-FBA-FBA" sheetId="26" r:id="rId26"/>
    <sheet name="SS-J-W6F16-FBA" sheetId="27" r:id="rId27"/>
    <sheet name="SS-J-W6F9-FBA" sheetId="28" r:id="rId28"/>
    <sheet name="SS-J-W6PS-FBA" sheetId="29" r:id="rId29"/>
    <sheet name="SS-J-W6FQ-FBA" sheetId="30" r:id="rId30"/>
    <sheet name="SS-J-W6Q12-FBA" sheetId="31" r:id="rId31"/>
    <sheet name="SS-J-W6Q16-FBA" sheetId="32" r:id="rId32"/>
    <sheet name="SS-J-W6T12-FBA" sheetId="33" r:id="rId33"/>
    <sheet name="SS-J-W6T16-FBA" sheetId="34" r:id="rId34"/>
    <sheet name="SS-J-W6X12-FBA" sheetId="35" r:id="rId35"/>
    <sheet name="SS-J-W6X16-FBA" sheetId="36" r:id="rId36"/>
    <sheet name="SS-J-W6X9-FBA" sheetId="37" r:id="rId37"/>
    <sheet name="SS-J-WCPQ-FBA" sheetId="38" r:id="rId38"/>
    <sheet name="SS-J-W6FT-FBA" sheetId="39" r:id="rId39"/>
    <sheet name="SS-WMS1-FBA" sheetId="40" r:id="rId40"/>
    <sheet name="SS-J-W6T9-FBA" sheetId="41" r:id="rId41"/>
    <sheet name="SS-J-LJR-L-FBA" sheetId="42" r:id="rId42"/>
    <sheet name="SS-PUN-TS" sheetId="43" r:id="rId43"/>
    <sheet name="SS-PUN-TS-A" sheetId="44" r:id="rId44"/>
    <sheet name="SS-PUN-TS-B" sheetId="45" r:id="rId45"/>
    <sheet name="SS-PUN-TS-HD-A" sheetId="46" r:id="rId46"/>
    <sheet name="SS-PUN-TS-HD" sheetId="47" r:id="rId47"/>
    <sheet name="SS-PP-B20X20TRD-RBYG" sheetId="48" r:id="rId48"/>
    <sheet name="SS-PP-CRQT-6BALL" sheetId="49" r:id="rId49"/>
    <sheet name="Cornhole Bags - BL &amp; BK" sheetId="50" r:id="rId50"/>
    <sheet name="Cornhole Bags - BL &amp; GY" sheetId="51" r:id="rId51"/>
    <sheet name="Cornhole Bags - FLAG Bright" sheetId="52" r:id="rId52"/>
    <sheet name="Cornhole Bags - OR &amp; BK" sheetId="53" r:id="rId53"/>
    <sheet name="Cornhole Bags - OR &amp; BL" sheetId="54" r:id="rId54"/>
    <sheet name="Cornhole Bags - RE &amp; BK" sheetId="55" r:id="rId55"/>
    <sheet name="Cornhole Bags - RE &amp; BL" sheetId="56" r:id="rId56"/>
    <sheet name="Cornhole Bags - RE &amp; GR" sheetId="57" r:id="rId57"/>
    <sheet name="Cornhole Bags - SL &amp; BK" sheetId="58" r:id="rId58"/>
    <sheet name="SS-PUN-CHC-BLBK" sheetId="59" r:id="rId59"/>
    <sheet name="SS-PUN-CHC-BLGY" sheetId="60" r:id="rId60"/>
    <sheet name="SS-PUN-CHC-FLAG" sheetId="61" r:id="rId61"/>
    <sheet name="SS-PUN-CHC-ORBK" sheetId="62" r:id="rId62"/>
    <sheet name="SS-PUN-CHC-REBK" sheetId="63" r:id="rId63"/>
    <sheet name="SS-PUN-CHC-REBL" sheetId="64" r:id="rId64"/>
    <sheet name="SS-PUN-CHC-REGR" sheetId="65" r:id="rId65"/>
    <sheet name="SS-PUN-CHC-SLBK" sheetId="66" r:id="rId66"/>
    <sheet name="SS-PUN-CHC-YEBK" sheetId="67" r:id="rId67"/>
    <sheet name="SS-WMXL-2PK" sheetId="68" r:id="rId68"/>
    <sheet name="SS-WMXL-Tuck-2PK" sheetId="69" r:id="rId69"/>
    <sheet name="SS-IL-WB48X72-15LB-A" sheetId="70" r:id="rId70"/>
    <sheet name="SS-IL-WB60X80-15LB-A" sheetId="71" r:id="rId71"/>
    <sheet name="SS-IL-WB60X80-18LB-A" sheetId="72" r:id="rId72"/>
    <sheet name="SS-PP-INPONGR" sheetId="73" r:id="rId73"/>
    <sheet name="SS-DD-ORGANIC-FITTED-COTTON-MAT" sheetId="74" r:id="rId74"/>
    <sheet name="SS-J-DDPL24-FBA" sheetId="75" r:id="rId75"/>
  </sheets>
  <calcPr calcId="191029"/>
</workbook>
</file>

<file path=xl/calcChain.xml><?xml version="1.0" encoding="utf-8"?>
<calcChain xmlns="http://schemas.openxmlformats.org/spreadsheetml/2006/main">
  <c r="Z56" i="75" l="1"/>
  <c r="AB56" i="75" s="1"/>
  <c r="J56" i="75" s="1"/>
  <c r="W56" i="75"/>
  <c r="V56" i="75"/>
  <c r="T56" i="75"/>
  <c r="S56" i="75"/>
  <c r="R56" i="75"/>
  <c r="Q56" i="75"/>
  <c r="P56" i="75"/>
  <c r="O56" i="75"/>
  <c r="M56" i="75"/>
  <c r="H56" i="75"/>
  <c r="C56" i="75"/>
  <c r="AB55" i="75"/>
  <c r="J55" i="75" s="1"/>
  <c r="Z55" i="75"/>
  <c r="W55" i="75"/>
  <c r="V55" i="75"/>
  <c r="P55" i="75"/>
  <c r="O55" i="75"/>
  <c r="Q55" i="75" s="1"/>
  <c r="M55" i="75"/>
  <c r="H55" i="75"/>
  <c r="C55" i="75"/>
  <c r="Z54" i="75"/>
  <c r="AB54" i="75" s="1"/>
  <c r="J54" i="75" s="1"/>
  <c r="W54" i="75"/>
  <c r="V54" i="75"/>
  <c r="T54" i="75"/>
  <c r="S54" i="75"/>
  <c r="R54" i="75"/>
  <c r="P54" i="75"/>
  <c r="O54" i="75"/>
  <c r="Q54" i="75" s="1"/>
  <c r="M54" i="75"/>
  <c r="H54" i="75"/>
  <c r="C54" i="75"/>
  <c r="Z53" i="75"/>
  <c r="AB53" i="75" s="1"/>
  <c r="J53" i="75" s="1"/>
  <c r="W53" i="75"/>
  <c r="V53" i="75"/>
  <c r="T53" i="75"/>
  <c r="S53" i="75"/>
  <c r="R53" i="75"/>
  <c r="P53" i="75"/>
  <c r="O53" i="75"/>
  <c r="Q53" i="75" s="1"/>
  <c r="M53" i="75"/>
  <c r="H53" i="75"/>
  <c r="C53" i="75"/>
  <c r="Z52" i="75"/>
  <c r="AB52" i="75" s="1"/>
  <c r="J52" i="75" s="1"/>
  <c r="W52" i="75"/>
  <c r="V52" i="75"/>
  <c r="T52" i="75"/>
  <c r="S52" i="75"/>
  <c r="R52" i="75"/>
  <c r="P52" i="75"/>
  <c r="O52" i="75"/>
  <c r="Q52" i="75" s="1"/>
  <c r="M52" i="75"/>
  <c r="H52" i="75"/>
  <c r="C52" i="75"/>
  <c r="Z51" i="75"/>
  <c r="AB51" i="75" s="1"/>
  <c r="J51" i="75" s="1"/>
  <c r="W51" i="75"/>
  <c r="V51" i="75"/>
  <c r="T51" i="75"/>
  <c r="S51" i="75"/>
  <c r="R51" i="75"/>
  <c r="P51" i="75"/>
  <c r="O51" i="75"/>
  <c r="Q51" i="75" s="1"/>
  <c r="M51" i="75"/>
  <c r="H51" i="75"/>
  <c r="C51" i="75"/>
  <c r="Z50" i="75"/>
  <c r="AB50" i="75" s="1"/>
  <c r="J50" i="75" s="1"/>
  <c r="W50" i="75"/>
  <c r="V50" i="75"/>
  <c r="T50" i="75"/>
  <c r="S50" i="75"/>
  <c r="R50" i="75"/>
  <c r="P50" i="75"/>
  <c r="O50" i="75"/>
  <c r="Q50" i="75" s="1"/>
  <c r="M50" i="75"/>
  <c r="H50" i="75"/>
  <c r="C50" i="75"/>
  <c r="Z49" i="75"/>
  <c r="AB49" i="75" s="1"/>
  <c r="J49" i="75" s="1"/>
  <c r="W49" i="75"/>
  <c r="V49" i="75"/>
  <c r="T49" i="75"/>
  <c r="S49" i="75"/>
  <c r="R49" i="75"/>
  <c r="P49" i="75"/>
  <c r="O49" i="75"/>
  <c r="Q49" i="75" s="1"/>
  <c r="M49" i="75"/>
  <c r="H49" i="75"/>
  <c r="C49" i="75"/>
  <c r="Z48" i="75"/>
  <c r="AB48" i="75" s="1"/>
  <c r="J48" i="75" s="1"/>
  <c r="W48" i="75"/>
  <c r="V48" i="75"/>
  <c r="T48" i="75"/>
  <c r="S48" i="75"/>
  <c r="R48" i="75"/>
  <c r="P48" i="75"/>
  <c r="O48" i="75"/>
  <c r="Q48" i="75" s="1"/>
  <c r="M48" i="75"/>
  <c r="H48" i="75"/>
  <c r="C48" i="75"/>
  <c r="Z47" i="75"/>
  <c r="AB47" i="75" s="1"/>
  <c r="J47" i="75" s="1"/>
  <c r="K47" i="75" s="1"/>
  <c r="W47" i="75"/>
  <c r="V47" i="75"/>
  <c r="Q47" i="75"/>
  <c r="P47" i="75"/>
  <c r="O47" i="75"/>
  <c r="M47" i="75"/>
  <c r="I47" i="75"/>
  <c r="H47" i="75"/>
  <c r="C47" i="75"/>
  <c r="Z46" i="75"/>
  <c r="AB46" i="75" s="1"/>
  <c r="J46" i="75" s="1"/>
  <c r="W46" i="75"/>
  <c r="V46" i="75"/>
  <c r="P46" i="75"/>
  <c r="Q46" i="75" s="1"/>
  <c r="O46" i="75"/>
  <c r="M46" i="75"/>
  <c r="H46" i="75"/>
  <c r="C46" i="75"/>
  <c r="AB45" i="75"/>
  <c r="J45" i="75" s="1"/>
  <c r="I45" i="75" s="1"/>
  <c r="Z45" i="75"/>
  <c r="W45" i="75"/>
  <c r="V45" i="75"/>
  <c r="P45" i="75"/>
  <c r="Q45" i="75" s="1"/>
  <c r="O45" i="75"/>
  <c r="M45" i="75"/>
  <c r="H45" i="75"/>
  <c r="C45" i="75"/>
  <c r="AB44" i="75"/>
  <c r="J44" i="75" s="1"/>
  <c r="Z44" i="75"/>
  <c r="W44" i="75"/>
  <c r="V44" i="75"/>
  <c r="P44" i="75"/>
  <c r="Q44" i="75" s="1"/>
  <c r="O44" i="75"/>
  <c r="M44" i="75"/>
  <c r="H44" i="75"/>
  <c r="C44" i="75"/>
  <c r="Z43" i="75"/>
  <c r="AB43" i="75" s="1"/>
  <c r="J43" i="75" s="1"/>
  <c r="W43" i="75"/>
  <c r="V43" i="75"/>
  <c r="P43" i="75"/>
  <c r="O43" i="75"/>
  <c r="Q43" i="75" s="1"/>
  <c r="M43" i="75"/>
  <c r="H43" i="75"/>
  <c r="C43" i="75"/>
  <c r="Z42" i="75"/>
  <c r="AB42" i="75" s="1"/>
  <c r="J42" i="75" s="1"/>
  <c r="W42" i="75"/>
  <c r="V42" i="75"/>
  <c r="T42" i="75"/>
  <c r="S42" i="75"/>
  <c r="R42" i="75"/>
  <c r="P42" i="75"/>
  <c r="O42" i="75"/>
  <c r="Q42" i="75" s="1"/>
  <c r="M42" i="75"/>
  <c r="H42" i="75"/>
  <c r="C42" i="75"/>
  <c r="Z41" i="75"/>
  <c r="AB41" i="75" s="1"/>
  <c r="J41" i="75" s="1"/>
  <c r="W41" i="75"/>
  <c r="V41" i="75"/>
  <c r="P41" i="75"/>
  <c r="O41" i="75"/>
  <c r="Q41" i="75" s="1"/>
  <c r="M41" i="75"/>
  <c r="H41" i="75"/>
  <c r="C41" i="75"/>
  <c r="Z39" i="75"/>
  <c r="AB39" i="75" s="1"/>
  <c r="J39" i="75" s="1"/>
  <c r="W39" i="75"/>
  <c r="V39" i="75"/>
  <c r="Q39" i="75"/>
  <c r="P39" i="75"/>
  <c r="O39" i="75"/>
  <c r="M39" i="75"/>
  <c r="H39" i="75"/>
  <c r="C39" i="75"/>
  <c r="AB38" i="75"/>
  <c r="J38" i="75" s="1"/>
  <c r="Z38" i="75"/>
  <c r="W38" i="75"/>
  <c r="V38" i="75"/>
  <c r="P38" i="75"/>
  <c r="O38" i="75"/>
  <c r="Q38" i="75" s="1"/>
  <c r="M38" i="75"/>
  <c r="H38" i="75"/>
  <c r="C38" i="75"/>
  <c r="Z37" i="75"/>
  <c r="AB37" i="75" s="1"/>
  <c r="J37" i="75" s="1"/>
  <c r="K37" i="75" s="1"/>
  <c r="W37" i="75"/>
  <c r="V37" i="75"/>
  <c r="P37" i="75"/>
  <c r="O37" i="75"/>
  <c r="Q37" i="75" s="1"/>
  <c r="M37" i="75"/>
  <c r="H37" i="75"/>
  <c r="C37" i="75"/>
  <c r="Z36" i="75"/>
  <c r="AB36" i="75" s="1"/>
  <c r="J36" i="75" s="1"/>
  <c r="W36" i="75"/>
  <c r="V36" i="75"/>
  <c r="P36" i="75"/>
  <c r="Q36" i="75" s="1"/>
  <c r="O36" i="75"/>
  <c r="M36" i="75"/>
  <c r="H36" i="75"/>
  <c r="C36" i="75"/>
  <c r="AB35" i="75"/>
  <c r="J35" i="75" s="1"/>
  <c r="I35" i="75" s="1"/>
  <c r="Z35" i="75"/>
  <c r="W35" i="75"/>
  <c r="V35" i="75"/>
  <c r="Q35" i="75"/>
  <c r="P35" i="75"/>
  <c r="O35" i="75"/>
  <c r="M35" i="75"/>
  <c r="K35" i="75"/>
  <c r="H35" i="75"/>
  <c r="C35" i="75"/>
  <c r="AB34" i="75"/>
  <c r="J34" i="75" s="1"/>
  <c r="Z34" i="75"/>
  <c r="W34" i="75"/>
  <c r="V34" i="75"/>
  <c r="Q34" i="75"/>
  <c r="P34" i="75"/>
  <c r="O34" i="75"/>
  <c r="M34" i="75"/>
  <c r="H34" i="75"/>
  <c r="C34" i="75"/>
  <c r="Z33" i="75"/>
  <c r="AB33" i="75" s="1"/>
  <c r="J33" i="75" s="1"/>
  <c r="W33" i="75"/>
  <c r="V33" i="75"/>
  <c r="P33" i="75"/>
  <c r="O33" i="75"/>
  <c r="Q33" i="75" s="1"/>
  <c r="M33" i="75"/>
  <c r="H33" i="75"/>
  <c r="C33" i="75"/>
  <c r="Z32" i="75"/>
  <c r="AB32" i="75" s="1"/>
  <c r="W32" i="75"/>
  <c r="V32" i="75"/>
  <c r="P32" i="75"/>
  <c r="O32" i="75"/>
  <c r="Q32" i="75" s="1"/>
  <c r="M32" i="75"/>
  <c r="J32" i="75"/>
  <c r="H32" i="75"/>
  <c r="C32" i="75"/>
  <c r="AB31" i="75"/>
  <c r="J31" i="75" s="1"/>
  <c r="Z31" i="75"/>
  <c r="W31" i="75"/>
  <c r="V31" i="75"/>
  <c r="Q31" i="75"/>
  <c r="P31" i="75"/>
  <c r="O31" i="75"/>
  <c r="M31" i="75"/>
  <c r="H31" i="75"/>
  <c r="C31" i="75"/>
  <c r="AB30" i="75"/>
  <c r="J30" i="75" s="1"/>
  <c r="Z30" i="75"/>
  <c r="W30" i="75"/>
  <c r="V30" i="75"/>
  <c r="P30" i="75"/>
  <c r="O30" i="75"/>
  <c r="Q30" i="75" s="1"/>
  <c r="M30" i="75"/>
  <c r="H30" i="75"/>
  <c r="C30" i="75"/>
  <c r="Z29" i="75"/>
  <c r="AB29" i="75" s="1"/>
  <c r="J29" i="75" s="1"/>
  <c r="W29" i="75"/>
  <c r="V29" i="75"/>
  <c r="P29" i="75"/>
  <c r="O29" i="75"/>
  <c r="Q29" i="75" s="1"/>
  <c r="M29" i="75"/>
  <c r="H29" i="75"/>
  <c r="C29" i="75"/>
  <c r="AB28" i="75"/>
  <c r="J28" i="75" s="1"/>
  <c r="Z28" i="75"/>
  <c r="W28" i="75"/>
  <c r="V28" i="75"/>
  <c r="P28" i="75"/>
  <c r="Q28" i="75" s="1"/>
  <c r="O28" i="75"/>
  <c r="M28" i="75"/>
  <c r="H28" i="75"/>
  <c r="C28" i="75"/>
  <c r="AB27" i="75"/>
  <c r="J27" i="75" s="1"/>
  <c r="I27" i="75" s="1"/>
  <c r="Z27" i="75"/>
  <c r="W27" i="75"/>
  <c r="V27" i="75"/>
  <c r="Q27" i="75"/>
  <c r="P27" i="75"/>
  <c r="O27" i="75"/>
  <c r="M27" i="75"/>
  <c r="K27" i="75"/>
  <c r="H27" i="75"/>
  <c r="C27" i="75"/>
  <c r="AB26" i="75"/>
  <c r="J26" i="75" s="1"/>
  <c r="Z26" i="75"/>
  <c r="W26" i="75"/>
  <c r="V26" i="75"/>
  <c r="V3" i="75" s="1"/>
  <c r="P26" i="75"/>
  <c r="O26" i="75"/>
  <c r="Q26" i="75" s="1"/>
  <c r="M26" i="75"/>
  <c r="H26" i="75"/>
  <c r="C26" i="75"/>
  <c r="Z25" i="75"/>
  <c r="AB25" i="75" s="1"/>
  <c r="J25" i="75" s="1"/>
  <c r="W25" i="75"/>
  <c r="V25" i="75"/>
  <c r="P25" i="75"/>
  <c r="O25" i="75"/>
  <c r="Q25" i="75" s="1"/>
  <c r="M25" i="75"/>
  <c r="H25" i="75"/>
  <c r="Z24" i="75"/>
  <c r="AB24" i="75" s="1"/>
  <c r="J24" i="75" s="1"/>
  <c r="K24" i="75" s="1"/>
  <c r="W24" i="75"/>
  <c r="V24" i="75"/>
  <c r="P24" i="75"/>
  <c r="O24" i="75"/>
  <c r="Q24" i="75" s="1"/>
  <c r="M24" i="75"/>
  <c r="I24" i="75"/>
  <c r="H24" i="75"/>
  <c r="Z23" i="75"/>
  <c r="AB23" i="75" s="1"/>
  <c r="J23" i="75" s="1"/>
  <c r="W23" i="75"/>
  <c r="V23" i="75"/>
  <c r="P23" i="75"/>
  <c r="O23" i="75"/>
  <c r="Q23" i="75" s="1"/>
  <c r="M23" i="75"/>
  <c r="H23" i="75"/>
  <c r="Z22" i="75"/>
  <c r="AB22" i="75" s="1"/>
  <c r="J22" i="75" s="1"/>
  <c r="K22" i="75" s="1"/>
  <c r="W22" i="75"/>
  <c r="V22" i="75"/>
  <c r="P22" i="75"/>
  <c r="O22" i="75"/>
  <c r="Q22" i="75" s="1"/>
  <c r="M22" i="75"/>
  <c r="I22" i="75"/>
  <c r="H22" i="75"/>
  <c r="Z21" i="75"/>
  <c r="AB21" i="75" s="1"/>
  <c r="J21" i="75" s="1"/>
  <c r="W21" i="75"/>
  <c r="V21" i="75"/>
  <c r="P21" i="75"/>
  <c r="O21" i="75"/>
  <c r="Q21" i="75" s="1"/>
  <c r="M21" i="75"/>
  <c r="H21" i="75"/>
  <c r="Z20" i="75"/>
  <c r="AB20" i="75" s="1"/>
  <c r="J20" i="75" s="1"/>
  <c r="W20" i="75"/>
  <c r="V20" i="75"/>
  <c r="P20" i="75"/>
  <c r="O20" i="75"/>
  <c r="Q20" i="75" s="1"/>
  <c r="M20" i="75"/>
  <c r="H20" i="75"/>
  <c r="Z19" i="75"/>
  <c r="AB19" i="75" s="1"/>
  <c r="J19" i="75" s="1"/>
  <c r="W19" i="75"/>
  <c r="V19" i="75"/>
  <c r="P19" i="75"/>
  <c r="O19" i="75"/>
  <c r="Q19" i="75" s="1"/>
  <c r="M19" i="75"/>
  <c r="H19" i="75"/>
  <c r="Z18" i="75"/>
  <c r="AB18" i="75" s="1"/>
  <c r="J18" i="75" s="1"/>
  <c r="K18" i="75" s="1"/>
  <c r="W18" i="75"/>
  <c r="V18" i="75"/>
  <c r="P18" i="75"/>
  <c r="O18" i="75"/>
  <c r="Q18" i="75" s="1"/>
  <c r="M18" i="75"/>
  <c r="I18" i="75"/>
  <c r="H18" i="75"/>
  <c r="Z17" i="75"/>
  <c r="AB17" i="75" s="1"/>
  <c r="J17" i="75" s="1"/>
  <c r="W17" i="75"/>
  <c r="V17" i="75"/>
  <c r="P17" i="75"/>
  <c r="O17" i="75"/>
  <c r="Q17" i="75" s="1"/>
  <c r="M17" i="75"/>
  <c r="H17" i="75"/>
  <c r="Z16" i="75"/>
  <c r="AB16" i="75" s="1"/>
  <c r="J16" i="75" s="1"/>
  <c r="K16" i="75" s="1"/>
  <c r="W16" i="75"/>
  <c r="V16" i="75"/>
  <c r="P16" i="75"/>
  <c r="O16" i="75"/>
  <c r="Q16" i="75" s="1"/>
  <c r="M16" i="75"/>
  <c r="I16" i="75"/>
  <c r="H16" i="75"/>
  <c r="Z15" i="75"/>
  <c r="AB15" i="75" s="1"/>
  <c r="J15" i="75" s="1"/>
  <c r="W15" i="75"/>
  <c r="V15" i="75"/>
  <c r="P15" i="75"/>
  <c r="O15" i="75"/>
  <c r="Q15" i="75" s="1"/>
  <c r="M15" i="75"/>
  <c r="H15" i="75"/>
  <c r="Z14" i="75"/>
  <c r="AB14" i="75" s="1"/>
  <c r="J14" i="75" s="1"/>
  <c r="W14" i="75"/>
  <c r="V14" i="75"/>
  <c r="P14" i="75"/>
  <c r="O14" i="75"/>
  <c r="Q14" i="75" s="1"/>
  <c r="M14" i="75"/>
  <c r="H14" i="75"/>
  <c r="Z13" i="75"/>
  <c r="AB13" i="75" s="1"/>
  <c r="J13" i="75" s="1"/>
  <c r="W13" i="75"/>
  <c r="V13" i="75"/>
  <c r="P13" i="75"/>
  <c r="O13" i="75"/>
  <c r="Q13" i="75" s="1"/>
  <c r="M13" i="75"/>
  <c r="H13" i="75"/>
  <c r="Z12" i="75"/>
  <c r="AB12" i="75" s="1"/>
  <c r="J12" i="75" s="1"/>
  <c r="K12" i="75" s="1"/>
  <c r="W12" i="75"/>
  <c r="V12" i="75"/>
  <c r="P12" i="75"/>
  <c r="O12" i="75"/>
  <c r="Q12" i="75" s="1"/>
  <c r="M12" i="75"/>
  <c r="H12" i="75"/>
  <c r="Z11" i="75"/>
  <c r="AB11" i="75" s="1"/>
  <c r="J11" i="75" s="1"/>
  <c r="W11" i="75"/>
  <c r="V11" i="75"/>
  <c r="P11" i="75"/>
  <c r="O11" i="75"/>
  <c r="Q11" i="75" s="1"/>
  <c r="M11" i="75"/>
  <c r="H11" i="75"/>
  <c r="Z10" i="75"/>
  <c r="AB10" i="75" s="1"/>
  <c r="J10" i="75" s="1"/>
  <c r="K10" i="75" s="1"/>
  <c r="W10" i="75"/>
  <c r="V10" i="75"/>
  <c r="P10" i="75"/>
  <c r="O10" i="75"/>
  <c r="Q10" i="75" s="1"/>
  <c r="M10" i="75"/>
  <c r="H10" i="75"/>
  <c r="Z9" i="75"/>
  <c r="AB9" i="75" s="1"/>
  <c r="J9" i="75" s="1"/>
  <c r="W9" i="75"/>
  <c r="V9" i="75"/>
  <c r="P9" i="75"/>
  <c r="O9" i="75"/>
  <c r="Q9" i="75" s="1"/>
  <c r="M9" i="75"/>
  <c r="H9" i="75"/>
  <c r="Z8" i="75"/>
  <c r="AB8" i="75" s="1"/>
  <c r="W8" i="75"/>
  <c r="V8" i="75"/>
  <c r="P8" i="75"/>
  <c r="O8" i="75"/>
  <c r="Q8" i="75" s="1"/>
  <c r="M8" i="75"/>
  <c r="J8" i="75"/>
  <c r="H8" i="75"/>
  <c r="Z7" i="75"/>
  <c r="AB7" i="75" s="1"/>
  <c r="J7" i="75" s="1"/>
  <c r="W7" i="75"/>
  <c r="V7" i="75"/>
  <c r="P7" i="75"/>
  <c r="O7" i="75"/>
  <c r="Q7" i="75" s="1"/>
  <c r="M7" i="75"/>
  <c r="H7" i="75"/>
  <c r="Z6" i="75"/>
  <c r="AB6" i="75" s="1"/>
  <c r="W6" i="75"/>
  <c r="V6" i="75"/>
  <c r="P6" i="75"/>
  <c r="O6" i="75"/>
  <c r="Q6" i="75" s="1"/>
  <c r="M6" i="75"/>
  <c r="J6" i="75"/>
  <c r="H6" i="75"/>
  <c r="Z5" i="75"/>
  <c r="AB5" i="75" s="1"/>
  <c r="J5" i="75" s="1"/>
  <c r="W5" i="75"/>
  <c r="V5" i="75"/>
  <c r="P5" i="75"/>
  <c r="O5" i="75"/>
  <c r="Q5" i="75" s="1"/>
  <c r="M5" i="75"/>
  <c r="H5" i="75"/>
  <c r="Z4" i="75"/>
  <c r="AB4" i="75" s="1"/>
  <c r="W4" i="75"/>
  <c r="V4" i="75"/>
  <c r="P4" i="75"/>
  <c r="O4" i="75"/>
  <c r="Q4" i="75" s="1"/>
  <c r="M4" i="75"/>
  <c r="J4" i="75"/>
  <c r="H4" i="75"/>
  <c r="AE3" i="75"/>
  <c r="U3" i="75"/>
  <c r="O3" i="75"/>
  <c r="G3" i="75"/>
  <c r="H3" i="75" s="1"/>
  <c r="F3" i="75"/>
  <c r="D3" i="75"/>
  <c r="C3" i="75"/>
  <c r="B3" i="75"/>
  <c r="A2" i="75"/>
  <c r="A1" i="75"/>
  <c r="Z56" i="74"/>
  <c r="AB56" i="74" s="1"/>
  <c r="J56" i="74" s="1"/>
  <c r="K56" i="74" s="1"/>
  <c r="W56" i="74"/>
  <c r="V56" i="74"/>
  <c r="T56" i="74"/>
  <c r="S56" i="74"/>
  <c r="R56" i="74"/>
  <c r="P56" i="74"/>
  <c r="O56" i="74"/>
  <c r="Q56" i="74" s="1"/>
  <c r="M56" i="74"/>
  <c r="I56" i="74"/>
  <c r="H56" i="74"/>
  <c r="C56" i="74"/>
  <c r="Z55" i="74"/>
  <c r="AB55" i="74" s="1"/>
  <c r="J55" i="74" s="1"/>
  <c r="W55" i="74"/>
  <c r="V55" i="74"/>
  <c r="P55" i="74"/>
  <c r="O55" i="74"/>
  <c r="Q55" i="74" s="1"/>
  <c r="M55" i="74"/>
  <c r="H55" i="74"/>
  <c r="C55" i="74"/>
  <c r="Z54" i="74"/>
  <c r="AB54" i="74" s="1"/>
  <c r="J54" i="74" s="1"/>
  <c r="W54" i="74"/>
  <c r="V54" i="74"/>
  <c r="T54" i="74"/>
  <c r="S54" i="74"/>
  <c r="R54" i="74"/>
  <c r="P54" i="74"/>
  <c r="O54" i="74"/>
  <c r="Q54" i="74" s="1"/>
  <c r="M54" i="74"/>
  <c r="H54" i="74"/>
  <c r="C54" i="74"/>
  <c r="Z53" i="74"/>
  <c r="AB53" i="74" s="1"/>
  <c r="J53" i="74" s="1"/>
  <c r="W53" i="74"/>
  <c r="V53" i="74"/>
  <c r="T53" i="74"/>
  <c r="S53" i="74"/>
  <c r="R53" i="74"/>
  <c r="P53" i="74"/>
  <c r="O53" i="74"/>
  <c r="Q53" i="74" s="1"/>
  <c r="M53" i="74"/>
  <c r="H53" i="74"/>
  <c r="C53" i="74"/>
  <c r="Z52" i="74"/>
  <c r="AB52" i="74" s="1"/>
  <c r="W52" i="74"/>
  <c r="V52" i="74"/>
  <c r="T52" i="74"/>
  <c r="S52" i="74"/>
  <c r="R52" i="74"/>
  <c r="P52" i="74"/>
  <c r="O52" i="74"/>
  <c r="Q52" i="74" s="1"/>
  <c r="M52" i="74"/>
  <c r="J52" i="74"/>
  <c r="H52" i="74"/>
  <c r="C52" i="74"/>
  <c r="AB51" i="74"/>
  <c r="J51" i="74" s="1"/>
  <c r="Z51" i="74"/>
  <c r="W51" i="74"/>
  <c r="V51" i="74"/>
  <c r="T51" i="74"/>
  <c r="S51" i="74"/>
  <c r="R51" i="74"/>
  <c r="P51" i="74"/>
  <c r="O51" i="74"/>
  <c r="Q51" i="74" s="1"/>
  <c r="M51" i="74"/>
  <c r="H51" i="74"/>
  <c r="C51" i="74"/>
  <c r="AB50" i="74"/>
  <c r="J50" i="74" s="1"/>
  <c r="Z50" i="74"/>
  <c r="W50" i="74"/>
  <c r="V50" i="74"/>
  <c r="T50" i="74"/>
  <c r="S50" i="74"/>
  <c r="R50" i="74"/>
  <c r="P50" i="74"/>
  <c r="O50" i="74"/>
  <c r="Q50" i="74" s="1"/>
  <c r="M50" i="74"/>
  <c r="H50" i="74"/>
  <c r="C50" i="74"/>
  <c r="Z49" i="74"/>
  <c r="AB49" i="74" s="1"/>
  <c r="J49" i="74" s="1"/>
  <c r="W49" i="74"/>
  <c r="V49" i="74"/>
  <c r="T49" i="74"/>
  <c r="S49" i="74"/>
  <c r="R49" i="74"/>
  <c r="P49" i="74"/>
  <c r="O49" i="74"/>
  <c r="Q49" i="74" s="1"/>
  <c r="M49" i="74"/>
  <c r="H49" i="74"/>
  <c r="C49" i="74"/>
  <c r="Z48" i="74"/>
  <c r="AB48" i="74" s="1"/>
  <c r="J48" i="74" s="1"/>
  <c r="W48" i="74"/>
  <c r="V48" i="74"/>
  <c r="T48" i="74"/>
  <c r="S48" i="74"/>
  <c r="R48" i="74"/>
  <c r="P48" i="74"/>
  <c r="O48" i="74"/>
  <c r="Q48" i="74" s="1"/>
  <c r="M48" i="74"/>
  <c r="H48" i="74"/>
  <c r="C48" i="74"/>
  <c r="Z47" i="74"/>
  <c r="AB47" i="74" s="1"/>
  <c r="W47" i="74"/>
  <c r="V47" i="74"/>
  <c r="Q47" i="74"/>
  <c r="P47" i="74"/>
  <c r="O47" i="74"/>
  <c r="M47" i="74"/>
  <c r="J47" i="74"/>
  <c r="H47" i="74"/>
  <c r="C47" i="74"/>
  <c r="Z46" i="74"/>
  <c r="AB46" i="74" s="1"/>
  <c r="J46" i="74" s="1"/>
  <c r="W46" i="74"/>
  <c r="V46" i="74"/>
  <c r="Q46" i="74"/>
  <c r="P46" i="74"/>
  <c r="O46" i="74"/>
  <c r="M46" i="74"/>
  <c r="H46" i="74"/>
  <c r="C46" i="74"/>
  <c r="AB45" i="74"/>
  <c r="J45" i="74" s="1"/>
  <c r="K45" i="74" s="1"/>
  <c r="Z45" i="74"/>
  <c r="W45" i="74"/>
  <c r="V45" i="74"/>
  <c r="P45" i="74"/>
  <c r="O45" i="74"/>
  <c r="Q45" i="74" s="1"/>
  <c r="M45" i="74"/>
  <c r="I45" i="74"/>
  <c r="H45" i="74"/>
  <c r="C45" i="74"/>
  <c r="Z44" i="74"/>
  <c r="AB44" i="74" s="1"/>
  <c r="J44" i="74" s="1"/>
  <c r="W44" i="74"/>
  <c r="V44" i="74"/>
  <c r="P44" i="74"/>
  <c r="O44" i="74"/>
  <c r="M44" i="74"/>
  <c r="H44" i="74"/>
  <c r="C44" i="74"/>
  <c r="AB43" i="74"/>
  <c r="J43" i="74" s="1"/>
  <c r="Z43" i="74"/>
  <c r="W43" i="74"/>
  <c r="V43" i="74"/>
  <c r="Q43" i="74"/>
  <c r="P43" i="74"/>
  <c r="O43" i="74"/>
  <c r="M43" i="74"/>
  <c r="K43" i="74"/>
  <c r="I43" i="74"/>
  <c r="H43" i="74"/>
  <c r="C43" i="74"/>
  <c r="AB42" i="74"/>
  <c r="J42" i="74" s="1"/>
  <c r="K42" i="74" s="1"/>
  <c r="Z42" i="74"/>
  <c r="W42" i="74"/>
  <c r="V42" i="74"/>
  <c r="T42" i="74"/>
  <c r="S42" i="74"/>
  <c r="R42" i="74"/>
  <c r="P42" i="74"/>
  <c r="Q42" i="74" s="1"/>
  <c r="O42" i="74"/>
  <c r="M42" i="74"/>
  <c r="H42" i="74"/>
  <c r="C42" i="74"/>
  <c r="AB41" i="74"/>
  <c r="J41" i="74" s="1"/>
  <c r="I41" i="74" s="1"/>
  <c r="Z41" i="74"/>
  <c r="W41" i="74"/>
  <c r="V41" i="74"/>
  <c r="P41" i="74"/>
  <c r="Q41" i="74" s="1"/>
  <c r="O41" i="74"/>
  <c r="M41" i="74"/>
  <c r="H41" i="74"/>
  <c r="C41" i="74"/>
  <c r="AB39" i="74"/>
  <c r="J39" i="74" s="1"/>
  <c r="Z39" i="74"/>
  <c r="W39" i="74"/>
  <c r="V39" i="74"/>
  <c r="P39" i="74"/>
  <c r="O39" i="74"/>
  <c r="Q39" i="74" s="1"/>
  <c r="M39" i="74"/>
  <c r="K39" i="74"/>
  <c r="I39" i="74"/>
  <c r="H39" i="74"/>
  <c r="C39" i="74"/>
  <c r="Z38" i="74"/>
  <c r="AB38" i="74" s="1"/>
  <c r="W38" i="74"/>
  <c r="V38" i="74"/>
  <c r="P38" i="74"/>
  <c r="O38" i="74"/>
  <c r="Q38" i="74" s="1"/>
  <c r="M38" i="74"/>
  <c r="J38" i="74"/>
  <c r="H38" i="74"/>
  <c r="C38" i="74"/>
  <c r="AB37" i="74"/>
  <c r="J37" i="74" s="1"/>
  <c r="I37" i="74" s="1"/>
  <c r="Z37" i="74"/>
  <c r="W37" i="74"/>
  <c r="V37" i="74"/>
  <c r="Q37" i="74"/>
  <c r="P37" i="74"/>
  <c r="O37" i="74"/>
  <c r="M37" i="74"/>
  <c r="K37" i="74"/>
  <c r="H37" i="74"/>
  <c r="C37" i="74"/>
  <c r="Z36" i="74"/>
  <c r="AB36" i="74" s="1"/>
  <c r="W36" i="74"/>
  <c r="V36" i="74"/>
  <c r="Q36" i="74"/>
  <c r="P36" i="74"/>
  <c r="O36" i="74"/>
  <c r="M36" i="74"/>
  <c r="J36" i="74"/>
  <c r="H36" i="74"/>
  <c r="C36" i="74"/>
  <c r="AB35" i="74"/>
  <c r="J35" i="74" s="1"/>
  <c r="K35" i="74" s="1"/>
  <c r="Z35" i="74"/>
  <c r="W35" i="74"/>
  <c r="V35" i="74"/>
  <c r="P35" i="74"/>
  <c r="O35" i="74"/>
  <c r="Q35" i="74" s="1"/>
  <c r="M35" i="74"/>
  <c r="I35" i="74"/>
  <c r="H35" i="74"/>
  <c r="C35" i="74"/>
  <c r="Z34" i="74"/>
  <c r="AB34" i="74" s="1"/>
  <c r="W34" i="74"/>
  <c r="V34" i="74"/>
  <c r="P34" i="74"/>
  <c r="O34" i="74"/>
  <c r="Q34" i="74" s="1"/>
  <c r="M34" i="74"/>
  <c r="J34" i="74"/>
  <c r="K34" i="74" s="1"/>
  <c r="I34" i="74"/>
  <c r="H34" i="74"/>
  <c r="C34" i="74"/>
  <c r="Z33" i="74"/>
  <c r="AB33" i="74" s="1"/>
  <c r="J33" i="74" s="1"/>
  <c r="K33" i="74" s="1"/>
  <c r="W33" i="74"/>
  <c r="V33" i="74"/>
  <c r="P33" i="74"/>
  <c r="Q33" i="74" s="1"/>
  <c r="O33" i="74"/>
  <c r="M33" i="74"/>
  <c r="H33" i="74"/>
  <c r="C33" i="74"/>
  <c r="AB32" i="74"/>
  <c r="J32" i="74" s="1"/>
  <c r="I32" i="74" s="1"/>
  <c r="Z32" i="74"/>
  <c r="W32" i="74"/>
  <c r="V32" i="74"/>
  <c r="P32" i="74"/>
  <c r="Q32" i="74" s="1"/>
  <c r="O32" i="74"/>
  <c r="M32" i="74"/>
  <c r="K32" i="74"/>
  <c r="H32" i="74"/>
  <c r="C32" i="74"/>
  <c r="AB31" i="74"/>
  <c r="J31" i="74" s="1"/>
  <c r="K31" i="74" s="1"/>
  <c r="Z31" i="74"/>
  <c r="W31" i="74"/>
  <c r="V31" i="74"/>
  <c r="P31" i="74"/>
  <c r="O31" i="74"/>
  <c r="Q31" i="74" s="1"/>
  <c r="M31" i="74"/>
  <c r="I31" i="74"/>
  <c r="H31" i="74"/>
  <c r="C31" i="74"/>
  <c r="Z30" i="74"/>
  <c r="AB30" i="74" s="1"/>
  <c r="W30" i="74"/>
  <c r="V30" i="74"/>
  <c r="P30" i="74"/>
  <c r="O30" i="74"/>
  <c r="Q30" i="74" s="1"/>
  <c r="M30" i="74"/>
  <c r="J30" i="74"/>
  <c r="K30" i="74" s="1"/>
  <c r="I30" i="74"/>
  <c r="H30" i="74"/>
  <c r="C30" i="74"/>
  <c r="AB29" i="74"/>
  <c r="J29" i="74" s="1"/>
  <c r="I29" i="74" s="1"/>
  <c r="Z29" i="74"/>
  <c r="W29" i="74"/>
  <c r="V29" i="74"/>
  <c r="P29" i="74"/>
  <c r="Q29" i="74" s="1"/>
  <c r="O29" i="74"/>
  <c r="M29" i="74"/>
  <c r="H29" i="74"/>
  <c r="C29" i="74"/>
  <c r="Z28" i="74"/>
  <c r="AB28" i="74" s="1"/>
  <c r="W28" i="74"/>
  <c r="V28" i="74"/>
  <c r="V3" i="74" s="1"/>
  <c r="Q28" i="74"/>
  <c r="P28" i="74"/>
  <c r="O28" i="74"/>
  <c r="M28" i="74"/>
  <c r="J28" i="74"/>
  <c r="H28" i="74"/>
  <c r="C28" i="74"/>
  <c r="AB27" i="74"/>
  <c r="J27" i="74" s="1"/>
  <c r="K27" i="74" s="1"/>
  <c r="Z27" i="74"/>
  <c r="W27" i="74"/>
  <c r="V27" i="74"/>
  <c r="Q27" i="74"/>
  <c r="P27" i="74"/>
  <c r="O27" i="74"/>
  <c r="M27" i="74"/>
  <c r="I27" i="74"/>
  <c r="H27" i="74"/>
  <c r="C27" i="74"/>
  <c r="Z26" i="74"/>
  <c r="AB26" i="74" s="1"/>
  <c r="J26" i="74" s="1"/>
  <c r="W26" i="74"/>
  <c r="V26" i="74"/>
  <c r="P26" i="74"/>
  <c r="O26" i="74"/>
  <c r="Q26" i="74" s="1"/>
  <c r="M26" i="74"/>
  <c r="H26" i="74"/>
  <c r="C26" i="74"/>
  <c r="AB25" i="74"/>
  <c r="J25" i="74" s="1"/>
  <c r="Z25" i="74"/>
  <c r="W25" i="74"/>
  <c r="V25" i="74"/>
  <c r="P25" i="74"/>
  <c r="Q25" i="74" s="1"/>
  <c r="O25" i="74"/>
  <c r="M25" i="74"/>
  <c r="K25" i="74"/>
  <c r="I25" i="74"/>
  <c r="H25" i="74"/>
  <c r="Z24" i="74"/>
  <c r="AB24" i="74" s="1"/>
  <c r="J24" i="74" s="1"/>
  <c r="W24" i="74"/>
  <c r="V24" i="74"/>
  <c r="Q24" i="74"/>
  <c r="P24" i="74"/>
  <c r="O24" i="74"/>
  <c r="M24" i="74"/>
  <c r="H24" i="74"/>
  <c r="Z23" i="74"/>
  <c r="AB23" i="74" s="1"/>
  <c r="J23" i="74" s="1"/>
  <c r="W23" i="74"/>
  <c r="V23" i="74"/>
  <c r="Q23" i="74"/>
  <c r="P23" i="74"/>
  <c r="O23" i="74"/>
  <c r="M23" i="74"/>
  <c r="H23" i="74"/>
  <c r="AB22" i="74"/>
  <c r="J22" i="74" s="1"/>
  <c r="I22" i="74" s="1"/>
  <c r="Z22" i="74"/>
  <c r="W22" i="74"/>
  <c r="V22" i="74"/>
  <c r="P22" i="74"/>
  <c r="Q22" i="74" s="1"/>
  <c r="O22" i="74"/>
  <c r="M22" i="74"/>
  <c r="K22" i="74"/>
  <c r="H22" i="74"/>
  <c r="AB21" i="74"/>
  <c r="J21" i="74" s="1"/>
  <c r="K21" i="74" s="1"/>
  <c r="Z21" i="74"/>
  <c r="W21" i="74"/>
  <c r="V21" i="74"/>
  <c r="P21" i="74"/>
  <c r="Q21" i="74" s="1"/>
  <c r="O21" i="74"/>
  <c r="M21" i="74"/>
  <c r="I21" i="74"/>
  <c r="H21" i="74"/>
  <c r="AB20" i="74"/>
  <c r="Z20" i="74"/>
  <c r="W20" i="74"/>
  <c r="V20" i="74"/>
  <c r="P20" i="74"/>
  <c r="O20" i="74"/>
  <c r="Q20" i="74" s="1"/>
  <c r="M20" i="74"/>
  <c r="K20" i="74"/>
  <c r="J20" i="74"/>
  <c r="I20" i="74" s="1"/>
  <c r="H20" i="74"/>
  <c r="Z19" i="74"/>
  <c r="AB19" i="74" s="1"/>
  <c r="J19" i="74" s="1"/>
  <c r="W19" i="74"/>
  <c r="V19" i="74"/>
  <c r="P19" i="74"/>
  <c r="Q19" i="74" s="1"/>
  <c r="O19" i="74"/>
  <c r="M19" i="74"/>
  <c r="H19" i="74"/>
  <c r="Z18" i="74"/>
  <c r="AB18" i="74" s="1"/>
  <c r="W18" i="74"/>
  <c r="V18" i="74"/>
  <c r="P18" i="74"/>
  <c r="O18" i="74"/>
  <c r="Q18" i="74" s="1"/>
  <c r="M18" i="74"/>
  <c r="J18" i="74"/>
  <c r="K18" i="74" s="1"/>
  <c r="H18" i="74"/>
  <c r="Z17" i="74"/>
  <c r="AB17" i="74" s="1"/>
  <c r="J17" i="74" s="1"/>
  <c r="W17" i="74"/>
  <c r="V17" i="74"/>
  <c r="P17" i="74"/>
  <c r="O17" i="74"/>
  <c r="Q17" i="74" s="1"/>
  <c r="M17" i="74"/>
  <c r="H17" i="74"/>
  <c r="Z16" i="74"/>
  <c r="AB16" i="74" s="1"/>
  <c r="W16" i="74"/>
  <c r="V16" i="74"/>
  <c r="P16" i="74"/>
  <c r="O16" i="74"/>
  <c r="Q16" i="74" s="1"/>
  <c r="M16" i="74"/>
  <c r="J16" i="74"/>
  <c r="I16" i="74" s="1"/>
  <c r="H16" i="74"/>
  <c r="Z15" i="74"/>
  <c r="AB15" i="74" s="1"/>
  <c r="J15" i="74" s="1"/>
  <c r="W15" i="74"/>
  <c r="V15" i="74"/>
  <c r="P15" i="74"/>
  <c r="O15" i="74"/>
  <c r="Q15" i="74" s="1"/>
  <c r="M15" i="74"/>
  <c r="H15" i="74"/>
  <c r="P14" i="74"/>
  <c r="Q14" i="74" s="1"/>
  <c r="Q13" i="74"/>
  <c r="P13" i="74"/>
  <c r="P12" i="74"/>
  <c r="Q12" i="74" s="1"/>
  <c r="Q11" i="74"/>
  <c r="P11" i="74"/>
  <c r="P10" i="74"/>
  <c r="Q10" i="74" s="1"/>
  <c r="Q9" i="74"/>
  <c r="P9" i="74"/>
  <c r="P8" i="74"/>
  <c r="Q8" i="74" s="1"/>
  <c r="Q7" i="74"/>
  <c r="P7" i="74"/>
  <c r="P6" i="74"/>
  <c r="Q6" i="74" s="1"/>
  <c r="Q5" i="74"/>
  <c r="P5" i="74"/>
  <c r="P4" i="74"/>
  <c r="Q4" i="74" s="1"/>
  <c r="AE3" i="74"/>
  <c r="U3" i="74"/>
  <c r="O3" i="74"/>
  <c r="G3" i="74"/>
  <c r="F3" i="74"/>
  <c r="H3" i="74" s="1"/>
  <c r="D3" i="74"/>
  <c r="C3" i="74"/>
  <c r="B3" i="74"/>
  <c r="A2" i="74"/>
  <c r="A1" i="74"/>
  <c r="AB56" i="73"/>
  <c r="Z56" i="73"/>
  <c r="W56" i="73"/>
  <c r="V56" i="73"/>
  <c r="T56" i="73"/>
  <c r="S56" i="73"/>
  <c r="R56" i="73"/>
  <c r="P56" i="73"/>
  <c r="Q56" i="73" s="1"/>
  <c r="O56" i="73"/>
  <c r="M56" i="73"/>
  <c r="K56" i="73"/>
  <c r="J56" i="73"/>
  <c r="I56" i="73" s="1"/>
  <c r="H56" i="73"/>
  <c r="C56" i="73"/>
  <c r="AB55" i="73"/>
  <c r="J55" i="73" s="1"/>
  <c r="Z55" i="73"/>
  <c r="W55" i="73"/>
  <c r="V55" i="73"/>
  <c r="Q55" i="73"/>
  <c r="P55" i="73"/>
  <c r="O55" i="73"/>
  <c r="M55" i="73"/>
  <c r="K55" i="73"/>
  <c r="I55" i="73"/>
  <c r="H55" i="73"/>
  <c r="C55" i="73"/>
  <c r="Z54" i="73"/>
  <c r="AB54" i="73" s="1"/>
  <c r="J54" i="73" s="1"/>
  <c r="I54" i="73" s="1"/>
  <c r="W54" i="73"/>
  <c r="V54" i="73"/>
  <c r="T54" i="73"/>
  <c r="S54" i="73"/>
  <c r="R54" i="73"/>
  <c r="P54" i="73"/>
  <c r="O54" i="73"/>
  <c r="Q54" i="73" s="1"/>
  <c r="M54" i="73"/>
  <c r="K54" i="73"/>
  <c r="H54" i="73"/>
  <c r="C54" i="73"/>
  <c r="Z53" i="73"/>
  <c r="AB53" i="73" s="1"/>
  <c r="J53" i="73" s="1"/>
  <c r="I53" i="73" s="1"/>
  <c r="W53" i="73"/>
  <c r="V53" i="73"/>
  <c r="T53" i="73"/>
  <c r="S53" i="73"/>
  <c r="R53" i="73"/>
  <c r="P53" i="73"/>
  <c r="O53" i="73"/>
  <c r="Q53" i="73" s="1"/>
  <c r="M53" i="73"/>
  <c r="K53" i="73"/>
  <c r="H53" i="73"/>
  <c r="C53" i="73"/>
  <c r="Z52" i="73"/>
  <c r="AB52" i="73" s="1"/>
  <c r="J52" i="73" s="1"/>
  <c r="W52" i="73"/>
  <c r="V52" i="73"/>
  <c r="T52" i="73"/>
  <c r="S52" i="73"/>
  <c r="R52" i="73"/>
  <c r="Q52" i="73"/>
  <c r="P52" i="73"/>
  <c r="O52" i="73"/>
  <c r="M52" i="73"/>
  <c r="K52" i="73"/>
  <c r="I52" i="73"/>
  <c r="H52" i="73"/>
  <c r="C52" i="73"/>
  <c r="Z51" i="73"/>
  <c r="AB51" i="73" s="1"/>
  <c r="J51" i="73" s="1"/>
  <c r="W51" i="73"/>
  <c r="V51" i="73"/>
  <c r="T51" i="73"/>
  <c r="S51" i="73"/>
  <c r="R51" i="73"/>
  <c r="P51" i="73"/>
  <c r="O51" i="73"/>
  <c r="Q51" i="73" s="1"/>
  <c r="M51" i="73"/>
  <c r="H51" i="73"/>
  <c r="C51" i="73"/>
  <c r="Z50" i="73"/>
  <c r="AB50" i="73" s="1"/>
  <c r="J50" i="73" s="1"/>
  <c r="I50" i="73" s="1"/>
  <c r="W50" i="73"/>
  <c r="V50" i="73"/>
  <c r="T50" i="73"/>
  <c r="S50" i="73"/>
  <c r="R50" i="73"/>
  <c r="Q50" i="73"/>
  <c r="P50" i="73"/>
  <c r="O50" i="73"/>
  <c r="M50" i="73"/>
  <c r="K50" i="73"/>
  <c r="H50" i="73"/>
  <c r="C50" i="73"/>
  <c r="Z49" i="73"/>
  <c r="AB49" i="73" s="1"/>
  <c r="J49" i="73" s="1"/>
  <c r="I49" i="73" s="1"/>
  <c r="W49" i="73"/>
  <c r="V49" i="73"/>
  <c r="T49" i="73"/>
  <c r="S49" i="73"/>
  <c r="R49" i="73"/>
  <c r="P49" i="73"/>
  <c r="O49" i="73"/>
  <c r="Q49" i="73" s="1"/>
  <c r="M49" i="73"/>
  <c r="H49" i="73"/>
  <c r="C49" i="73"/>
  <c r="Z48" i="73"/>
  <c r="AB48" i="73" s="1"/>
  <c r="W48" i="73"/>
  <c r="V48" i="73"/>
  <c r="T48" i="73"/>
  <c r="S48" i="73"/>
  <c r="R48" i="73"/>
  <c r="P48" i="73"/>
  <c r="O48" i="73"/>
  <c r="Q48" i="73" s="1"/>
  <c r="M48" i="73"/>
  <c r="J48" i="73"/>
  <c r="K48" i="73" s="1"/>
  <c r="I48" i="73"/>
  <c r="H48" i="73"/>
  <c r="C48" i="73"/>
  <c r="AB47" i="73"/>
  <c r="J47" i="73" s="1"/>
  <c r="K47" i="73" s="1"/>
  <c r="Z47" i="73"/>
  <c r="W47" i="73"/>
  <c r="V47" i="73"/>
  <c r="P47" i="73"/>
  <c r="Q47" i="73" s="1"/>
  <c r="O47" i="73"/>
  <c r="M47" i="73"/>
  <c r="I47" i="73"/>
  <c r="H47" i="73"/>
  <c r="C47" i="73"/>
  <c r="AB46" i="73"/>
  <c r="J46" i="73" s="1"/>
  <c r="I46" i="73" s="1"/>
  <c r="Z46" i="73"/>
  <c r="W46" i="73"/>
  <c r="V46" i="73"/>
  <c r="P46" i="73"/>
  <c r="Q46" i="73" s="1"/>
  <c r="O46" i="73"/>
  <c r="M46" i="73"/>
  <c r="H46" i="73"/>
  <c r="C46" i="73"/>
  <c r="AB45" i="73"/>
  <c r="J45" i="73" s="1"/>
  <c r="K45" i="73" s="1"/>
  <c r="Z45" i="73"/>
  <c r="W45" i="73"/>
  <c r="V45" i="73"/>
  <c r="P45" i="73"/>
  <c r="O45" i="73"/>
  <c r="Q45" i="73" s="1"/>
  <c r="M45" i="73"/>
  <c r="I45" i="73"/>
  <c r="H45" i="73"/>
  <c r="C45" i="73"/>
  <c r="Z44" i="73"/>
  <c r="AB44" i="73" s="1"/>
  <c r="W44" i="73"/>
  <c r="V44" i="73"/>
  <c r="P44" i="73"/>
  <c r="O44" i="73"/>
  <c r="M44" i="73"/>
  <c r="J44" i="73"/>
  <c r="H44" i="73"/>
  <c r="C44" i="73"/>
  <c r="AB43" i="73"/>
  <c r="J43" i="73" s="1"/>
  <c r="Z43" i="73"/>
  <c r="W43" i="73"/>
  <c r="V43" i="73"/>
  <c r="P43" i="73"/>
  <c r="O43" i="73"/>
  <c r="Q43" i="73" s="1"/>
  <c r="M43" i="73"/>
  <c r="H43" i="73"/>
  <c r="C43" i="73"/>
  <c r="Z42" i="73"/>
  <c r="AB42" i="73" s="1"/>
  <c r="W42" i="73"/>
  <c r="V42" i="73"/>
  <c r="T42" i="73"/>
  <c r="S42" i="73"/>
  <c r="R42" i="73"/>
  <c r="P42" i="73"/>
  <c r="O42" i="73"/>
  <c r="Q42" i="73" s="1"/>
  <c r="M42" i="73"/>
  <c r="K42" i="73"/>
  <c r="J42" i="73"/>
  <c r="I42" i="73" s="1"/>
  <c r="H42" i="73"/>
  <c r="C42" i="73"/>
  <c r="Z41" i="73"/>
  <c r="AB41" i="73" s="1"/>
  <c r="J41" i="73" s="1"/>
  <c r="W41" i="73"/>
  <c r="V41" i="73"/>
  <c r="Q41" i="73"/>
  <c r="P41" i="73"/>
  <c r="O41" i="73"/>
  <c r="M41" i="73"/>
  <c r="H41" i="73"/>
  <c r="C41" i="73"/>
  <c r="Z39" i="73"/>
  <c r="AB39" i="73" s="1"/>
  <c r="J39" i="73" s="1"/>
  <c r="K39" i="73" s="1"/>
  <c r="W39" i="73"/>
  <c r="V39" i="73"/>
  <c r="Q39" i="73"/>
  <c r="P39" i="73"/>
  <c r="O39" i="73"/>
  <c r="M39" i="73"/>
  <c r="H39" i="73"/>
  <c r="C39" i="73"/>
  <c r="Z38" i="73"/>
  <c r="AB38" i="73" s="1"/>
  <c r="J38" i="73" s="1"/>
  <c r="K38" i="73" s="1"/>
  <c r="W38" i="73"/>
  <c r="V38" i="73"/>
  <c r="P38" i="73"/>
  <c r="O38" i="73"/>
  <c r="Q38" i="73" s="1"/>
  <c r="M38" i="73"/>
  <c r="H38" i="73"/>
  <c r="C38" i="73"/>
  <c r="AB37" i="73"/>
  <c r="J37" i="73" s="1"/>
  <c r="I37" i="73" s="1"/>
  <c r="Z37" i="73"/>
  <c r="W37" i="73"/>
  <c r="V37" i="73"/>
  <c r="P37" i="73"/>
  <c r="Q37" i="73" s="1"/>
  <c r="O37" i="73"/>
  <c r="M37" i="73"/>
  <c r="K37" i="73"/>
  <c r="H37" i="73"/>
  <c r="C37" i="73"/>
  <c r="AB36" i="73"/>
  <c r="J36" i="73" s="1"/>
  <c r="I36" i="73" s="1"/>
  <c r="Z36" i="73"/>
  <c r="W36" i="73"/>
  <c r="V36" i="73"/>
  <c r="P36" i="73"/>
  <c r="Q36" i="73" s="1"/>
  <c r="O36" i="73"/>
  <c r="M36" i="73"/>
  <c r="H36" i="73"/>
  <c r="C36" i="73"/>
  <c r="AB35" i="73"/>
  <c r="J35" i="73" s="1"/>
  <c r="K35" i="73" s="1"/>
  <c r="Z35" i="73"/>
  <c r="W35" i="73"/>
  <c r="V35" i="73"/>
  <c r="P35" i="73"/>
  <c r="O35" i="73"/>
  <c r="Q35" i="73" s="1"/>
  <c r="M35" i="73"/>
  <c r="I35" i="73"/>
  <c r="H35" i="73"/>
  <c r="C35" i="73"/>
  <c r="Z34" i="73"/>
  <c r="AB34" i="73" s="1"/>
  <c r="W34" i="73"/>
  <c r="V34" i="73"/>
  <c r="P34" i="73"/>
  <c r="O34" i="73"/>
  <c r="Q34" i="73" s="1"/>
  <c r="M34" i="73"/>
  <c r="J34" i="73"/>
  <c r="H34" i="73"/>
  <c r="C34" i="73"/>
  <c r="AB33" i="73"/>
  <c r="J33" i="73" s="1"/>
  <c r="Z33" i="73"/>
  <c r="W33" i="73"/>
  <c r="V33" i="73"/>
  <c r="Q33" i="73"/>
  <c r="P33" i="73"/>
  <c r="O33" i="73"/>
  <c r="M33" i="73"/>
  <c r="H33" i="73"/>
  <c r="C33" i="73"/>
  <c r="Z32" i="73"/>
  <c r="AB32" i="73" s="1"/>
  <c r="W32" i="73"/>
  <c r="V32" i="73"/>
  <c r="Q32" i="73"/>
  <c r="P32" i="73"/>
  <c r="O32" i="73"/>
  <c r="M32" i="73"/>
  <c r="J32" i="73"/>
  <c r="H32" i="73"/>
  <c r="C32" i="73"/>
  <c r="Z31" i="73"/>
  <c r="AB31" i="73" s="1"/>
  <c r="J31" i="73" s="1"/>
  <c r="K31" i="73" s="1"/>
  <c r="W31" i="73"/>
  <c r="V31" i="73"/>
  <c r="P31" i="73"/>
  <c r="O31" i="73"/>
  <c r="Q31" i="73" s="1"/>
  <c r="M31" i="73"/>
  <c r="I31" i="73"/>
  <c r="H31" i="73"/>
  <c r="C31" i="73"/>
  <c r="Z30" i="73"/>
  <c r="AB30" i="73" s="1"/>
  <c r="W30" i="73"/>
  <c r="V30" i="73"/>
  <c r="P30" i="73"/>
  <c r="O30" i="73"/>
  <c r="Q30" i="73" s="1"/>
  <c r="M30" i="73"/>
  <c r="J30" i="73"/>
  <c r="K30" i="73" s="1"/>
  <c r="H30" i="73"/>
  <c r="C30" i="73"/>
  <c r="AB29" i="73"/>
  <c r="J29" i="73" s="1"/>
  <c r="Z29" i="73"/>
  <c r="W29" i="73"/>
  <c r="V29" i="73"/>
  <c r="Q29" i="73"/>
  <c r="P29" i="73"/>
  <c r="O29" i="73"/>
  <c r="M29" i="73"/>
  <c r="K29" i="73"/>
  <c r="I29" i="73"/>
  <c r="H29" i="73"/>
  <c r="C29" i="73"/>
  <c r="AB28" i="73"/>
  <c r="J28" i="73" s="1"/>
  <c r="I28" i="73" s="1"/>
  <c r="Z28" i="73"/>
  <c r="W28" i="73"/>
  <c r="V28" i="73"/>
  <c r="P28" i="73"/>
  <c r="Q28" i="73" s="1"/>
  <c r="O28" i="73"/>
  <c r="M28" i="73"/>
  <c r="K28" i="73"/>
  <c r="H28" i="73"/>
  <c r="C28" i="73"/>
  <c r="AB27" i="73"/>
  <c r="J27" i="73" s="1"/>
  <c r="K27" i="73" s="1"/>
  <c r="Z27" i="73"/>
  <c r="W27" i="73"/>
  <c r="V27" i="73"/>
  <c r="P27" i="73"/>
  <c r="O27" i="73"/>
  <c r="Q27" i="73" s="1"/>
  <c r="M27" i="73"/>
  <c r="I27" i="73"/>
  <c r="H27" i="73"/>
  <c r="C27" i="73"/>
  <c r="Z26" i="73"/>
  <c r="AB26" i="73" s="1"/>
  <c r="J26" i="73" s="1"/>
  <c r="W26" i="73"/>
  <c r="V26" i="73"/>
  <c r="P26" i="73"/>
  <c r="O26" i="73"/>
  <c r="M26" i="73"/>
  <c r="H26" i="73"/>
  <c r="C26" i="73"/>
  <c r="AB25" i="73"/>
  <c r="J25" i="73" s="1"/>
  <c r="I25" i="73" s="1"/>
  <c r="Z25" i="73"/>
  <c r="W25" i="73"/>
  <c r="V25" i="73"/>
  <c r="P25" i="73"/>
  <c r="O25" i="73"/>
  <c r="Q25" i="73" s="1"/>
  <c r="M25" i="73"/>
  <c r="K25" i="73"/>
  <c r="H25" i="73"/>
  <c r="AB24" i="73"/>
  <c r="J24" i="73" s="1"/>
  <c r="Z24" i="73"/>
  <c r="W24" i="73"/>
  <c r="V24" i="73"/>
  <c r="P24" i="73"/>
  <c r="Q24" i="73" s="1"/>
  <c r="O24" i="73"/>
  <c r="M24" i="73"/>
  <c r="K24" i="73"/>
  <c r="I24" i="73"/>
  <c r="H24" i="73"/>
  <c r="Z23" i="73"/>
  <c r="AB23" i="73" s="1"/>
  <c r="J23" i="73" s="1"/>
  <c r="W23" i="73"/>
  <c r="V23" i="73"/>
  <c r="Q23" i="73"/>
  <c r="P23" i="73"/>
  <c r="O23" i="73"/>
  <c r="M23" i="73"/>
  <c r="H23" i="73"/>
  <c r="AB22" i="73"/>
  <c r="J22" i="73" s="1"/>
  <c r="I22" i="73" s="1"/>
  <c r="Z22" i="73"/>
  <c r="W22" i="73"/>
  <c r="V22" i="73"/>
  <c r="P22" i="73"/>
  <c r="Q22" i="73" s="1"/>
  <c r="O22" i="73"/>
  <c r="M22" i="73"/>
  <c r="K22" i="73"/>
  <c r="H22" i="73"/>
  <c r="AB21" i="73"/>
  <c r="J21" i="73" s="1"/>
  <c r="Z21" i="73"/>
  <c r="W21" i="73"/>
  <c r="V21" i="73"/>
  <c r="Q21" i="73"/>
  <c r="P21" i="73"/>
  <c r="O21" i="73"/>
  <c r="M21" i="73"/>
  <c r="H21" i="73"/>
  <c r="AB20" i="73"/>
  <c r="J20" i="73" s="1"/>
  <c r="K20" i="73" s="1"/>
  <c r="Z20" i="73"/>
  <c r="W20" i="73"/>
  <c r="V20" i="73"/>
  <c r="P20" i="73"/>
  <c r="Q20" i="73" s="1"/>
  <c r="O20" i="73"/>
  <c r="M20" i="73"/>
  <c r="I20" i="73"/>
  <c r="H20" i="73"/>
  <c r="AB19" i="73"/>
  <c r="J19" i="73" s="1"/>
  <c r="Z19" i="73"/>
  <c r="W19" i="73"/>
  <c r="V19" i="73"/>
  <c r="P19" i="73"/>
  <c r="O19" i="73"/>
  <c r="Q19" i="73" s="1"/>
  <c r="M19" i="73"/>
  <c r="H19" i="73"/>
  <c r="AB18" i="73"/>
  <c r="J18" i="73" s="1"/>
  <c r="Z18" i="73"/>
  <c r="W18" i="73"/>
  <c r="V18" i="73"/>
  <c r="Q18" i="73"/>
  <c r="P18" i="73"/>
  <c r="O18" i="73"/>
  <c r="M18" i="73"/>
  <c r="K18" i="73"/>
  <c r="I18" i="73"/>
  <c r="H18" i="73"/>
  <c r="AB17" i="73"/>
  <c r="J17" i="73" s="1"/>
  <c r="I17" i="73" s="1"/>
  <c r="Z17" i="73"/>
  <c r="W17" i="73"/>
  <c r="V17" i="73"/>
  <c r="P17" i="73"/>
  <c r="O17" i="73"/>
  <c r="Q17" i="73" s="1"/>
  <c r="M17" i="73"/>
  <c r="H17" i="73"/>
  <c r="AB16" i="73"/>
  <c r="J16" i="73" s="1"/>
  <c r="Z16" i="73"/>
  <c r="W16" i="73"/>
  <c r="V16" i="73"/>
  <c r="P16" i="73"/>
  <c r="Q16" i="73" s="1"/>
  <c r="O16" i="73"/>
  <c r="M16" i="73"/>
  <c r="K16" i="73"/>
  <c r="I16" i="73"/>
  <c r="H16" i="73"/>
  <c r="Z15" i="73"/>
  <c r="AB15" i="73" s="1"/>
  <c r="W15" i="73"/>
  <c r="V15" i="73"/>
  <c r="Q15" i="73"/>
  <c r="P15" i="73"/>
  <c r="O15" i="73"/>
  <c r="M15" i="73"/>
  <c r="J15" i="73"/>
  <c r="H15" i="73"/>
  <c r="AB14" i="73"/>
  <c r="J14" i="73" s="1"/>
  <c r="I14" i="73" s="1"/>
  <c r="Z14" i="73"/>
  <c r="W14" i="73"/>
  <c r="V14" i="73"/>
  <c r="P14" i="73"/>
  <c r="Q14" i="73" s="1"/>
  <c r="O14" i="73"/>
  <c r="M14" i="73"/>
  <c r="K14" i="73"/>
  <c r="H14" i="73"/>
  <c r="AB13" i="73"/>
  <c r="J13" i="73" s="1"/>
  <c r="Z13" i="73"/>
  <c r="W13" i="73"/>
  <c r="V13" i="73"/>
  <c r="Q13" i="73"/>
  <c r="P13" i="73"/>
  <c r="O13" i="73"/>
  <c r="M13" i="73"/>
  <c r="H13" i="73"/>
  <c r="AB12" i="73"/>
  <c r="J12" i="73" s="1"/>
  <c r="Z12" i="73"/>
  <c r="W12" i="73"/>
  <c r="V12" i="73"/>
  <c r="P12" i="73"/>
  <c r="Q12" i="73" s="1"/>
  <c r="O12" i="73"/>
  <c r="M12" i="73"/>
  <c r="H12" i="73"/>
  <c r="AB11" i="73"/>
  <c r="J11" i="73" s="1"/>
  <c r="Z11" i="73"/>
  <c r="W11" i="73"/>
  <c r="V11" i="73"/>
  <c r="P11" i="73"/>
  <c r="O11" i="73"/>
  <c r="Q11" i="73" s="1"/>
  <c r="M11" i="73"/>
  <c r="H11" i="73"/>
  <c r="AB10" i="73"/>
  <c r="J10" i="73" s="1"/>
  <c r="Z10" i="73"/>
  <c r="W10" i="73"/>
  <c r="V10" i="73"/>
  <c r="Q10" i="73"/>
  <c r="P10" i="73"/>
  <c r="O10" i="73"/>
  <c r="M10" i="73"/>
  <c r="K10" i="73"/>
  <c r="I10" i="73"/>
  <c r="H10" i="73"/>
  <c r="AB9" i="73"/>
  <c r="J9" i="73" s="1"/>
  <c r="I9" i="73" s="1"/>
  <c r="Z9" i="73"/>
  <c r="W9" i="73"/>
  <c r="V9" i="73"/>
  <c r="P9" i="73"/>
  <c r="O9" i="73"/>
  <c r="Q9" i="73" s="1"/>
  <c r="M9" i="73"/>
  <c r="K9" i="73"/>
  <c r="H9" i="73"/>
  <c r="AB8" i="73"/>
  <c r="J8" i="73" s="1"/>
  <c r="Z8" i="73"/>
  <c r="W8" i="73"/>
  <c r="V8" i="73"/>
  <c r="P8" i="73"/>
  <c r="Q8" i="73" s="1"/>
  <c r="O8" i="73"/>
  <c r="M8" i="73"/>
  <c r="K8" i="73"/>
  <c r="I8" i="73"/>
  <c r="H8" i="73"/>
  <c r="Z7" i="73"/>
  <c r="AB7" i="73" s="1"/>
  <c r="J7" i="73" s="1"/>
  <c r="W7" i="73"/>
  <c r="V7" i="73"/>
  <c r="Q7" i="73"/>
  <c r="P7" i="73"/>
  <c r="O7" i="73"/>
  <c r="M7" i="73"/>
  <c r="H7" i="73"/>
  <c r="AB6" i="73"/>
  <c r="J6" i="73" s="1"/>
  <c r="I6" i="73" s="1"/>
  <c r="Z6" i="73"/>
  <c r="W6" i="73"/>
  <c r="V6" i="73"/>
  <c r="P6" i="73"/>
  <c r="Q6" i="73" s="1"/>
  <c r="O6" i="73"/>
  <c r="M6" i="73"/>
  <c r="K6" i="73"/>
  <c r="H6" i="73"/>
  <c r="AB5" i="73"/>
  <c r="J5" i="73" s="1"/>
  <c r="Z5" i="73"/>
  <c r="W5" i="73"/>
  <c r="V5" i="73"/>
  <c r="Q5" i="73"/>
  <c r="P5" i="73"/>
  <c r="O5" i="73"/>
  <c r="M5" i="73"/>
  <c r="H5" i="73"/>
  <c r="AB4" i="73"/>
  <c r="J4" i="73" s="1"/>
  <c r="I4" i="73" s="1"/>
  <c r="Z4" i="73"/>
  <c r="W4" i="73"/>
  <c r="V4" i="73"/>
  <c r="Q4" i="73"/>
  <c r="P4" i="73"/>
  <c r="O4" i="73"/>
  <c r="M4" i="73"/>
  <c r="K4" i="73"/>
  <c r="H4" i="73"/>
  <c r="AE3" i="73"/>
  <c r="U3" i="73"/>
  <c r="O3" i="73"/>
  <c r="G3" i="73"/>
  <c r="H3" i="73" s="1"/>
  <c r="F3" i="73"/>
  <c r="D3" i="73"/>
  <c r="C3" i="73"/>
  <c r="B3" i="73"/>
  <c r="A2" i="73"/>
  <c r="A1" i="73"/>
  <c r="Z56" i="72"/>
  <c r="AB56" i="72" s="1"/>
  <c r="J56" i="72" s="1"/>
  <c r="W56" i="72"/>
  <c r="V56" i="72"/>
  <c r="T56" i="72"/>
  <c r="S56" i="72"/>
  <c r="R56" i="72"/>
  <c r="P56" i="72"/>
  <c r="O56" i="72"/>
  <c r="Q56" i="72" s="1"/>
  <c r="M56" i="72"/>
  <c r="H56" i="72"/>
  <c r="C56" i="72"/>
  <c r="Z55" i="72"/>
  <c r="AB55" i="72" s="1"/>
  <c r="J55" i="72" s="1"/>
  <c r="W55" i="72"/>
  <c r="V55" i="72"/>
  <c r="Q55" i="72"/>
  <c r="P55" i="72"/>
  <c r="O55" i="72"/>
  <c r="M55" i="72"/>
  <c r="H55" i="72"/>
  <c r="C55" i="72"/>
  <c r="Z54" i="72"/>
  <c r="AB54" i="72" s="1"/>
  <c r="J54" i="72" s="1"/>
  <c r="W54" i="72"/>
  <c r="V54" i="72"/>
  <c r="T54" i="72"/>
  <c r="S54" i="72"/>
  <c r="R54" i="72"/>
  <c r="P54" i="72"/>
  <c r="O54" i="72"/>
  <c r="Q54" i="72" s="1"/>
  <c r="M54" i="72"/>
  <c r="H54" i="72"/>
  <c r="C54" i="72"/>
  <c r="Z53" i="72"/>
  <c r="AB53" i="72" s="1"/>
  <c r="W53" i="72"/>
  <c r="V53" i="72"/>
  <c r="T53" i="72"/>
  <c r="S53" i="72"/>
  <c r="R53" i="72"/>
  <c r="P53" i="72"/>
  <c r="O53" i="72"/>
  <c r="Q53" i="72" s="1"/>
  <c r="M53" i="72"/>
  <c r="K53" i="72"/>
  <c r="J53" i="72"/>
  <c r="I53" i="72" s="1"/>
  <c r="H53" i="72"/>
  <c r="C53" i="72"/>
  <c r="Z52" i="72"/>
  <c r="AB52" i="72" s="1"/>
  <c r="W52" i="72"/>
  <c r="V52" i="72"/>
  <c r="T52" i="72"/>
  <c r="S52" i="72"/>
  <c r="R52" i="72"/>
  <c r="Q52" i="72"/>
  <c r="P52" i="72"/>
  <c r="O52" i="72"/>
  <c r="M52" i="72"/>
  <c r="J52" i="72"/>
  <c r="H52" i="72"/>
  <c r="C52" i="72"/>
  <c r="Z51" i="72"/>
  <c r="AB51" i="72" s="1"/>
  <c r="J51" i="72" s="1"/>
  <c r="W51" i="72"/>
  <c r="V51" i="72"/>
  <c r="T51" i="72"/>
  <c r="S51" i="72"/>
  <c r="R51" i="72"/>
  <c r="Q51" i="72"/>
  <c r="P51" i="72"/>
  <c r="O51" i="72"/>
  <c r="M51" i="72"/>
  <c r="H51" i="72"/>
  <c r="C51" i="72"/>
  <c r="Z50" i="72"/>
  <c r="AB50" i="72" s="1"/>
  <c r="J50" i="72" s="1"/>
  <c r="W50" i="72"/>
  <c r="V50" i="72"/>
  <c r="T50" i="72"/>
  <c r="S50" i="72"/>
  <c r="R50" i="72"/>
  <c r="P50" i="72"/>
  <c r="O50" i="72"/>
  <c r="Q50" i="72" s="1"/>
  <c r="M50" i="72"/>
  <c r="H50" i="72"/>
  <c r="C50" i="72"/>
  <c r="Z49" i="72"/>
  <c r="AB49" i="72" s="1"/>
  <c r="W49" i="72"/>
  <c r="V49" i="72"/>
  <c r="T49" i="72"/>
  <c r="S49" i="72"/>
  <c r="R49" i="72"/>
  <c r="P49" i="72"/>
  <c r="O49" i="72"/>
  <c r="Q49" i="72" s="1"/>
  <c r="M49" i="72"/>
  <c r="K49" i="72"/>
  <c r="J49" i="72"/>
  <c r="I49" i="72" s="1"/>
  <c r="H49" i="72"/>
  <c r="C49" i="72"/>
  <c r="Z48" i="72"/>
  <c r="AB48" i="72" s="1"/>
  <c r="W48" i="72"/>
  <c r="V48" i="72"/>
  <c r="T48" i="72"/>
  <c r="S48" i="72"/>
  <c r="R48" i="72"/>
  <c r="Q48" i="72"/>
  <c r="P48" i="72"/>
  <c r="O48" i="72"/>
  <c r="M48" i="72"/>
  <c r="J48" i="72"/>
  <c r="H48" i="72"/>
  <c r="C48" i="72"/>
  <c r="Z47" i="72"/>
  <c r="AB47" i="72" s="1"/>
  <c r="W47" i="72"/>
  <c r="V47" i="72"/>
  <c r="Q47" i="72"/>
  <c r="P47" i="72"/>
  <c r="O47" i="72"/>
  <c r="M47" i="72"/>
  <c r="J47" i="72"/>
  <c r="H47" i="72"/>
  <c r="C47" i="72"/>
  <c r="Z46" i="72"/>
  <c r="AB46" i="72" s="1"/>
  <c r="J46" i="72" s="1"/>
  <c r="K46" i="72" s="1"/>
  <c r="W46" i="72"/>
  <c r="V46" i="72"/>
  <c r="Q46" i="72"/>
  <c r="P46" i="72"/>
  <c r="O46" i="72"/>
  <c r="M46" i="72"/>
  <c r="I46" i="72"/>
  <c r="H46" i="72"/>
  <c r="C46" i="72"/>
  <c r="Z45" i="72"/>
  <c r="AB45" i="72" s="1"/>
  <c r="J45" i="72" s="1"/>
  <c r="W45" i="72"/>
  <c r="V45" i="72"/>
  <c r="P45" i="72"/>
  <c r="O45" i="72"/>
  <c r="M45" i="72"/>
  <c r="H45" i="72"/>
  <c r="C45" i="72"/>
  <c r="AB44" i="72"/>
  <c r="J44" i="72" s="1"/>
  <c r="I44" i="72" s="1"/>
  <c r="Z44" i="72"/>
  <c r="W44" i="72"/>
  <c r="V44" i="72"/>
  <c r="P44" i="72"/>
  <c r="Q44" i="72" s="1"/>
  <c r="O44" i="72"/>
  <c r="M44" i="72"/>
  <c r="H44" i="72"/>
  <c r="C44" i="72"/>
  <c r="AB43" i="72"/>
  <c r="J43" i="72" s="1"/>
  <c r="I43" i="72" s="1"/>
  <c r="Z43" i="72"/>
  <c r="W43" i="72"/>
  <c r="V43" i="72"/>
  <c r="P43" i="72"/>
  <c r="Q43" i="72" s="1"/>
  <c r="O43" i="72"/>
  <c r="M43" i="72"/>
  <c r="K43" i="72"/>
  <c r="H43" i="72"/>
  <c r="C43" i="72"/>
  <c r="AB42" i="72"/>
  <c r="J42" i="72" s="1"/>
  <c r="I42" i="72" s="1"/>
  <c r="Z42" i="72"/>
  <c r="W42" i="72"/>
  <c r="V42" i="72"/>
  <c r="T42" i="72"/>
  <c r="S42" i="72"/>
  <c r="R42" i="72"/>
  <c r="P42" i="72"/>
  <c r="Q42" i="72" s="1"/>
  <c r="O42" i="72"/>
  <c r="M42" i="72"/>
  <c r="K42" i="72"/>
  <c r="H42" i="72"/>
  <c r="C42" i="72"/>
  <c r="AB41" i="72"/>
  <c r="J41" i="72" s="1"/>
  <c r="K41" i="72" s="1"/>
  <c r="Z41" i="72"/>
  <c r="W41" i="72"/>
  <c r="V41" i="72"/>
  <c r="P41" i="72"/>
  <c r="O41" i="72"/>
  <c r="Q41" i="72" s="1"/>
  <c r="M41" i="72"/>
  <c r="I41" i="72"/>
  <c r="H41" i="72"/>
  <c r="C41" i="72"/>
  <c r="Z39" i="72"/>
  <c r="AB39" i="72" s="1"/>
  <c r="J39" i="72" s="1"/>
  <c r="W39" i="72"/>
  <c r="V39" i="72"/>
  <c r="P39" i="72"/>
  <c r="O39" i="72"/>
  <c r="M39" i="72"/>
  <c r="H39" i="72"/>
  <c r="C39" i="72"/>
  <c r="AB38" i="72"/>
  <c r="J38" i="72" s="1"/>
  <c r="Z38" i="72"/>
  <c r="W38" i="72"/>
  <c r="V38" i="72"/>
  <c r="Q38" i="72"/>
  <c r="P38" i="72"/>
  <c r="O38" i="72"/>
  <c r="M38" i="72"/>
  <c r="H38" i="72"/>
  <c r="C38" i="72"/>
  <c r="Z37" i="72"/>
  <c r="AB37" i="72" s="1"/>
  <c r="J37" i="72" s="1"/>
  <c r="W37" i="72"/>
  <c r="V37" i="72"/>
  <c r="Q37" i="72"/>
  <c r="P37" i="72"/>
  <c r="O37" i="72"/>
  <c r="M37" i="72"/>
  <c r="H37" i="72"/>
  <c r="C37" i="72"/>
  <c r="Z36" i="72"/>
  <c r="AB36" i="72" s="1"/>
  <c r="J36" i="72" s="1"/>
  <c r="K36" i="72" s="1"/>
  <c r="W36" i="72"/>
  <c r="V36" i="72"/>
  <c r="Q36" i="72"/>
  <c r="P36" i="72"/>
  <c r="O36" i="72"/>
  <c r="M36" i="72"/>
  <c r="I36" i="72"/>
  <c r="H36" i="72"/>
  <c r="C36" i="72"/>
  <c r="Z35" i="72"/>
  <c r="AB35" i="72" s="1"/>
  <c r="J35" i="72" s="1"/>
  <c r="W35" i="72"/>
  <c r="V35" i="72"/>
  <c r="P35" i="72"/>
  <c r="O35" i="72"/>
  <c r="Q35" i="72" s="1"/>
  <c r="M35" i="72"/>
  <c r="H35" i="72"/>
  <c r="C35" i="72"/>
  <c r="AB34" i="72"/>
  <c r="J34" i="72" s="1"/>
  <c r="I34" i="72" s="1"/>
  <c r="Z34" i="72"/>
  <c r="W34" i="72"/>
  <c r="V34" i="72"/>
  <c r="P34" i="72"/>
  <c r="Q34" i="72" s="1"/>
  <c r="O34" i="72"/>
  <c r="M34" i="72"/>
  <c r="K34" i="72"/>
  <c r="H34" i="72"/>
  <c r="C34" i="72"/>
  <c r="AB33" i="72"/>
  <c r="J33" i="72" s="1"/>
  <c r="I33" i="72" s="1"/>
  <c r="Z33" i="72"/>
  <c r="W33" i="72"/>
  <c r="V33" i="72"/>
  <c r="P33" i="72"/>
  <c r="Q33" i="72" s="1"/>
  <c r="O33" i="72"/>
  <c r="M33" i="72"/>
  <c r="K33" i="72"/>
  <c r="H33" i="72"/>
  <c r="C33" i="72"/>
  <c r="AB32" i="72"/>
  <c r="J32" i="72" s="1"/>
  <c r="K32" i="72" s="1"/>
  <c r="Z32" i="72"/>
  <c r="W32" i="72"/>
  <c r="V32" i="72"/>
  <c r="P32" i="72"/>
  <c r="O32" i="72"/>
  <c r="Q32" i="72" s="1"/>
  <c r="M32" i="72"/>
  <c r="H32" i="72"/>
  <c r="C32" i="72"/>
  <c r="Z31" i="72"/>
  <c r="AB31" i="72" s="1"/>
  <c r="W31" i="72"/>
  <c r="V31" i="72"/>
  <c r="P31" i="72"/>
  <c r="O31" i="72"/>
  <c r="Q31" i="72" s="1"/>
  <c r="M31" i="72"/>
  <c r="J31" i="72"/>
  <c r="H31" i="72"/>
  <c r="C31" i="72"/>
  <c r="AB30" i="72"/>
  <c r="J30" i="72" s="1"/>
  <c r="Z30" i="72"/>
  <c r="W30" i="72"/>
  <c r="V30" i="72"/>
  <c r="Q30" i="72"/>
  <c r="P30" i="72"/>
  <c r="O30" i="72"/>
  <c r="M30" i="72"/>
  <c r="H30" i="72"/>
  <c r="C30" i="72"/>
  <c r="Z29" i="72"/>
  <c r="AB29" i="72" s="1"/>
  <c r="J29" i="72" s="1"/>
  <c r="W29" i="72"/>
  <c r="V29" i="72"/>
  <c r="Q29" i="72"/>
  <c r="P29" i="72"/>
  <c r="O29" i="72"/>
  <c r="M29" i="72"/>
  <c r="H29" i="72"/>
  <c r="C29" i="72"/>
  <c r="Z28" i="72"/>
  <c r="AB28" i="72" s="1"/>
  <c r="J28" i="72" s="1"/>
  <c r="K28" i="72" s="1"/>
  <c r="W28" i="72"/>
  <c r="V28" i="72"/>
  <c r="P28" i="72"/>
  <c r="O28" i="72"/>
  <c r="Q28" i="72" s="1"/>
  <c r="M28" i="72"/>
  <c r="I28" i="72"/>
  <c r="H28" i="72"/>
  <c r="C28" i="72"/>
  <c r="Z27" i="72"/>
  <c r="AB27" i="72" s="1"/>
  <c r="J27" i="72" s="1"/>
  <c r="W27" i="72"/>
  <c r="V27" i="72"/>
  <c r="P27" i="72"/>
  <c r="O27" i="72"/>
  <c r="Q27" i="72" s="1"/>
  <c r="M27" i="72"/>
  <c r="H27" i="72"/>
  <c r="C27" i="72"/>
  <c r="AB26" i="72"/>
  <c r="J26" i="72" s="1"/>
  <c r="Z26" i="72"/>
  <c r="W26" i="72"/>
  <c r="V26" i="72"/>
  <c r="Q26" i="72"/>
  <c r="P26" i="72"/>
  <c r="O26" i="72"/>
  <c r="M26" i="72"/>
  <c r="K26" i="72"/>
  <c r="I26" i="72"/>
  <c r="H26" i="72"/>
  <c r="C26" i="72"/>
  <c r="AB25" i="72"/>
  <c r="J25" i="72" s="1"/>
  <c r="I25" i="72" s="1"/>
  <c r="Z25" i="72"/>
  <c r="W25" i="72"/>
  <c r="V25" i="72"/>
  <c r="P25" i="72"/>
  <c r="Q25" i="72" s="1"/>
  <c r="O25" i="72"/>
  <c r="M25" i="72"/>
  <c r="K25" i="72"/>
  <c r="H25" i="72"/>
  <c r="Z24" i="72"/>
  <c r="AB24" i="72" s="1"/>
  <c r="W24" i="72"/>
  <c r="V24" i="72"/>
  <c r="Q24" i="72"/>
  <c r="P24" i="72"/>
  <c r="O24" i="72"/>
  <c r="M24" i="72"/>
  <c r="K24" i="72"/>
  <c r="J24" i="72"/>
  <c r="I24" i="72" s="1"/>
  <c r="H24" i="72"/>
  <c r="AB23" i="72"/>
  <c r="J23" i="72" s="1"/>
  <c r="I23" i="72" s="1"/>
  <c r="Z23" i="72"/>
  <c r="W23" i="72"/>
  <c r="V23" i="72"/>
  <c r="Q23" i="72"/>
  <c r="P23" i="72"/>
  <c r="O23" i="72"/>
  <c r="M23" i="72"/>
  <c r="K23" i="72"/>
  <c r="H23" i="72"/>
  <c r="Z22" i="72"/>
  <c r="AB22" i="72" s="1"/>
  <c r="J22" i="72" s="1"/>
  <c r="W22" i="72"/>
  <c r="V22" i="72"/>
  <c r="Q22" i="72"/>
  <c r="P22" i="72"/>
  <c r="O22" i="72"/>
  <c r="M22" i="72"/>
  <c r="H22" i="72"/>
  <c r="AB21" i="72"/>
  <c r="J21" i="72" s="1"/>
  <c r="I21" i="72" s="1"/>
  <c r="Z21" i="72"/>
  <c r="W21" i="72"/>
  <c r="V21" i="72"/>
  <c r="P21" i="72"/>
  <c r="Q21" i="72" s="1"/>
  <c r="O21" i="72"/>
  <c r="M21" i="72"/>
  <c r="K21" i="72"/>
  <c r="H21" i="72"/>
  <c r="AB20" i="72"/>
  <c r="J20" i="72" s="1"/>
  <c r="Z20" i="72"/>
  <c r="W20" i="72"/>
  <c r="V20" i="72"/>
  <c r="Q20" i="72"/>
  <c r="P20" i="72"/>
  <c r="O20" i="72"/>
  <c r="M20" i="72"/>
  <c r="H20" i="72"/>
  <c r="AB19" i="72"/>
  <c r="J19" i="72" s="1"/>
  <c r="I19" i="72" s="1"/>
  <c r="Z19" i="72"/>
  <c r="W19" i="72"/>
  <c r="V19" i="72"/>
  <c r="P19" i="72"/>
  <c r="Q19" i="72" s="1"/>
  <c r="O19" i="72"/>
  <c r="M19" i="72"/>
  <c r="K19" i="72"/>
  <c r="H19" i="72"/>
  <c r="AB18" i="72"/>
  <c r="J18" i="72" s="1"/>
  <c r="I18" i="72" s="1"/>
  <c r="Z18" i="72"/>
  <c r="W18" i="72"/>
  <c r="V18" i="72"/>
  <c r="Q18" i="72"/>
  <c r="P18" i="72"/>
  <c r="O18" i="72"/>
  <c r="M18" i="72"/>
  <c r="K18" i="72"/>
  <c r="H18" i="72"/>
  <c r="AB17" i="72"/>
  <c r="J17" i="72" s="1"/>
  <c r="I17" i="72" s="1"/>
  <c r="Z17" i="72"/>
  <c r="W17" i="72"/>
  <c r="V17" i="72"/>
  <c r="Q17" i="72"/>
  <c r="P17" i="72"/>
  <c r="O17" i="72"/>
  <c r="M17" i="72"/>
  <c r="K17" i="72"/>
  <c r="H17" i="72"/>
  <c r="Z16" i="72"/>
  <c r="AB16" i="72" s="1"/>
  <c r="J16" i="72" s="1"/>
  <c r="W16" i="72"/>
  <c r="V16" i="72"/>
  <c r="Q16" i="72"/>
  <c r="P16" i="72"/>
  <c r="O16" i="72"/>
  <c r="M16" i="72"/>
  <c r="H16" i="72"/>
  <c r="AB15" i="72"/>
  <c r="J15" i="72" s="1"/>
  <c r="I15" i="72" s="1"/>
  <c r="Z15" i="72"/>
  <c r="W15" i="72"/>
  <c r="V15" i="72"/>
  <c r="Q15" i="72"/>
  <c r="P15" i="72"/>
  <c r="O15" i="72"/>
  <c r="M15" i="72"/>
  <c r="K15" i="72"/>
  <c r="H15" i="72"/>
  <c r="Z14" i="72"/>
  <c r="AB14" i="72" s="1"/>
  <c r="J14" i="72" s="1"/>
  <c r="W14" i="72"/>
  <c r="V14" i="72"/>
  <c r="Q14" i="72"/>
  <c r="P14" i="72"/>
  <c r="O14" i="72"/>
  <c r="M14" i="72"/>
  <c r="H14" i="72"/>
  <c r="AB13" i="72"/>
  <c r="J13" i="72" s="1"/>
  <c r="I13" i="72" s="1"/>
  <c r="Z13" i="72"/>
  <c r="W13" i="72"/>
  <c r="V13" i="72"/>
  <c r="Q13" i="72"/>
  <c r="P13" i="72"/>
  <c r="O13" i="72"/>
  <c r="M13" i="72"/>
  <c r="K13" i="72"/>
  <c r="H13" i="72"/>
  <c r="Z12" i="72"/>
  <c r="AB12" i="72" s="1"/>
  <c r="J12" i="72" s="1"/>
  <c r="W12" i="72"/>
  <c r="V12" i="72"/>
  <c r="Q12" i="72"/>
  <c r="P12" i="72"/>
  <c r="O12" i="72"/>
  <c r="M12" i="72"/>
  <c r="H12" i="72"/>
  <c r="AB11" i="72"/>
  <c r="J11" i="72" s="1"/>
  <c r="I11" i="72" s="1"/>
  <c r="Z11" i="72"/>
  <c r="W11" i="72"/>
  <c r="V11" i="72"/>
  <c r="P11" i="72"/>
  <c r="Q11" i="72" s="1"/>
  <c r="O11" i="72"/>
  <c r="M11" i="72"/>
  <c r="K11" i="72"/>
  <c r="H11" i="72"/>
  <c r="AB10" i="72"/>
  <c r="J10" i="72" s="1"/>
  <c r="Z10" i="72"/>
  <c r="W10" i="72"/>
  <c r="V10" i="72"/>
  <c r="Q10" i="72"/>
  <c r="P10" i="72"/>
  <c r="O10" i="72"/>
  <c r="M10" i="72"/>
  <c r="H10" i="72"/>
  <c r="AB9" i="72"/>
  <c r="J9" i="72" s="1"/>
  <c r="I9" i="72" s="1"/>
  <c r="Z9" i="72"/>
  <c r="W9" i="72"/>
  <c r="V9" i="72"/>
  <c r="Q9" i="72"/>
  <c r="P9" i="72"/>
  <c r="O9" i="72"/>
  <c r="M9" i="72"/>
  <c r="K9" i="72"/>
  <c r="H9" i="72"/>
  <c r="AB8" i="72"/>
  <c r="J8" i="72" s="1"/>
  <c r="Z8" i="72"/>
  <c r="W8" i="72"/>
  <c r="V8" i="72"/>
  <c r="Q8" i="72"/>
  <c r="P8" i="72"/>
  <c r="O8" i="72"/>
  <c r="M8" i="72"/>
  <c r="H8" i="72"/>
  <c r="AB7" i="72"/>
  <c r="J7" i="72" s="1"/>
  <c r="I7" i="72" s="1"/>
  <c r="Z7" i="72"/>
  <c r="W7" i="72"/>
  <c r="V7" i="72"/>
  <c r="Q7" i="72"/>
  <c r="P7" i="72"/>
  <c r="O7" i="72"/>
  <c r="M7" i="72"/>
  <c r="K7" i="72"/>
  <c r="H7" i="72"/>
  <c r="Z6" i="72"/>
  <c r="AB6" i="72" s="1"/>
  <c r="W6" i="72"/>
  <c r="V6" i="72"/>
  <c r="Q6" i="72"/>
  <c r="P6" i="72"/>
  <c r="O6" i="72"/>
  <c r="M6" i="72"/>
  <c r="J6" i="72"/>
  <c r="H6" i="72"/>
  <c r="AB5" i="72"/>
  <c r="J5" i="72" s="1"/>
  <c r="I5" i="72" s="1"/>
  <c r="Z5" i="72"/>
  <c r="W5" i="72"/>
  <c r="V5" i="72"/>
  <c r="P5" i="72"/>
  <c r="Q5" i="72" s="1"/>
  <c r="O5" i="72"/>
  <c r="M5" i="72"/>
  <c r="K5" i="72"/>
  <c r="H5" i="72"/>
  <c r="AB4" i="72"/>
  <c r="J4" i="72" s="1"/>
  <c r="Z4" i="72"/>
  <c r="W4" i="72"/>
  <c r="V4" i="72"/>
  <c r="Q4" i="72"/>
  <c r="P4" i="72"/>
  <c r="O4" i="72"/>
  <c r="M4" i="72"/>
  <c r="H4" i="72"/>
  <c r="AE3" i="72"/>
  <c r="U3" i="72"/>
  <c r="O3" i="72"/>
  <c r="H3" i="72"/>
  <c r="G3" i="72"/>
  <c r="F3" i="72"/>
  <c r="D3" i="72"/>
  <c r="C3" i="72"/>
  <c r="B3" i="72"/>
  <c r="A2" i="72"/>
  <c r="A1" i="72"/>
  <c r="AB56" i="71"/>
  <c r="Z56" i="71"/>
  <c r="W56" i="71"/>
  <c r="V56" i="71"/>
  <c r="T56" i="71"/>
  <c r="S56" i="71"/>
  <c r="R56" i="71"/>
  <c r="P56" i="71"/>
  <c r="Q56" i="71" s="1"/>
  <c r="O56" i="71"/>
  <c r="M56" i="71"/>
  <c r="J56" i="71"/>
  <c r="K56" i="71" s="1"/>
  <c r="I56" i="71"/>
  <c r="H56" i="71"/>
  <c r="C56" i="71"/>
  <c r="AB55" i="71"/>
  <c r="J55" i="71" s="1"/>
  <c r="I55" i="71" s="1"/>
  <c r="Z55" i="71"/>
  <c r="W55" i="71"/>
  <c r="V55" i="71"/>
  <c r="P55" i="71"/>
  <c r="Q55" i="71" s="1"/>
  <c r="O55" i="71"/>
  <c r="M55" i="71"/>
  <c r="K55" i="71"/>
  <c r="H55" i="71"/>
  <c r="C55" i="71"/>
  <c r="AB54" i="71"/>
  <c r="J54" i="71" s="1"/>
  <c r="I54" i="71" s="1"/>
  <c r="Z54" i="71"/>
  <c r="W54" i="71"/>
  <c r="V54" i="71"/>
  <c r="T54" i="71"/>
  <c r="S54" i="71"/>
  <c r="R54" i="71"/>
  <c r="P54" i="71"/>
  <c r="Q54" i="71" s="1"/>
  <c r="O54" i="71"/>
  <c r="M54" i="71"/>
  <c r="K54" i="71"/>
  <c r="H54" i="71"/>
  <c r="C54" i="71"/>
  <c r="AB53" i="71"/>
  <c r="J53" i="71" s="1"/>
  <c r="I53" i="71" s="1"/>
  <c r="Z53" i="71"/>
  <c r="W53" i="71"/>
  <c r="V53" i="71"/>
  <c r="T53" i="71"/>
  <c r="S53" i="71"/>
  <c r="R53" i="71"/>
  <c r="Q53" i="71"/>
  <c r="P53" i="71"/>
  <c r="O53" i="71"/>
  <c r="M53" i="71"/>
  <c r="K53" i="71"/>
  <c r="H53" i="71"/>
  <c r="C53" i="71"/>
  <c r="AB52" i="71"/>
  <c r="J52" i="71" s="1"/>
  <c r="I52" i="71" s="1"/>
  <c r="Z52" i="71"/>
  <c r="W52" i="71"/>
  <c r="V52" i="71"/>
  <c r="T52" i="71"/>
  <c r="S52" i="71"/>
  <c r="R52" i="71"/>
  <c r="Q52" i="71"/>
  <c r="P52" i="71"/>
  <c r="O52" i="71"/>
  <c r="M52" i="71"/>
  <c r="H52" i="71"/>
  <c r="C52" i="71"/>
  <c r="AB51" i="71"/>
  <c r="J51" i="71" s="1"/>
  <c r="Z51" i="71"/>
  <c r="W51" i="71"/>
  <c r="V51" i="71"/>
  <c r="T51" i="71"/>
  <c r="S51" i="71"/>
  <c r="R51" i="71"/>
  <c r="P51" i="71"/>
  <c r="Q51" i="71" s="1"/>
  <c r="O51" i="71"/>
  <c r="M51" i="71"/>
  <c r="H51" i="71"/>
  <c r="C51" i="71"/>
  <c r="AB50" i="71"/>
  <c r="J50" i="71" s="1"/>
  <c r="Z50" i="71"/>
  <c r="W50" i="71"/>
  <c r="V50" i="71"/>
  <c r="T50" i="71"/>
  <c r="S50" i="71"/>
  <c r="R50" i="71"/>
  <c r="P50" i="71"/>
  <c r="Q50" i="71" s="1"/>
  <c r="O50" i="71"/>
  <c r="M50" i="71"/>
  <c r="H50" i="71"/>
  <c r="C50" i="71"/>
  <c r="AB49" i="71"/>
  <c r="J49" i="71" s="1"/>
  <c r="Z49" i="71"/>
  <c r="W49" i="71"/>
  <c r="V49" i="71"/>
  <c r="T49" i="71"/>
  <c r="S49" i="71"/>
  <c r="R49" i="71"/>
  <c r="P49" i="71"/>
  <c r="Q49" i="71" s="1"/>
  <c r="O49" i="71"/>
  <c r="M49" i="71"/>
  <c r="H49" i="71"/>
  <c r="C49" i="71"/>
  <c r="AB48" i="71"/>
  <c r="J48" i="71" s="1"/>
  <c r="Z48" i="71"/>
  <c r="W48" i="71"/>
  <c r="V48" i="71"/>
  <c r="T48" i="71"/>
  <c r="S48" i="71"/>
  <c r="R48" i="71"/>
  <c r="P48" i="71"/>
  <c r="Q48" i="71" s="1"/>
  <c r="O48" i="71"/>
  <c r="M48" i="71"/>
  <c r="H48" i="71"/>
  <c r="C48" i="71"/>
  <c r="AB47" i="71"/>
  <c r="J47" i="71" s="1"/>
  <c r="Z47" i="71"/>
  <c r="W47" i="71"/>
  <c r="V47" i="71"/>
  <c r="P47" i="71"/>
  <c r="O47" i="71"/>
  <c r="Q47" i="71" s="1"/>
  <c r="M47" i="71"/>
  <c r="H47" i="71"/>
  <c r="C47" i="71"/>
  <c r="Z46" i="71"/>
  <c r="AB46" i="71" s="1"/>
  <c r="J46" i="71" s="1"/>
  <c r="K46" i="71" s="1"/>
  <c r="W46" i="71"/>
  <c r="V46" i="71"/>
  <c r="P46" i="71"/>
  <c r="O46" i="71"/>
  <c r="Q46" i="71" s="1"/>
  <c r="M46" i="71"/>
  <c r="I46" i="71"/>
  <c r="H46" i="71"/>
  <c r="C46" i="71"/>
  <c r="Z45" i="71"/>
  <c r="AB45" i="71" s="1"/>
  <c r="J45" i="71" s="1"/>
  <c r="W45" i="71"/>
  <c r="V45" i="71"/>
  <c r="P45" i="71"/>
  <c r="O45" i="71"/>
  <c r="Q45" i="71" s="1"/>
  <c r="M45" i="71"/>
  <c r="H45" i="71"/>
  <c r="C45" i="71"/>
  <c r="AB44" i="71"/>
  <c r="J44" i="71" s="1"/>
  <c r="Z44" i="71"/>
  <c r="W44" i="71"/>
  <c r="V44" i="71"/>
  <c r="Q44" i="71"/>
  <c r="P44" i="71"/>
  <c r="O44" i="71"/>
  <c r="M44" i="71"/>
  <c r="H44" i="71"/>
  <c r="C44" i="71"/>
  <c r="AB43" i="71"/>
  <c r="J43" i="71" s="1"/>
  <c r="Z43" i="71"/>
  <c r="W43" i="71"/>
  <c r="V43" i="71"/>
  <c r="Q43" i="71"/>
  <c r="P43" i="71"/>
  <c r="O43" i="71"/>
  <c r="M43" i="71"/>
  <c r="H43" i="71"/>
  <c r="C43" i="71"/>
  <c r="AB42" i="71"/>
  <c r="J42" i="71" s="1"/>
  <c r="Z42" i="71"/>
  <c r="W42" i="71"/>
  <c r="V42" i="71"/>
  <c r="T42" i="71"/>
  <c r="S42" i="71"/>
  <c r="R42" i="71"/>
  <c r="Q42" i="71"/>
  <c r="P42" i="71"/>
  <c r="O42" i="71"/>
  <c r="M42" i="71"/>
  <c r="H42" i="71"/>
  <c r="C42" i="71"/>
  <c r="AB41" i="71"/>
  <c r="J41" i="71" s="1"/>
  <c r="Z41" i="71"/>
  <c r="W41" i="71"/>
  <c r="V41" i="71"/>
  <c r="P41" i="71"/>
  <c r="O41" i="71"/>
  <c r="Q41" i="71" s="1"/>
  <c r="M41" i="71"/>
  <c r="H41" i="71"/>
  <c r="C41" i="71"/>
  <c r="Z39" i="71"/>
  <c r="AB39" i="71" s="1"/>
  <c r="J39" i="71" s="1"/>
  <c r="W39" i="71"/>
  <c r="V39" i="71"/>
  <c r="P39" i="71"/>
  <c r="Q39" i="71" s="1"/>
  <c r="O39" i="71"/>
  <c r="M39" i="71"/>
  <c r="H39" i="71"/>
  <c r="C39" i="71"/>
  <c r="AB38" i="71"/>
  <c r="J38" i="71" s="1"/>
  <c r="Z38" i="71"/>
  <c r="W38" i="71"/>
  <c r="V38" i="71"/>
  <c r="P38" i="71"/>
  <c r="Q38" i="71" s="1"/>
  <c r="O38" i="71"/>
  <c r="M38" i="71"/>
  <c r="H38" i="71"/>
  <c r="C38" i="71"/>
  <c r="AB37" i="71"/>
  <c r="J37" i="71" s="1"/>
  <c r="I37" i="71" s="1"/>
  <c r="Z37" i="71"/>
  <c r="W37" i="71"/>
  <c r="V37" i="71"/>
  <c r="P37" i="71"/>
  <c r="O37" i="71"/>
  <c r="Q37" i="71" s="1"/>
  <c r="M37" i="71"/>
  <c r="H37" i="71"/>
  <c r="C37" i="71"/>
  <c r="Z36" i="71"/>
  <c r="AB36" i="71" s="1"/>
  <c r="J36" i="71" s="1"/>
  <c r="K36" i="71" s="1"/>
  <c r="W36" i="71"/>
  <c r="V36" i="71"/>
  <c r="P36" i="71"/>
  <c r="O36" i="71"/>
  <c r="Q36" i="71" s="1"/>
  <c r="M36" i="71"/>
  <c r="I36" i="71"/>
  <c r="H36" i="71"/>
  <c r="C36" i="71"/>
  <c r="Z35" i="71"/>
  <c r="AB35" i="71" s="1"/>
  <c r="J35" i="71" s="1"/>
  <c r="W35" i="71"/>
  <c r="V35" i="71"/>
  <c r="P35" i="71"/>
  <c r="O35" i="71"/>
  <c r="M35" i="71"/>
  <c r="H35" i="71"/>
  <c r="C35" i="71"/>
  <c r="Z34" i="71"/>
  <c r="AB34" i="71" s="1"/>
  <c r="J34" i="71" s="1"/>
  <c r="W34" i="71"/>
  <c r="V34" i="71"/>
  <c r="Q34" i="71"/>
  <c r="P34" i="71"/>
  <c r="O34" i="71"/>
  <c r="M34" i="71"/>
  <c r="H34" i="71"/>
  <c r="C34" i="71"/>
  <c r="AB33" i="71"/>
  <c r="J33" i="71" s="1"/>
  <c r="Z33" i="71"/>
  <c r="W33" i="71"/>
  <c r="V33" i="71"/>
  <c r="Q33" i="71"/>
  <c r="P33" i="71"/>
  <c r="O33" i="71"/>
  <c r="M33" i="71"/>
  <c r="H33" i="71"/>
  <c r="C33" i="71"/>
  <c r="AB32" i="71"/>
  <c r="J32" i="71" s="1"/>
  <c r="Z32" i="71"/>
  <c r="W32" i="71"/>
  <c r="V32" i="71"/>
  <c r="P32" i="71"/>
  <c r="O32" i="71"/>
  <c r="Q32" i="71" s="1"/>
  <c r="M32" i="71"/>
  <c r="H32" i="71"/>
  <c r="C32" i="71"/>
  <c r="Z31" i="71"/>
  <c r="AB31" i="71" s="1"/>
  <c r="W31" i="71"/>
  <c r="V31" i="71"/>
  <c r="P31" i="71"/>
  <c r="Q31" i="71" s="1"/>
  <c r="O31" i="71"/>
  <c r="M31" i="71"/>
  <c r="J31" i="71"/>
  <c r="K31" i="71" s="1"/>
  <c r="H31" i="71"/>
  <c r="C31" i="71"/>
  <c r="AB30" i="71"/>
  <c r="J30" i="71" s="1"/>
  <c r="Z30" i="71"/>
  <c r="W30" i="71"/>
  <c r="V30" i="71"/>
  <c r="Q30" i="71"/>
  <c r="P30" i="71"/>
  <c r="O30" i="71"/>
  <c r="M30" i="71"/>
  <c r="H30" i="71"/>
  <c r="C30" i="71"/>
  <c r="AB29" i="71"/>
  <c r="J29" i="71" s="1"/>
  <c r="I29" i="71" s="1"/>
  <c r="Z29" i="71"/>
  <c r="W29" i="71"/>
  <c r="V29" i="71"/>
  <c r="P29" i="71"/>
  <c r="O29" i="71"/>
  <c r="Q29" i="71" s="1"/>
  <c r="M29" i="71"/>
  <c r="K29" i="71"/>
  <c r="H29" i="71"/>
  <c r="C29" i="71"/>
  <c r="Z28" i="71"/>
  <c r="AB28" i="71" s="1"/>
  <c r="J28" i="71" s="1"/>
  <c r="K28" i="71" s="1"/>
  <c r="W28" i="71"/>
  <c r="V28" i="71"/>
  <c r="P28" i="71"/>
  <c r="O28" i="71"/>
  <c r="Q28" i="71" s="1"/>
  <c r="M28" i="71"/>
  <c r="I28" i="71"/>
  <c r="H28" i="71"/>
  <c r="C28" i="71"/>
  <c r="Z27" i="71"/>
  <c r="AB27" i="71" s="1"/>
  <c r="J27" i="71" s="1"/>
  <c r="W27" i="71"/>
  <c r="V27" i="71"/>
  <c r="P27" i="71"/>
  <c r="O27" i="71"/>
  <c r="Q27" i="71" s="1"/>
  <c r="M27" i="71"/>
  <c r="H27" i="71"/>
  <c r="C27" i="71"/>
  <c r="Z26" i="71"/>
  <c r="AB26" i="71" s="1"/>
  <c r="J26" i="71" s="1"/>
  <c r="W26" i="71"/>
  <c r="V26" i="71"/>
  <c r="Q26" i="71"/>
  <c r="P26" i="71"/>
  <c r="O26" i="71"/>
  <c r="M26" i="71"/>
  <c r="H26" i="71"/>
  <c r="C26" i="71"/>
  <c r="AB25" i="71"/>
  <c r="J25" i="71" s="1"/>
  <c r="Z25" i="71"/>
  <c r="W25" i="71"/>
  <c r="V25" i="71"/>
  <c r="Q25" i="71"/>
  <c r="P25" i="71"/>
  <c r="O25" i="71"/>
  <c r="M25" i="71"/>
  <c r="H25" i="71"/>
  <c r="AB24" i="71"/>
  <c r="J24" i="71" s="1"/>
  <c r="I24" i="71" s="1"/>
  <c r="Z24" i="71"/>
  <c r="W24" i="71"/>
  <c r="V24" i="71"/>
  <c r="P24" i="71"/>
  <c r="O24" i="71"/>
  <c r="Q24" i="71" s="1"/>
  <c r="M24" i="71"/>
  <c r="K24" i="71"/>
  <c r="H24" i="71"/>
  <c r="AB23" i="71"/>
  <c r="J23" i="71" s="1"/>
  <c r="Z23" i="71"/>
  <c r="W23" i="71"/>
  <c r="V23" i="71"/>
  <c r="Q23" i="71"/>
  <c r="P23" i="71"/>
  <c r="O23" i="71"/>
  <c r="M23" i="71"/>
  <c r="H23" i="71"/>
  <c r="AB22" i="71"/>
  <c r="J22" i="71" s="1"/>
  <c r="I22" i="71" s="1"/>
  <c r="Z22" i="71"/>
  <c r="W22" i="71"/>
  <c r="V22" i="71"/>
  <c r="P22" i="71"/>
  <c r="O22" i="71"/>
  <c r="Q22" i="71" s="1"/>
  <c r="M22" i="71"/>
  <c r="K22" i="71"/>
  <c r="H22" i="71"/>
  <c r="AB21" i="71"/>
  <c r="J21" i="71" s="1"/>
  <c r="Z21" i="71"/>
  <c r="W21" i="71"/>
  <c r="V21" i="71"/>
  <c r="Q21" i="71"/>
  <c r="P21" i="71"/>
  <c r="O21" i="71"/>
  <c r="M21" i="71"/>
  <c r="H21" i="71"/>
  <c r="AB20" i="71"/>
  <c r="J20" i="71" s="1"/>
  <c r="I20" i="71" s="1"/>
  <c r="Z20" i="71"/>
  <c r="W20" i="71"/>
  <c r="V20" i="71"/>
  <c r="P20" i="71"/>
  <c r="O20" i="71"/>
  <c r="Q20" i="71" s="1"/>
  <c r="M20" i="71"/>
  <c r="H20" i="71"/>
  <c r="AB19" i="71"/>
  <c r="J19" i="71" s="1"/>
  <c r="Z19" i="71"/>
  <c r="W19" i="71"/>
  <c r="V19" i="71"/>
  <c r="Q19" i="71"/>
  <c r="P19" i="71"/>
  <c r="O19" i="71"/>
  <c r="M19" i="71"/>
  <c r="H19" i="71"/>
  <c r="AB18" i="71"/>
  <c r="J18" i="71" s="1"/>
  <c r="Z18" i="71"/>
  <c r="W18" i="71"/>
  <c r="V18" i="71"/>
  <c r="P18" i="71"/>
  <c r="O18" i="71"/>
  <c r="Q18" i="71" s="1"/>
  <c r="M18" i="71"/>
  <c r="H18" i="71"/>
  <c r="AB17" i="71"/>
  <c r="J17" i="71" s="1"/>
  <c r="Z17" i="71"/>
  <c r="W17" i="71"/>
  <c r="V17" i="71"/>
  <c r="Q17" i="71"/>
  <c r="P17" i="71"/>
  <c r="O17" i="71"/>
  <c r="M17" i="71"/>
  <c r="H17" i="71"/>
  <c r="AB16" i="71"/>
  <c r="J16" i="71" s="1"/>
  <c r="I16" i="71" s="1"/>
  <c r="Z16" i="71"/>
  <c r="W16" i="71"/>
  <c r="V16" i="71"/>
  <c r="P16" i="71"/>
  <c r="O16" i="71"/>
  <c r="Q16" i="71" s="1"/>
  <c r="M16" i="71"/>
  <c r="K16" i="71"/>
  <c r="H16" i="71"/>
  <c r="AB15" i="71"/>
  <c r="J15" i="71" s="1"/>
  <c r="Z15" i="71"/>
  <c r="W15" i="71"/>
  <c r="V15" i="71"/>
  <c r="Q15" i="71"/>
  <c r="P15" i="71"/>
  <c r="O15" i="71"/>
  <c r="M15" i="71"/>
  <c r="H15" i="71"/>
  <c r="AB14" i="71"/>
  <c r="J14" i="71" s="1"/>
  <c r="I14" i="71" s="1"/>
  <c r="Z14" i="71"/>
  <c r="W14" i="71"/>
  <c r="V14" i="71"/>
  <c r="P14" i="71"/>
  <c r="O14" i="71"/>
  <c r="Q14" i="71" s="1"/>
  <c r="M14" i="71"/>
  <c r="K14" i="71"/>
  <c r="H14" i="71"/>
  <c r="AB13" i="71"/>
  <c r="J13" i="71" s="1"/>
  <c r="Z13" i="71"/>
  <c r="W13" i="71"/>
  <c r="V13" i="71"/>
  <c r="Q13" i="71"/>
  <c r="P13" i="71"/>
  <c r="O13" i="71"/>
  <c r="M13" i="71"/>
  <c r="H13" i="71"/>
  <c r="AB12" i="71"/>
  <c r="J12" i="71" s="1"/>
  <c r="I12" i="71" s="1"/>
  <c r="Z12" i="71"/>
  <c r="W12" i="71"/>
  <c r="V12" i="71"/>
  <c r="P12" i="71"/>
  <c r="O12" i="71"/>
  <c r="Q12" i="71" s="1"/>
  <c r="M12" i="71"/>
  <c r="H12" i="71"/>
  <c r="AB11" i="71"/>
  <c r="J11" i="71" s="1"/>
  <c r="Z11" i="71"/>
  <c r="W11" i="71"/>
  <c r="V11" i="71"/>
  <c r="Q11" i="71"/>
  <c r="P11" i="71"/>
  <c r="O11" i="71"/>
  <c r="M11" i="71"/>
  <c r="H11" i="71"/>
  <c r="AB10" i="71"/>
  <c r="J10" i="71" s="1"/>
  <c r="Z10" i="71"/>
  <c r="W10" i="71"/>
  <c r="V10" i="71"/>
  <c r="P10" i="71"/>
  <c r="O10" i="71"/>
  <c r="Q10" i="71" s="1"/>
  <c r="M10" i="71"/>
  <c r="H10" i="71"/>
  <c r="AB9" i="71"/>
  <c r="J9" i="71" s="1"/>
  <c r="Z9" i="71"/>
  <c r="W9" i="71"/>
  <c r="V9" i="71"/>
  <c r="Q9" i="71"/>
  <c r="P9" i="71"/>
  <c r="O9" i="71"/>
  <c r="M9" i="71"/>
  <c r="H9" i="71"/>
  <c r="AB8" i="71"/>
  <c r="Z8" i="71"/>
  <c r="W8" i="71"/>
  <c r="V8" i="71"/>
  <c r="P8" i="71"/>
  <c r="O8" i="71"/>
  <c r="Q8" i="71" s="1"/>
  <c r="M8" i="71"/>
  <c r="K8" i="71"/>
  <c r="J8" i="71"/>
  <c r="I8" i="71" s="1"/>
  <c r="H8" i="71"/>
  <c r="AB7" i="71"/>
  <c r="J7" i="71" s="1"/>
  <c r="Z7" i="71"/>
  <c r="W7" i="71"/>
  <c r="V7" i="71"/>
  <c r="Q7" i="71"/>
  <c r="P7" i="71"/>
  <c r="O7" i="71"/>
  <c r="M7" i="71"/>
  <c r="H7" i="71"/>
  <c r="Z6" i="71"/>
  <c r="AB6" i="71" s="1"/>
  <c r="J6" i="71" s="1"/>
  <c r="W6" i="71"/>
  <c r="V6" i="71"/>
  <c r="P6" i="71"/>
  <c r="O6" i="71"/>
  <c r="Q6" i="71" s="1"/>
  <c r="M6" i="71"/>
  <c r="H6" i="71"/>
  <c r="AB5" i="71"/>
  <c r="J5" i="71" s="1"/>
  <c r="Z5" i="71"/>
  <c r="W5" i="71"/>
  <c r="V5" i="71"/>
  <c r="Q5" i="71"/>
  <c r="P5" i="71"/>
  <c r="O5" i="71"/>
  <c r="M5" i="71"/>
  <c r="H5" i="71"/>
  <c r="Z4" i="71"/>
  <c r="AB4" i="71" s="1"/>
  <c r="J4" i="71" s="1"/>
  <c r="W4" i="71"/>
  <c r="V4" i="71"/>
  <c r="P4" i="71"/>
  <c r="O4" i="71"/>
  <c r="Q4" i="71" s="1"/>
  <c r="M4" i="71"/>
  <c r="H4" i="71"/>
  <c r="AE3" i="71"/>
  <c r="U3" i="71"/>
  <c r="O3" i="71"/>
  <c r="G3" i="71"/>
  <c r="F3" i="71"/>
  <c r="H3" i="71" s="1"/>
  <c r="D3" i="71"/>
  <c r="C3" i="71"/>
  <c r="B3" i="71"/>
  <c r="A2" i="71"/>
  <c r="A1" i="71"/>
  <c r="AB56" i="70"/>
  <c r="Z56" i="70"/>
  <c r="W56" i="70"/>
  <c r="V56" i="70"/>
  <c r="T56" i="70"/>
  <c r="S56" i="70"/>
  <c r="R56" i="70"/>
  <c r="Q56" i="70"/>
  <c r="P56" i="70"/>
  <c r="O56" i="70"/>
  <c r="M56" i="70"/>
  <c r="K56" i="70"/>
  <c r="J56" i="70"/>
  <c r="I56" i="70"/>
  <c r="H56" i="70"/>
  <c r="C56" i="70"/>
  <c r="Z55" i="70"/>
  <c r="AB55" i="70" s="1"/>
  <c r="J55" i="70" s="1"/>
  <c r="W55" i="70"/>
  <c r="V55" i="70"/>
  <c r="Q55" i="70"/>
  <c r="P55" i="70"/>
  <c r="O55" i="70"/>
  <c r="M55" i="70"/>
  <c r="H55" i="70"/>
  <c r="C55" i="70"/>
  <c r="AB54" i="70"/>
  <c r="J54" i="70" s="1"/>
  <c r="Z54" i="70"/>
  <c r="W54" i="70"/>
  <c r="V54" i="70"/>
  <c r="T54" i="70"/>
  <c r="S54" i="70"/>
  <c r="R54" i="70"/>
  <c r="P54" i="70"/>
  <c r="Q54" i="70" s="1"/>
  <c r="O54" i="70"/>
  <c r="M54" i="70"/>
  <c r="H54" i="70"/>
  <c r="C54" i="70"/>
  <c r="AB53" i="70"/>
  <c r="J53" i="70" s="1"/>
  <c r="Z53" i="70"/>
  <c r="W53" i="70"/>
  <c r="V53" i="70"/>
  <c r="T53" i="70"/>
  <c r="S53" i="70"/>
  <c r="R53" i="70"/>
  <c r="Q53" i="70"/>
  <c r="P53" i="70"/>
  <c r="O53" i="70"/>
  <c r="M53" i="70"/>
  <c r="H53" i="70"/>
  <c r="C53" i="70"/>
  <c r="AB52" i="70"/>
  <c r="J52" i="70" s="1"/>
  <c r="Z52" i="70"/>
  <c r="W52" i="70"/>
  <c r="V52" i="70"/>
  <c r="T52" i="70"/>
  <c r="S52" i="70"/>
  <c r="R52" i="70"/>
  <c r="P52" i="70"/>
  <c r="Q52" i="70" s="1"/>
  <c r="O52" i="70"/>
  <c r="M52" i="70"/>
  <c r="H52" i="70"/>
  <c r="C52" i="70"/>
  <c r="AB51" i="70"/>
  <c r="J51" i="70" s="1"/>
  <c r="Z51" i="70"/>
  <c r="W51" i="70"/>
  <c r="V51" i="70"/>
  <c r="T51" i="70"/>
  <c r="S51" i="70"/>
  <c r="R51" i="70"/>
  <c r="P51" i="70"/>
  <c r="Q51" i="70" s="1"/>
  <c r="O51" i="70"/>
  <c r="M51" i="70"/>
  <c r="H51" i="70"/>
  <c r="C51" i="70"/>
  <c r="AB50" i="70"/>
  <c r="J50" i="70" s="1"/>
  <c r="Z50" i="70"/>
  <c r="W50" i="70"/>
  <c r="V50" i="70"/>
  <c r="T50" i="70"/>
  <c r="S50" i="70"/>
  <c r="R50" i="70"/>
  <c r="P50" i="70"/>
  <c r="Q50" i="70" s="1"/>
  <c r="O50" i="70"/>
  <c r="M50" i="70"/>
  <c r="H50" i="70"/>
  <c r="C50" i="70"/>
  <c r="AB49" i="70"/>
  <c r="J49" i="70" s="1"/>
  <c r="Z49" i="70"/>
  <c r="W49" i="70"/>
  <c r="V49" i="70"/>
  <c r="T49" i="70"/>
  <c r="S49" i="70"/>
  <c r="R49" i="70"/>
  <c r="P49" i="70"/>
  <c r="Q49" i="70" s="1"/>
  <c r="O49" i="70"/>
  <c r="M49" i="70"/>
  <c r="H49" i="70"/>
  <c r="C49" i="70"/>
  <c r="AB48" i="70"/>
  <c r="J48" i="70" s="1"/>
  <c r="Z48" i="70"/>
  <c r="W48" i="70"/>
  <c r="V48" i="70"/>
  <c r="T48" i="70"/>
  <c r="S48" i="70"/>
  <c r="R48" i="70"/>
  <c r="Q48" i="70"/>
  <c r="P48" i="70"/>
  <c r="O48" i="70"/>
  <c r="M48" i="70"/>
  <c r="H48" i="70"/>
  <c r="C48" i="70"/>
  <c r="AB47" i="70"/>
  <c r="J47" i="70" s="1"/>
  <c r="Z47" i="70"/>
  <c r="W47" i="70"/>
  <c r="V47" i="70"/>
  <c r="P47" i="70"/>
  <c r="O47" i="70"/>
  <c r="Q47" i="70" s="1"/>
  <c r="M47" i="70"/>
  <c r="K47" i="70"/>
  <c r="I47" i="70"/>
  <c r="H47" i="70"/>
  <c r="C47" i="70"/>
  <c r="Z46" i="70"/>
  <c r="AB46" i="70" s="1"/>
  <c r="W46" i="70"/>
  <c r="V46" i="70"/>
  <c r="P46" i="70"/>
  <c r="Q46" i="70" s="1"/>
  <c r="O46" i="70"/>
  <c r="M46" i="70"/>
  <c r="J46" i="70"/>
  <c r="K46" i="70" s="1"/>
  <c r="H46" i="70"/>
  <c r="C46" i="70"/>
  <c r="AB45" i="70"/>
  <c r="J45" i="70" s="1"/>
  <c r="I45" i="70" s="1"/>
  <c r="Z45" i="70"/>
  <c r="W45" i="70"/>
  <c r="V45" i="70"/>
  <c r="Q45" i="70"/>
  <c r="P45" i="70"/>
  <c r="O45" i="70"/>
  <c r="M45" i="70"/>
  <c r="K45" i="70"/>
  <c r="H45" i="70"/>
  <c r="C45" i="70"/>
  <c r="Z44" i="70"/>
  <c r="AB44" i="70" s="1"/>
  <c r="J44" i="70" s="1"/>
  <c r="I44" i="70" s="1"/>
  <c r="W44" i="70"/>
  <c r="V44" i="70"/>
  <c r="P44" i="70"/>
  <c r="O44" i="70"/>
  <c r="Q44" i="70" s="1"/>
  <c r="M44" i="70"/>
  <c r="H44" i="70"/>
  <c r="C44" i="70"/>
  <c r="Z43" i="70"/>
  <c r="AB43" i="70" s="1"/>
  <c r="J43" i="70" s="1"/>
  <c r="K43" i="70" s="1"/>
  <c r="W43" i="70"/>
  <c r="V43" i="70"/>
  <c r="Q43" i="70"/>
  <c r="P43" i="70"/>
  <c r="O43" i="70"/>
  <c r="M43" i="70"/>
  <c r="I43" i="70"/>
  <c r="H43" i="70"/>
  <c r="C43" i="70"/>
  <c r="Z42" i="70"/>
  <c r="AB42" i="70" s="1"/>
  <c r="J42" i="70" s="1"/>
  <c r="K42" i="70" s="1"/>
  <c r="W42" i="70"/>
  <c r="V42" i="70"/>
  <c r="T42" i="70"/>
  <c r="S42" i="70"/>
  <c r="R42" i="70"/>
  <c r="P42" i="70"/>
  <c r="O42" i="70"/>
  <c r="Q42" i="70" s="1"/>
  <c r="M42" i="70"/>
  <c r="I42" i="70"/>
  <c r="H42" i="70"/>
  <c r="C42" i="70"/>
  <c r="Z41" i="70"/>
  <c r="AB41" i="70" s="1"/>
  <c r="J41" i="70" s="1"/>
  <c r="W41" i="70"/>
  <c r="V41" i="70"/>
  <c r="P41" i="70"/>
  <c r="O41" i="70"/>
  <c r="Q41" i="70" s="1"/>
  <c r="M41" i="70"/>
  <c r="H41" i="70"/>
  <c r="C41" i="70"/>
  <c r="Z39" i="70"/>
  <c r="AB39" i="70" s="1"/>
  <c r="J39" i="70" s="1"/>
  <c r="W39" i="70"/>
  <c r="V39" i="70"/>
  <c r="Q39" i="70"/>
  <c r="P39" i="70"/>
  <c r="O39" i="70"/>
  <c r="M39" i="70"/>
  <c r="H39" i="70"/>
  <c r="C39" i="70"/>
  <c r="Z38" i="70"/>
  <c r="AB38" i="70" s="1"/>
  <c r="J38" i="70" s="1"/>
  <c r="W38" i="70"/>
  <c r="V38" i="70"/>
  <c r="P38" i="70"/>
  <c r="Q38" i="70" s="1"/>
  <c r="O38" i="70"/>
  <c r="M38" i="70"/>
  <c r="H38" i="70"/>
  <c r="C38" i="70"/>
  <c r="AB37" i="70"/>
  <c r="J37" i="70" s="1"/>
  <c r="K37" i="70" s="1"/>
  <c r="Z37" i="70"/>
  <c r="W37" i="70"/>
  <c r="V37" i="70"/>
  <c r="P37" i="70"/>
  <c r="O37" i="70"/>
  <c r="Q37" i="70" s="1"/>
  <c r="M37" i="70"/>
  <c r="I37" i="70"/>
  <c r="H37" i="70"/>
  <c r="C37" i="70"/>
  <c r="Z36" i="70"/>
  <c r="AB36" i="70" s="1"/>
  <c r="J36" i="70" s="1"/>
  <c r="W36" i="70"/>
  <c r="V36" i="70"/>
  <c r="P36" i="70"/>
  <c r="Q36" i="70" s="1"/>
  <c r="O36" i="70"/>
  <c r="M36" i="70"/>
  <c r="H36" i="70"/>
  <c r="C36" i="70"/>
  <c r="AB35" i="70"/>
  <c r="J35" i="70" s="1"/>
  <c r="I35" i="70" s="1"/>
  <c r="Z35" i="70"/>
  <c r="W35" i="70"/>
  <c r="V35" i="70"/>
  <c r="P35" i="70"/>
  <c r="O35" i="70"/>
  <c r="Q35" i="70" s="1"/>
  <c r="M35" i="70"/>
  <c r="K35" i="70"/>
  <c r="H35" i="70"/>
  <c r="C35" i="70"/>
  <c r="AB34" i="70"/>
  <c r="Z34" i="70"/>
  <c r="W34" i="70"/>
  <c r="V34" i="70"/>
  <c r="P34" i="70"/>
  <c r="O34" i="70"/>
  <c r="Q34" i="70" s="1"/>
  <c r="M34" i="70"/>
  <c r="J34" i="70"/>
  <c r="I34" i="70" s="1"/>
  <c r="H34" i="70"/>
  <c r="C34" i="70"/>
  <c r="Z33" i="70"/>
  <c r="AB33" i="70" s="1"/>
  <c r="J33" i="70" s="1"/>
  <c r="K33" i="70" s="1"/>
  <c r="W33" i="70"/>
  <c r="V33" i="70"/>
  <c r="Q33" i="70"/>
  <c r="P33" i="70"/>
  <c r="O33" i="70"/>
  <c r="M33" i="70"/>
  <c r="H33" i="70"/>
  <c r="C33" i="70"/>
  <c r="Z32" i="70"/>
  <c r="AB32" i="70" s="1"/>
  <c r="J32" i="70" s="1"/>
  <c r="W32" i="70"/>
  <c r="V32" i="70"/>
  <c r="P32" i="70"/>
  <c r="O32" i="70"/>
  <c r="M32" i="70"/>
  <c r="H32" i="70"/>
  <c r="C32" i="70"/>
  <c r="AB31" i="70"/>
  <c r="J31" i="70" s="1"/>
  <c r="I31" i="70" s="1"/>
  <c r="Z31" i="70"/>
  <c r="W31" i="70"/>
  <c r="V31" i="70"/>
  <c r="Q31" i="70"/>
  <c r="P31" i="70"/>
  <c r="O31" i="70"/>
  <c r="M31" i="70"/>
  <c r="K31" i="70"/>
  <c r="H31" i="70"/>
  <c r="C31" i="70"/>
  <c r="Z30" i="70"/>
  <c r="AB30" i="70" s="1"/>
  <c r="J30" i="70" s="1"/>
  <c r="K30" i="70" s="1"/>
  <c r="W30" i="70"/>
  <c r="V30" i="70"/>
  <c r="Q30" i="70"/>
  <c r="P30" i="70"/>
  <c r="O30" i="70"/>
  <c r="M30" i="70"/>
  <c r="H30" i="70"/>
  <c r="C30" i="70"/>
  <c r="AB29" i="70"/>
  <c r="J29" i="70" s="1"/>
  <c r="K29" i="70" s="1"/>
  <c r="Z29" i="70"/>
  <c r="W29" i="70"/>
  <c r="V29" i="70"/>
  <c r="P29" i="70"/>
  <c r="O29" i="70"/>
  <c r="M29" i="70"/>
  <c r="H29" i="70"/>
  <c r="C29" i="70"/>
  <c r="AB28" i="70"/>
  <c r="Z28" i="70"/>
  <c r="W28" i="70"/>
  <c r="V28" i="70"/>
  <c r="P28" i="70"/>
  <c r="Q28" i="70" s="1"/>
  <c r="O28" i="70"/>
  <c r="M28" i="70"/>
  <c r="J28" i="70"/>
  <c r="K28" i="70" s="1"/>
  <c r="H28" i="70"/>
  <c r="C28" i="70"/>
  <c r="AB27" i="70"/>
  <c r="J27" i="70" s="1"/>
  <c r="I27" i="70" s="1"/>
  <c r="Z27" i="70"/>
  <c r="W27" i="70"/>
  <c r="V27" i="70"/>
  <c r="Q27" i="70"/>
  <c r="P27" i="70"/>
  <c r="O27" i="70"/>
  <c r="M27" i="70"/>
  <c r="K27" i="70"/>
  <c r="H27" i="70"/>
  <c r="C27" i="70"/>
  <c r="Z26" i="70"/>
  <c r="AB26" i="70" s="1"/>
  <c r="J26" i="70" s="1"/>
  <c r="I26" i="70" s="1"/>
  <c r="W26" i="70"/>
  <c r="V26" i="70"/>
  <c r="P26" i="70"/>
  <c r="O26" i="70"/>
  <c r="Q26" i="70" s="1"/>
  <c r="M26" i="70"/>
  <c r="K26" i="70"/>
  <c r="H26" i="70"/>
  <c r="C26" i="70"/>
  <c r="Z25" i="70"/>
  <c r="AB25" i="70" s="1"/>
  <c r="W25" i="70"/>
  <c r="V25" i="70"/>
  <c r="Q25" i="70"/>
  <c r="P25" i="70"/>
  <c r="O25" i="70"/>
  <c r="M25" i="70"/>
  <c r="J25" i="70"/>
  <c r="K25" i="70" s="1"/>
  <c r="H25" i="70"/>
  <c r="AB24" i="70"/>
  <c r="J24" i="70" s="1"/>
  <c r="K24" i="70" s="1"/>
  <c r="Z24" i="70"/>
  <c r="W24" i="70"/>
  <c r="V24" i="70"/>
  <c r="P24" i="70"/>
  <c r="O24" i="70"/>
  <c r="M24" i="70"/>
  <c r="I24" i="70"/>
  <c r="H24" i="70"/>
  <c r="Z23" i="70"/>
  <c r="AB23" i="70" s="1"/>
  <c r="W23" i="70"/>
  <c r="V23" i="70"/>
  <c r="P23" i="70"/>
  <c r="O23" i="70"/>
  <c r="Q23" i="70" s="1"/>
  <c r="M23" i="70"/>
  <c r="J23" i="70"/>
  <c r="K23" i="70" s="1"/>
  <c r="I23" i="70"/>
  <c r="H23" i="70"/>
  <c r="AB22" i="70"/>
  <c r="J22" i="70" s="1"/>
  <c r="K22" i="70" s="1"/>
  <c r="Z22" i="70"/>
  <c r="W22" i="70"/>
  <c r="V22" i="70"/>
  <c r="P22" i="70"/>
  <c r="O22" i="70"/>
  <c r="Q22" i="70" s="1"/>
  <c r="M22" i="70"/>
  <c r="I22" i="70"/>
  <c r="H22" i="70"/>
  <c r="Z21" i="70"/>
  <c r="AB21" i="70" s="1"/>
  <c r="W21" i="70"/>
  <c r="V21" i="70"/>
  <c r="P21" i="70"/>
  <c r="Q21" i="70" s="1"/>
  <c r="O21" i="70"/>
  <c r="M21" i="70"/>
  <c r="J21" i="70"/>
  <c r="K21" i="70" s="1"/>
  <c r="H21" i="70"/>
  <c r="Z20" i="70"/>
  <c r="AB20" i="70" s="1"/>
  <c r="J20" i="70" s="1"/>
  <c r="W20" i="70"/>
  <c r="V20" i="70"/>
  <c r="Q20" i="70"/>
  <c r="P20" i="70"/>
  <c r="O20" i="70"/>
  <c r="M20" i="70"/>
  <c r="H20" i="70"/>
  <c r="AB19" i="70"/>
  <c r="J19" i="70" s="1"/>
  <c r="Z19" i="70"/>
  <c r="W19" i="70"/>
  <c r="V19" i="70"/>
  <c r="P19" i="70"/>
  <c r="O19" i="70"/>
  <c r="Q19" i="70" s="1"/>
  <c r="M19" i="70"/>
  <c r="H19" i="70"/>
  <c r="Z18" i="70"/>
  <c r="AB18" i="70" s="1"/>
  <c r="W18" i="70"/>
  <c r="V18" i="70"/>
  <c r="Q18" i="70"/>
  <c r="P18" i="70"/>
  <c r="O18" i="70"/>
  <c r="M18" i="70"/>
  <c r="J18" i="70"/>
  <c r="K18" i="70" s="1"/>
  <c r="H18" i="70"/>
  <c r="AB17" i="70"/>
  <c r="J17" i="70" s="1"/>
  <c r="Z17" i="70"/>
  <c r="W17" i="70"/>
  <c r="V17" i="70"/>
  <c r="P17" i="70"/>
  <c r="O17" i="70"/>
  <c r="M17" i="70"/>
  <c r="H17" i="70"/>
  <c r="Z16" i="70"/>
  <c r="AB16" i="70" s="1"/>
  <c r="J16" i="70" s="1"/>
  <c r="W16" i="70"/>
  <c r="V16" i="70"/>
  <c r="Q16" i="70"/>
  <c r="P16" i="70"/>
  <c r="O16" i="70"/>
  <c r="M16" i="70"/>
  <c r="H16" i="70"/>
  <c r="AB15" i="70"/>
  <c r="J15" i="70" s="1"/>
  <c r="Z15" i="70"/>
  <c r="W15" i="70"/>
  <c r="V15" i="70"/>
  <c r="P15" i="70"/>
  <c r="O15" i="70"/>
  <c r="Q15" i="70" s="1"/>
  <c r="M15" i="70"/>
  <c r="H15" i="70"/>
  <c r="Z14" i="70"/>
  <c r="AB14" i="70" s="1"/>
  <c r="J14" i="70" s="1"/>
  <c r="W14" i="70"/>
  <c r="V14" i="70"/>
  <c r="Q14" i="70"/>
  <c r="P14" i="70"/>
  <c r="O14" i="70"/>
  <c r="M14" i="70"/>
  <c r="H14" i="70"/>
  <c r="AB13" i="70"/>
  <c r="J13" i="70" s="1"/>
  <c r="Z13" i="70"/>
  <c r="W13" i="70"/>
  <c r="V13" i="70"/>
  <c r="P13" i="70"/>
  <c r="O13" i="70"/>
  <c r="M13" i="70"/>
  <c r="H13" i="70"/>
  <c r="Z12" i="70"/>
  <c r="AB12" i="70" s="1"/>
  <c r="J12" i="70" s="1"/>
  <c r="W12" i="70"/>
  <c r="V12" i="70"/>
  <c r="Q12" i="70"/>
  <c r="P12" i="70"/>
  <c r="O12" i="70"/>
  <c r="M12" i="70"/>
  <c r="H12" i="70"/>
  <c r="AB11" i="70"/>
  <c r="J11" i="70" s="1"/>
  <c r="Z11" i="70"/>
  <c r="W11" i="70"/>
  <c r="V11" i="70"/>
  <c r="P11" i="70"/>
  <c r="O11" i="70"/>
  <c r="Q11" i="70" s="1"/>
  <c r="M11" i="70"/>
  <c r="H11" i="70"/>
  <c r="Z10" i="70"/>
  <c r="AB10" i="70" s="1"/>
  <c r="W10" i="70"/>
  <c r="V10" i="70"/>
  <c r="Q10" i="70"/>
  <c r="P10" i="70"/>
  <c r="O10" i="70"/>
  <c r="M10" i="70"/>
  <c r="J10" i="70"/>
  <c r="K10" i="70" s="1"/>
  <c r="H10" i="70"/>
  <c r="AB9" i="70"/>
  <c r="J9" i="70" s="1"/>
  <c r="Z9" i="70"/>
  <c r="W9" i="70"/>
  <c r="V9" i="70"/>
  <c r="P9" i="70"/>
  <c r="O9" i="70"/>
  <c r="M9" i="70"/>
  <c r="H9" i="70"/>
  <c r="Z8" i="70"/>
  <c r="AB8" i="70" s="1"/>
  <c r="J8" i="70" s="1"/>
  <c r="K8" i="70" s="1"/>
  <c r="W8" i="70"/>
  <c r="V8" i="70"/>
  <c r="Q8" i="70"/>
  <c r="P8" i="70"/>
  <c r="O8" i="70"/>
  <c r="M8" i="70"/>
  <c r="H8" i="70"/>
  <c r="AB7" i="70"/>
  <c r="J7" i="70" s="1"/>
  <c r="Z7" i="70"/>
  <c r="W7" i="70"/>
  <c r="V7" i="70"/>
  <c r="P7" i="70"/>
  <c r="O7" i="70"/>
  <c r="Q7" i="70" s="1"/>
  <c r="M7" i="70"/>
  <c r="H7" i="70"/>
  <c r="Z6" i="70"/>
  <c r="AB6" i="70" s="1"/>
  <c r="J6" i="70" s="1"/>
  <c r="W6" i="70"/>
  <c r="V6" i="70"/>
  <c r="Q6" i="70"/>
  <c r="P6" i="70"/>
  <c r="O6" i="70"/>
  <c r="M6" i="70"/>
  <c r="H6" i="70"/>
  <c r="AB5" i="70"/>
  <c r="J5" i="70" s="1"/>
  <c r="Z5" i="70"/>
  <c r="W5" i="70"/>
  <c r="V5" i="70"/>
  <c r="P5" i="70"/>
  <c r="O5" i="70"/>
  <c r="M5" i="70"/>
  <c r="H5" i="70"/>
  <c r="Z4" i="70"/>
  <c r="AB4" i="70" s="1"/>
  <c r="J4" i="70" s="1"/>
  <c r="W4" i="70"/>
  <c r="V4" i="70"/>
  <c r="Q4" i="70"/>
  <c r="P4" i="70"/>
  <c r="O4" i="70"/>
  <c r="M4" i="70"/>
  <c r="H4" i="70"/>
  <c r="AE3" i="70"/>
  <c r="U3" i="70"/>
  <c r="O3" i="70"/>
  <c r="H3" i="70"/>
  <c r="G3" i="70"/>
  <c r="F3" i="70"/>
  <c r="D3" i="70"/>
  <c r="C3" i="70"/>
  <c r="B3" i="70"/>
  <c r="A2" i="70"/>
  <c r="A1" i="70"/>
  <c r="AB56" i="69"/>
  <c r="Z56" i="69"/>
  <c r="W56" i="69"/>
  <c r="V56" i="69"/>
  <c r="T56" i="69"/>
  <c r="S56" i="69"/>
  <c r="R56" i="69"/>
  <c r="P56" i="69"/>
  <c r="Q56" i="69" s="1"/>
  <c r="O56" i="69"/>
  <c r="M56" i="69"/>
  <c r="J56" i="69"/>
  <c r="K56" i="69" s="1"/>
  <c r="I56" i="69"/>
  <c r="H56" i="69"/>
  <c r="C56" i="69"/>
  <c r="AB55" i="69"/>
  <c r="J55" i="69" s="1"/>
  <c r="Z55" i="69"/>
  <c r="W55" i="69"/>
  <c r="V55" i="69"/>
  <c r="P55" i="69"/>
  <c r="O55" i="69"/>
  <c r="M55" i="69"/>
  <c r="H55" i="69"/>
  <c r="C55" i="69"/>
  <c r="Z54" i="69"/>
  <c r="AB54" i="69" s="1"/>
  <c r="J54" i="69" s="1"/>
  <c r="W54" i="69"/>
  <c r="V54" i="69"/>
  <c r="T54" i="69"/>
  <c r="S54" i="69"/>
  <c r="R54" i="69"/>
  <c r="P54" i="69"/>
  <c r="O54" i="69"/>
  <c r="Q54" i="69" s="1"/>
  <c r="M54" i="69"/>
  <c r="H54" i="69"/>
  <c r="C54" i="69"/>
  <c r="Z53" i="69"/>
  <c r="AB53" i="69" s="1"/>
  <c r="J53" i="69" s="1"/>
  <c r="W53" i="69"/>
  <c r="V53" i="69"/>
  <c r="T53" i="69"/>
  <c r="S53" i="69"/>
  <c r="R53" i="69"/>
  <c r="P53" i="69"/>
  <c r="O53" i="69"/>
  <c r="M53" i="69"/>
  <c r="H53" i="69"/>
  <c r="C53" i="69"/>
  <c r="Z52" i="69"/>
  <c r="AB52" i="69" s="1"/>
  <c r="J52" i="69" s="1"/>
  <c r="W52" i="69"/>
  <c r="V52" i="69"/>
  <c r="T52" i="69"/>
  <c r="S52" i="69"/>
  <c r="R52" i="69"/>
  <c r="P52" i="69"/>
  <c r="O52" i="69"/>
  <c r="Q52" i="69" s="1"/>
  <c r="M52" i="69"/>
  <c r="H52" i="69"/>
  <c r="C52" i="69"/>
  <c r="Z51" i="69"/>
  <c r="AB51" i="69" s="1"/>
  <c r="J51" i="69" s="1"/>
  <c r="W51" i="69"/>
  <c r="V51" i="69"/>
  <c r="T51" i="69"/>
  <c r="S51" i="69"/>
  <c r="R51" i="69"/>
  <c r="P51" i="69"/>
  <c r="O51" i="69"/>
  <c r="M51" i="69"/>
  <c r="H51" i="69"/>
  <c r="C51" i="69"/>
  <c r="Z50" i="69"/>
  <c r="AB50" i="69" s="1"/>
  <c r="J50" i="69" s="1"/>
  <c r="W50" i="69"/>
  <c r="V50" i="69"/>
  <c r="T50" i="69"/>
  <c r="S50" i="69"/>
  <c r="R50" i="69"/>
  <c r="P50" i="69"/>
  <c r="O50" i="69"/>
  <c r="Q50" i="69" s="1"/>
  <c r="M50" i="69"/>
  <c r="H50" i="69"/>
  <c r="C50" i="69"/>
  <c r="Z49" i="69"/>
  <c r="AB49" i="69" s="1"/>
  <c r="J49" i="69" s="1"/>
  <c r="W49" i="69"/>
  <c r="V49" i="69"/>
  <c r="T49" i="69"/>
  <c r="S49" i="69"/>
  <c r="R49" i="69"/>
  <c r="P49" i="69"/>
  <c r="O49" i="69"/>
  <c r="M49" i="69"/>
  <c r="H49" i="69"/>
  <c r="C49" i="69"/>
  <c r="Z48" i="69"/>
  <c r="AB48" i="69" s="1"/>
  <c r="J48" i="69" s="1"/>
  <c r="W48" i="69"/>
  <c r="V48" i="69"/>
  <c r="T48" i="69"/>
  <c r="S48" i="69"/>
  <c r="R48" i="69"/>
  <c r="P48" i="69"/>
  <c r="O48" i="69"/>
  <c r="Q48" i="69" s="1"/>
  <c r="M48" i="69"/>
  <c r="H48" i="69"/>
  <c r="C48" i="69"/>
  <c r="Z47" i="69"/>
  <c r="AB47" i="69" s="1"/>
  <c r="J47" i="69" s="1"/>
  <c r="W47" i="69"/>
  <c r="V47" i="69"/>
  <c r="P47" i="69"/>
  <c r="O47" i="69"/>
  <c r="Q47" i="69" s="1"/>
  <c r="M47" i="69"/>
  <c r="H47" i="69"/>
  <c r="C47" i="69"/>
  <c r="Z46" i="69"/>
  <c r="AB46" i="69" s="1"/>
  <c r="J46" i="69" s="1"/>
  <c r="W46" i="69"/>
  <c r="V46" i="69"/>
  <c r="Q46" i="69"/>
  <c r="P46" i="69"/>
  <c r="O46" i="69"/>
  <c r="M46" i="69"/>
  <c r="H46" i="69"/>
  <c r="C46" i="69"/>
  <c r="Z45" i="69"/>
  <c r="AB45" i="69" s="1"/>
  <c r="J45" i="69" s="1"/>
  <c r="W45" i="69"/>
  <c r="V45" i="69"/>
  <c r="P45" i="69"/>
  <c r="O45" i="69"/>
  <c r="Q45" i="69" s="1"/>
  <c r="M45" i="69"/>
  <c r="H45" i="69"/>
  <c r="C45" i="69"/>
  <c r="Z44" i="69"/>
  <c r="AB44" i="69" s="1"/>
  <c r="J44" i="69" s="1"/>
  <c r="W44" i="69"/>
  <c r="V44" i="69"/>
  <c r="Q44" i="69"/>
  <c r="P44" i="69"/>
  <c r="O44" i="69"/>
  <c r="M44" i="69"/>
  <c r="H44" i="69"/>
  <c r="C44" i="69"/>
  <c r="AB43" i="69"/>
  <c r="J43" i="69" s="1"/>
  <c r="Z43" i="69"/>
  <c r="W43" i="69"/>
  <c r="V43" i="69"/>
  <c r="P43" i="69"/>
  <c r="Q43" i="69" s="1"/>
  <c r="O43" i="69"/>
  <c r="M43" i="69"/>
  <c r="H43" i="69"/>
  <c r="C43" i="69"/>
  <c r="AB42" i="69"/>
  <c r="J42" i="69" s="1"/>
  <c r="I42" i="69" s="1"/>
  <c r="Z42" i="69"/>
  <c r="W42" i="69"/>
  <c r="V42" i="69"/>
  <c r="P42" i="69"/>
  <c r="O42" i="69"/>
  <c r="Q42" i="69" s="1"/>
  <c r="M42" i="69"/>
  <c r="H42" i="69"/>
  <c r="C42" i="69"/>
  <c r="Z41" i="69"/>
  <c r="AB41" i="69" s="1"/>
  <c r="J41" i="69" s="1"/>
  <c r="K41" i="69" s="1"/>
  <c r="W41" i="69"/>
  <c r="V41" i="69"/>
  <c r="P41" i="69"/>
  <c r="Q41" i="69" s="1"/>
  <c r="O41" i="69"/>
  <c r="M41" i="69"/>
  <c r="I41" i="69"/>
  <c r="H41" i="69"/>
  <c r="C41" i="69"/>
  <c r="AB39" i="69"/>
  <c r="J39" i="69" s="1"/>
  <c r="Z39" i="69"/>
  <c r="W39" i="69"/>
  <c r="V39" i="69"/>
  <c r="P39" i="69"/>
  <c r="O39" i="69"/>
  <c r="Q39" i="69" s="1"/>
  <c r="M39" i="69"/>
  <c r="H39" i="69"/>
  <c r="C39" i="69"/>
  <c r="Z38" i="69"/>
  <c r="AB38" i="69" s="1"/>
  <c r="J38" i="69" s="1"/>
  <c r="W38" i="69"/>
  <c r="V38" i="69"/>
  <c r="P38" i="69"/>
  <c r="O38" i="69"/>
  <c r="Q38" i="69" s="1"/>
  <c r="M38" i="69"/>
  <c r="H38" i="69"/>
  <c r="C38" i="69"/>
  <c r="Z37" i="69"/>
  <c r="AB37" i="69" s="1"/>
  <c r="J37" i="69" s="1"/>
  <c r="W37" i="69"/>
  <c r="V37" i="69"/>
  <c r="Q37" i="69"/>
  <c r="P37" i="69"/>
  <c r="O37" i="69"/>
  <c r="M37" i="69"/>
  <c r="H37" i="69"/>
  <c r="C37" i="69"/>
  <c r="Z36" i="69"/>
  <c r="AB36" i="69" s="1"/>
  <c r="J36" i="69" s="1"/>
  <c r="W36" i="69"/>
  <c r="V36" i="69"/>
  <c r="P36" i="69"/>
  <c r="O36" i="69"/>
  <c r="Q36" i="69" s="1"/>
  <c r="M36" i="69"/>
  <c r="H36" i="69"/>
  <c r="C36" i="69"/>
  <c r="Z35" i="69"/>
  <c r="AB35" i="69" s="1"/>
  <c r="J35" i="69" s="1"/>
  <c r="W35" i="69"/>
  <c r="V35" i="69"/>
  <c r="Q35" i="69"/>
  <c r="P35" i="69"/>
  <c r="O35" i="69"/>
  <c r="M35" i="69"/>
  <c r="H35" i="69"/>
  <c r="C35" i="69"/>
  <c r="AB34" i="69"/>
  <c r="J34" i="69" s="1"/>
  <c r="Z34" i="69"/>
  <c r="W34" i="69"/>
  <c r="V34" i="69"/>
  <c r="P34" i="69"/>
  <c r="Q34" i="69" s="1"/>
  <c r="O34" i="69"/>
  <c r="M34" i="69"/>
  <c r="H34" i="69"/>
  <c r="C34" i="69"/>
  <c r="AB33" i="69"/>
  <c r="J33" i="69" s="1"/>
  <c r="I33" i="69" s="1"/>
  <c r="Z33" i="69"/>
  <c r="W33" i="69"/>
  <c r="V33" i="69"/>
  <c r="P33" i="69"/>
  <c r="O33" i="69"/>
  <c r="Q33" i="69" s="1"/>
  <c r="M33" i="69"/>
  <c r="H33" i="69"/>
  <c r="C33" i="69"/>
  <c r="Z32" i="69"/>
  <c r="AB32" i="69" s="1"/>
  <c r="J32" i="69" s="1"/>
  <c r="K32" i="69" s="1"/>
  <c r="W32" i="69"/>
  <c r="V32" i="69"/>
  <c r="P32" i="69"/>
  <c r="O32" i="69"/>
  <c r="Q32" i="69" s="1"/>
  <c r="M32" i="69"/>
  <c r="I32" i="69"/>
  <c r="H32" i="69"/>
  <c r="C32" i="69"/>
  <c r="AB31" i="69"/>
  <c r="J31" i="69" s="1"/>
  <c r="Z31" i="69"/>
  <c r="W31" i="69"/>
  <c r="V31" i="69"/>
  <c r="P31" i="69"/>
  <c r="O31" i="69"/>
  <c r="Q31" i="69" s="1"/>
  <c r="M31" i="69"/>
  <c r="H31" i="69"/>
  <c r="C31" i="69"/>
  <c r="Z30" i="69"/>
  <c r="AB30" i="69" s="1"/>
  <c r="J30" i="69" s="1"/>
  <c r="W30" i="69"/>
  <c r="V30" i="69"/>
  <c r="Q30" i="69"/>
  <c r="P30" i="69"/>
  <c r="O30" i="69"/>
  <c r="M30" i="69"/>
  <c r="H30" i="69"/>
  <c r="C30" i="69"/>
  <c r="Z29" i="69"/>
  <c r="AB29" i="69" s="1"/>
  <c r="J29" i="69" s="1"/>
  <c r="K29" i="69" s="1"/>
  <c r="W29" i="69"/>
  <c r="V29" i="69"/>
  <c r="Q29" i="69"/>
  <c r="P29" i="69"/>
  <c r="O29" i="69"/>
  <c r="M29" i="69"/>
  <c r="I29" i="69"/>
  <c r="H29" i="69"/>
  <c r="C29" i="69"/>
  <c r="Z28" i="69"/>
  <c r="AB28" i="69" s="1"/>
  <c r="J28" i="69" s="1"/>
  <c r="W28" i="69"/>
  <c r="V28" i="69"/>
  <c r="P28" i="69"/>
  <c r="O28" i="69"/>
  <c r="Q28" i="69" s="1"/>
  <c r="M28" i="69"/>
  <c r="H28" i="69"/>
  <c r="C28" i="69"/>
  <c r="Z27" i="69"/>
  <c r="AB27" i="69" s="1"/>
  <c r="W27" i="69"/>
  <c r="V27" i="69"/>
  <c r="Q27" i="69"/>
  <c r="P27" i="69"/>
  <c r="O27" i="69"/>
  <c r="M27" i="69"/>
  <c r="J27" i="69"/>
  <c r="H27" i="69"/>
  <c r="C27" i="69"/>
  <c r="AB26" i="69"/>
  <c r="J26" i="69" s="1"/>
  <c r="Z26" i="69"/>
  <c r="W26" i="69"/>
  <c r="V26" i="69"/>
  <c r="Q26" i="69"/>
  <c r="P26" i="69"/>
  <c r="O26" i="69"/>
  <c r="M26" i="69"/>
  <c r="H26" i="69"/>
  <c r="C26" i="69"/>
  <c r="AB25" i="69"/>
  <c r="J25" i="69" s="1"/>
  <c r="I25" i="69" s="1"/>
  <c r="Z25" i="69"/>
  <c r="W25" i="69"/>
  <c r="V25" i="69"/>
  <c r="P25" i="69"/>
  <c r="O25" i="69"/>
  <c r="Q25" i="69" s="1"/>
  <c r="M25" i="69"/>
  <c r="K25" i="69"/>
  <c r="H25" i="69"/>
  <c r="Z24" i="69"/>
  <c r="AB24" i="69" s="1"/>
  <c r="J24" i="69" s="1"/>
  <c r="K24" i="69" s="1"/>
  <c r="W24" i="69"/>
  <c r="V24" i="69"/>
  <c r="Q24" i="69"/>
  <c r="P24" i="69"/>
  <c r="O24" i="69"/>
  <c r="M24" i="69"/>
  <c r="H24" i="69"/>
  <c r="AB23" i="69"/>
  <c r="J23" i="69" s="1"/>
  <c r="Z23" i="69"/>
  <c r="W23" i="69"/>
  <c r="V23" i="69"/>
  <c r="P23" i="69"/>
  <c r="O23" i="69"/>
  <c r="Q23" i="69" s="1"/>
  <c r="M23" i="69"/>
  <c r="H23" i="69"/>
  <c r="Z22" i="69"/>
  <c r="AB22" i="69" s="1"/>
  <c r="J22" i="69" s="1"/>
  <c r="K22" i="69" s="1"/>
  <c r="W22" i="69"/>
  <c r="V22" i="69"/>
  <c r="Q22" i="69"/>
  <c r="P22" i="69"/>
  <c r="O22" i="69"/>
  <c r="M22" i="69"/>
  <c r="I22" i="69"/>
  <c r="H22" i="69"/>
  <c r="AB21" i="69"/>
  <c r="J21" i="69" s="1"/>
  <c r="I21" i="69" s="1"/>
  <c r="Z21" i="69"/>
  <c r="W21" i="69"/>
  <c r="V21" i="69"/>
  <c r="P21" i="69"/>
  <c r="O21" i="69"/>
  <c r="Q21" i="69" s="1"/>
  <c r="M21" i="69"/>
  <c r="H21" i="69"/>
  <c r="Z20" i="69"/>
  <c r="AB20" i="69" s="1"/>
  <c r="J20" i="69" s="1"/>
  <c r="K20" i="69" s="1"/>
  <c r="W20" i="69"/>
  <c r="V20" i="69"/>
  <c r="Q20" i="69"/>
  <c r="P20" i="69"/>
  <c r="O20" i="69"/>
  <c r="M20" i="69"/>
  <c r="H20" i="69"/>
  <c r="AB19" i="69"/>
  <c r="J19" i="69" s="1"/>
  <c r="I19" i="69" s="1"/>
  <c r="Z19" i="69"/>
  <c r="W19" i="69"/>
  <c r="V19" i="69"/>
  <c r="P19" i="69"/>
  <c r="O19" i="69"/>
  <c r="Q19" i="69" s="1"/>
  <c r="M19" i="69"/>
  <c r="H19" i="69"/>
  <c r="Z18" i="69"/>
  <c r="AB18" i="69" s="1"/>
  <c r="J18" i="69" s="1"/>
  <c r="K18" i="69" s="1"/>
  <c r="W18" i="69"/>
  <c r="V18" i="69"/>
  <c r="Q18" i="69"/>
  <c r="P18" i="69"/>
  <c r="O18" i="69"/>
  <c r="M18" i="69"/>
  <c r="I18" i="69"/>
  <c r="H18" i="69"/>
  <c r="AB17" i="69"/>
  <c r="J17" i="69" s="1"/>
  <c r="I17" i="69" s="1"/>
  <c r="Z17" i="69"/>
  <c r="W17" i="69"/>
  <c r="V17" i="69"/>
  <c r="P17" i="69"/>
  <c r="O17" i="69"/>
  <c r="Q17" i="69" s="1"/>
  <c r="M17" i="69"/>
  <c r="K17" i="69"/>
  <c r="H17" i="69"/>
  <c r="Z16" i="69"/>
  <c r="AB16" i="69" s="1"/>
  <c r="J16" i="69" s="1"/>
  <c r="K16" i="69" s="1"/>
  <c r="W16" i="69"/>
  <c r="V16" i="69"/>
  <c r="Q16" i="69"/>
  <c r="P16" i="69"/>
  <c r="O16" i="69"/>
  <c r="M16" i="69"/>
  <c r="H16" i="69"/>
  <c r="AB15" i="69"/>
  <c r="J15" i="69" s="1"/>
  <c r="Z15" i="69"/>
  <c r="W15" i="69"/>
  <c r="V15" i="69"/>
  <c r="P15" i="69"/>
  <c r="O15" i="69"/>
  <c r="Q15" i="69" s="1"/>
  <c r="M15" i="69"/>
  <c r="H15" i="69"/>
  <c r="Z14" i="69"/>
  <c r="AB14" i="69" s="1"/>
  <c r="J14" i="69" s="1"/>
  <c r="K14" i="69" s="1"/>
  <c r="W14" i="69"/>
  <c r="V14" i="69"/>
  <c r="Q14" i="69"/>
  <c r="P14" i="69"/>
  <c r="O14" i="69"/>
  <c r="M14" i="69"/>
  <c r="I14" i="69"/>
  <c r="H14" i="69"/>
  <c r="AB13" i="69"/>
  <c r="J13" i="69" s="1"/>
  <c r="I13" i="69" s="1"/>
  <c r="Z13" i="69"/>
  <c r="W13" i="69"/>
  <c r="V13" i="69"/>
  <c r="P13" i="69"/>
  <c r="O13" i="69"/>
  <c r="Q13" i="69" s="1"/>
  <c r="M13" i="69"/>
  <c r="H13" i="69"/>
  <c r="Z12" i="69"/>
  <c r="AB12" i="69" s="1"/>
  <c r="J12" i="69" s="1"/>
  <c r="K12" i="69" s="1"/>
  <c r="W12" i="69"/>
  <c r="V12" i="69"/>
  <c r="Q12" i="69"/>
  <c r="P12" i="69"/>
  <c r="O12" i="69"/>
  <c r="M12" i="69"/>
  <c r="H12" i="69"/>
  <c r="AB11" i="69"/>
  <c r="J11" i="69" s="1"/>
  <c r="I11" i="69" s="1"/>
  <c r="Z11" i="69"/>
  <c r="W11" i="69"/>
  <c r="V11" i="69"/>
  <c r="P11" i="69"/>
  <c r="O11" i="69"/>
  <c r="Q11" i="69" s="1"/>
  <c r="M11" i="69"/>
  <c r="H11" i="69"/>
  <c r="Z10" i="69"/>
  <c r="AB10" i="69" s="1"/>
  <c r="J10" i="69" s="1"/>
  <c r="K10" i="69" s="1"/>
  <c r="W10" i="69"/>
  <c r="V10" i="69"/>
  <c r="Q10" i="69"/>
  <c r="P10" i="69"/>
  <c r="O10" i="69"/>
  <c r="M10" i="69"/>
  <c r="I10" i="69"/>
  <c r="H10" i="69"/>
  <c r="AB9" i="69"/>
  <c r="J9" i="69" s="1"/>
  <c r="I9" i="69" s="1"/>
  <c r="Z9" i="69"/>
  <c r="W9" i="69"/>
  <c r="V9" i="69"/>
  <c r="P9" i="69"/>
  <c r="O9" i="69"/>
  <c r="Q9" i="69" s="1"/>
  <c r="M9" i="69"/>
  <c r="K9" i="69"/>
  <c r="H9" i="69"/>
  <c r="Z8" i="69"/>
  <c r="AB8" i="69" s="1"/>
  <c r="J8" i="69" s="1"/>
  <c r="K8" i="69" s="1"/>
  <c r="W8" i="69"/>
  <c r="V8" i="69"/>
  <c r="Q8" i="69"/>
  <c r="P8" i="69"/>
  <c r="O8" i="69"/>
  <c r="M8" i="69"/>
  <c r="H8" i="69"/>
  <c r="AB7" i="69"/>
  <c r="J7" i="69" s="1"/>
  <c r="Z7" i="69"/>
  <c r="W7" i="69"/>
  <c r="V7" i="69"/>
  <c r="P7" i="69"/>
  <c r="O7" i="69"/>
  <c r="Q7" i="69" s="1"/>
  <c r="M7" i="69"/>
  <c r="H7" i="69"/>
  <c r="Z6" i="69"/>
  <c r="AB6" i="69" s="1"/>
  <c r="J6" i="69" s="1"/>
  <c r="K6" i="69" s="1"/>
  <c r="W6" i="69"/>
  <c r="V6" i="69"/>
  <c r="Q6" i="69"/>
  <c r="P6" i="69"/>
  <c r="O6" i="69"/>
  <c r="M6" i="69"/>
  <c r="I6" i="69"/>
  <c r="H6" i="69"/>
  <c r="AB5" i="69"/>
  <c r="J5" i="69" s="1"/>
  <c r="I5" i="69" s="1"/>
  <c r="Z5" i="69"/>
  <c r="W5" i="69"/>
  <c r="V5" i="69"/>
  <c r="P5" i="69"/>
  <c r="O5" i="69"/>
  <c r="Q5" i="69" s="1"/>
  <c r="M5" i="69"/>
  <c r="H5" i="69"/>
  <c r="Z4" i="69"/>
  <c r="AB4" i="69" s="1"/>
  <c r="J4" i="69" s="1"/>
  <c r="K4" i="69" s="1"/>
  <c r="W4" i="69"/>
  <c r="V4" i="69"/>
  <c r="Q4" i="69"/>
  <c r="P4" i="69"/>
  <c r="O4" i="69"/>
  <c r="M4" i="69"/>
  <c r="H4" i="69"/>
  <c r="AE3" i="69"/>
  <c r="U3" i="69"/>
  <c r="O3" i="69"/>
  <c r="H3" i="69"/>
  <c r="G3" i="69"/>
  <c r="F3" i="69"/>
  <c r="D3" i="69"/>
  <c r="C3" i="69"/>
  <c r="B3" i="69"/>
  <c r="A2" i="69"/>
  <c r="A1" i="69"/>
  <c r="AB56" i="68"/>
  <c r="J56" i="68" s="1"/>
  <c r="Z56" i="68"/>
  <c r="W56" i="68"/>
  <c r="V56" i="68"/>
  <c r="T56" i="68"/>
  <c r="S56" i="68"/>
  <c r="R56" i="68"/>
  <c r="Q56" i="68"/>
  <c r="P56" i="68"/>
  <c r="O56" i="68"/>
  <c r="M56" i="68"/>
  <c r="H56" i="68"/>
  <c r="C56" i="68"/>
  <c r="AB55" i="68"/>
  <c r="J55" i="68" s="1"/>
  <c r="I55" i="68" s="1"/>
  <c r="Z55" i="68"/>
  <c r="W55" i="68"/>
  <c r="V55" i="68"/>
  <c r="P55" i="68"/>
  <c r="O55" i="68"/>
  <c r="Q55" i="68" s="1"/>
  <c r="M55" i="68"/>
  <c r="K55" i="68"/>
  <c r="H55" i="68"/>
  <c r="C55" i="68"/>
  <c r="Z54" i="68"/>
  <c r="AB54" i="68" s="1"/>
  <c r="J54" i="68" s="1"/>
  <c r="W54" i="68"/>
  <c r="V54" i="68"/>
  <c r="T54" i="68"/>
  <c r="S54" i="68"/>
  <c r="R54" i="68"/>
  <c r="P54" i="68"/>
  <c r="O54" i="68"/>
  <c r="Q54" i="68" s="1"/>
  <c r="M54" i="68"/>
  <c r="H54" i="68"/>
  <c r="C54" i="68"/>
  <c r="Z53" i="68"/>
  <c r="AB53" i="68" s="1"/>
  <c r="J53" i="68" s="1"/>
  <c r="W53" i="68"/>
  <c r="V53" i="68"/>
  <c r="T53" i="68"/>
  <c r="S53" i="68"/>
  <c r="R53" i="68"/>
  <c r="P53" i="68"/>
  <c r="O53" i="68"/>
  <c r="Q53" i="68" s="1"/>
  <c r="M53" i="68"/>
  <c r="H53" i="68"/>
  <c r="C53" i="68"/>
  <c r="Z52" i="68"/>
  <c r="AB52" i="68" s="1"/>
  <c r="J52" i="68" s="1"/>
  <c r="W52" i="68"/>
  <c r="V52" i="68"/>
  <c r="T52" i="68"/>
  <c r="S52" i="68"/>
  <c r="R52" i="68"/>
  <c r="P52" i="68"/>
  <c r="O52" i="68"/>
  <c r="Q52" i="68" s="1"/>
  <c r="M52" i="68"/>
  <c r="H52" i="68"/>
  <c r="C52" i="68"/>
  <c r="Z51" i="68"/>
  <c r="AB51" i="68" s="1"/>
  <c r="J51" i="68" s="1"/>
  <c r="W51" i="68"/>
  <c r="V51" i="68"/>
  <c r="T51" i="68"/>
  <c r="S51" i="68"/>
  <c r="R51" i="68"/>
  <c r="P51" i="68"/>
  <c r="O51" i="68"/>
  <c r="Q51" i="68" s="1"/>
  <c r="M51" i="68"/>
  <c r="H51" i="68"/>
  <c r="C51" i="68"/>
  <c r="Z50" i="68"/>
  <c r="AB50" i="68" s="1"/>
  <c r="J50" i="68" s="1"/>
  <c r="W50" i="68"/>
  <c r="V50" i="68"/>
  <c r="T50" i="68"/>
  <c r="S50" i="68"/>
  <c r="R50" i="68"/>
  <c r="P50" i="68"/>
  <c r="O50" i="68"/>
  <c r="Q50" i="68" s="1"/>
  <c r="M50" i="68"/>
  <c r="H50" i="68"/>
  <c r="C50" i="68"/>
  <c r="Z49" i="68"/>
  <c r="AB49" i="68" s="1"/>
  <c r="J49" i="68" s="1"/>
  <c r="W49" i="68"/>
  <c r="V49" i="68"/>
  <c r="T49" i="68"/>
  <c r="S49" i="68"/>
  <c r="R49" i="68"/>
  <c r="P49" i="68"/>
  <c r="O49" i="68"/>
  <c r="Q49" i="68" s="1"/>
  <c r="M49" i="68"/>
  <c r="H49" i="68"/>
  <c r="C49" i="68"/>
  <c r="Z48" i="68"/>
  <c r="AB48" i="68" s="1"/>
  <c r="J48" i="68" s="1"/>
  <c r="W48" i="68"/>
  <c r="V48" i="68"/>
  <c r="T48" i="68"/>
  <c r="S48" i="68"/>
  <c r="R48" i="68"/>
  <c r="P48" i="68"/>
  <c r="O48" i="68"/>
  <c r="Q48" i="68" s="1"/>
  <c r="M48" i="68"/>
  <c r="H48" i="68"/>
  <c r="C48" i="68"/>
  <c r="Z47" i="68"/>
  <c r="AB47" i="68" s="1"/>
  <c r="J47" i="68" s="1"/>
  <c r="W47" i="68"/>
  <c r="V47" i="68"/>
  <c r="P47" i="68"/>
  <c r="Q47" i="68" s="1"/>
  <c r="O47" i="68"/>
  <c r="M47" i="68"/>
  <c r="H47" i="68"/>
  <c r="C47" i="68"/>
  <c r="AB46" i="68"/>
  <c r="J46" i="68" s="1"/>
  <c r="Z46" i="68"/>
  <c r="W46" i="68"/>
  <c r="V46" i="68"/>
  <c r="P46" i="68"/>
  <c r="O46" i="68"/>
  <c r="Q46" i="68" s="1"/>
  <c r="M46" i="68"/>
  <c r="H46" i="68"/>
  <c r="C46" i="68"/>
  <c r="AB45" i="68"/>
  <c r="J45" i="68" s="1"/>
  <c r="I45" i="68" s="1"/>
  <c r="Z45" i="68"/>
  <c r="W45" i="68"/>
  <c r="V45" i="68"/>
  <c r="Q45" i="68"/>
  <c r="P45" i="68"/>
  <c r="O45" i="68"/>
  <c r="M45" i="68"/>
  <c r="K45" i="68"/>
  <c r="H45" i="68"/>
  <c r="C45" i="68"/>
  <c r="Z44" i="68"/>
  <c r="AB44" i="68" s="1"/>
  <c r="J44" i="68" s="1"/>
  <c r="W44" i="68"/>
  <c r="V44" i="68"/>
  <c r="Q44" i="68"/>
  <c r="P44" i="68"/>
  <c r="O44" i="68"/>
  <c r="M44" i="68"/>
  <c r="H44" i="68"/>
  <c r="C44" i="68"/>
  <c r="Z43" i="68"/>
  <c r="AB43" i="68" s="1"/>
  <c r="J43" i="68" s="1"/>
  <c r="W43" i="68"/>
  <c r="V43" i="68"/>
  <c r="P43" i="68"/>
  <c r="O43" i="68"/>
  <c r="Q43" i="68" s="1"/>
  <c r="M43" i="68"/>
  <c r="H43" i="68"/>
  <c r="C43" i="68"/>
  <c r="Z42" i="68"/>
  <c r="AB42" i="68" s="1"/>
  <c r="J42" i="68" s="1"/>
  <c r="W42" i="68"/>
  <c r="V42" i="68"/>
  <c r="T42" i="68"/>
  <c r="S42" i="68"/>
  <c r="R42" i="68"/>
  <c r="P42" i="68"/>
  <c r="O42" i="68"/>
  <c r="M42" i="68"/>
  <c r="H42" i="68"/>
  <c r="C42" i="68"/>
  <c r="Z41" i="68"/>
  <c r="AB41" i="68" s="1"/>
  <c r="J41" i="68" s="1"/>
  <c r="K41" i="68" s="1"/>
  <c r="W41" i="68"/>
  <c r="V41" i="68"/>
  <c r="Q41" i="68"/>
  <c r="P41" i="68"/>
  <c r="O41" i="68"/>
  <c r="M41" i="68"/>
  <c r="H41" i="68"/>
  <c r="C41" i="68"/>
  <c r="AB39" i="68"/>
  <c r="J39" i="68" s="1"/>
  <c r="Z39" i="68"/>
  <c r="W39" i="68"/>
  <c r="V39" i="68"/>
  <c r="P39" i="68"/>
  <c r="Q39" i="68" s="1"/>
  <c r="O39" i="68"/>
  <c r="M39" i="68"/>
  <c r="H39" i="68"/>
  <c r="C39" i="68"/>
  <c r="AB38" i="68"/>
  <c r="J38" i="68" s="1"/>
  <c r="I38" i="68" s="1"/>
  <c r="Z38" i="68"/>
  <c r="W38" i="68"/>
  <c r="V38" i="68"/>
  <c r="P38" i="68"/>
  <c r="O38" i="68"/>
  <c r="Q38" i="68" s="1"/>
  <c r="M38" i="68"/>
  <c r="K38" i="68"/>
  <c r="H38" i="68"/>
  <c r="C38" i="68"/>
  <c r="Z37" i="68"/>
  <c r="AB37" i="68" s="1"/>
  <c r="J37" i="68" s="1"/>
  <c r="W37" i="68"/>
  <c r="V37" i="68"/>
  <c r="P37" i="68"/>
  <c r="Q37" i="68" s="1"/>
  <c r="O37" i="68"/>
  <c r="M37" i="68"/>
  <c r="H37" i="68"/>
  <c r="C37" i="68"/>
  <c r="AB36" i="68"/>
  <c r="J36" i="68" s="1"/>
  <c r="Z36" i="68"/>
  <c r="W36" i="68"/>
  <c r="V36" i="68"/>
  <c r="P36" i="68"/>
  <c r="O36" i="68"/>
  <c r="Q36" i="68" s="1"/>
  <c r="M36" i="68"/>
  <c r="H36" i="68"/>
  <c r="C36" i="68"/>
  <c r="Z35" i="68"/>
  <c r="AB35" i="68" s="1"/>
  <c r="W35" i="68"/>
  <c r="V35" i="68"/>
  <c r="Q35" i="68"/>
  <c r="P35" i="68"/>
  <c r="O35" i="68"/>
  <c r="M35" i="68"/>
  <c r="J35" i="68"/>
  <c r="H35" i="68"/>
  <c r="C35" i="68"/>
  <c r="Z34" i="68"/>
  <c r="AB34" i="68" s="1"/>
  <c r="J34" i="68" s="1"/>
  <c r="K34" i="68" s="1"/>
  <c r="W34" i="68"/>
  <c r="V34" i="68"/>
  <c r="P34" i="68"/>
  <c r="O34" i="68"/>
  <c r="Q34" i="68" s="1"/>
  <c r="M34" i="68"/>
  <c r="H34" i="68"/>
  <c r="C34" i="68"/>
  <c r="Z33" i="68"/>
  <c r="AB33" i="68" s="1"/>
  <c r="J33" i="68" s="1"/>
  <c r="W33" i="68"/>
  <c r="V33" i="68"/>
  <c r="P33" i="68"/>
  <c r="O33" i="68"/>
  <c r="M33" i="68"/>
  <c r="H33" i="68"/>
  <c r="C33" i="68"/>
  <c r="Z32" i="68"/>
  <c r="AB32" i="68" s="1"/>
  <c r="J32" i="68" s="1"/>
  <c r="K32" i="68" s="1"/>
  <c r="W32" i="68"/>
  <c r="V32" i="68"/>
  <c r="Q32" i="68"/>
  <c r="P32" i="68"/>
  <c r="O32" i="68"/>
  <c r="M32" i="68"/>
  <c r="H32" i="68"/>
  <c r="C32" i="68"/>
  <c r="AB31" i="68"/>
  <c r="J31" i="68" s="1"/>
  <c r="Z31" i="68"/>
  <c r="W31" i="68"/>
  <c r="V31" i="68"/>
  <c r="P31" i="68"/>
  <c r="Q31" i="68" s="1"/>
  <c r="O31" i="68"/>
  <c r="M31" i="68"/>
  <c r="H31" i="68"/>
  <c r="C31" i="68"/>
  <c r="AB30" i="68"/>
  <c r="J30" i="68" s="1"/>
  <c r="Z30" i="68"/>
  <c r="W30" i="68"/>
  <c r="V30" i="68"/>
  <c r="P30" i="68"/>
  <c r="O30" i="68"/>
  <c r="Q30" i="68" s="1"/>
  <c r="M30" i="68"/>
  <c r="K30" i="68"/>
  <c r="I30" i="68"/>
  <c r="H30" i="68"/>
  <c r="C30" i="68"/>
  <c r="Z29" i="68"/>
  <c r="AB29" i="68" s="1"/>
  <c r="J29" i="68" s="1"/>
  <c r="W29" i="68"/>
  <c r="V29" i="68"/>
  <c r="P29" i="68"/>
  <c r="Q29" i="68" s="1"/>
  <c r="O29" i="68"/>
  <c r="M29" i="68"/>
  <c r="H29" i="68"/>
  <c r="C29" i="68"/>
  <c r="AB28" i="68"/>
  <c r="J28" i="68" s="1"/>
  <c r="I28" i="68" s="1"/>
  <c r="Z28" i="68"/>
  <c r="W28" i="68"/>
  <c r="V28" i="68"/>
  <c r="P28" i="68"/>
  <c r="O28" i="68"/>
  <c r="Q28" i="68" s="1"/>
  <c r="M28" i="68"/>
  <c r="K28" i="68"/>
  <c r="H28" i="68"/>
  <c r="C28" i="68"/>
  <c r="AB27" i="68"/>
  <c r="J27" i="68" s="1"/>
  <c r="Z27" i="68"/>
  <c r="W27" i="68"/>
  <c r="V27" i="68"/>
  <c r="Q27" i="68"/>
  <c r="P27" i="68"/>
  <c r="O27" i="68"/>
  <c r="M27" i="68"/>
  <c r="H27" i="68"/>
  <c r="C27" i="68"/>
  <c r="Z26" i="68"/>
  <c r="AB26" i="68" s="1"/>
  <c r="J26" i="68" s="1"/>
  <c r="K26" i="68" s="1"/>
  <c r="W26" i="68"/>
  <c r="V26" i="68"/>
  <c r="Q26" i="68"/>
  <c r="P26" i="68"/>
  <c r="O26" i="68"/>
  <c r="M26" i="68"/>
  <c r="I26" i="68"/>
  <c r="H26" i="68"/>
  <c r="C26" i="68"/>
  <c r="Z25" i="68"/>
  <c r="AB25" i="68" s="1"/>
  <c r="J25" i="68" s="1"/>
  <c r="W25" i="68"/>
  <c r="V25" i="68"/>
  <c r="P25" i="68"/>
  <c r="O25" i="68"/>
  <c r="Q25" i="68" s="1"/>
  <c r="M25" i="68"/>
  <c r="H25" i="68"/>
  <c r="Z24" i="68"/>
  <c r="AB24" i="68" s="1"/>
  <c r="J24" i="68" s="1"/>
  <c r="W24" i="68"/>
  <c r="V24" i="68"/>
  <c r="P24" i="68"/>
  <c r="O24" i="68"/>
  <c r="Q24" i="68" s="1"/>
  <c r="M24" i="68"/>
  <c r="H24" i="68"/>
  <c r="Z23" i="68"/>
  <c r="AB23" i="68" s="1"/>
  <c r="J23" i="68" s="1"/>
  <c r="W23" i="68"/>
  <c r="V23" i="68"/>
  <c r="P23" i="68"/>
  <c r="O23" i="68"/>
  <c r="Q23" i="68" s="1"/>
  <c r="M23" i="68"/>
  <c r="H23" i="68"/>
  <c r="Z22" i="68"/>
  <c r="AB22" i="68" s="1"/>
  <c r="J22" i="68" s="1"/>
  <c r="W22" i="68"/>
  <c r="V22" i="68"/>
  <c r="P22" i="68"/>
  <c r="O22" i="68"/>
  <c r="Q22" i="68" s="1"/>
  <c r="M22" i="68"/>
  <c r="H22" i="68"/>
  <c r="Z21" i="68"/>
  <c r="AB21" i="68" s="1"/>
  <c r="W21" i="68"/>
  <c r="V21" i="68"/>
  <c r="P21" i="68"/>
  <c r="O21" i="68"/>
  <c r="M21" i="68"/>
  <c r="J21" i="68"/>
  <c r="H21" i="68"/>
  <c r="Z20" i="68"/>
  <c r="AB20" i="68" s="1"/>
  <c r="W20" i="68"/>
  <c r="V20" i="68"/>
  <c r="P20" i="68"/>
  <c r="O20" i="68"/>
  <c r="M20" i="68"/>
  <c r="J20" i="68"/>
  <c r="K20" i="68" s="1"/>
  <c r="I20" i="68"/>
  <c r="H20" i="68"/>
  <c r="Z19" i="68"/>
  <c r="AB19" i="68" s="1"/>
  <c r="W19" i="68"/>
  <c r="V19" i="68"/>
  <c r="P19" i="68"/>
  <c r="O19" i="68"/>
  <c r="Q19" i="68" s="1"/>
  <c r="M19" i="68"/>
  <c r="J19" i="68"/>
  <c r="H19" i="68"/>
  <c r="Z18" i="68"/>
  <c r="AB18" i="68" s="1"/>
  <c r="J18" i="68" s="1"/>
  <c r="W18" i="68"/>
  <c r="V18" i="68"/>
  <c r="P18" i="68"/>
  <c r="O18" i="68"/>
  <c r="Q18" i="68" s="1"/>
  <c r="M18" i="68"/>
  <c r="H18" i="68"/>
  <c r="Z17" i="68"/>
  <c r="AB17" i="68" s="1"/>
  <c r="J17" i="68" s="1"/>
  <c r="W17" i="68"/>
  <c r="V17" i="68"/>
  <c r="P17" i="68"/>
  <c r="O17" i="68"/>
  <c r="Q17" i="68" s="1"/>
  <c r="M17" i="68"/>
  <c r="H17" i="68"/>
  <c r="Z16" i="68"/>
  <c r="AB16" i="68" s="1"/>
  <c r="W16" i="68"/>
  <c r="V16" i="68"/>
  <c r="Q16" i="68"/>
  <c r="P16" i="68"/>
  <c r="O16" i="68"/>
  <c r="M16" i="68"/>
  <c r="J16" i="68"/>
  <c r="H16" i="68"/>
  <c r="Z15" i="68"/>
  <c r="AB15" i="68" s="1"/>
  <c r="J15" i="68" s="1"/>
  <c r="K15" i="68" s="1"/>
  <c r="W15" i="68"/>
  <c r="V15" i="68"/>
  <c r="P15" i="68"/>
  <c r="O15" i="68"/>
  <c r="Q15" i="68" s="1"/>
  <c r="M15" i="68"/>
  <c r="H15" i="68"/>
  <c r="Z14" i="68"/>
  <c r="AB14" i="68" s="1"/>
  <c r="W14" i="68"/>
  <c r="V14" i="68"/>
  <c r="P14" i="68"/>
  <c r="O14" i="68"/>
  <c r="Q14" i="68" s="1"/>
  <c r="M14" i="68"/>
  <c r="J14" i="68"/>
  <c r="K14" i="68" s="1"/>
  <c r="H14" i="68"/>
  <c r="AB13" i="68"/>
  <c r="Z13" i="68"/>
  <c r="W13" i="68"/>
  <c r="V13" i="68"/>
  <c r="P13" i="68"/>
  <c r="O13" i="68"/>
  <c r="M13" i="68"/>
  <c r="J13" i="68"/>
  <c r="I13" i="68" s="1"/>
  <c r="H13" i="68"/>
  <c r="Z12" i="68"/>
  <c r="AB12" i="68" s="1"/>
  <c r="J12" i="68" s="1"/>
  <c r="W12" i="68"/>
  <c r="V12" i="68"/>
  <c r="P12" i="68"/>
  <c r="O12" i="68"/>
  <c r="M12" i="68"/>
  <c r="H12" i="68"/>
  <c r="AB11" i="68"/>
  <c r="Z11" i="68"/>
  <c r="W11" i="68"/>
  <c r="V11" i="68"/>
  <c r="P11" i="68"/>
  <c r="O11" i="68"/>
  <c r="Q11" i="68" s="1"/>
  <c r="M11" i="68"/>
  <c r="K11" i="68"/>
  <c r="J11" i="68"/>
  <c r="I11" i="68" s="1"/>
  <c r="H11" i="68"/>
  <c r="Z10" i="68"/>
  <c r="AB10" i="68" s="1"/>
  <c r="W10" i="68"/>
  <c r="V10" i="68"/>
  <c r="P10" i="68"/>
  <c r="O10" i="68"/>
  <c r="M10" i="68"/>
  <c r="J10" i="68"/>
  <c r="H10" i="68"/>
  <c r="Z9" i="68"/>
  <c r="AB9" i="68" s="1"/>
  <c r="J9" i="68" s="1"/>
  <c r="W9" i="68"/>
  <c r="V9" i="68"/>
  <c r="P9" i="68"/>
  <c r="O9" i="68"/>
  <c r="Q9" i="68" s="1"/>
  <c r="M9" i="68"/>
  <c r="H9" i="68"/>
  <c r="Z8" i="68"/>
  <c r="AB8" i="68" s="1"/>
  <c r="W8" i="68"/>
  <c r="V8" i="68"/>
  <c r="Q8" i="68"/>
  <c r="P8" i="68"/>
  <c r="O8" i="68"/>
  <c r="M8" i="68"/>
  <c r="J8" i="68"/>
  <c r="H8" i="68"/>
  <c r="Z7" i="68"/>
  <c r="AB7" i="68" s="1"/>
  <c r="W7" i="68"/>
  <c r="V7" i="68"/>
  <c r="P7" i="68"/>
  <c r="O7" i="68"/>
  <c r="Q7" i="68" s="1"/>
  <c r="M7" i="68"/>
  <c r="J7" i="68"/>
  <c r="H7" i="68"/>
  <c r="Z6" i="68"/>
  <c r="AB6" i="68" s="1"/>
  <c r="J6" i="68" s="1"/>
  <c r="W6" i="68"/>
  <c r="V6" i="68"/>
  <c r="P6" i="68"/>
  <c r="O6" i="68"/>
  <c r="Q6" i="68" s="1"/>
  <c r="M6" i="68"/>
  <c r="H6" i="68"/>
  <c r="AB5" i="68"/>
  <c r="J5" i="68" s="1"/>
  <c r="I5" i="68" s="1"/>
  <c r="Z5" i="68"/>
  <c r="W5" i="68"/>
  <c r="V5" i="68"/>
  <c r="Q5" i="68"/>
  <c r="P5" i="68"/>
  <c r="O5" i="68"/>
  <c r="M5" i="68"/>
  <c r="K5" i="68"/>
  <c r="H5" i="68"/>
  <c r="AB4" i="68"/>
  <c r="J4" i="68" s="1"/>
  <c r="Z4" i="68"/>
  <c r="W4" i="68"/>
  <c r="V4" i="68"/>
  <c r="Q4" i="68"/>
  <c r="P4" i="68"/>
  <c r="O4" i="68"/>
  <c r="M4" i="68"/>
  <c r="K4" i="68"/>
  <c r="H4" i="68"/>
  <c r="AE3" i="68"/>
  <c r="U3" i="68"/>
  <c r="O3" i="68"/>
  <c r="H3" i="68"/>
  <c r="G3" i="68"/>
  <c r="F3" i="68"/>
  <c r="D3" i="68"/>
  <c r="C3" i="68"/>
  <c r="B3" i="68"/>
  <c r="A2" i="68"/>
  <c r="A1" i="68"/>
  <c r="AB56" i="67"/>
  <c r="J56" i="67" s="1"/>
  <c r="Z56" i="67"/>
  <c r="W56" i="67"/>
  <c r="V56" i="67"/>
  <c r="T56" i="67"/>
  <c r="S56" i="67"/>
  <c r="R56" i="67"/>
  <c r="P56" i="67"/>
  <c r="O56" i="67"/>
  <c r="M56" i="67"/>
  <c r="H56" i="67"/>
  <c r="C56" i="67"/>
  <c r="AB55" i="67"/>
  <c r="J55" i="67" s="1"/>
  <c r="I55" i="67" s="1"/>
  <c r="Z55" i="67"/>
  <c r="W55" i="67"/>
  <c r="V55" i="67"/>
  <c r="Q55" i="67"/>
  <c r="P55" i="67"/>
  <c r="O55" i="67"/>
  <c r="M55" i="67"/>
  <c r="K55" i="67"/>
  <c r="H55" i="67"/>
  <c r="C55" i="67"/>
  <c r="Z54" i="67"/>
  <c r="AB54" i="67" s="1"/>
  <c r="J54" i="67" s="1"/>
  <c r="I54" i="67" s="1"/>
  <c r="W54" i="67"/>
  <c r="V54" i="67"/>
  <c r="T54" i="67"/>
  <c r="S54" i="67"/>
  <c r="R54" i="67"/>
  <c r="Q54" i="67"/>
  <c r="P54" i="67"/>
  <c r="O54" i="67"/>
  <c r="M54" i="67"/>
  <c r="H54" i="67"/>
  <c r="C54" i="67"/>
  <c r="Z53" i="67"/>
  <c r="AB53" i="67" s="1"/>
  <c r="J53" i="67" s="1"/>
  <c r="I53" i="67" s="1"/>
  <c r="W53" i="67"/>
  <c r="V53" i="67"/>
  <c r="T53" i="67"/>
  <c r="S53" i="67"/>
  <c r="R53" i="67"/>
  <c r="Q53" i="67"/>
  <c r="P53" i="67"/>
  <c r="O53" i="67"/>
  <c r="M53" i="67"/>
  <c r="H53" i="67"/>
  <c r="C53" i="67"/>
  <c r="Z52" i="67"/>
  <c r="AB52" i="67" s="1"/>
  <c r="J52" i="67" s="1"/>
  <c r="I52" i="67" s="1"/>
  <c r="W52" i="67"/>
  <c r="V52" i="67"/>
  <c r="T52" i="67"/>
  <c r="S52" i="67"/>
  <c r="R52" i="67"/>
  <c r="Q52" i="67"/>
  <c r="P52" i="67"/>
  <c r="O52" i="67"/>
  <c r="M52" i="67"/>
  <c r="K52" i="67"/>
  <c r="H52" i="67"/>
  <c r="C52" i="67"/>
  <c r="Z51" i="67"/>
  <c r="AB51" i="67" s="1"/>
  <c r="J51" i="67" s="1"/>
  <c r="I51" i="67" s="1"/>
  <c r="W51" i="67"/>
  <c r="V51" i="67"/>
  <c r="T51" i="67"/>
  <c r="S51" i="67"/>
  <c r="R51" i="67"/>
  <c r="Q51" i="67"/>
  <c r="P51" i="67"/>
  <c r="O51" i="67"/>
  <c r="M51" i="67"/>
  <c r="H51" i="67"/>
  <c r="C51" i="67"/>
  <c r="Z50" i="67"/>
  <c r="AB50" i="67" s="1"/>
  <c r="J50" i="67" s="1"/>
  <c r="W50" i="67"/>
  <c r="V50" i="67"/>
  <c r="T50" i="67"/>
  <c r="S50" i="67"/>
  <c r="R50" i="67"/>
  <c r="Q50" i="67"/>
  <c r="P50" i="67"/>
  <c r="O50" i="67"/>
  <c r="M50" i="67"/>
  <c r="H50" i="67"/>
  <c r="C50" i="67"/>
  <c r="Z49" i="67"/>
  <c r="AB49" i="67" s="1"/>
  <c r="J49" i="67" s="1"/>
  <c r="I49" i="67" s="1"/>
  <c r="W49" i="67"/>
  <c r="V49" i="67"/>
  <c r="T49" i="67"/>
  <c r="S49" i="67"/>
  <c r="R49" i="67"/>
  <c r="Q49" i="67"/>
  <c r="P49" i="67"/>
  <c r="O49" i="67"/>
  <c r="M49" i="67"/>
  <c r="K49" i="67"/>
  <c r="H49" i="67"/>
  <c r="C49" i="67"/>
  <c r="Z48" i="67"/>
  <c r="AB48" i="67" s="1"/>
  <c r="J48" i="67" s="1"/>
  <c r="W48" i="67"/>
  <c r="V48" i="67"/>
  <c r="T48" i="67"/>
  <c r="S48" i="67"/>
  <c r="R48" i="67"/>
  <c r="Q48" i="67"/>
  <c r="P48" i="67"/>
  <c r="O48" i="67"/>
  <c r="M48" i="67"/>
  <c r="H48" i="67"/>
  <c r="C48" i="67"/>
  <c r="Z47" i="67"/>
  <c r="AB47" i="67" s="1"/>
  <c r="J47" i="67" s="1"/>
  <c r="W47" i="67"/>
  <c r="V47" i="67"/>
  <c r="P47" i="67"/>
  <c r="O47" i="67"/>
  <c r="Q47" i="67" s="1"/>
  <c r="M47" i="67"/>
  <c r="H47" i="67"/>
  <c r="C47" i="67"/>
  <c r="Z46" i="67"/>
  <c r="AB46" i="67" s="1"/>
  <c r="J46" i="67" s="1"/>
  <c r="W46" i="67"/>
  <c r="V46" i="67"/>
  <c r="P46" i="67"/>
  <c r="O46" i="67"/>
  <c r="Q46" i="67" s="1"/>
  <c r="M46" i="67"/>
  <c r="H46" i="67"/>
  <c r="C46" i="67"/>
  <c r="Z45" i="67"/>
  <c r="AB45" i="67" s="1"/>
  <c r="W45" i="67"/>
  <c r="V45" i="67"/>
  <c r="Q45" i="67"/>
  <c r="P45" i="67"/>
  <c r="O45" i="67"/>
  <c r="M45" i="67"/>
  <c r="J45" i="67"/>
  <c r="H45" i="67"/>
  <c r="C45" i="67"/>
  <c r="AB44" i="67"/>
  <c r="J44" i="67" s="1"/>
  <c r="I44" i="67" s="1"/>
  <c r="Z44" i="67"/>
  <c r="W44" i="67"/>
  <c r="V44" i="67"/>
  <c r="Q44" i="67"/>
  <c r="P44" i="67"/>
  <c r="O44" i="67"/>
  <c r="M44" i="67"/>
  <c r="K44" i="67"/>
  <c r="H44" i="67"/>
  <c r="C44" i="67"/>
  <c r="AB43" i="67"/>
  <c r="J43" i="67" s="1"/>
  <c r="K43" i="67" s="1"/>
  <c r="Z43" i="67"/>
  <c r="W43" i="67"/>
  <c r="V43" i="67"/>
  <c r="P43" i="67"/>
  <c r="O43" i="67"/>
  <c r="Q43" i="67" s="1"/>
  <c r="M43" i="67"/>
  <c r="I43" i="67"/>
  <c r="H43" i="67"/>
  <c r="C43" i="67"/>
  <c r="Z42" i="67"/>
  <c r="AB42" i="67" s="1"/>
  <c r="J42" i="67" s="1"/>
  <c r="W42" i="67"/>
  <c r="V42" i="67"/>
  <c r="T42" i="67"/>
  <c r="S42" i="67"/>
  <c r="R42" i="67"/>
  <c r="P42" i="67"/>
  <c r="O42" i="67"/>
  <c r="Q42" i="67" s="1"/>
  <c r="M42" i="67"/>
  <c r="H42" i="67"/>
  <c r="C42" i="67"/>
  <c r="Z41" i="67"/>
  <c r="AB41" i="67" s="1"/>
  <c r="J41" i="67" s="1"/>
  <c r="K41" i="67" s="1"/>
  <c r="W41" i="67"/>
  <c r="V41" i="67"/>
  <c r="P41" i="67"/>
  <c r="O41" i="67"/>
  <c r="Q41" i="67" s="1"/>
  <c r="M41" i="67"/>
  <c r="I41" i="67"/>
  <c r="H41" i="67"/>
  <c r="C41" i="67"/>
  <c r="AB39" i="67"/>
  <c r="Z39" i="67"/>
  <c r="W39" i="67"/>
  <c r="V39" i="67"/>
  <c r="P39" i="67"/>
  <c r="O39" i="67"/>
  <c r="Q39" i="67" s="1"/>
  <c r="M39" i="67"/>
  <c r="K39" i="67"/>
  <c r="J39" i="67"/>
  <c r="I39" i="67" s="1"/>
  <c r="H39" i="67"/>
  <c r="C39" i="67"/>
  <c r="AB38" i="67"/>
  <c r="J38" i="67" s="1"/>
  <c r="I38" i="67" s="1"/>
  <c r="Z38" i="67"/>
  <c r="W38" i="67"/>
  <c r="V38" i="67"/>
  <c r="Q38" i="67"/>
  <c r="P38" i="67"/>
  <c r="O38" i="67"/>
  <c r="M38" i="67"/>
  <c r="K38" i="67"/>
  <c r="H38" i="67"/>
  <c r="C38" i="67"/>
  <c r="Z37" i="67"/>
  <c r="AB37" i="67" s="1"/>
  <c r="J37" i="67" s="1"/>
  <c r="W37" i="67"/>
  <c r="V37" i="67"/>
  <c r="P37" i="67"/>
  <c r="O37" i="67"/>
  <c r="Q37" i="67" s="1"/>
  <c r="M37" i="67"/>
  <c r="H37" i="67"/>
  <c r="C37" i="67"/>
  <c r="Z36" i="67"/>
  <c r="AB36" i="67" s="1"/>
  <c r="W36" i="67"/>
  <c r="V36" i="67"/>
  <c r="P36" i="67"/>
  <c r="O36" i="67"/>
  <c r="Q36" i="67" s="1"/>
  <c r="M36" i="67"/>
  <c r="J36" i="67"/>
  <c r="K36" i="67" s="1"/>
  <c r="I36" i="67"/>
  <c r="H36" i="67"/>
  <c r="C36" i="67"/>
  <c r="Z35" i="67"/>
  <c r="AB35" i="67" s="1"/>
  <c r="W35" i="67"/>
  <c r="V35" i="67"/>
  <c r="Q35" i="67"/>
  <c r="P35" i="67"/>
  <c r="O35" i="67"/>
  <c r="M35" i="67"/>
  <c r="J35" i="67"/>
  <c r="H35" i="67"/>
  <c r="C35" i="67"/>
  <c r="AB34" i="67"/>
  <c r="J34" i="67" s="1"/>
  <c r="I34" i="67" s="1"/>
  <c r="Z34" i="67"/>
  <c r="W34" i="67"/>
  <c r="V34" i="67"/>
  <c r="Q34" i="67"/>
  <c r="P34" i="67"/>
  <c r="O34" i="67"/>
  <c r="M34" i="67"/>
  <c r="K34" i="67"/>
  <c r="H34" i="67"/>
  <c r="C34" i="67"/>
  <c r="AB33" i="67"/>
  <c r="J33" i="67" s="1"/>
  <c r="Z33" i="67"/>
  <c r="W33" i="67"/>
  <c r="V33" i="67"/>
  <c r="P33" i="67"/>
  <c r="O33" i="67"/>
  <c r="Q33" i="67" s="1"/>
  <c r="M33" i="67"/>
  <c r="H33" i="67"/>
  <c r="C33" i="67"/>
  <c r="Z32" i="67"/>
  <c r="AB32" i="67" s="1"/>
  <c r="J32" i="67" s="1"/>
  <c r="K32" i="67" s="1"/>
  <c r="W32" i="67"/>
  <c r="V32" i="67"/>
  <c r="P32" i="67"/>
  <c r="O32" i="67"/>
  <c r="Q32" i="67" s="1"/>
  <c r="M32" i="67"/>
  <c r="I32" i="67"/>
  <c r="H32" i="67"/>
  <c r="C32" i="67"/>
  <c r="AB31" i="67"/>
  <c r="Z31" i="67"/>
  <c r="W31" i="67"/>
  <c r="V31" i="67"/>
  <c r="P31" i="67"/>
  <c r="O31" i="67"/>
  <c r="Q31" i="67" s="1"/>
  <c r="M31" i="67"/>
  <c r="K31" i="67"/>
  <c r="J31" i="67"/>
  <c r="I31" i="67" s="1"/>
  <c r="H31" i="67"/>
  <c r="C31" i="67"/>
  <c r="AB30" i="67"/>
  <c r="J30" i="67" s="1"/>
  <c r="I30" i="67" s="1"/>
  <c r="Z30" i="67"/>
  <c r="W30" i="67"/>
  <c r="V30" i="67"/>
  <c r="Q30" i="67"/>
  <c r="P30" i="67"/>
  <c r="O30" i="67"/>
  <c r="M30" i="67"/>
  <c r="K30" i="67"/>
  <c r="H30" i="67"/>
  <c r="C30" i="67"/>
  <c r="Z29" i="67"/>
  <c r="AB29" i="67" s="1"/>
  <c r="J29" i="67" s="1"/>
  <c r="W29" i="67"/>
  <c r="V29" i="67"/>
  <c r="P29" i="67"/>
  <c r="O29" i="67"/>
  <c r="Q29" i="67" s="1"/>
  <c r="M29" i="67"/>
  <c r="H29" i="67"/>
  <c r="C29" i="67"/>
  <c r="Z28" i="67"/>
  <c r="AB28" i="67" s="1"/>
  <c r="W28" i="67"/>
  <c r="V28" i="67"/>
  <c r="P28" i="67"/>
  <c r="O28" i="67"/>
  <c r="Q28" i="67" s="1"/>
  <c r="M28" i="67"/>
  <c r="J28" i="67"/>
  <c r="K28" i="67" s="1"/>
  <c r="I28" i="67"/>
  <c r="H28" i="67"/>
  <c r="C28" i="67"/>
  <c r="Z27" i="67"/>
  <c r="AB27" i="67" s="1"/>
  <c r="W27" i="67"/>
  <c r="V27" i="67"/>
  <c r="Q27" i="67"/>
  <c r="P27" i="67"/>
  <c r="O27" i="67"/>
  <c r="M27" i="67"/>
  <c r="J27" i="67"/>
  <c r="H27" i="67"/>
  <c r="C27" i="67"/>
  <c r="AB26" i="67"/>
  <c r="J26" i="67" s="1"/>
  <c r="I26" i="67" s="1"/>
  <c r="Z26" i="67"/>
  <c r="W26" i="67"/>
  <c r="V26" i="67"/>
  <c r="Q26" i="67"/>
  <c r="P26" i="67"/>
  <c r="O26" i="67"/>
  <c r="M26" i="67"/>
  <c r="K26" i="67"/>
  <c r="H26" i="67"/>
  <c r="C26" i="67"/>
  <c r="AB25" i="67"/>
  <c r="J25" i="67" s="1"/>
  <c r="Z25" i="67"/>
  <c r="W25" i="67"/>
  <c r="V25" i="67"/>
  <c r="P25" i="67"/>
  <c r="O25" i="67"/>
  <c r="Q25" i="67" s="1"/>
  <c r="M25" i="67"/>
  <c r="H25" i="67"/>
  <c r="Z24" i="67"/>
  <c r="AB24" i="67" s="1"/>
  <c r="J24" i="67" s="1"/>
  <c r="W24" i="67"/>
  <c r="V24" i="67"/>
  <c r="P24" i="67"/>
  <c r="O24" i="67"/>
  <c r="Q24" i="67" s="1"/>
  <c r="M24" i="67"/>
  <c r="H24" i="67"/>
  <c r="AB23" i="67"/>
  <c r="J23" i="67" s="1"/>
  <c r="Z23" i="67"/>
  <c r="W23" i="67"/>
  <c r="V23" i="67"/>
  <c r="P23" i="67"/>
  <c r="O23" i="67"/>
  <c r="Q23" i="67" s="1"/>
  <c r="M23" i="67"/>
  <c r="H23" i="67"/>
  <c r="Z22" i="67"/>
  <c r="AB22" i="67" s="1"/>
  <c r="J22" i="67" s="1"/>
  <c r="W22" i="67"/>
  <c r="V22" i="67"/>
  <c r="P22" i="67"/>
  <c r="O22" i="67"/>
  <c r="Q22" i="67" s="1"/>
  <c r="M22" i="67"/>
  <c r="H22" i="67"/>
  <c r="AB21" i="67"/>
  <c r="J21" i="67" s="1"/>
  <c r="Z21" i="67"/>
  <c r="W21" i="67"/>
  <c r="V21" i="67"/>
  <c r="P21" i="67"/>
  <c r="O21" i="67"/>
  <c r="Q21" i="67" s="1"/>
  <c r="M21" i="67"/>
  <c r="H21" i="67"/>
  <c r="Z20" i="67"/>
  <c r="AB20" i="67" s="1"/>
  <c r="J20" i="67" s="1"/>
  <c r="W20" i="67"/>
  <c r="V20" i="67"/>
  <c r="P20" i="67"/>
  <c r="O20" i="67"/>
  <c r="Q20" i="67" s="1"/>
  <c r="M20" i="67"/>
  <c r="H20" i="67"/>
  <c r="AB19" i="67"/>
  <c r="J19" i="67" s="1"/>
  <c r="Z19" i="67"/>
  <c r="W19" i="67"/>
  <c r="V19" i="67"/>
  <c r="P19" i="67"/>
  <c r="O19" i="67"/>
  <c r="Q19" i="67" s="1"/>
  <c r="M19" i="67"/>
  <c r="H19" i="67"/>
  <c r="Z18" i="67"/>
  <c r="AB18" i="67" s="1"/>
  <c r="J18" i="67" s="1"/>
  <c r="W18" i="67"/>
  <c r="V18" i="67"/>
  <c r="P18" i="67"/>
  <c r="O18" i="67"/>
  <c r="Q18" i="67" s="1"/>
  <c r="M18" i="67"/>
  <c r="H18" i="67"/>
  <c r="AB17" i="67"/>
  <c r="J17" i="67" s="1"/>
  <c r="Z17" i="67"/>
  <c r="W17" i="67"/>
  <c r="V17" i="67"/>
  <c r="P17" i="67"/>
  <c r="O17" i="67"/>
  <c r="Q17" i="67" s="1"/>
  <c r="M17" i="67"/>
  <c r="H17" i="67"/>
  <c r="Z16" i="67"/>
  <c r="AB16" i="67" s="1"/>
  <c r="J16" i="67" s="1"/>
  <c r="W16" i="67"/>
  <c r="V16" i="67"/>
  <c r="P16" i="67"/>
  <c r="O16" i="67"/>
  <c r="Q16" i="67" s="1"/>
  <c r="M16" i="67"/>
  <c r="H16" i="67"/>
  <c r="AB15" i="67"/>
  <c r="J15" i="67" s="1"/>
  <c r="Z15" i="67"/>
  <c r="W15" i="67"/>
  <c r="V15" i="67"/>
  <c r="P15" i="67"/>
  <c r="O15" i="67"/>
  <c r="Q15" i="67" s="1"/>
  <c r="M15" i="67"/>
  <c r="H15" i="67"/>
  <c r="Z14" i="67"/>
  <c r="AB14" i="67" s="1"/>
  <c r="J14" i="67" s="1"/>
  <c r="W14" i="67"/>
  <c r="V14" i="67"/>
  <c r="P14" i="67"/>
  <c r="O14" i="67"/>
  <c r="Q14" i="67" s="1"/>
  <c r="M14" i="67"/>
  <c r="H14" i="67"/>
  <c r="AB13" i="67"/>
  <c r="J13" i="67" s="1"/>
  <c r="Z13" i="67"/>
  <c r="W13" i="67"/>
  <c r="V13" i="67"/>
  <c r="P13" i="67"/>
  <c r="O13" i="67"/>
  <c r="Q13" i="67" s="1"/>
  <c r="M13" i="67"/>
  <c r="H13" i="67"/>
  <c r="Z12" i="67"/>
  <c r="AB12" i="67" s="1"/>
  <c r="J12" i="67" s="1"/>
  <c r="W12" i="67"/>
  <c r="V12" i="67"/>
  <c r="P12" i="67"/>
  <c r="O12" i="67"/>
  <c r="Q12" i="67" s="1"/>
  <c r="M12" i="67"/>
  <c r="H12" i="67"/>
  <c r="AB11" i="67"/>
  <c r="J11" i="67" s="1"/>
  <c r="Z11" i="67"/>
  <c r="W11" i="67"/>
  <c r="V11" i="67"/>
  <c r="P11" i="67"/>
  <c r="O11" i="67"/>
  <c r="Q11" i="67" s="1"/>
  <c r="M11" i="67"/>
  <c r="H11" i="67"/>
  <c r="Z10" i="67"/>
  <c r="AB10" i="67" s="1"/>
  <c r="J10" i="67" s="1"/>
  <c r="W10" i="67"/>
  <c r="V10" i="67"/>
  <c r="P10" i="67"/>
  <c r="O10" i="67"/>
  <c r="Q10" i="67" s="1"/>
  <c r="M10" i="67"/>
  <c r="H10" i="67"/>
  <c r="AB9" i="67"/>
  <c r="J9" i="67" s="1"/>
  <c r="Z9" i="67"/>
  <c r="W9" i="67"/>
  <c r="V9" i="67"/>
  <c r="P9" i="67"/>
  <c r="O9" i="67"/>
  <c r="Q9" i="67" s="1"/>
  <c r="M9" i="67"/>
  <c r="H9" i="67"/>
  <c r="Z8" i="67"/>
  <c r="AB8" i="67" s="1"/>
  <c r="J8" i="67" s="1"/>
  <c r="W8" i="67"/>
  <c r="V8" i="67"/>
  <c r="P8" i="67"/>
  <c r="O8" i="67"/>
  <c r="Q8" i="67" s="1"/>
  <c r="M8" i="67"/>
  <c r="H8" i="67"/>
  <c r="AB7" i="67"/>
  <c r="J7" i="67" s="1"/>
  <c r="Z7" i="67"/>
  <c r="W7" i="67"/>
  <c r="V7" i="67"/>
  <c r="P7" i="67"/>
  <c r="O7" i="67"/>
  <c r="Q7" i="67" s="1"/>
  <c r="M7" i="67"/>
  <c r="H7" i="67"/>
  <c r="Z6" i="67"/>
  <c r="AB6" i="67" s="1"/>
  <c r="J6" i="67" s="1"/>
  <c r="W6" i="67"/>
  <c r="V6" i="67"/>
  <c r="P6" i="67"/>
  <c r="O6" i="67"/>
  <c r="Q6" i="67" s="1"/>
  <c r="M6" i="67"/>
  <c r="H6" i="67"/>
  <c r="AB5" i="67"/>
  <c r="J5" i="67" s="1"/>
  <c r="Z5" i="67"/>
  <c r="W5" i="67"/>
  <c r="V5" i="67"/>
  <c r="P5" i="67"/>
  <c r="O5" i="67"/>
  <c r="Q5" i="67" s="1"/>
  <c r="M5" i="67"/>
  <c r="H5" i="67"/>
  <c r="Z4" i="67"/>
  <c r="AB4" i="67" s="1"/>
  <c r="J4" i="67" s="1"/>
  <c r="W4" i="67"/>
  <c r="V4" i="67"/>
  <c r="P4" i="67"/>
  <c r="O4" i="67"/>
  <c r="Q4" i="67" s="1"/>
  <c r="M4" i="67"/>
  <c r="H4" i="67"/>
  <c r="AE3" i="67"/>
  <c r="U3" i="67"/>
  <c r="O3" i="67"/>
  <c r="H3" i="67"/>
  <c r="G3" i="67"/>
  <c r="F3" i="67"/>
  <c r="D3" i="67"/>
  <c r="C3" i="67"/>
  <c r="B3" i="67"/>
  <c r="A2" i="67"/>
  <c r="A1" i="67"/>
  <c r="AB56" i="66"/>
  <c r="J56" i="66" s="1"/>
  <c r="I56" i="66" s="1"/>
  <c r="Z56" i="66"/>
  <c r="W56" i="66"/>
  <c r="V56" i="66"/>
  <c r="T56" i="66"/>
  <c r="S56" i="66"/>
  <c r="R56" i="66"/>
  <c r="P56" i="66"/>
  <c r="Q56" i="66" s="1"/>
  <c r="O56" i="66"/>
  <c r="M56" i="66"/>
  <c r="K56" i="66"/>
  <c r="H56" i="66"/>
  <c r="C56" i="66"/>
  <c r="AB55" i="66"/>
  <c r="J55" i="66" s="1"/>
  <c r="Z55" i="66"/>
  <c r="W55" i="66"/>
  <c r="V55" i="66"/>
  <c r="P55" i="66"/>
  <c r="O55" i="66"/>
  <c r="Q55" i="66" s="1"/>
  <c r="M55" i="66"/>
  <c r="K55" i="66"/>
  <c r="I55" i="66"/>
  <c r="H55" i="66"/>
  <c r="C55" i="66"/>
  <c r="Z54" i="66"/>
  <c r="AB54" i="66" s="1"/>
  <c r="J54" i="66" s="1"/>
  <c r="K54" i="66" s="1"/>
  <c r="W54" i="66"/>
  <c r="V54" i="66"/>
  <c r="T54" i="66"/>
  <c r="S54" i="66"/>
  <c r="R54" i="66"/>
  <c r="P54" i="66"/>
  <c r="O54" i="66"/>
  <c r="Q54" i="66" s="1"/>
  <c r="M54" i="66"/>
  <c r="I54" i="66"/>
  <c r="H54" i="66"/>
  <c r="C54" i="66"/>
  <c r="Z53" i="66"/>
  <c r="AB53" i="66" s="1"/>
  <c r="J53" i="66" s="1"/>
  <c r="K53" i="66" s="1"/>
  <c r="W53" i="66"/>
  <c r="V53" i="66"/>
  <c r="T53" i="66"/>
  <c r="S53" i="66"/>
  <c r="R53" i="66"/>
  <c r="P53" i="66"/>
  <c r="O53" i="66"/>
  <c r="Q53" i="66" s="1"/>
  <c r="M53" i="66"/>
  <c r="I53" i="66"/>
  <c r="H53" i="66"/>
  <c r="C53" i="66"/>
  <c r="Z52" i="66"/>
  <c r="AB52" i="66" s="1"/>
  <c r="J52" i="66" s="1"/>
  <c r="W52" i="66"/>
  <c r="V52" i="66"/>
  <c r="T52" i="66"/>
  <c r="S52" i="66"/>
  <c r="R52" i="66"/>
  <c r="P52" i="66"/>
  <c r="O52" i="66"/>
  <c r="Q52" i="66" s="1"/>
  <c r="M52" i="66"/>
  <c r="H52" i="66"/>
  <c r="C52" i="66"/>
  <c r="Z51" i="66"/>
  <c r="AB51" i="66" s="1"/>
  <c r="J51" i="66" s="1"/>
  <c r="I51" i="66" s="1"/>
  <c r="W51" i="66"/>
  <c r="V51" i="66"/>
  <c r="T51" i="66"/>
  <c r="S51" i="66"/>
  <c r="R51" i="66"/>
  <c r="P51" i="66"/>
  <c r="O51" i="66"/>
  <c r="Q51" i="66" s="1"/>
  <c r="M51" i="66"/>
  <c r="K51" i="66"/>
  <c r="H51" i="66"/>
  <c r="C51" i="66"/>
  <c r="Z50" i="66"/>
  <c r="AB50" i="66" s="1"/>
  <c r="J50" i="66" s="1"/>
  <c r="K50" i="66" s="1"/>
  <c r="W50" i="66"/>
  <c r="V50" i="66"/>
  <c r="T50" i="66"/>
  <c r="S50" i="66"/>
  <c r="R50" i="66"/>
  <c r="P50" i="66"/>
  <c r="O50" i="66"/>
  <c r="Q50" i="66" s="1"/>
  <c r="M50" i="66"/>
  <c r="H50" i="66"/>
  <c r="C50" i="66"/>
  <c r="Z49" i="66"/>
  <c r="AB49" i="66" s="1"/>
  <c r="J49" i="66" s="1"/>
  <c r="I49" i="66" s="1"/>
  <c r="W49" i="66"/>
  <c r="V49" i="66"/>
  <c r="T49" i="66"/>
  <c r="S49" i="66"/>
  <c r="R49" i="66"/>
  <c r="P49" i="66"/>
  <c r="O49" i="66"/>
  <c r="Q49" i="66" s="1"/>
  <c r="M49" i="66"/>
  <c r="K49" i="66"/>
  <c r="H49" i="66"/>
  <c r="C49" i="66"/>
  <c r="Z48" i="66"/>
  <c r="AB48" i="66" s="1"/>
  <c r="J48" i="66" s="1"/>
  <c r="W48" i="66"/>
  <c r="V48" i="66"/>
  <c r="T48" i="66"/>
  <c r="S48" i="66"/>
  <c r="R48" i="66"/>
  <c r="P48" i="66"/>
  <c r="O48" i="66"/>
  <c r="Q48" i="66" s="1"/>
  <c r="M48" i="66"/>
  <c r="K48" i="66"/>
  <c r="I48" i="66"/>
  <c r="H48" i="66"/>
  <c r="C48" i="66"/>
  <c r="Z47" i="66"/>
  <c r="AB47" i="66" s="1"/>
  <c r="J47" i="66" s="1"/>
  <c r="K47" i="66" s="1"/>
  <c r="W47" i="66"/>
  <c r="V47" i="66"/>
  <c r="P47" i="66"/>
  <c r="O47" i="66"/>
  <c r="Q47" i="66" s="1"/>
  <c r="M47" i="66"/>
  <c r="I47" i="66"/>
  <c r="H47" i="66"/>
  <c r="C47" i="66"/>
  <c r="AB46" i="66"/>
  <c r="Z46" i="66"/>
  <c r="W46" i="66"/>
  <c r="V46" i="66"/>
  <c r="P46" i="66"/>
  <c r="O46" i="66"/>
  <c r="M46" i="66"/>
  <c r="J46" i="66"/>
  <c r="I46" i="66" s="1"/>
  <c r="H46" i="66"/>
  <c r="C46" i="66"/>
  <c r="Z45" i="66"/>
  <c r="AB45" i="66" s="1"/>
  <c r="W45" i="66"/>
  <c r="V45" i="66"/>
  <c r="Q45" i="66"/>
  <c r="P45" i="66"/>
  <c r="O45" i="66"/>
  <c r="M45" i="66"/>
  <c r="J45" i="66"/>
  <c r="H45" i="66"/>
  <c r="C45" i="66"/>
  <c r="Z44" i="66"/>
  <c r="AB44" i="66" s="1"/>
  <c r="J44" i="66" s="1"/>
  <c r="W44" i="66"/>
  <c r="V44" i="66"/>
  <c r="P44" i="66"/>
  <c r="O44" i="66"/>
  <c r="Q44" i="66" s="1"/>
  <c r="M44" i="66"/>
  <c r="H44" i="66"/>
  <c r="C44" i="66"/>
  <c r="AB43" i="66"/>
  <c r="Z43" i="66"/>
  <c r="W43" i="66"/>
  <c r="V43" i="66"/>
  <c r="P43" i="66"/>
  <c r="O43" i="66"/>
  <c r="Q43" i="66" s="1"/>
  <c r="M43" i="66"/>
  <c r="J43" i="66"/>
  <c r="K43" i="66" s="1"/>
  <c r="H43" i="66"/>
  <c r="C43" i="66"/>
  <c r="Z42" i="66"/>
  <c r="AB42" i="66" s="1"/>
  <c r="J42" i="66" s="1"/>
  <c r="W42" i="66"/>
  <c r="V42" i="66"/>
  <c r="T42" i="66"/>
  <c r="S42" i="66"/>
  <c r="R42" i="66"/>
  <c r="P42" i="66"/>
  <c r="O42" i="66"/>
  <c r="Q42" i="66" s="1"/>
  <c r="M42" i="66"/>
  <c r="H42" i="66"/>
  <c r="C42" i="66"/>
  <c r="Z41" i="66"/>
  <c r="AB41" i="66" s="1"/>
  <c r="W41" i="66"/>
  <c r="V41" i="66"/>
  <c r="P41" i="66"/>
  <c r="Q41" i="66" s="1"/>
  <c r="O41" i="66"/>
  <c r="M41" i="66"/>
  <c r="J41" i="66"/>
  <c r="K41" i="66" s="1"/>
  <c r="H41" i="66"/>
  <c r="C41" i="66"/>
  <c r="AB39" i="66"/>
  <c r="J39" i="66" s="1"/>
  <c r="I39" i="66" s="1"/>
  <c r="Z39" i="66"/>
  <c r="W39" i="66"/>
  <c r="V39" i="66"/>
  <c r="P39" i="66"/>
  <c r="O39" i="66"/>
  <c r="Q39" i="66" s="1"/>
  <c r="M39" i="66"/>
  <c r="K39" i="66"/>
  <c r="H39" i="66"/>
  <c r="C39" i="66"/>
  <c r="AB38" i="66"/>
  <c r="Z38" i="66"/>
  <c r="W38" i="66"/>
  <c r="V38" i="66"/>
  <c r="P38" i="66"/>
  <c r="O38" i="66"/>
  <c r="Q38" i="66" s="1"/>
  <c r="M38" i="66"/>
  <c r="J38" i="66"/>
  <c r="K38" i="66" s="1"/>
  <c r="H38" i="66"/>
  <c r="C38" i="66"/>
  <c r="Z37" i="66"/>
  <c r="AB37" i="66" s="1"/>
  <c r="J37" i="66" s="1"/>
  <c r="W37" i="66"/>
  <c r="V37" i="66"/>
  <c r="P37" i="66"/>
  <c r="Q37" i="66" s="1"/>
  <c r="O37" i="66"/>
  <c r="M37" i="66"/>
  <c r="H37" i="66"/>
  <c r="C37" i="66"/>
  <c r="Z36" i="66"/>
  <c r="AB36" i="66" s="1"/>
  <c r="J36" i="66" s="1"/>
  <c r="W36" i="66"/>
  <c r="V36" i="66"/>
  <c r="P36" i="66"/>
  <c r="Q36" i="66" s="1"/>
  <c r="O36" i="66"/>
  <c r="M36" i="66"/>
  <c r="H36" i="66"/>
  <c r="C36" i="66"/>
  <c r="Z35" i="66"/>
  <c r="AB35" i="66" s="1"/>
  <c r="W35" i="66"/>
  <c r="V35" i="66"/>
  <c r="Q35" i="66"/>
  <c r="P35" i="66"/>
  <c r="O35" i="66"/>
  <c r="M35" i="66"/>
  <c r="J35" i="66"/>
  <c r="H35" i="66"/>
  <c r="C35" i="66"/>
  <c r="Z34" i="66"/>
  <c r="AB34" i="66" s="1"/>
  <c r="J34" i="66" s="1"/>
  <c r="W34" i="66"/>
  <c r="V34" i="66"/>
  <c r="P34" i="66"/>
  <c r="Q34" i="66" s="1"/>
  <c r="O34" i="66"/>
  <c r="M34" i="66"/>
  <c r="H34" i="66"/>
  <c r="C34" i="66"/>
  <c r="Z33" i="66"/>
  <c r="AB33" i="66" s="1"/>
  <c r="W33" i="66"/>
  <c r="V33" i="66"/>
  <c r="P33" i="66"/>
  <c r="Q33" i="66" s="1"/>
  <c r="O33" i="66"/>
  <c r="M33" i="66"/>
  <c r="J33" i="66"/>
  <c r="H33" i="66"/>
  <c r="C33" i="66"/>
  <c r="AB32" i="66"/>
  <c r="J32" i="66" s="1"/>
  <c r="Z32" i="66"/>
  <c r="W32" i="66"/>
  <c r="V32" i="66"/>
  <c r="Q32" i="66"/>
  <c r="P32" i="66"/>
  <c r="O32" i="66"/>
  <c r="M32" i="66"/>
  <c r="H32" i="66"/>
  <c r="C32" i="66"/>
  <c r="AB31" i="66"/>
  <c r="J31" i="66" s="1"/>
  <c r="Z31" i="66"/>
  <c r="W31" i="66"/>
  <c r="V31" i="66"/>
  <c r="P31" i="66"/>
  <c r="O31" i="66"/>
  <c r="Q31" i="66" s="1"/>
  <c r="M31" i="66"/>
  <c r="K31" i="66"/>
  <c r="I31" i="66"/>
  <c r="H31" i="66"/>
  <c r="C31" i="66"/>
  <c r="AB30" i="66"/>
  <c r="Z30" i="66"/>
  <c r="W30" i="66"/>
  <c r="V30" i="66"/>
  <c r="P30" i="66"/>
  <c r="O30" i="66"/>
  <c r="Q30" i="66" s="1"/>
  <c r="M30" i="66"/>
  <c r="K30" i="66"/>
  <c r="J30" i="66"/>
  <c r="I30" i="66" s="1"/>
  <c r="H30" i="66"/>
  <c r="C30" i="66"/>
  <c r="Z29" i="66"/>
  <c r="AB29" i="66" s="1"/>
  <c r="W29" i="66"/>
  <c r="V29" i="66"/>
  <c r="P29" i="66"/>
  <c r="O29" i="66"/>
  <c r="Q29" i="66" s="1"/>
  <c r="M29" i="66"/>
  <c r="J29" i="66"/>
  <c r="H29" i="66"/>
  <c r="C29" i="66"/>
  <c r="Z28" i="66"/>
  <c r="AB28" i="66" s="1"/>
  <c r="J28" i="66" s="1"/>
  <c r="W28" i="66"/>
  <c r="V28" i="66"/>
  <c r="Q28" i="66"/>
  <c r="P28" i="66"/>
  <c r="O28" i="66"/>
  <c r="M28" i="66"/>
  <c r="H28" i="66"/>
  <c r="C28" i="66"/>
  <c r="AB27" i="66"/>
  <c r="J27" i="66" s="1"/>
  <c r="I27" i="66" s="1"/>
  <c r="Z27" i="66"/>
  <c r="W27" i="66"/>
  <c r="V27" i="66"/>
  <c r="P27" i="66"/>
  <c r="O27" i="66"/>
  <c r="Q27" i="66" s="1"/>
  <c r="M27" i="66"/>
  <c r="H27" i="66"/>
  <c r="C27" i="66"/>
  <c r="Z26" i="66"/>
  <c r="AB26" i="66" s="1"/>
  <c r="J26" i="66" s="1"/>
  <c r="W26" i="66"/>
  <c r="V26" i="66"/>
  <c r="Q26" i="66"/>
  <c r="P26" i="66"/>
  <c r="O26" i="66"/>
  <c r="M26" i="66"/>
  <c r="H26" i="66"/>
  <c r="C26" i="66"/>
  <c r="AB25" i="66"/>
  <c r="J25" i="66" s="1"/>
  <c r="I25" i="66" s="1"/>
  <c r="Z25" i="66"/>
  <c r="W25" i="66"/>
  <c r="V25" i="66"/>
  <c r="P25" i="66"/>
  <c r="O25" i="66"/>
  <c r="Q25" i="66" s="1"/>
  <c r="M25" i="66"/>
  <c r="K25" i="66"/>
  <c r="H25" i="66"/>
  <c r="Z24" i="66"/>
  <c r="AB24" i="66" s="1"/>
  <c r="J24" i="66" s="1"/>
  <c r="K24" i="66" s="1"/>
  <c r="W24" i="66"/>
  <c r="V24" i="66"/>
  <c r="Q24" i="66"/>
  <c r="P24" i="66"/>
  <c r="O24" i="66"/>
  <c r="M24" i="66"/>
  <c r="H24" i="66"/>
  <c r="AB23" i="66"/>
  <c r="J23" i="66" s="1"/>
  <c r="I23" i="66" s="1"/>
  <c r="Z23" i="66"/>
  <c r="W23" i="66"/>
  <c r="V23" i="66"/>
  <c r="P23" i="66"/>
  <c r="O23" i="66"/>
  <c r="Q23" i="66" s="1"/>
  <c r="M23" i="66"/>
  <c r="K23" i="66"/>
  <c r="H23" i="66"/>
  <c r="Z22" i="66"/>
  <c r="AB22" i="66" s="1"/>
  <c r="J22" i="66" s="1"/>
  <c r="K22" i="66" s="1"/>
  <c r="W22" i="66"/>
  <c r="V22" i="66"/>
  <c r="Q22" i="66"/>
  <c r="P22" i="66"/>
  <c r="O22" i="66"/>
  <c r="M22" i="66"/>
  <c r="H22" i="66"/>
  <c r="AB21" i="66"/>
  <c r="J21" i="66" s="1"/>
  <c r="I21" i="66" s="1"/>
  <c r="Z21" i="66"/>
  <c r="W21" i="66"/>
  <c r="V21" i="66"/>
  <c r="P21" i="66"/>
  <c r="O21" i="66"/>
  <c r="Q21" i="66" s="1"/>
  <c r="M21" i="66"/>
  <c r="K21" i="66"/>
  <c r="H21" i="66"/>
  <c r="Z20" i="66"/>
  <c r="AB20" i="66" s="1"/>
  <c r="J20" i="66" s="1"/>
  <c r="K20" i="66" s="1"/>
  <c r="W20" i="66"/>
  <c r="V20" i="66"/>
  <c r="Q20" i="66"/>
  <c r="P20" i="66"/>
  <c r="O20" i="66"/>
  <c r="M20" i="66"/>
  <c r="H20" i="66"/>
  <c r="AB19" i="66"/>
  <c r="J19" i="66" s="1"/>
  <c r="Z19" i="66"/>
  <c r="W19" i="66"/>
  <c r="V19" i="66"/>
  <c r="P19" i="66"/>
  <c r="O19" i="66"/>
  <c r="Q19" i="66" s="1"/>
  <c r="M19" i="66"/>
  <c r="H19" i="66"/>
  <c r="Z18" i="66"/>
  <c r="AB18" i="66" s="1"/>
  <c r="J18" i="66" s="1"/>
  <c r="W18" i="66"/>
  <c r="V18" i="66"/>
  <c r="Q18" i="66"/>
  <c r="P18" i="66"/>
  <c r="O18" i="66"/>
  <c r="M18" i="66"/>
  <c r="H18" i="66"/>
  <c r="AB17" i="66"/>
  <c r="J17" i="66" s="1"/>
  <c r="I17" i="66" s="1"/>
  <c r="Z17" i="66"/>
  <c r="W17" i="66"/>
  <c r="V17" i="66"/>
  <c r="P17" i="66"/>
  <c r="O17" i="66"/>
  <c r="Q17" i="66" s="1"/>
  <c r="M17" i="66"/>
  <c r="K17" i="66"/>
  <c r="H17" i="66"/>
  <c r="Z16" i="66"/>
  <c r="AB16" i="66" s="1"/>
  <c r="J16" i="66" s="1"/>
  <c r="K16" i="66" s="1"/>
  <c r="W16" i="66"/>
  <c r="V16" i="66"/>
  <c r="Q16" i="66"/>
  <c r="P16" i="66"/>
  <c r="O16" i="66"/>
  <c r="M16" i="66"/>
  <c r="H16" i="66"/>
  <c r="AB15" i="66"/>
  <c r="J15" i="66" s="1"/>
  <c r="I15" i="66" s="1"/>
  <c r="Z15" i="66"/>
  <c r="W15" i="66"/>
  <c r="V15" i="66"/>
  <c r="P15" i="66"/>
  <c r="O15" i="66"/>
  <c r="Q15" i="66" s="1"/>
  <c r="M15" i="66"/>
  <c r="K15" i="66"/>
  <c r="H15" i="66"/>
  <c r="Z14" i="66"/>
  <c r="AB14" i="66" s="1"/>
  <c r="J14" i="66" s="1"/>
  <c r="K14" i="66" s="1"/>
  <c r="W14" i="66"/>
  <c r="V14" i="66"/>
  <c r="Q14" i="66"/>
  <c r="P14" i="66"/>
  <c r="O14" i="66"/>
  <c r="M14" i="66"/>
  <c r="H14" i="66"/>
  <c r="AB13" i="66"/>
  <c r="J13" i="66" s="1"/>
  <c r="I13" i="66" s="1"/>
  <c r="Z13" i="66"/>
  <c r="W13" i="66"/>
  <c r="V13" i="66"/>
  <c r="P13" i="66"/>
  <c r="O13" i="66"/>
  <c r="Q13" i="66" s="1"/>
  <c r="M13" i="66"/>
  <c r="K13" i="66"/>
  <c r="H13" i="66"/>
  <c r="Z12" i="66"/>
  <c r="AB12" i="66" s="1"/>
  <c r="J12" i="66" s="1"/>
  <c r="K12" i="66" s="1"/>
  <c r="W12" i="66"/>
  <c r="V12" i="66"/>
  <c r="Q12" i="66"/>
  <c r="P12" i="66"/>
  <c r="O12" i="66"/>
  <c r="M12" i="66"/>
  <c r="H12" i="66"/>
  <c r="AB11" i="66"/>
  <c r="J11" i="66" s="1"/>
  <c r="Z11" i="66"/>
  <c r="W11" i="66"/>
  <c r="V11" i="66"/>
  <c r="P11" i="66"/>
  <c r="O11" i="66"/>
  <c r="Q11" i="66" s="1"/>
  <c r="M11" i="66"/>
  <c r="H11" i="66"/>
  <c r="Z10" i="66"/>
  <c r="AB10" i="66" s="1"/>
  <c r="J10" i="66" s="1"/>
  <c r="W10" i="66"/>
  <c r="V10" i="66"/>
  <c r="Q10" i="66"/>
  <c r="P10" i="66"/>
  <c r="O10" i="66"/>
  <c r="M10" i="66"/>
  <c r="H10" i="66"/>
  <c r="AB9" i="66"/>
  <c r="J9" i="66" s="1"/>
  <c r="I9" i="66" s="1"/>
  <c r="Z9" i="66"/>
  <c r="W9" i="66"/>
  <c r="V9" i="66"/>
  <c r="P9" i="66"/>
  <c r="O9" i="66"/>
  <c r="Q9" i="66" s="1"/>
  <c r="M9" i="66"/>
  <c r="K9" i="66"/>
  <c r="H9" i="66"/>
  <c r="Z8" i="66"/>
  <c r="AB8" i="66" s="1"/>
  <c r="J8" i="66" s="1"/>
  <c r="K8" i="66" s="1"/>
  <c r="W8" i="66"/>
  <c r="V8" i="66"/>
  <c r="Q8" i="66"/>
  <c r="P8" i="66"/>
  <c r="O8" i="66"/>
  <c r="M8" i="66"/>
  <c r="H8" i="66"/>
  <c r="AB7" i="66"/>
  <c r="J7" i="66" s="1"/>
  <c r="I7" i="66" s="1"/>
  <c r="Z7" i="66"/>
  <c r="W7" i="66"/>
  <c r="V7" i="66"/>
  <c r="P7" i="66"/>
  <c r="O7" i="66"/>
  <c r="Q7" i="66" s="1"/>
  <c r="M7" i="66"/>
  <c r="K7" i="66"/>
  <c r="H7" i="66"/>
  <c r="Z6" i="66"/>
  <c r="AB6" i="66" s="1"/>
  <c r="J6" i="66" s="1"/>
  <c r="K6" i="66" s="1"/>
  <c r="W6" i="66"/>
  <c r="V6" i="66"/>
  <c r="Q6" i="66"/>
  <c r="P6" i="66"/>
  <c r="O6" i="66"/>
  <c r="M6" i="66"/>
  <c r="H6" i="66"/>
  <c r="AB5" i="66"/>
  <c r="J5" i="66" s="1"/>
  <c r="I5" i="66" s="1"/>
  <c r="Z5" i="66"/>
  <c r="W5" i="66"/>
  <c r="V5" i="66"/>
  <c r="P5" i="66"/>
  <c r="O5" i="66"/>
  <c r="Q5" i="66" s="1"/>
  <c r="M5" i="66"/>
  <c r="K5" i="66"/>
  <c r="H5" i="66"/>
  <c r="Z4" i="66"/>
  <c r="AB4" i="66" s="1"/>
  <c r="J4" i="66" s="1"/>
  <c r="K4" i="66" s="1"/>
  <c r="W4" i="66"/>
  <c r="V4" i="66"/>
  <c r="Q4" i="66"/>
  <c r="P4" i="66"/>
  <c r="O4" i="66"/>
  <c r="M4" i="66"/>
  <c r="H4" i="66"/>
  <c r="AE3" i="66"/>
  <c r="U3" i="66"/>
  <c r="O3" i="66"/>
  <c r="H3" i="66"/>
  <c r="G3" i="66"/>
  <c r="F3" i="66"/>
  <c r="D3" i="66"/>
  <c r="C3" i="66"/>
  <c r="B3" i="66"/>
  <c r="A2" i="66"/>
  <c r="A1" i="66"/>
  <c r="AB56" i="65"/>
  <c r="J56" i="65" s="1"/>
  <c r="Z56" i="65"/>
  <c r="W56" i="65"/>
  <c r="V56" i="65"/>
  <c r="T56" i="65"/>
  <c r="S56" i="65"/>
  <c r="R56" i="65"/>
  <c r="P56" i="65"/>
  <c r="Q56" i="65" s="1"/>
  <c r="O56" i="65"/>
  <c r="M56" i="65"/>
  <c r="H56" i="65"/>
  <c r="C56" i="65"/>
  <c r="AB55" i="65"/>
  <c r="J55" i="65" s="1"/>
  <c r="Z55" i="65"/>
  <c r="W55" i="65"/>
  <c r="V55" i="65"/>
  <c r="P55" i="65"/>
  <c r="O55" i="65"/>
  <c r="Q55" i="65" s="1"/>
  <c r="M55" i="65"/>
  <c r="H55" i="65"/>
  <c r="C55" i="65"/>
  <c r="Z54" i="65"/>
  <c r="AB54" i="65" s="1"/>
  <c r="J54" i="65" s="1"/>
  <c r="I54" i="65" s="1"/>
  <c r="W54" i="65"/>
  <c r="V54" i="65"/>
  <c r="T54" i="65"/>
  <c r="S54" i="65"/>
  <c r="R54" i="65"/>
  <c r="P54" i="65"/>
  <c r="O54" i="65"/>
  <c r="Q54" i="65" s="1"/>
  <c r="M54" i="65"/>
  <c r="K54" i="65"/>
  <c r="H54" i="65"/>
  <c r="C54" i="65"/>
  <c r="Z53" i="65"/>
  <c r="AB53" i="65" s="1"/>
  <c r="J53" i="65" s="1"/>
  <c r="I53" i="65" s="1"/>
  <c r="W53" i="65"/>
  <c r="V53" i="65"/>
  <c r="T53" i="65"/>
  <c r="S53" i="65"/>
  <c r="R53" i="65"/>
  <c r="P53" i="65"/>
  <c r="O53" i="65"/>
  <c r="Q53" i="65" s="1"/>
  <c r="M53" i="65"/>
  <c r="K53" i="65"/>
  <c r="H53" i="65"/>
  <c r="C53" i="65"/>
  <c r="Z52" i="65"/>
  <c r="AB52" i="65" s="1"/>
  <c r="J52" i="65" s="1"/>
  <c r="I52" i="65" s="1"/>
  <c r="W52" i="65"/>
  <c r="V52" i="65"/>
  <c r="T52" i="65"/>
  <c r="S52" i="65"/>
  <c r="R52" i="65"/>
  <c r="P52" i="65"/>
  <c r="O52" i="65"/>
  <c r="Q52" i="65" s="1"/>
  <c r="M52" i="65"/>
  <c r="K52" i="65"/>
  <c r="H52" i="65"/>
  <c r="C52" i="65"/>
  <c r="Z51" i="65"/>
  <c r="AB51" i="65" s="1"/>
  <c r="J51" i="65" s="1"/>
  <c r="I51" i="65" s="1"/>
  <c r="W51" i="65"/>
  <c r="V51" i="65"/>
  <c r="T51" i="65"/>
  <c r="S51" i="65"/>
  <c r="R51" i="65"/>
  <c r="P51" i="65"/>
  <c r="O51" i="65"/>
  <c r="Q51" i="65" s="1"/>
  <c r="M51" i="65"/>
  <c r="K51" i="65"/>
  <c r="H51" i="65"/>
  <c r="C51" i="65"/>
  <c r="Z50" i="65"/>
  <c r="AB50" i="65" s="1"/>
  <c r="J50" i="65" s="1"/>
  <c r="I50" i="65" s="1"/>
  <c r="W50" i="65"/>
  <c r="V50" i="65"/>
  <c r="T50" i="65"/>
  <c r="S50" i="65"/>
  <c r="R50" i="65"/>
  <c r="P50" i="65"/>
  <c r="O50" i="65"/>
  <c r="Q50" i="65" s="1"/>
  <c r="M50" i="65"/>
  <c r="K50" i="65"/>
  <c r="H50" i="65"/>
  <c r="C50" i="65"/>
  <c r="Z49" i="65"/>
  <c r="AB49" i="65" s="1"/>
  <c r="J49" i="65" s="1"/>
  <c r="I49" i="65" s="1"/>
  <c r="W49" i="65"/>
  <c r="V49" i="65"/>
  <c r="T49" i="65"/>
  <c r="S49" i="65"/>
  <c r="R49" i="65"/>
  <c r="P49" i="65"/>
  <c r="O49" i="65"/>
  <c r="Q49" i="65" s="1"/>
  <c r="M49" i="65"/>
  <c r="K49" i="65"/>
  <c r="H49" i="65"/>
  <c r="C49" i="65"/>
  <c r="Z48" i="65"/>
  <c r="AB48" i="65" s="1"/>
  <c r="J48" i="65" s="1"/>
  <c r="I48" i="65" s="1"/>
  <c r="W48" i="65"/>
  <c r="V48" i="65"/>
  <c r="T48" i="65"/>
  <c r="S48" i="65"/>
  <c r="R48" i="65"/>
  <c r="P48" i="65"/>
  <c r="O48" i="65"/>
  <c r="Q48" i="65" s="1"/>
  <c r="M48" i="65"/>
  <c r="K48" i="65"/>
  <c r="H48" i="65"/>
  <c r="C48" i="65"/>
  <c r="Z47" i="65"/>
  <c r="AB47" i="65" s="1"/>
  <c r="J47" i="65" s="1"/>
  <c r="W47" i="65"/>
  <c r="V47" i="65"/>
  <c r="P47" i="65"/>
  <c r="Q47" i="65" s="1"/>
  <c r="O47" i="65"/>
  <c r="M47" i="65"/>
  <c r="H47" i="65"/>
  <c r="C47" i="65"/>
  <c r="AB46" i="65"/>
  <c r="J46" i="65" s="1"/>
  <c r="Z46" i="65"/>
  <c r="W46" i="65"/>
  <c r="V46" i="65"/>
  <c r="Q46" i="65"/>
  <c r="P46" i="65"/>
  <c r="O46" i="65"/>
  <c r="M46" i="65"/>
  <c r="H46" i="65"/>
  <c r="C46" i="65"/>
  <c r="Z45" i="65"/>
  <c r="AB45" i="65" s="1"/>
  <c r="J45" i="65" s="1"/>
  <c r="W45" i="65"/>
  <c r="V45" i="65"/>
  <c r="P45" i="65"/>
  <c r="O45" i="65"/>
  <c r="Q45" i="65" s="1"/>
  <c r="M45" i="65"/>
  <c r="H45" i="65"/>
  <c r="C45" i="65"/>
  <c r="Z44" i="65"/>
  <c r="AB44" i="65" s="1"/>
  <c r="J44" i="65" s="1"/>
  <c r="K44" i="65" s="1"/>
  <c r="W44" i="65"/>
  <c r="V44" i="65"/>
  <c r="Q44" i="65"/>
  <c r="P44" i="65"/>
  <c r="O44" i="65"/>
  <c r="M44" i="65"/>
  <c r="I44" i="65"/>
  <c r="H44" i="65"/>
  <c r="C44" i="65"/>
  <c r="Z43" i="65"/>
  <c r="AB43" i="65" s="1"/>
  <c r="J43" i="65" s="1"/>
  <c r="W43" i="65"/>
  <c r="V43" i="65"/>
  <c r="P43" i="65"/>
  <c r="Q43" i="65" s="1"/>
  <c r="O43" i="65"/>
  <c r="M43" i="65"/>
  <c r="H43" i="65"/>
  <c r="C43" i="65"/>
  <c r="AB42" i="65"/>
  <c r="J42" i="65" s="1"/>
  <c r="Z42" i="65"/>
  <c r="W42" i="65"/>
  <c r="V42" i="65"/>
  <c r="T42" i="65"/>
  <c r="S42" i="65"/>
  <c r="R42" i="65"/>
  <c r="P42" i="65"/>
  <c r="Q42" i="65" s="1"/>
  <c r="O42" i="65"/>
  <c r="M42" i="65"/>
  <c r="H42" i="65"/>
  <c r="C42" i="65"/>
  <c r="AB41" i="65"/>
  <c r="J41" i="65" s="1"/>
  <c r="Z41" i="65"/>
  <c r="W41" i="65"/>
  <c r="V41" i="65"/>
  <c r="Q41" i="65"/>
  <c r="P41" i="65"/>
  <c r="O41" i="65"/>
  <c r="M41" i="65"/>
  <c r="K41" i="65"/>
  <c r="I41" i="65"/>
  <c r="H41" i="65"/>
  <c r="C41" i="65"/>
  <c r="AB39" i="65"/>
  <c r="J39" i="65" s="1"/>
  <c r="Z39" i="65"/>
  <c r="W39" i="65"/>
  <c r="V39" i="65"/>
  <c r="P39" i="65"/>
  <c r="Q39" i="65" s="1"/>
  <c r="O39" i="65"/>
  <c r="M39" i="65"/>
  <c r="H39" i="65"/>
  <c r="C39" i="65"/>
  <c r="AB38" i="65"/>
  <c r="J38" i="65" s="1"/>
  <c r="I38" i="65" s="1"/>
  <c r="Z38" i="65"/>
  <c r="W38" i="65"/>
  <c r="V38" i="65"/>
  <c r="P38" i="65"/>
  <c r="O38" i="65"/>
  <c r="Q38" i="65" s="1"/>
  <c r="M38" i="65"/>
  <c r="H38" i="65"/>
  <c r="C38" i="65"/>
  <c r="Z37" i="65"/>
  <c r="AB37" i="65" s="1"/>
  <c r="J37" i="65" s="1"/>
  <c r="W37" i="65"/>
  <c r="V37" i="65"/>
  <c r="P37" i="65"/>
  <c r="Q37" i="65" s="1"/>
  <c r="O37" i="65"/>
  <c r="M37" i="65"/>
  <c r="H37" i="65"/>
  <c r="C37" i="65"/>
  <c r="AB36" i="65"/>
  <c r="J36" i="65" s="1"/>
  <c r="Z36" i="65"/>
  <c r="W36" i="65"/>
  <c r="V36" i="65"/>
  <c r="P36" i="65"/>
  <c r="O36" i="65"/>
  <c r="Q36" i="65" s="1"/>
  <c r="M36" i="65"/>
  <c r="H36" i="65"/>
  <c r="C36" i="65"/>
  <c r="Z35" i="65"/>
  <c r="AB35" i="65" s="1"/>
  <c r="W35" i="65"/>
  <c r="V35" i="65"/>
  <c r="P35" i="65"/>
  <c r="O35" i="65"/>
  <c r="Q35" i="65" s="1"/>
  <c r="M35" i="65"/>
  <c r="J35" i="65"/>
  <c r="H35" i="65"/>
  <c r="C35" i="65"/>
  <c r="Z34" i="65"/>
  <c r="AB34" i="65" s="1"/>
  <c r="J34" i="65" s="1"/>
  <c r="K34" i="65" s="1"/>
  <c r="W34" i="65"/>
  <c r="V34" i="65"/>
  <c r="Q34" i="65"/>
  <c r="P34" i="65"/>
  <c r="O34" i="65"/>
  <c r="M34" i="65"/>
  <c r="H34" i="65"/>
  <c r="C34" i="65"/>
  <c r="Z33" i="65"/>
  <c r="AB33" i="65" s="1"/>
  <c r="J33" i="65" s="1"/>
  <c r="W33" i="65"/>
  <c r="V33" i="65"/>
  <c r="P33" i="65"/>
  <c r="Q33" i="65" s="1"/>
  <c r="O33" i="65"/>
  <c r="M33" i="65"/>
  <c r="H33" i="65"/>
  <c r="C33" i="65"/>
  <c r="AB32" i="65"/>
  <c r="J32" i="65" s="1"/>
  <c r="Z32" i="65"/>
  <c r="W32" i="65"/>
  <c r="V32" i="65"/>
  <c r="Q32" i="65"/>
  <c r="P32" i="65"/>
  <c r="O32" i="65"/>
  <c r="M32" i="65"/>
  <c r="K32" i="65"/>
  <c r="I32" i="65"/>
  <c r="H32" i="65"/>
  <c r="C32" i="65"/>
  <c r="AB31" i="65"/>
  <c r="J31" i="65" s="1"/>
  <c r="Z31" i="65"/>
  <c r="W31" i="65"/>
  <c r="V31" i="65"/>
  <c r="P31" i="65"/>
  <c r="Q31" i="65" s="1"/>
  <c r="O31" i="65"/>
  <c r="M31" i="65"/>
  <c r="H31" i="65"/>
  <c r="C31" i="65"/>
  <c r="AB30" i="65"/>
  <c r="J30" i="65" s="1"/>
  <c r="I30" i="65" s="1"/>
  <c r="Z30" i="65"/>
  <c r="W30" i="65"/>
  <c r="V30" i="65"/>
  <c r="P30" i="65"/>
  <c r="O30" i="65"/>
  <c r="Q30" i="65" s="1"/>
  <c r="M30" i="65"/>
  <c r="K30" i="65"/>
  <c r="H30" i="65"/>
  <c r="C30" i="65"/>
  <c r="Z29" i="65"/>
  <c r="AB29" i="65" s="1"/>
  <c r="W29" i="65"/>
  <c r="V29" i="65"/>
  <c r="P29" i="65"/>
  <c r="Q29" i="65" s="1"/>
  <c r="O29" i="65"/>
  <c r="M29" i="65"/>
  <c r="J29" i="65"/>
  <c r="H29" i="65"/>
  <c r="C29" i="65"/>
  <c r="AB28" i="65"/>
  <c r="J28" i="65" s="1"/>
  <c r="Z28" i="65"/>
  <c r="W28" i="65"/>
  <c r="V28" i="65"/>
  <c r="Q28" i="65"/>
  <c r="P28" i="65"/>
  <c r="O28" i="65"/>
  <c r="M28" i="65"/>
  <c r="H28" i="65"/>
  <c r="C28" i="65"/>
  <c r="Z27" i="65"/>
  <c r="AB27" i="65" s="1"/>
  <c r="J27" i="65" s="1"/>
  <c r="W27" i="65"/>
  <c r="V27" i="65"/>
  <c r="P27" i="65"/>
  <c r="O27" i="65"/>
  <c r="Q27" i="65" s="1"/>
  <c r="M27" i="65"/>
  <c r="H27" i="65"/>
  <c r="C27" i="65"/>
  <c r="Z26" i="65"/>
  <c r="AB26" i="65" s="1"/>
  <c r="J26" i="65" s="1"/>
  <c r="W26" i="65"/>
  <c r="V26" i="65"/>
  <c r="Q26" i="65"/>
  <c r="P26" i="65"/>
  <c r="O26" i="65"/>
  <c r="M26" i="65"/>
  <c r="H26" i="65"/>
  <c r="C26" i="65"/>
  <c r="Z25" i="65"/>
  <c r="AB25" i="65" s="1"/>
  <c r="J25" i="65" s="1"/>
  <c r="W25" i="65"/>
  <c r="V25" i="65"/>
  <c r="P25" i="65"/>
  <c r="Q25" i="65" s="1"/>
  <c r="O25" i="65"/>
  <c r="M25" i="65"/>
  <c r="H25" i="65"/>
  <c r="Z24" i="65"/>
  <c r="AB24" i="65" s="1"/>
  <c r="J24" i="65" s="1"/>
  <c r="W24" i="65"/>
  <c r="V24" i="65"/>
  <c r="P24" i="65"/>
  <c r="Q24" i="65" s="1"/>
  <c r="O24" i="65"/>
  <c r="M24" i="65"/>
  <c r="H24" i="65"/>
  <c r="Z23" i="65"/>
  <c r="AB23" i="65" s="1"/>
  <c r="J23" i="65" s="1"/>
  <c r="W23" i="65"/>
  <c r="V23" i="65"/>
  <c r="P23" i="65"/>
  <c r="Q23" i="65" s="1"/>
  <c r="O23" i="65"/>
  <c r="M23" i="65"/>
  <c r="H23" i="65"/>
  <c r="Z22" i="65"/>
  <c r="AB22" i="65" s="1"/>
  <c r="J22" i="65" s="1"/>
  <c r="W22" i="65"/>
  <c r="V22" i="65"/>
  <c r="P22" i="65"/>
  <c r="Q22" i="65" s="1"/>
  <c r="O22" i="65"/>
  <c r="M22" i="65"/>
  <c r="H22" i="65"/>
  <c r="Z21" i="65"/>
  <c r="AB21" i="65" s="1"/>
  <c r="J21" i="65" s="1"/>
  <c r="W21" i="65"/>
  <c r="V21" i="65"/>
  <c r="P21" i="65"/>
  <c r="Q21" i="65" s="1"/>
  <c r="O21" i="65"/>
  <c r="M21" i="65"/>
  <c r="H21" i="65"/>
  <c r="Z20" i="65"/>
  <c r="AB20" i="65" s="1"/>
  <c r="J20" i="65" s="1"/>
  <c r="W20" i="65"/>
  <c r="V20" i="65"/>
  <c r="P20" i="65"/>
  <c r="Q20" i="65" s="1"/>
  <c r="O20" i="65"/>
  <c r="M20" i="65"/>
  <c r="H20" i="65"/>
  <c r="Z19" i="65"/>
  <c r="AB19" i="65" s="1"/>
  <c r="J19" i="65" s="1"/>
  <c r="W19" i="65"/>
  <c r="V19" i="65"/>
  <c r="P19" i="65"/>
  <c r="Q19" i="65" s="1"/>
  <c r="O19" i="65"/>
  <c r="M19" i="65"/>
  <c r="H19" i="65"/>
  <c r="Z18" i="65"/>
  <c r="AB18" i="65" s="1"/>
  <c r="J18" i="65" s="1"/>
  <c r="W18" i="65"/>
  <c r="V18" i="65"/>
  <c r="P18" i="65"/>
  <c r="Q18" i="65" s="1"/>
  <c r="O18" i="65"/>
  <c r="M18" i="65"/>
  <c r="H18" i="65"/>
  <c r="Z17" i="65"/>
  <c r="AB17" i="65" s="1"/>
  <c r="J17" i="65" s="1"/>
  <c r="W17" i="65"/>
  <c r="V17" i="65"/>
  <c r="P17" i="65"/>
  <c r="Q17" i="65" s="1"/>
  <c r="O17" i="65"/>
  <c r="M17" i="65"/>
  <c r="H17" i="65"/>
  <c r="Z16" i="65"/>
  <c r="AB16" i="65" s="1"/>
  <c r="W16" i="65"/>
  <c r="V16" i="65"/>
  <c r="P16" i="65"/>
  <c r="Q16" i="65" s="1"/>
  <c r="O16" i="65"/>
  <c r="M16" i="65"/>
  <c r="J16" i="65"/>
  <c r="H16" i="65"/>
  <c r="Z15" i="65"/>
  <c r="AB15" i="65" s="1"/>
  <c r="J15" i="65" s="1"/>
  <c r="W15" i="65"/>
  <c r="V15" i="65"/>
  <c r="P15" i="65"/>
  <c r="Q15" i="65" s="1"/>
  <c r="O15" i="65"/>
  <c r="M15" i="65"/>
  <c r="H15" i="65"/>
  <c r="Z14" i="65"/>
  <c r="AB14" i="65" s="1"/>
  <c r="W14" i="65"/>
  <c r="V14" i="65"/>
  <c r="P14" i="65"/>
  <c r="Q14" i="65" s="1"/>
  <c r="O14" i="65"/>
  <c r="M14" i="65"/>
  <c r="J14" i="65"/>
  <c r="H14" i="65"/>
  <c r="Z13" i="65"/>
  <c r="AB13" i="65" s="1"/>
  <c r="J13" i="65" s="1"/>
  <c r="W13" i="65"/>
  <c r="V13" i="65"/>
  <c r="P13" i="65"/>
  <c r="Q13" i="65" s="1"/>
  <c r="O13" i="65"/>
  <c r="M13" i="65"/>
  <c r="H13" i="65"/>
  <c r="Z12" i="65"/>
  <c r="AB12" i="65" s="1"/>
  <c r="W12" i="65"/>
  <c r="V12" i="65"/>
  <c r="P12" i="65"/>
  <c r="Q12" i="65" s="1"/>
  <c r="O12" i="65"/>
  <c r="M12" i="65"/>
  <c r="J12" i="65"/>
  <c r="H12" i="65"/>
  <c r="Z11" i="65"/>
  <c r="AB11" i="65" s="1"/>
  <c r="J11" i="65" s="1"/>
  <c r="W11" i="65"/>
  <c r="V11" i="65"/>
  <c r="P11" i="65"/>
  <c r="Q11" i="65" s="1"/>
  <c r="O11" i="65"/>
  <c r="M11" i="65"/>
  <c r="H11" i="65"/>
  <c r="Z10" i="65"/>
  <c r="AB10" i="65" s="1"/>
  <c r="W10" i="65"/>
  <c r="V10" i="65"/>
  <c r="P10" i="65"/>
  <c r="Q10" i="65" s="1"/>
  <c r="O10" i="65"/>
  <c r="M10" i="65"/>
  <c r="J10" i="65"/>
  <c r="H10" i="65"/>
  <c r="Z9" i="65"/>
  <c r="AB9" i="65" s="1"/>
  <c r="J9" i="65" s="1"/>
  <c r="W9" i="65"/>
  <c r="V9" i="65"/>
  <c r="P9" i="65"/>
  <c r="Q9" i="65" s="1"/>
  <c r="O9" i="65"/>
  <c r="M9" i="65"/>
  <c r="H9" i="65"/>
  <c r="Z8" i="65"/>
  <c r="AB8" i="65" s="1"/>
  <c r="J8" i="65" s="1"/>
  <c r="W8" i="65"/>
  <c r="V8" i="65"/>
  <c r="P8" i="65"/>
  <c r="Q8" i="65" s="1"/>
  <c r="O8" i="65"/>
  <c r="M8" i="65"/>
  <c r="H8" i="65"/>
  <c r="Z7" i="65"/>
  <c r="AB7" i="65" s="1"/>
  <c r="J7" i="65" s="1"/>
  <c r="W7" i="65"/>
  <c r="V7" i="65"/>
  <c r="P7" i="65"/>
  <c r="Q7" i="65" s="1"/>
  <c r="O7" i="65"/>
  <c r="M7" i="65"/>
  <c r="H7" i="65"/>
  <c r="Z6" i="65"/>
  <c r="AB6" i="65" s="1"/>
  <c r="J6" i="65" s="1"/>
  <c r="W6" i="65"/>
  <c r="V6" i="65"/>
  <c r="P6" i="65"/>
  <c r="Q6" i="65" s="1"/>
  <c r="O6" i="65"/>
  <c r="M6" i="65"/>
  <c r="H6" i="65"/>
  <c r="Z5" i="65"/>
  <c r="AB5" i="65" s="1"/>
  <c r="J5" i="65" s="1"/>
  <c r="W5" i="65"/>
  <c r="V5" i="65"/>
  <c r="P5" i="65"/>
  <c r="Q5" i="65" s="1"/>
  <c r="O5" i="65"/>
  <c r="M5" i="65"/>
  <c r="H5" i="65"/>
  <c r="Z4" i="65"/>
  <c r="AB4" i="65" s="1"/>
  <c r="J4" i="65" s="1"/>
  <c r="W4" i="65"/>
  <c r="W3" i="65" s="1"/>
  <c r="V4" i="65"/>
  <c r="P4" i="65"/>
  <c r="Q4" i="65" s="1"/>
  <c r="O4" i="65"/>
  <c r="M4" i="65"/>
  <c r="H4" i="65"/>
  <c r="AE3" i="65"/>
  <c r="U3" i="65"/>
  <c r="O3" i="65"/>
  <c r="G3" i="65"/>
  <c r="H3" i="65" s="1"/>
  <c r="F3" i="65"/>
  <c r="D3" i="65"/>
  <c r="C3" i="65"/>
  <c r="B3" i="65"/>
  <c r="A2" i="65"/>
  <c r="A1" i="65"/>
  <c r="Z56" i="64"/>
  <c r="AB56" i="64" s="1"/>
  <c r="J56" i="64" s="1"/>
  <c r="W56" i="64"/>
  <c r="V56" i="64"/>
  <c r="T56" i="64"/>
  <c r="S56" i="64"/>
  <c r="R56" i="64"/>
  <c r="Q56" i="64"/>
  <c r="P56" i="64"/>
  <c r="O56" i="64"/>
  <c r="M56" i="64"/>
  <c r="H56" i="64"/>
  <c r="C56" i="64"/>
  <c r="Z55" i="64"/>
  <c r="AB55" i="64" s="1"/>
  <c r="J55" i="64" s="1"/>
  <c r="W55" i="64"/>
  <c r="V55" i="64"/>
  <c r="P55" i="64"/>
  <c r="Q55" i="64" s="1"/>
  <c r="O55" i="64"/>
  <c r="M55" i="64"/>
  <c r="H55" i="64"/>
  <c r="C55" i="64"/>
  <c r="AB54" i="64"/>
  <c r="J54" i="64" s="1"/>
  <c r="Z54" i="64"/>
  <c r="W54" i="64"/>
  <c r="V54" i="64"/>
  <c r="T54" i="64"/>
  <c r="S54" i="64"/>
  <c r="R54" i="64"/>
  <c r="Q54" i="64"/>
  <c r="P54" i="64"/>
  <c r="O54" i="64"/>
  <c r="M54" i="64"/>
  <c r="H54" i="64"/>
  <c r="C54" i="64"/>
  <c r="AB53" i="64"/>
  <c r="J53" i="64" s="1"/>
  <c r="Z53" i="64"/>
  <c r="W53" i="64"/>
  <c r="V53" i="64"/>
  <c r="T53" i="64"/>
  <c r="S53" i="64"/>
  <c r="R53" i="64"/>
  <c r="P53" i="64"/>
  <c r="Q53" i="64" s="1"/>
  <c r="O53" i="64"/>
  <c r="M53" i="64"/>
  <c r="H53" i="64"/>
  <c r="C53" i="64"/>
  <c r="AB52" i="64"/>
  <c r="J52" i="64" s="1"/>
  <c r="Z52" i="64"/>
  <c r="W52" i="64"/>
  <c r="V52" i="64"/>
  <c r="T52" i="64"/>
  <c r="S52" i="64"/>
  <c r="R52" i="64"/>
  <c r="Q52" i="64"/>
  <c r="P52" i="64"/>
  <c r="O52" i="64"/>
  <c r="M52" i="64"/>
  <c r="H52" i="64"/>
  <c r="C52" i="64"/>
  <c r="AB51" i="64"/>
  <c r="J51" i="64" s="1"/>
  <c r="Z51" i="64"/>
  <c r="W51" i="64"/>
  <c r="V51" i="64"/>
  <c r="T51" i="64"/>
  <c r="S51" i="64"/>
  <c r="R51" i="64"/>
  <c r="P51" i="64"/>
  <c r="Q51" i="64" s="1"/>
  <c r="O51" i="64"/>
  <c r="M51" i="64"/>
  <c r="H51" i="64"/>
  <c r="C51" i="64"/>
  <c r="AB50" i="64"/>
  <c r="J50" i="64" s="1"/>
  <c r="Z50" i="64"/>
  <c r="W50" i="64"/>
  <c r="V50" i="64"/>
  <c r="T50" i="64"/>
  <c r="S50" i="64"/>
  <c r="R50" i="64"/>
  <c r="P50" i="64"/>
  <c r="Q50" i="64" s="1"/>
  <c r="O50" i="64"/>
  <c r="M50" i="64"/>
  <c r="H50" i="64"/>
  <c r="C50" i="64"/>
  <c r="AB49" i="64"/>
  <c r="J49" i="64" s="1"/>
  <c r="Z49" i="64"/>
  <c r="W49" i="64"/>
  <c r="V49" i="64"/>
  <c r="T49" i="64"/>
  <c r="S49" i="64"/>
  <c r="R49" i="64"/>
  <c r="P49" i="64"/>
  <c r="Q49" i="64" s="1"/>
  <c r="O49" i="64"/>
  <c r="M49" i="64"/>
  <c r="H49" i="64"/>
  <c r="C49" i="64"/>
  <c r="AB48" i="64"/>
  <c r="J48" i="64" s="1"/>
  <c r="Z48" i="64"/>
  <c r="W48" i="64"/>
  <c r="V48" i="64"/>
  <c r="T48" i="64"/>
  <c r="S48" i="64"/>
  <c r="R48" i="64"/>
  <c r="P48" i="64"/>
  <c r="Q48" i="64" s="1"/>
  <c r="O48" i="64"/>
  <c r="M48" i="64"/>
  <c r="H48" i="64"/>
  <c r="C48" i="64"/>
  <c r="AB47" i="64"/>
  <c r="J47" i="64" s="1"/>
  <c r="Z47" i="64"/>
  <c r="W47" i="64"/>
  <c r="V47" i="64"/>
  <c r="Q47" i="64"/>
  <c r="P47" i="64"/>
  <c r="O47" i="64"/>
  <c r="M47" i="64"/>
  <c r="K47" i="64"/>
  <c r="I47" i="64"/>
  <c r="H47" i="64"/>
  <c r="C47" i="64"/>
  <c r="AB46" i="64"/>
  <c r="J46" i="64" s="1"/>
  <c r="Z46" i="64"/>
  <c r="W46" i="64"/>
  <c r="V46" i="64"/>
  <c r="P46" i="64"/>
  <c r="Q46" i="64" s="1"/>
  <c r="O46" i="64"/>
  <c r="M46" i="64"/>
  <c r="H46" i="64"/>
  <c r="C46" i="64"/>
  <c r="AB45" i="64"/>
  <c r="J45" i="64" s="1"/>
  <c r="I45" i="64" s="1"/>
  <c r="Z45" i="64"/>
  <c r="W45" i="64"/>
  <c r="V45" i="64"/>
  <c r="P45" i="64"/>
  <c r="O45" i="64"/>
  <c r="Q45" i="64" s="1"/>
  <c r="M45" i="64"/>
  <c r="H45" i="64"/>
  <c r="C45" i="64"/>
  <c r="Z44" i="64"/>
  <c r="AB44" i="64" s="1"/>
  <c r="J44" i="64" s="1"/>
  <c r="W44" i="64"/>
  <c r="V44" i="64"/>
  <c r="P44" i="64"/>
  <c r="Q44" i="64" s="1"/>
  <c r="O44" i="64"/>
  <c r="M44" i="64"/>
  <c r="H44" i="64"/>
  <c r="C44" i="64"/>
  <c r="AB43" i="64"/>
  <c r="J43" i="64" s="1"/>
  <c r="Z43" i="64"/>
  <c r="W43" i="64"/>
  <c r="V43" i="64"/>
  <c r="P43" i="64"/>
  <c r="O43" i="64"/>
  <c r="Q43" i="64" s="1"/>
  <c r="M43" i="64"/>
  <c r="H43" i="64"/>
  <c r="C43" i="64"/>
  <c r="Z42" i="64"/>
  <c r="AB42" i="64" s="1"/>
  <c r="J42" i="64" s="1"/>
  <c r="W42" i="64"/>
  <c r="V42" i="64"/>
  <c r="T42" i="64"/>
  <c r="S42" i="64"/>
  <c r="R42" i="64"/>
  <c r="Q42" i="64"/>
  <c r="P42" i="64"/>
  <c r="O42" i="64"/>
  <c r="M42" i="64"/>
  <c r="H42" i="64"/>
  <c r="C42" i="64"/>
  <c r="Z41" i="64"/>
  <c r="AB41" i="64" s="1"/>
  <c r="J41" i="64" s="1"/>
  <c r="W41" i="64"/>
  <c r="V41" i="64"/>
  <c r="P41" i="64"/>
  <c r="O41" i="64"/>
  <c r="Q41" i="64" s="1"/>
  <c r="M41" i="64"/>
  <c r="H41" i="64"/>
  <c r="C41" i="64"/>
  <c r="Z39" i="64"/>
  <c r="AB39" i="64" s="1"/>
  <c r="J39" i="64" s="1"/>
  <c r="W39" i="64"/>
  <c r="V39" i="64"/>
  <c r="Q39" i="64"/>
  <c r="P39" i="64"/>
  <c r="O39" i="64"/>
  <c r="M39" i="64"/>
  <c r="H39" i="64"/>
  <c r="C39" i="64"/>
  <c r="Z38" i="64"/>
  <c r="AB38" i="64" s="1"/>
  <c r="J38" i="64" s="1"/>
  <c r="W38" i="64"/>
  <c r="V38" i="64"/>
  <c r="P38" i="64"/>
  <c r="Q38" i="64" s="1"/>
  <c r="O38" i="64"/>
  <c r="M38" i="64"/>
  <c r="H38" i="64"/>
  <c r="C38" i="64"/>
  <c r="AB37" i="64"/>
  <c r="J37" i="64" s="1"/>
  <c r="I37" i="64" s="1"/>
  <c r="Z37" i="64"/>
  <c r="W37" i="64"/>
  <c r="V37" i="64"/>
  <c r="Q37" i="64"/>
  <c r="P37" i="64"/>
  <c r="O37" i="64"/>
  <c r="M37" i="64"/>
  <c r="K37" i="64"/>
  <c r="H37" i="64"/>
  <c r="C37" i="64"/>
  <c r="AB36" i="64"/>
  <c r="J36" i="64" s="1"/>
  <c r="K36" i="64" s="1"/>
  <c r="Z36" i="64"/>
  <c r="W36" i="64"/>
  <c r="V36" i="64"/>
  <c r="P36" i="64"/>
  <c r="Q36" i="64" s="1"/>
  <c r="O36" i="64"/>
  <c r="M36" i="64"/>
  <c r="H36" i="64"/>
  <c r="C36" i="64"/>
  <c r="AB35" i="64"/>
  <c r="J35" i="64" s="1"/>
  <c r="I35" i="64" s="1"/>
  <c r="Z35" i="64"/>
  <c r="W35" i="64"/>
  <c r="V35" i="64"/>
  <c r="P35" i="64"/>
  <c r="O35" i="64"/>
  <c r="Q35" i="64" s="1"/>
  <c r="M35" i="64"/>
  <c r="K35" i="64"/>
  <c r="H35" i="64"/>
  <c r="C35" i="64"/>
  <c r="AB34" i="64"/>
  <c r="Z34" i="64"/>
  <c r="W34" i="64"/>
  <c r="V34" i="64"/>
  <c r="P34" i="64"/>
  <c r="Q34" i="64" s="1"/>
  <c r="O34" i="64"/>
  <c r="M34" i="64"/>
  <c r="J34" i="64"/>
  <c r="I34" i="64" s="1"/>
  <c r="H34" i="64"/>
  <c r="C34" i="64"/>
  <c r="AB33" i="64"/>
  <c r="J33" i="64" s="1"/>
  <c r="Z33" i="64"/>
  <c r="W33" i="64"/>
  <c r="V33" i="64"/>
  <c r="Q33" i="64"/>
  <c r="P33" i="64"/>
  <c r="O33" i="64"/>
  <c r="M33" i="64"/>
  <c r="H33" i="64"/>
  <c r="C33" i="64"/>
  <c r="Z32" i="64"/>
  <c r="AB32" i="64" s="1"/>
  <c r="J32" i="64" s="1"/>
  <c r="W32" i="64"/>
  <c r="V32" i="64"/>
  <c r="P32" i="64"/>
  <c r="O32" i="64"/>
  <c r="Q32" i="64" s="1"/>
  <c r="M32" i="64"/>
  <c r="H32" i="64"/>
  <c r="C32" i="64"/>
  <c r="Z31" i="64"/>
  <c r="AB31" i="64" s="1"/>
  <c r="J31" i="64" s="1"/>
  <c r="W31" i="64"/>
  <c r="V31" i="64"/>
  <c r="Q31" i="64"/>
  <c r="P31" i="64"/>
  <c r="O31" i="64"/>
  <c r="M31" i="64"/>
  <c r="H31" i="64"/>
  <c r="C31" i="64"/>
  <c r="Z30" i="64"/>
  <c r="AB30" i="64" s="1"/>
  <c r="J30" i="64" s="1"/>
  <c r="W30" i="64"/>
  <c r="V30" i="64"/>
  <c r="P30" i="64"/>
  <c r="Q30" i="64" s="1"/>
  <c r="O30" i="64"/>
  <c r="M30" i="64"/>
  <c r="H30" i="64"/>
  <c r="C30" i="64"/>
  <c r="AB29" i="64"/>
  <c r="J29" i="64" s="1"/>
  <c r="Z29" i="64"/>
  <c r="W29" i="64"/>
  <c r="V29" i="64"/>
  <c r="Q29" i="64"/>
  <c r="P29" i="64"/>
  <c r="O29" i="64"/>
  <c r="M29" i="64"/>
  <c r="K29" i="64"/>
  <c r="I29" i="64"/>
  <c r="H29" i="64"/>
  <c r="C29" i="64"/>
  <c r="AB28" i="64"/>
  <c r="J28" i="64" s="1"/>
  <c r="K28" i="64" s="1"/>
  <c r="Z28" i="64"/>
  <c r="W28" i="64"/>
  <c r="V28" i="64"/>
  <c r="P28" i="64"/>
  <c r="Q28" i="64" s="1"/>
  <c r="O28" i="64"/>
  <c r="M28" i="64"/>
  <c r="I28" i="64"/>
  <c r="H28" i="64"/>
  <c r="C28" i="64"/>
  <c r="AB27" i="64"/>
  <c r="J27" i="64" s="1"/>
  <c r="I27" i="64" s="1"/>
  <c r="Z27" i="64"/>
  <c r="W27" i="64"/>
  <c r="V27" i="64"/>
  <c r="P27" i="64"/>
  <c r="O27" i="64"/>
  <c r="Q27" i="64" s="1"/>
  <c r="M27" i="64"/>
  <c r="H27" i="64"/>
  <c r="C27" i="64"/>
  <c r="Z26" i="64"/>
  <c r="AB26" i="64" s="1"/>
  <c r="J26" i="64" s="1"/>
  <c r="W26" i="64"/>
  <c r="V26" i="64"/>
  <c r="P26" i="64"/>
  <c r="Q26" i="64" s="1"/>
  <c r="O26" i="64"/>
  <c r="M26" i="64"/>
  <c r="H26" i="64"/>
  <c r="C26" i="64"/>
  <c r="AB25" i="64"/>
  <c r="J25" i="64" s="1"/>
  <c r="Z25" i="64"/>
  <c r="W25" i="64"/>
  <c r="V25" i="64"/>
  <c r="P25" i="64"/>
  <c r="O25" i="64"/>
  <c r="Q25" i="64" s="1"/>
  <c r="M25" i="64"/>
  <c r="H25" i="64"/>
  <c r="Z24" i="64"/>
  <c r="AB24" i="64" s="1"/>
  <c r="J24" i="64" s="1"/>
  <c r="W24" i="64"/>
  <c r="V24" i="64"/>
  <c r="Q24" i="64"/>
  <c r="P24" i="64"/>
  <c r="O24" i="64"/>
  <c r="M24" i="64"/>
  <c r="H24" i="64"/>
  <c r="AB23" i="64"/>
  <c r="J23" i="64" s="1"/>
  <c r="I23" i="64" s="1"/>
  <c r="Z23" i="64"/>
  <c r="W23" i="64"/>
  <c r="V23" i="64"/>
  <c r="P23" i="64"/>
  <c r="Q23" i="64" s="1"/>
  <c r="O23" i="64"/>
  <c r="M23" i="64"/>
  <c r="K23" i="64"/>
  <c r="H23" i="64"/>
  <c r="AB22" i="64"/>
  <c r="J22" i="64" s="1"/>
  <c r="Z22" i="64"/>
  <c r="W22" i="64"/>
  <c r="V22" i="64"/>
  <c r="Q22" i="64"/>
  <c r="P22" i="64"/>
  <c r="O22" i="64"/>
  <c r="M22" i="64"/>
  <c r="H22" i="64"/>
  <c r="AB21" i="64"/>
  <c r="J21" i="64" s="1"/>
  <c r="I21" i="64" s="1"/>
  <c r="Z21" i="64"/>
  <c r="W21" i="64"/>
  <c r="V21" i="64"/>
  <c r="P21" i="64"/>
  <c r="Q21" i="64" s="1"/>
  <c r="O21" i="64"/>
  <c r="M21" i="64"/>
  <c r="K21" i="64"/>
  <c r="H21" i="64"/>
  <c r="Z20" i="64"/>
  <c r="AB20" i="64" s="1"/>
  <c r="J20" i="64" s="1"/>
  <c r="K20" i="64" s="1"/>
  <c r="W20" i="64"/>
  <c r="V20" i="64"/>
  <c r="Q20" i="64"/>
  <c r="P20" i="64"/>
  <c r="O20" i="64"/>
  <c r="M20" i="64"/>
  <c r="H20" i="64"/>
  <c r="AB19" i="64"/>
  <c r="J19" i="64" s="1"/>
  <c r="I19" i="64" s="1"/>
  <c r="Z19" i="64"/>
  <c r="W19" i="64"/>
  <c r="V19" i="64"/>
  <c r="P19" i="64"/>
  <c r="O19" i="64"/>
  <c r="Q19" i="64" s="1"/>
  <c r="M19" i="64"/>
  <c r="K19" i="64"/>
  <c r="H19" i="64"/>
  <c r="Z18" i="64"/>
  <c r="AB18" i="64" s="1"/>
  <c r="J18" i="64" s="1"/>
  <c r="W18" i="64"/>
  <c r="V18" i="64"/>
  <c r="Q18" i="64"/>
  <c r="P18" i="64"/>
  <c r="O18" i="64"/>
  <c r="M18" i="64"/>
  <c r="H18" i="64"/>
  <c r="AB17" i="64"/>
  <c r="J17" i="64" s="1"/>
  <c r="I17" i="64" s="1"/>
  <c r="Z17" i="64"/>
  <c r="W17" i="64"/>
  <c r="V17" i="64"/>
  <c r="P17" i="64"/>
  <c r="O17" i="64"/>
  <c r="Q17" i="64" s="1"/>
  <c r="M17" i="64"/>
  <c r="H17" i="64"/>
  <c r="Z16" i="64"/>
  <c r="AB16" i="64" s="1"/>
  <c r="J16" i="64" s="1"/>
  <c r="W16" i="64"/>
  <c r="V16" i="64"/>
  <c r="Q16" i="64"/>
  <c r="P16" i="64"/>
  <c r="O16" i="64"/>
  <c r="M16" i="64"/>
  <c r="H16" i="64"/>
  <c r="AB15" i="64"/>
  <c r="J15" i="64" s="1"/>
  <c r="I15" i="64" s="1"/>
  <c r="Z15" i="64"/>
  <c r="W15" i="64"/>
  <c r="V15" i="64"/>
  <c r="P15" i="64"/>
  <c r="Q15" i="64" s="1"/>
  <c r="O15" i="64"/>
  <c r="M15" i="64"/>
  <c r="K15" i="64"/>
  <c r="H15" i="64"/>
  <c r="Z14" i="64"/>
  <c r="AB14" i="64" s="1"/>
  <c r="W14" i="64"/>
  <c r="V14" i="64"/>
  <c r="Q14" i="64"/>
  <c r="P14" i="64"/>
  <c r="O14" i="64"/>
  <c r="M14" i="64"/>
  <c r="J14" i="64"/>
  <c r="H14" i="64"/>
  <c r="AB13" i="64"/>
  <c r="J13" i="64" s="1"/>
  <c r="I13" i="64" s="1"/>
  <c r="Z13" i="64"/>
  <c r="W13" i="64"/>
  <c r="V13" i="64"/>
  <c r="Q13" i="64"/>
  <c r="P13" i="64"/>
  <c r="O13" i="64"/>
  <c r="M13" i="64"/>
  <c r="K13" i="64"/>
  <c r="H13" i="64"/>
  <c r="Z12" i="64"/>
  <c r="AB12" i="64" s="1"/>
  <c r="J12" i="64" s="1"/>
  <c r="K12" i="64" s="1"/>
  <c r="W12" i="64"/>
  <c r="V12" i="64"/>
  <c r="Q12" i="64"/>
  <c r="P12" i="64"/>
  <c r="O12" i="64"/>
  <c r="M12" i="64"/>
  <c r="I12" i="64"/>
  <c r="H12" i="64"/>
  <c r="AB11" i="64"/>
  <c r="J11" i="64" s="1"/>
  <c r="I11" i="64" s="1"/>
  <c r="Z11" i="64"/>
  <c r="W11" i="64"/>
  <c r="V11" i="64"/>
  <c r="P11" i="64"/>
  <c r="O11" i="64"/>
  <c r="Q11" i="64" s="1"/>
  <c r="M11" i="64"/>
  <c r="K11" i="64"/>
  <c r="H11" i="64"/>
  <c r="Z10" i="64"/>
  <c r="AB10" i="64" s="1"/>
  <c r="J10" i="64" s="1"/>
  <c r="W10" i="64"/>
  <c r="V10" i="64"/>
  <c r="Q10" i="64"/>
  <c r="P10" i="64"/>
  <c r="O10" i="64"/>
  <c r="M10" i="64"/>
  <c r="H10" i="64"/>
  <c r="AB9" i="64"/>
  <c r="J9" i="64" s="1"/>
  <c r="I9" i="64" s="1"/>
  <c r="Z9" i="64"/>
  <c r="W9" i="64"/>
  <c r="V9" i="64"/>
  <c r="P9" i="64"/>
  <c r="O9" i="64"/>
  <c r="Q9" i="64" s="1"/>
  <c r="M9" i="64"/>
  <c r="H9" i="64"/>
  <c r="Z8" i="64"/>
  <c r="AB8" i="64" s="1"/>
  <c r="J8" i="64" s="1"/>
  <c r="W8" i="64"/>
  <c r="V8" i="64"/>
  <c r="Q8" i="64"/>
  <c r="P8" i="64"/>
  <c r="O8" i="64"/>
  <c r="M8" i="64"/>
  <c r="H8" i="64"/>
  <c r="AB7" i="64"/>
  <c r="J7" i="64" s="1"/>
  <c r="I7" i="64" s="1"/>
  <c r="Z7" i="64"/>
  <c r="W7" i="64"/>
  <c r="V7" i="64"/>
  <c r="P7" i="64"/>
  <c r="Q7" i="64" s="1"/>
  <c r="O7" i="64"/>
  <c r="M7" i="64"/>
  <c r="K7" i="64"/>
  <c r="H7" i="64"/>
  <c r="AB6" i="64"/>
  <c r="J6" i="64" s="1"/>
  <c r="Z6" i="64"/>
  <c r="W6" i="64"/>
  <c r="V6" i="64"/>
  <c r="Q6" i="64"/>
  <c r="P6" i="64"/>
  <c r="O6" i="64"/>
  <c r="M6" i="64"/>
  <c r="H6" i="64"/>
  <c r="AB5" i="64"/>
  <c r="J5" i="64" s="1"/>
  <c r="I5" i="64" s="1"/>
  <c r="Z5" i="64"/>
  <c r="W5" i="64"/>
  <c r="V5" i="64"/>
  <c r="P5" i="64"/>
  <c r="Q5" i="64" s="1"/>
  <c r="O5" i="64"/>
  <c r="M5" i="64"/>
  <c r="K5" i="64"/>
  <c r="H5" i="64"/>
  <c r="AB4" i="64"/>
  <c r="J4" i="64" s="1"/>
  <c r="Z4" i="64"/>
  <c r="W4" i="64"/>
  <c r="V4" i="64"/>
  <c r="V3" i="64" s="1"/>
  <c r="Q4" i="64"/>
  <c r="P4" i="64"/>
  <c r="O4" i="64"/>
  <c r="M4" i="64"/>
  <c r="I4" i="64"/>
  <c r="H4" i="64"/>
  <c r="AE3" i="64"/>
  <c r="U3" i="64"/>
  <c r="O3" i="64"/>
  <c r="H3" i="64"/>
  <c r="G3" i="64"/>
  <c r="F3" i="64"/>
  <c r="D3" i="64"/>
  <c r="C3" i="64"/>
  <c r="B3" i="64"/>
  <c r="A2" i="64"/>
  <c r="A1" i="64"/>
  <c r="AB56" i="63"/>
  <c r="Z56" i="63"/>
  <c r="W56" i="63"/>
  <c r="V56" i="63"/>
  <c r="T56" i="63"/>
  <c r="S56" i="63"/>
  <c r="R56" i="63"/>
  <c r="P56" i="63"/>
  <c r="O56" i="63"/>
  <c r="M56" i="63"/>
  <c r="K56" i="63"/>
  <c r="J56" i="63"/>
  <c r="I56" i="63"/>
  <c r="H56" i="63"/>
  <c r="C56" i="63"/>
  <c r="AB55" i="63"/>
  <c r="J55" i="63" s="1"/>
  <c r="I55" i="63" s="1"/>
  <c r="Z55" i="63"/>
  <c r="W55" i="63"/>
  <c r="V55" i="63"/>
  <c r="P55" i="63"/>
  <c r="Q55" i="63" s="1"/>
  <c r="O55" i="63"/>
  <c r="M55" i="63"/>
  <c r="K55" i="63"/>
  <c r="H55" i="63"/>
  <c r="C55" i="63"/>
  <c r="AB54" i="63"/>
  <c r="J54" i="63" s="1"/>
  <c r="Z54" i="63"/>
  <c r="W54" i="63"/>
  <c r="V54" i="63"/>
  <c r="T54" i="63"/>
  <c r="S54" i="63"/>
  <c r="R54" i="63"/>
  <c r="P54" i="63"/>
  <c r="Q54" i="63" s="1"/>
  <c r="O54" i="63"/>
  <c r="M54" i="63"/>
  <c r="H54" i="63"/>
  <c r="C54" i="63"/>
  <c r="Z53" i="63"/>
  <c r="AB53" i="63" s="1"/>
  <c r="J53" i="63" s="1"/>
  <c r="W53" i="63"/>
  <c r="V53" i="63"/>
  <c r="T53" i="63"/>
  <c r="S53" i="63"/>
  <c r="R53" i="63"/>
  <c r="P53" i="63"/>
  <c r="O53" i="63"/>
  <c r="Q53" i="63" s="1"/>
  <c r="M53" i="63"/>
  <c r="H53" i="63"/>
  <c r="C53" i="63"/>
  <c r="Z52" i="63"/>
  <c r="AB52" i="63" s="1"/>
  <c r="J52" i="63" s="1"/>
  <c r="I52" i="63" s="1"/>
  <c r="W52" i="63"/>
  <c r="V52" i="63"/>
  <c r="T52" i="63"/>
  <c r="S52" i="63"/>
  <c r="R52" i="63"/>
  <c r="P52" i="63"/>
  <c r="O52" i="63"/>
  <c r="Q52" i="63" s="1"/>
  <c r="M52" i="63"/>
  <c r="H52" i="63"/>
  <c r="C52" i="63"/>
  <c r="AB51" i="63"/>
  <c r="J51" i="63" s="1"/>
  <c r="I51" i="63" s="1"/>
  <c r="Z51" i="63"/>
  <c r="W51" i="63"/>
  <c r="V51" i="63"/>
  <c r="T51" i="63"/>
  <c r="S51" i="63"/>
  <c r="R51" i="63"/>
  <c r="P51" i="63"/>
  <c r="Q51" i="63" s="1"/>
  <c r="O51" i="63"/>
  <c r="M51" i="63"/>
  <c r="H51" i="63"/>
  <c r="C51" i="63"/>
  <c r="AB50" i="63"/>
  <c r="J50" i="63" s="1"/>
  <c r="Z50" i="63"/>
  <c r="W50" i="63"/>
  <c r="V50" i="63"/>
  <c r="T50" i="63"/>
  <c r="S50" i="63"/>
  <c r="R50" i="63"/>
  <c r="P50" i="63"/>
  <c r="Q50" i="63" s="1"/>
  <c r="O50" i="63"/>
  <c r="M50" i="63"/>
  <c r="H50" i="63"/>
  <c r="C50" i="63"/>
  <c r="Z49" i="63"/>
  <c r="AB49" i="63" s="1"/>
  <c r="J49" i="63" s="1"/>
  <c r="W49" i="63"/>
  <c r="V49" i="63"/>
  <c r="T49" i="63"/>
  <c r="S49" i="63"/>
  <c r="R49" i="63"/>
  <c r="P49" i="63"/>
  <c r="O49" i="63"/>
  <c r="Q49" i="63" s="1"/>
  <c r="M49" i="63"/>
  <c r="H49" i="63"/>
  <c r="C49" i="63"/>
  <c r="Z48" i="63"/>
  <c r="AB48" i="63" s="1"/>
  <c r="J48" i="63" s="1"/>
  <c r="I48" i="63" s="1"/>
  <c r="W48" i="63"/>
  <c r="V48" i="63"/>
  <c r="T48" i="63"/>
  <c r="S48" i="63"/>
  <c r="R48" i="63"/>
  <c r="P48" i="63"/>
  <c r="O48" i="63"/>
  <c r="Q48" i="63" s="1"/>
  <c r="M48" i="63"/>
  <c r="H48" i="63"/>
  <c r="C48" i="63"/>
  <c r="AB47" i="63"/>
  <c r="Z47" i="63"/>
  <c r="W47" i="63"/>
  <c r="V47" i="63"/>
  <c r="P47" i="63"/>
  <c r="O47" i="63"/>
  <c r="Q47" i="63" s="1"/>
  <c r="M47" i="63"/>
  <c r="J47" i="63"/>
  <c r="I47" i="63" s="1"/>
  <c r="H47" i="63"/>
  <c r="C47" i="63"/>
  <c r="Z46" i="63"/>
  <c r="AB46" i="63" s="1"/>
  <c r="J46" i="63" s="1"/>
  <c r="W46" i="63"/>
  <c r="V46" i="63"/>
  <c r="Q46" i="63"/>
  <c r="P46" i="63"/>
  <c r="O46" i="63"/>
  <c r="M46" i="63"/>
  <c r="H46" i="63"/>
  <c r="C46" i="63"/>
  <c r="Z45" i="63"/>
  <c r="AB45" i="63" s="1"/>
  <c r="W45" i="63"/>
  <c r="V45" i="63"/>
  <c r="P45" i="63"/>
  <c r="O45" i="63"/>
  <c r="Q45" i="63" s="1"/>
  <c r="M45" i="63"/>
  <c r="J45" i="63"/>
  <c r="H45" i="63"/>
  <c r="C45" i="63"/>
  <c r="AB44" i="63"/>
  <c r="J44" i="63" s="1"/>
  <c r="Z44" i="63"/>
  <c r="W44" i="63"/>
  <c r="V44" i="63"/>
  <c r="Q44" i="63"/>
  <c r="P44" i="63"/>
  <c r="O44" i="63"/>
  <c r="M44" i="63"/>
  <c r="H44" i="63"/>
  <c r="C44" i="63"/>
  <c r="AB43" i="63"/>
  <c r="J43" i="63" s="1"/>
  <c r="K43" i="63" s="1"/>
  <c r="Z43" i="63"/>
  <c r="W43" i="63"/>
  <c r="V43" i="63"/>
  <c r="Q43" i="63"/>
  <c r="P43" i="63"/>
  <c r="O43" i="63"/>
  <c r="M43" i="63"/>
  <c r="I43" i="63"/>
  <c r="H43" i="63"/>
  <c r="C43" i="63"/>
  <c r="AB42" i="63"/>
  <c r="J42" i="63" s="1"/>
  <c r="K42" i="63" s="1"/>
  <c r="Z42" i="63"/>
  <c r="W42" i="63"/>
  <c r="V42" i="63"/>
  <c r="T42" i="63"/>
  <c r="S42" i="63"/>
  <c r="R42" i="63"/>
  <c r="P42" i="63"/>
  <c r="Q42" i="63" s="1"/>
  <c r="O42" i="63"/>
  <c r="M42" i="63"/>
  <c r="H42" i="63"/>
  <c r="C42" i="63"/>
  <c r="AB41" i="63"/>
  <c r="J41" i="63" s="1"/>
  <c r="Z41" i="63"/>
  <c r="W41" i="63"/>
  <c r="V41" i="63"/>
  <c r="P41" i="63"/>
  <c r="O41" i="63"/>
  <c r="Q41" i="63" s="1"/>
  <c r="M41" i="63"/>
  <c r="K41" i="63"/>
  <c r="I41" i="63"/>
  <c r="H41" i="63"/>
  <c r="C41" i="63"/>
  <c r="AB39" i="63"/>
  <c r="Z39" i="63"/>
  <c r="W39" i="63"/>
  <c r="V39" i="63"/>
  <c r="P39" i="63"/>
  <c r="Q39" i="63" s="1"/>
  <c r="O39" i="63"/>
  <c r="M39" i="63"/>
  <c r="K39" i="63"/>
  <c r="J39" i="63"/>
  <c r="I39" i="63" s="1"/>
  <c r="H39" i="63"/>
  <c r="C39" i="63"/>
  <c r="AB38" i="63"/>
  <c r="J38" i="63" s="1"/>
  <c r="I38" i="63" s="1"/>
  <c r="Z38" i="63"/>
  <c r="W38" i="63"/>
  <c r="V38" i="63"/>
  <c r="P38" i="63"/>
  <c r="O38" i="63"/>
  <c r="Q38" i="63" s="1"/>
  <c r="M38" i="63"/>
  <c r="K38" i="63"/>
  <c r="H38" i="63"/>
  <c r="C38" i="63"/>
  <c r="AB37" i="63"/>
  <c r="Z37" i="63"/>
  <c r="W37" i="63"/>
  <c r="V37" i="63"/>
  <c r="P37" i="63"/>
  <c r="O37" i="63"/>
  <c r="Q37" i="63" s="1"/>
  <c r="M37" i="63"/>
  <c r="J37" i="63"/>
  <c r="I37" i="63" s="1"/>
  <c r="H37" i="63"/>
  <c r="C37" i="63"/>
  <c r="Z36" i="63"/>
  <c r="AB36" i="63" s="1"/>
  <c r="J36" i="63" s="1"/>
  <c r="W36" i="63"/>
  <c r="V36" i="63"/>
  <c r="Q36" i="63"/>
  <c r="P36" i="63"/>
  <c r="O36" i="63"/>
  <c r="M36" i="63"/>
  <c r="H36" i="63"/>
  <c r="C36" i="63"/>
  <c r="Z35" i="63"/>
  <c r="AB35" i="63" s="1"/>
  <c r="J35" i="63" s="1"/>
  <c r="W35" i="63"/>
  <c r="V35" i="63"/>
  <c r="P35" i="63"/>
  <c r="O35" i="63"/>
  <c r="Q35" i="63" s="1"/>
  <c r="M35" i="63"/>
  <c r="H35" i="63"/>
  <c r="C35" i="63"/>
  <c r="AB34" i="63"/>
  <c r="J34" i="63" s="1"/>
  <c r="Z34" i="63"/>
  <c r="W34" i="63"/>
  <c r="V34" i="63"/>
  <c r="Q34" i="63"/>
  <c r="P34" i="63"/>
  <c r="O34" i="63"/>
  <c r="M34" i="63"/>
  <c r="H34" i="63"/>
  <c r="C34" i="63"/>
  <c r="AB33" i="63"/>
  <c r="J33" i="63" s="1"/>
  <c r="K33" i="63" s="1"/>
  <c r="Z33" i="63"/>
  <c r="W33" i="63"/>
  <c r="V33" i="63"/>
  <c r="Q33" i="63"/>
  <c r="P33" i="63"/>
  <c r="O33" i="63"/>
  <c r="M33" i="63"/>
  <c r="I33" i="63"/>
  <c r="H33" i="63"/>
  <c r="C33" i="63"/>
  <c r="AB32" i="63"/>
  <c r="Z32" i="63"/>
  <c r="W32" i="63"/>
  <c r="V32" i="63"/>
  <c r="P32" i="63"/>
  <c r="O32" i="63"/>
  <c r="Q32" i="63" s="1"/>
  <c r="M32" i="63"/>
  <c r="J32" i="63"/>
  <c r="K32" i="63" s="1"/>
  <c r="H32" i="63"/>
  <c r="C32" i="63"/>
  <c r="Z31" i="63"/>
  <c r="AB31" i="63" s="1"/>
  <c r="W31" i="63"/>
  <c r="V31" i="63"/>
  <c r="Q31" i="63"/>
  <c r="P31" i="63"/>
  <c r="O31" i="63"/>
  <c r="M31" i="63"/>
  <c r="J31" i="63"/>
  <c r="K31" i="63" s="1"/>
  <c r="H31" i="63"/>
  <c r="C31" i="63"/>
  <c r="AB30" i="63"/>
  <c r="J30" i="63" s="1"/>
  <c r="Z30" i="63"/>
  <c r="W30" i="63"/>
  <c r="V30" i="63"/>
  <c r="Q30" i="63"/>
  <c r="P30" i="63"/>
  <c r="O30" i="63"/>
  <c r="M30" i="63"/>
  <c r="H30" i="63"/>
  <c r="C30" i="63"/>
  <c r="Z29" i="63"/>
  <c r="AB29" i="63" s="1"/>
  <c r="J29" i="63" s="1"/>
  <c r="W29" i="63"/>
  <c r="V29" i="63"/>
  <c r="P29" i="63"/>
  <c r="O29" i="63"/>
  <c r="Q29" i="63" s="1"/>
  <c r="M29" i="63"/>
  <c r="H29" i="63"/>
  <c r="C29" i="63"/>
  <c r="Z28" i="63"/>
  <c r="AB28" i="63" s="1"/>
  <c r="W28" i="63"/>
  <c r="V28" i="63"/>
  <c r="P28" i="63"/>
  <c r="Q28" i="63" s="1"/>
  <c r="O28" i="63"/>
  <c r="M28" i="63"/>
  <c r="J28" i="63"/>
  <c r="K28" i="63" s="1"/>
  <c r="H28" i="63"/>
  <c r="C28" i="63"/>
  <c r="AB27" i="63"/>
  <c r="J27" i="63" s="1"/>
  <c r="Z27" i="63"/>
  <c r="W27" i="63"/>
  <c r="V27" i="63"/>
  <c r="P27" i="63"/>
  <c r="O27" i="63"/>
  <c r="Q27" i="63" s="1"/>
  <c r="M27" i="63"/>
  <c r="H27" i="63"/>
  <c r="C27" i="63"/>
  <c r="Z26" i="63"/>
  <c r="AB26" i="63" s="1"/>
  <c r="J26" i="63" s="1"/>
  <c r="W26" i="63"/>
  <c r="V26" i="63"/>
  <c r="Q26" i="63"/>
  <c r="P26" i="63"/>
  <c r="O26" i="63"/>
  <c r="M26" i="63"/>
  <c r="H26" i="63"/>
  <c r="C26" i="63"/>
  <c r="AB25" i="63"/>
  <c r="Z25" i="63"/>
  <c r="W25" i="63"/>
  <c r="V25" i="63"/>
  <c r="P25" i="63"/>
  <c r="O25" i="63"/>
  <c r="Q25" i="63" s="1"/>
  <c r="M25" i="63"/>
  <c r="J25" i="63"/>
  <c r="K25" i="63" s="1"/>
  <c r="H25" i="63"/>
  <c r="Z24" i="63"/>
  <c r="AB24" i="63" s="1"/>
  <c r="J24" i="63" s="1"/>
  <c r="K24" i="63" s="1"/>
  <c r="W24" i="63"/>
  <c r="V24" i="63"/>
  <c r="P24" i="63"/>
  <c r="Q24" i="63" s="1"/>
  <c r="O24" i="63"/>
  <c r="M24" i="63"/>
  <c r="H24" i="63"/>
  <c r="Z23" i="63"/>
  <c r="AB23" i="63" s="1"/>
  <c r="J23" i="63" s="1"/>
  <c r="W23" i="63"/>
  <c r="V23" i="63"/>
  <c r="P23" i="63"/>
  <c r="O23" i="63"/>
  <c r="Q23" i="63" s="1"/>
  <c r="M23" i="63"/>
  <c r="H23" i="63"/>
  <c r="Z22" i="63"/>
  <c r="AB22" i="63" s="1"/>
  <c r="J22" i="63" s="1"/>
  <c r="K22" i="63" s="1"/>
  <c r="W22" i="63"/>
  <c r="V22" i="63"/>
  <c r="P22" i="63"/>
  <c r="Q22" i="63" s="1"/>
  <c r="O22" i="63"/>
  <c r="M22" i="63"/>
  <c r="I22" i="63"/>
  <c r="H22" i="63"/>
  <c r="Z21" i="63"/>
  <c r="AB21" i="63" s="1"/>
  <c r="J21" i="63" s="1"/>
  <c r="W21" i="63"/>
  <c r="V21" i="63"/>
  <c r="P21" i="63"/>
  <c r="O21" i="63"/>
  <c r="Q21" i="63" s="1"/>
  <c r="M21" i="63"/>
  <c r="H21" i="63"/>
  <c r="Z20" i="63"/>
  <c r="AB20" i="63" s="1"/>
  <c r="J20" i="63" s="1"/>
  <c r="K20" i="63" s="1"/>
  <c r="W20" i="63"/>
  <c r="V20" i="63"/>
  <c r="P20" i="63"/>
  <c r="Q20" i="63" s="1"/>
  <c r="O20" i="63"/>
  <c r="M20" i="63"/>
  <c r="I20" i="63"/>
  <c r="H20" i="63"/>
  <c r="Z19" i="63"/>
  <c r="AB19" i="63" s="1"/>
  <c r="J19" i="63" s="1"/>
  <c r="W19" i="63"/>
  <c r="V19" i="63"/>
  <c r="P19" i="63"/>
  <c r="O19" i="63"/>
  <c r="Q19" i="63" s="1"/>
  <c r="M19" i="63"/>
  <c r="H19" i="63"/>
  <c r="Z18" i="63"/>
  <c r="AB18" i="63" s="1"/>
  <c r="J18" i="63" s="1"/>
  <c r="K18" i="63" s="1"/>
  <c r="W18" i="63"/>
  <c r="V18" i="63"/>
  <c r="P18" i="63"/>
  <c r="Q18" i="63" s="1"/>
  <c r="O18" i="63"/>
  <c r="M18" i="63"/>
  <c r="I18" i="63"/>
  <c r="H18" i="63"/>
  <c r="Z17" i="63"/>
  <c r="AB17" i="63" s="1"/>
  <c r="J17" i="63" s="1"/>
  <c r="W17" i="63"/>
  <c r="V17" i="63"/>
  <c r="P17" i="63"/>
  <c r="O17" i="63"/>
  <c r="Q17" i="63" s="1"/>
  <c r="M17" i="63"/>
  <c r="H17" i="63"/>
  <c r="Z16" i="63"/>
  <c r="AB16" i="63" s="1"/>
  <c r="J16" i="63" s="1"/>
  <c r="K16" i="63" s="1"/>
  <c r="W16" i="63"/>
  <c r="V16" i="63"/>
  <c r="P16" i="63"/>
  <c r="Q16" i="63" s="1"/>
  <c r="O16" i="63"/>
  <c r="M16" i="63"/>
  <c r="I16" i="63"/>
  <c r="H16" i="63"/>
  <c r="Z15" i="63"/>
  <c r="AB15" i="63" s="1"/>
  <c r="J15" i="63" s="1"/>
  <c r="W15" i="63"/>
  <c r="V15" i="63"/>
  <c r="P15" i="63"/>
  <c r="O15" i="63"/>
  <c r="Q15" i="63" s="1"/>
  <c r="M15" i="63"/>
  <c r="H15" i="63"/>
  <c r="Z14" i="63"/>
  <c r="AB14" i="63" s="1"/>
  <c r="J14" i="63" s="1"/>
  <c r="W14" i="63"/>
  <c r="V14" i="63"/>
  <c r="P14" i="63"/>
  <c r="Q14" i="63" s="1"/>
  <c r="O14" i="63"/>
  <c r="M14" i="63"/>
  <c r="H14" i="63"/>
  <c r="Z13" i="63"/>
  <c r="AB13" i="63" s="1"/>
  <c r="J13" i="63" s="1"/>
  <c r="W13" i="63"/>
  <c r="V13" i="63"/>
  <c r="P13" i="63"/>
  <c r="O13" i="63"/>
  <c r="Q13" i="63" s="1"/>
  <c r="M13" i="63"/>
  <c r="H13" i="63"/>
  <c r="Z12" i="63"/>
  <c r="AB12" i="63" s="1"/>
  <c r="J12" i="63" s="1"/>
  <c r="W12" i="63"/>
  <c r="V12" i="63"/>
  <c r="P12" i="63"/>
  <c r="Q12" i="63" s="1"/>
  <c r="O12" i="63"/>
  <c r="M12" i="63"/>
  <c r="H12" i="63"/>
  <c r="Z11" i="63"/>
  <c r="AB11" i="63" s="1"/>
  <c r="J11" i="63" s="1"/>
  <c r="W11" i="63"/>
  <c r="V11" i="63"/>
  <c r="P11" i="63"/>
  <c r="O11" i="63"/>
  <c r="Q11" i="63" s="1"/>
  <c r="M11" i="63"/>
  <c r="H11" i="63"/>
  <c r="Z10" i="63"/>
  <c r="AB10" i="63" s="1"/>
  <c r="J10" i="63" s="1"/>
  <c r="K10" i="63" s="1"/>
  <c r="W10" i="63"/>
  <c r="V10" i="63"/>
  <c r="P10" i="63"/>
  <c r="Q10" i="63" s="1"/>
  <c r="O10" i="63"/>
  <c r="M10" i="63"/>
  <c r="H10" i="63"/>
  <c r="Z9" i="63"/>
  <c r="AB9" i="63" s="1"/>
  <c r="J9" i="63" s="1"/>
  <c r="W9" i="63"/>
  <c r="V9" i="63"/>
  <c r="P9" i="63"/>
  <c r="O9" i="63"/>
  <c r="Q9" i="63" s="1"/>
  <c r="M9" i="63"/>
  <c r="H9" i="63"/>
  <c r="Z8" i="63"/>
  <c r="AB8" i="63" s="1"/>
  <c r="J8" i="63" s="1"/>
  <c r="K8" i="63" s="1"/>
  <c r="W8" i="63"/>
  <c r="V8" i="63"/>
  <c r="P8" i="63"/>
  <c r="Q8" i="63" s="1"/>
  <c r="O8" i="63"/>
  <c r="M8" i="63"/>
  <c r="H8" i="63"/>
  <c r="Z7" i="63"/>
  <c r="AB7" i="63" s="1"/>
  <c r="J7" i="63" s="1"/>
  <c r="W7" i="63"/>
  <c r="V7" i="63"/>
  <c r="P7" i="63"/>
  <c r="O7" i="63"/>
  <c r="Q7" i="63" s="1"/>
  <c r="M7" i="63"/>
  <c r="H7" i="63"/>
  <c r="Z6" i="63"/>
  <c r="AB6" i="63" s="1"/>
  <c r="J6" i="63" s="1"/>
  <c r="K6" i="63" s="1"/>
  <c r="W6" i="63"/>
  <c r="V6" i="63"/>
  <c r="P6" i="63"/>
  <c r="Q6" i="63" s="1"/>
  <c r="O6" i="63"/>
  <c r="M6" i="63"/>
  <c r="H6" i="63"/>
  <c r="Z5" i="63"/>
  <c r="AB5" i="63" s="1"/>
  <c r="J5" i="63" s="1"/>
  <c r="W5" i="63"/>
  <c r="V5" i="63"/>
  <c r="P5" i="63"/>
  <c r="O5" i="63"/>
  <c r="Q5" i="63" s="1"/>
  <c r="M5" i="63"/>
  <c r="H5" i="63"/>
  <c r="Z4" i="63"/>
  <c r="AB4" i="63" s="1"/>
  <c r="J4" i="63" s="1"/>
  <c r="K4" i="63" s="1"/>
  <c r="W4" i="63"/>
  <c r="V4" i="63"/>
  <c r="P4" i="63"/>
  <c r="Q4" i="63" s="1"/>
  <c r="O4" i="63"/>
  <c r="M4" i="63"/>
  <c r="H4" i="63"/>
  <c r="AE3" i="63"/>
  <c r="U3" i="63"/>
  <c r="O3" i="63"/>
  <c r="G3" i="63"/>
  <c r="H3" i="63" s="1"/>
  <c r="F3" i="63"/>
  <c r="D3" i="63"/>
  <c r="C3" i="63"/>
  <c r="B3" i="63"/>
  <c r="A2" i="63"/>
  <c r="A1" i="63"/>
  <c r="Z56" i="62"/>
  <c r="AB56" i="62" s="1"/>
  <c r="J56" i="62" s="1"/>
  <c r="W56" i="62"/>
  <c r="V56" i="62"/>
  <c r="T56" i="62"/>
  <c r="S56" i="62"/>
  <c r="R56" i="62"/>
  <c r="Q56" i="62"/>
  <c r="P56" i="62"/>
  <c r="O56" i="62"/>
  <c r="M56" i="62"/>
  <c r="H56" i="62"/>
  <c r="C56" i="62"/>
  <c r="Z55" i="62"/>
  <c r="AB55" i="62" s="1"/>
  <c r="J55" i="62" s="1"/>
  <c r="W55" i="62"/>
  <c r="V55" i="62"/>
  <c r="P55" i="62"/>
  <c r="O55" i="62"/>
  <c r="Q55" i="62" s="1"/>
  <c r="M55" i="62"/>
  <c r="H55" i="62"/>
  <c r="C55" i="62"/>
  <c r="Z54" i="62"/>
  <c r="AB54" i="62" s="1"/>
  <c r="J54" i="62" s="1"/>
  <c r="W54" i="62"/>
  <c r="V54" i="62"/>
  <c r="T54" i="62"/>
  <c r="S54" i="62"/>
  <c r="R54" i="62"/>
  <c r="P54" i="62"/>
  <c r="O54" i="62"/>
  <c r="Q54" i="62" s="1"/>
  <c r="M54" i="62"/>
  <c r="H54" i="62"/>
  <c r="C54" i="62"/>
  <c r="Z53" i="62"/>
  <c r="AB53" i="62" s="1"/>
  <c r="W53" i="62"/>
  <c r="V53" i="62"/>
  <c r="T53" i="62"/>
  <c r="S53" i="62"/>
  <c r="R53" i="62"/>
  <c r="P53" i="62"/>
  <c r="O53" i="62"/>
  <c r="Q53" i="62" s="1"/>
  <c r="M53" i="62"/>
  <c r="J53" i="62"/>
  <c r="H53" i="62"/>
  <c r="C53" i="62"/>
  <c r="Z52" i="62"/>
  <c r="AB52" i="62" s="1"/>
  <c r="J52" i="62" s="1"/>
  <c r="W52" i="62"/>
  <c r="V52" i="62"/>
  <c r="T52" i="62"/>
  <c r="S52" i="62"/>
  <c r="R52" i="62"/>
  <c r="P52" i="62"/>
  <c r="O52" i="62"/>
  <c r="Q52" i="62" s="1"/>
  <c r="M52" i="62"/>
  <c r="H52" i="62"/>
  <c r="C52" i="62"/>
  <c r="Z51" i="62"/>
  <c r="AB51" i="62" s="1"/>
  <c r="W51" i="62"/>
  <c r="V51" i="62"/>
  <c r="T51" i="62"/>
  <c r="S51" i="62"/>
  <c r="R51" i="62"/>
  <c r="P51" i="62"/>
  <c r="O51" i="62"/>
  <c r="Q51" i="62" s="1"/>
  <c r="M51" i="62"/>
  <c r="J51" i="62"/>
  <c r="H51" i="62"/>
  <c r="C51" i="62"/>
  <c r="Z50" i="62"/>
  <c r="AB50" i="62" s="1"/>
  <c r="J50" i="62" s="1"/>
  <c r="W50" i="62"/>
  <c r="V50" i="62"/>
  <c r="T50" i="62"/>
  <c r="S50" i="62"/>
  <c r="R50" i="62"/>
  <c r="P50" i="62"/>
  <c r="O50" i="62"/>
  <c r="Q50" i="62" s="1"/>
  <c r="M50" i="62"/>
  <c r="H50" i="62"/>
  <c r="C50" i="62"/>
  <c r="Z49" i="62"/>
  <c r="AB49" i="62" s="1"/>
  <c r="W49" i="62"/>
  <c r="V49" i="62"/>
  <c r="T49" i="62"/>
  <c r="S49" i="62"/>
  <c r="R49" i="62"/>
  <c r="P49" i="62"/>
  <c r="O49" i="62"/>
  <c r="Q49" i="62" s="1"/>
  <c r="M49" i="62"/>
  <c r="J49" i="62"/>
  <c r="H49" i="62"/>
  <c r="C49" i="62"/>
  <c r="Z48" i="62"/>
  <c r="AB48" i="62" s="1"/>
  <c r="J48" i="62" s="1"/>
  <c r="W48" i="62"/>
  <c r="V48" i="62"/>
  <c r="T48" i="62"/>
  <c r="S48" i="62"/>
  <c r="R48" i="62"/>
  <c r="P48" i="62"/>
  <c r="O48" i="62"/>
  <c r="Q48" i="62" s="1"/>
  <c r="M48" i="62"/>
  <c r="H48" i="62"/>
  <c r="C48" i="62"/>
  <c r="Z47" i="62"/>
  <c r="AB47" i="62" s="1"/>
  <c r="J47" i="62" s="1"/>
  <c r="W47" i="62"/>
  <c r="V47" i="62"/>
  <c r="Q47" i="62"/>
  <c r="P47" i="62"/>
  <c r="O47" i="62"/>
  <c r="M47" i="62"/>
  <c r="H47" i="62"/>
  <c r="C47" i="62"/>
  <c r="AB46" i="62"/>
  <c r="J46" i="62" s="1"/>
  <c r="Z46" i="62"/>
  <c r="W46" i="62"/>
  <c r="V46" i="62"/>
  <c r="P46" i="62"/>
  <c r="Q46" i="62" s="1"/>
  <c r="O46" i="62"/>
  <c r="M46" i="62"/>
  <c r="H46" i="62"/>
  <c r="C46" i="62"/>
  <c r="AB45" i="62"/>
  <c r="J45" i="62" s="1"/>
  <c r="Z45" i="62"/>
  <c r="W45" i="62"/>
  <c r="V45" i="62"/>
  <c r="P45" i="62"/>
  <c r="O45" i="62"/>
  <c r="Q45" i="62" s="1"/>
  <c r="M45" i="62"/>
  <c r="K45" i="62"/>
  <c r="I45" i="62"/>
  <c r="H45" i="62"/>
  <c r="C45" i="62"/>
  <c r="Z44" i="62"/>
  <c r="AB44" i="62" s="1"/>
  <c r="J44" i="62" s="1"/>
  <c r="K44" i="62" s="1"/>
  <c r="W44" i="62"/>
  <c r="V44" i="62"/>
  <c r="P44" i="62"/>
  <c r="Q44" i="62" s="1"/>
  <c r="O44" i="62"/>
  <c r="M44" i="62"/>
  <c r="I44" i="62"/>
  <c r="H44" i="62"/>
  <c r="C44" i="62"/>
  <c r="AB43" i="62"/>
  <c r="J43" i="62" s="1"/>
  <c r="I43" i="62" s="1"/>
  <c r="Z43" i="62"/>
  <c r="W43" i="62"/>
  <c r="V43" i="62"/>
  <c r="P43" i="62"/>
  <c r="O43" i="62"/>
  <c r="M43" i="62"/>
  <c r="H43" i="62"/>
  <c r="C43" i="62"/>
  <c r="AB42" i="62"/>
  <c r="J42" i="62" s="1"/>
  <c r="Z42" i="62"/>
  <c r="W42" i="62"/>
  <c r="V42" i="62"/>
  <c r="T42" i="62"/>
  <c r="S42" i="62"/>
  <c r="R42" i="62"/>
  <c r="P42" i="62"/>
  <c r="O42" i="62"/>
  <c r="Q42" i="62" s="1"/>
  <c r="M42" i="62"/>
  <c r="H42" i="62"/>
  <c r="C42" i="62"/>
  <c r="Z41" i="62"/>
  <c r="AB41" i="62" s="1"/>
  <c r="J41" i="62" s="1"/>
  <c r="W41" i="62"/>
  <c r="V41" i="62"/>
  <c r="Q41" i="62"/>
  <c r="P41" i="62"/>
  <c r="O41" i="62"/>
  <c r="M41" i="62"/>
  <c r="H41" i="62"/>
  <c r="C41" i="62"/>
  <c r="Z39" i="62"/>
  <c r="AB39" i="62" s="1"/>
  <c r="J39" i="62" s="1"/>
  <c r="W39" i="62"/>
  <c r="V39" i="62"/>
  <c r="P39" i="62"/>
  <c r="O39" i="62"/>
  <c r="Q39" i="62" s="1"/>
  <c r="M39" i="62"/>
  <c r="H39" i="62"/>
  <c r="C39" i="62"/>
  <c r="Z38" i="62"/>
  <c r="AB38" i="62" s="1"/>
  <c r="W38" i="62"/>
  <c r="V38" i="62"/>
  <c r="P38" i="62"/>
  <c r="O38" i="62"/>
  <c r="Q38" i="62" s="1"/>
  <c r="M38" i="62"/>
  <c r="J38" i="62"/>
  <c r="H38" i="62"/>
  <c r="C38" i="62"/>
  <c r="Z37" i="62"/>
  <c r="AB37" i="62" s="1"/>
  <c r="W37" i="62"/>
  <c r="V37" i="62"/>
  <c r="Q37" i="62"/>
  <c r="P37" i="62"/>
  <c r="O37" i="62"/>
  <c r="M37" i="62"/>
  <c r="J37" i="62"/>
  <c r="K37" i="62" s="1"/>
  <c r="H37" i="62"/>
  <c r="C37" i="62"/>
  <c r="AB36" i="62"/>
  <c r="J36" i="62" s="1"/>
  <c r="Z36" i="62"/>
  <c r="W36" i="62"/>
  <c r="V36" i="62"/>
  <c r="Q36" i="62"/>
  <c r="P36" i="62"/>
  <c r="O36" i="62"/>
  <c r="M36" i="62"/>
  <c r="H36" i="62"/>
  <c r="C36" i="62"/>
  <c r="AB35" i="62"/>
  <c r="J35" i="62" s="1"/>
  <c r="K35" i="62" s="1"/>
  <c r="Z35" i="62"/>
  <c r="W35" i="62"/>
  <c r="V35" i="62"/>
  <c r="P35" i="62"/>
  <c r="O35" i="62"/>
  <c r="Q35" i="62" s="1"/>
  <c r="M35" i="62"/>
  <c r="I35" i="62"/>
  <c r="H35" i="62"/>
  <c r="C35" i="62"/>
  <c r="Z34" i="62"/>
  <c r="AB34" i="62" s="1"/>
  <c r="J34" i="62" s="1"/>
  <c r="K34" i="62" s="1"/>
  <c r="W34" i="62"/>
  <c r="V34" i="62"/>
  <c r="P34" i="62"/>
  <c r="Q34" i="62" s="1"/>
  <c r="O34" i="62"/>
  <c r="M34" i="62"/>
  <c r="I34" i="62"/>
  <c r="H34" i="62"/>
  <c r="C34" i="62"/>
  <c r="AB33" i="62"/>
  <c r="J33" i="62" s="1"/>
  <c r="I33" i="62" s="1"/>
  <c r="Z33" i="62"/>
  <c r="W33" i="62"/>
  <c r="V33" i="62"/>
  <c r="P33" i="62"/>
  <c r="O33" i="62"/>
  <c r="M33" i="62"/>
  <c r="K33" i="62"/>
  <c r="H33" i="62"/>
  <c r="C33" i="62"/>
  <c r="AB32" i="62"/>
  <c r="J32" i="62" s="1"/>
  <c r="Z32" i="62"/>
  <c r="W32" i="62"/>
  <c r="V32" i="62"/>
  <c r="Q32" i="62"/>
  <c r="P32" i="62"/>
  <c r="O32" i="62"/>
  <c r="M32" i="62"/>
  <c r="H32" i="62"/>
  <c r="C32" i="62"/>
  <c r="Z31" i="62"/>
  <c r="AB31" i="62" s="1"/>
  <c r="J31" i="62" s="1"/>
  <c r="W31" i="62"/>
  <c r="V31" i="62"/>
  <c r="P31" i="62"/>
  <c r="O31" i="62"/>
  <c r="Q31" i="62" s="1"/>
  <c r="M31" i="62"/>
  <c r="H31" i="62"/>
  <c r="C31" i="62"/>
  <c r="Z30" i="62"/>
  <c r="AB30" i="62" s="1"/>
  <c r="W30" i="62"/>
  <c r="V30" i="62"/>
  <c r="P30" i="62"/>
  <c r="O30" i="62"/>
  <c r="Q30" i="62" s="1"/>
  <c r="M30" i="62"/>
  <c r="J30" i="62"/>
  <c r="H30" i="62"/>
  <c r="C30" i="62"/>
  <c r="Z29" i="62"/>
  <c r="AB29" i="62" s="1"/>
  <c r="W29" i="62"/>
  <c r="V29" i="62"/>
  <c r="Q29" i="62"/>
  <c r="P29" i="62"/>
  <c r="O29" i="62"/>
  <c r="M29" i="62"/>
  <c r="J29" i="62"/>
  <c r="K29" i="62" s="1"/>
  <c r="H29" i="62"/>
  <c r="C29" i="62"/>
  <c r="AB28" i="62"/>
  <c r="J28" i="62" s="1"/>
  <c r="Z28" i="62"/>
  <c r="W28" i="62"/>
  <c r="V28" i="62"/>
  <c r="Q28" i="62"/>
  <c r="P28" i="62"/>
  <c r="O28" i="62"/>
  <c r="M28" i="62"/>
  <c r="H28" i="62"/>
  <c r="C28" i="62"/>
  <c r="AB27" i="62"/>
  <c r="J27" i="62" s="1"/>
  <c r="Z27" i="62"/>
  <c r="W27" i="62"/>
  <c r="V27" i="62"/>
  <c r="P27" i="62"/>
  <c r="O27" i="62"/>
  <c r="Q27" i="62" s="1"/>
  <c r="M27" i="62"/>
  <c r="H27" i="62"/>
  <c r="C27" i="62"/>
  <c r="Z26" i="62"/>
  <c r="AB26" i="62" s="1"/>
  <c r="J26" i="62" s="1"/>
  <c r="K26" i="62" s="1"/>
  <c r="W26" i="62"/>
  <c r="V26" i="62"/>
  <c r="P26" i="62"/>
  <c r="Q26" i="62" s="1"/>
  <c r="O26" i="62"/>
  <c r="M26" i="62"/>
  <c r="I26" i="62"/>
  <c r="H26" i="62"/>
  <c r="C26" i="62"/>
  <c r="AB25" i="62"/>
  <c r="J25" i="62" s="1"/>
  <c r="I25" i="62" s="1"/>
  <c r="Z25" i="62"/>
  <c r="W25" i="62"/>
  <c r="V25" i="62"/>
  <c r="P25" i="62"/>
  <c r="O25" i="62"/>
  <c r="M25" i="62"/>
  <c r="H25" i="62"/>
  <c r="Z24" i="62"/>
  <c r="AB24" i="62" s="1"/>
  <c r="J24" i="62" s="1"/>
  <c r="W24" i="62"/>
  <c r="V24" i="62"/>
  <c r="Q24" i="62"/>
  <c r="P24" i="62"/>
  <c r="O24" i="62"/>
  <c r="M24" i="62"/>
  <c r="H24" i="62"/>
  <c r="AB23" i="62"/>
  <c r="J23" i="62" s="1"/>
  <c r="Z23" i="62"/>
  <c r="W23" i="62"/>
  <c r="V23" i="62"/>
  <c r="P23" i="62"/>
  <c r="O23" i="62"/>
  <c r="Q23" i="62" s="1"/>
  <c r="M23" i="62"/>
  <c r="H23" i="62"/>
  <c r="Z22" i="62"/>
  <c r="AB22" i="62" s="1"/>
  <c r="W22" i="62"/>
  <c r="V22" i="62"/>
  <c r="Q22" i="62"/>
  <c r="P22" i="62"/>
  <c r="O22" i="62"/>
  <c r="M22" i="62"/>
  <c r="J22" i="62"/>
  <c r="K22" i="62" s="1"/>
  <c r="H22" i="62"/>
  <c r="AB21" i="62"/>
  <c r="J21" i="62" s="1"/>
  <c r="I21" i="62" s="1"/>
  <c r="Z21" i="62"/>
  <c r="W21" i="62"/>
  <c r="V21" i="62"/>
  <c r="P21" i="62"/>
  <c r="O21" i="62"/>
  <c r="Q21" i="62" s="1"/>
  <c r="M21" i="62"/>
  <c r="K21" i="62"/>
  <c r="H21" i="62"/>
  <c r="Z20" i="62"/>
  <c r="AB20" i="62" s="1"/>
  <c r="W20" i="62"/>
  <c r="V20" i="62"/>
  <c r="Q20" i="62"/>
  <c r="P20" i="62"/>
  <c r="O20" i="62"/>
  <c r="M20" i="62"/>
  <c r="J20" i="62"/>
  <c r="K20" i="62" s="1"/>
  <c r="H20" i="62"/>
  <c r="AB19" i="62"/>
  <c r="J19" i="62" s="1"/>
  <c r="I19" i="62" s="1"/>
  <c r="Z19" i="62"/>
  <c r="W19" i="62"/>
  <c r="V19" i="62"/>
  <c r="P19" i="62"/>
  <c r="O19" i="62"/>
  <c r="M19" i="62"/>
  <c r="H19" i="62"/>
  <c r="Z18" i="62"/>
  <c r="AB18" i="62" s="1"/>
  <c r="W18" i="62"/>
  <c r="V18" i="62"/>
  <c r="Q18" i="62"/>
  <c r="P18" i="62"/>
  <c r="O18" i="62"/>
  <c r="M18" i="62"/>
  <c r="J18" i="62"/>
  <c r="K18" i="62" s="1"/>
  <c r="H18" i="62"/>
  <c r="AB17" i="62"/>
  <c r="J17" i="62" s="1"/>
  <c r="I17" i="62" s="1"/>
  <c r="Z17" i="62"/>
  <c r="W17" i="62"/>
  <c r="V17" i="62"/>
  <c r="P17" i="62"/>
  <c r="O17" i="62"/>
  <c r="Q17" i="62" s="1"/>
  <c r="M17" i="62"/>
  <c r="K17" i="62"/>
  <c r="H17" i="62"/>
  <c r="Z16" i="62"/>
  <c r="AB16" i="62" s="1"/>
  <c r="W16" i="62"/>
  <c r="V16" i="62"/>
  <c r="Q16" i="62"/>
  <c r="P16" i="62"/>
  <c r="O16" i="62"/>
  <c r="M16" i="62"/>
  <c r="J16" i="62"/>
  <c r="H16" i="62"/>
  <c r="AB15" i="62"/>
  <c r="J15" i="62" s="1"/>
  <c r="I15" i="62" s="1"/>
  <c r="Z15" i="62"/>
  <c r="W15" i="62"/>
  <c r="V15" i="62"/>
  <c r="P15" i="62"/>
  <c r="O15" i="62"/>
  <c r="Q15" i="62" s="1"/>
  <c r="M15" i="62"/>
  <c r="K15" i="62"/>
  <c r="H15" i="62"/>
  <c r="Z14" i="62"/>
  <c r="AB14" i="62" s="1"/>
  <c r="J14" i="62" s="1"/>
  <c r="W14" i="62"/>
  <c r="V14" i="62"/>
  <c r="Q14" i="62"/>
  <c r="P14" i="62"/>
  <c r="O14" i="62"/>
  <c r="M14" i="62"/>
  <c r="H14" i="62"/>
  <c r="AB13" i="62"/>
  <c r="J13" i="62" s="1"/>
  <c r="I13" i="62" s="1"/>
  <c r="Z13" i="62"/>
  <c r="W13" i="62"/>
  <c r="V13" i="62"/>
  <c r="P13" i="62"/>
  <c r="O13" i="62"/>
  <c r="M13" i="62"/>
  <c r="K13" i="62"/>
  <c r="H13" i="62"/>
  <c r="Z12" i="62"/>
  <c r="AB12" i="62" s="1"/>
  <c r="J12" i="62" s="1"/>
  <c r="K12" i="62" s="1"/>
  <c r="W12" i="62"/>
  <c r="V12" i="62"/>
  <c r="Q12" i="62"/>
  <c r="P12" i="62"/>
  <c r="O12" i="62"/>
  <c r="M12" i="62"/>
  <c r="I12" i="62"/>
  <c r="H12" i="62"/>
  <c r="AB11" i="62"/>
  <c r="J11" i="62" s="1"/>
  <c r="I11" i="62" s="1"/>
  <c r="Z11" i="62"/>
  <c r="W11" i="62"/>
  <c r="V11" i="62"/>
  <c r="P11" i="62"/>
  <c r="O11" i="62"/>
  <c r="M11" i="62"/>
  <c r="K11" i="62"/>
  <c r="H11" i="62"/>
  <c r="Z10" i="62"/>
  <c r="AB10" i="62" s="1"/>
  <c r="W10" i="62"/>
  <c r="V10" i="62"/>
  <c r="Q10" i="62"/>
  <c r="P10" i="62"/>
  <c r="O10" i="62"/>
  <c r="M10" i="62"/>
  <c r="J10" i="62"/>
  <c r="K10" i="62" s="1"/>
  <c r="H10" i="62"/>
  <c r="AB9" i="62"/>
  <c r="J9" i="62" s="1"/>
  <c r="I9" i="62" s="1"/>
  <c r="Z9" i="62"/>
  <c r="W9" i="62"/>
  <c r="V9" i="62"/>
  <c r="P9" i="62"/>
  <c r="O9" i="62"/>
  <c r="M9" i="62"/>
  <c r="H9" i="62"/>
  <c r="Z8" i="62"/>
  <c r="AB8" i="62" s="1"/>
  <c r="J8" i="62" s="1"/>
  <c r="W8" i="62"/>
  <c r="V8" i="62"/>
  <c r="Q8" i="62"/>
  <c r="P8" i="62"/>
  <c r="O8" i="62"/>
  <c r="M8" i="62"/>
  <c r="H8" i="62"/>
  <c r="AB7" i="62"/>
  <c r="J7" i="62" s="1"/>
  <c r="Z7" i="62"/>
  <c r="W7" i="62"/>
  <c r="V7" i="62"/>
  <c r="P7" i="62"/>
  <c r="O7" i="62"/>
  <c r="Q7" i="62" s="1"/>
  <c r="M7" i="62"/>
  <c r="H7" i="62"/>
  <c r="Z6" i="62"/>
  <c r="AB6" i="62" s="1"/>
  <c r="J6" i="62" s="1"/>
  <c r="W6" i="62"/>
  <c r="V6" i="62"/>
  <c r="Q6" i="62"/>
  <c r="P6" i="62"/>
  <c r="O6" i="62"/>
  <c r="M6" i="62"/>
  <c r="H6" i="62"/>
  <c r="AB5" i="62"/>
  <c r="J5" i="62" s="1"/>
  <c r="I5" i="62" s="1"/>
  <c r="Z5" i="62"/>
  <c r="W5" i="62"/>
  <c r="V5" i="62"/>
  <c r="P5" i="62"/>
  <c r="O5" i="62"/>
  <c r="Q5" i="62" s="1"/>
  <c r="M5" i="62"/>
  <c r="K5" i="62"/>
  <c r="H5" i="62"/>
  <c r="Z4" i="62"/>
  <c r="AB4" i="62" s="1"/>
  <c r="W4" i="62"/>
  <c r="V4" i="62"/>
  <c r="Q4" i="62"/>
  <c r="P4" i="62"/>
  <c r="O4" i="62"/>
  <c r="M4" i="62"/>
  <c r="J4" i="62"/>
  <c r="K4" i="62" s="1"/>
  <c r="H4" i="62"/>
  <c r="AE3" i="62"/>
  <c r="U3" i="62"/>
  <c r="O3" i="62"/>
  <c r="H3" i="62"/>
  <c r="G3" i="62"/>
  <c r="F3" i="62"/>
  <c r="D3" i="62"/>
  <c r="C3" i="62"/>
  <c r="B3" i="62"/>
  <c r="A2" i="62"/>
  <c r="A1" i="62"/>
  <c r="AB56" i="61"/>
  <c r="J56" i="61" s="1"/>
  <c r="K56" i="61" s="1"/>
  <c r="Z56" i="61"/>
  <c r="W56" i="61"/>
  <c r="V56" i="61"/>
  <c r="T56" i="61"/>
  <c r="S56" i="61"/>
  <c r="R56" i="61"/>
  <c r="P56" i="61"/>
  <c r="O56" i="61"/>
  <c r="M56" i="61"/>
  <c r="H56" i="61"/>
  <c r="C56" i="61"/>
  <c r="AB55" i="61"/>
  <c r="J55" i="61" s="1"/>
  <c r="Z55" i="61"/>
  <c r="W55" i="61"/>
  <c r="V55" i="61"/>
  <c r="P55" i="61"/>
  <c r="O55" i="61"/>
  <c r="Q55" i="61" s="1"/>
  <c r="M55" i="61"/>
  <c r="H55" i="61"/>
  <c r="C55" i="61"/>
  <c r="AB54" i="61"/>
  <c r="J54" i="61" s="1"/>
  <c r="I54" i="61" s="1"/>
  <c r="Z54" i="61"/>
  <c r="W54" i="61"/>
  <c r="V54" i="61"/>
  <c r="T54" i="61"/>
  <c r="S54" i="61"/>
  <c r="R54" i="61"/>
  <c r="P54" i="61"/>
  <c r="O54" i="61"/>
  <c r="M54" i="61"/>
  <c r="H54" i="61"/>
  <c r="C54" i="61"/>
  <c r="Z53" i="61"/>
  <c r="AB53" i="61" s="1"/>
  <c r="J53" i="61" s="1"/>
  <c r="W53" i="61"/>
  <c r="V53" i="61"/>
  <c r="T53" i="61"/>
  <c r="S53" i="61"/>
  <c r="R53" i="61"/>
  <c r="P53" i="61"/>
  <c r="O53" i="61"/>
  <c r="M53" i="61"/>
  <c r="H53" i="61"/>
  <c r="C53" i="61"/>
  <c r="Z52" i="61"/>
  <c r="AB52" i="61" s="1"/>
  <c r="J52" i="61" s="1"/>
  <c r="W52" i="61"/>
  <c r="V52" i="61"/>
  <c r="T52" i="61"/>
  <c r="S52" i="61"/>
  <c r="R52" i="61"/>
  <c r="P52" i="61"/>
  <c r="O52" i="61"/>
  <c r="M52" i="61"/>
  <c r="H52" i="61"/>
  <c r="C52" i="61"/>
  <c r="AB51" i="61"/>
  <c r="J51" i="61" s="1"/>
  <c r="Z51" i="61"/>
  <c r="W51" i="61"/>
  <c r="V51" i="61"/>
  <c r="T51" i="61"/>
  <c r="S51" i="61"/>
  <c r="R51" i="61"/>
  <c r="P51" i="61"/>
  <c r="O51" i="61"/>
  <c r="Q51" i="61" s="1"/>
  <c r="M51" i="61"/>
  <c r="H51" i="61"/>
  <c r="C51" i="61"/>
  <c r="AB50" i="61"/>
  <c r="J50" i="61" s="1"/>
  <c r="I50" i="61" s="1"/>
  <c r="Z50" i="61"/>
  <c r="W50" i="61"/>
  <c r="V50" i="61"/>
  <c r="T50" i="61"/>
  <c r="S50" i="61"/>
  <c r="R50" i="61"/>
  <c r="P50" i="61"/>
  <c r="O50" i="61"/>
  <c r="Q50" i="61" s="1"/>
  <c r="M50" i="61"/>
  <c r="K50" i="61"/>
  <c r="H50" i="61"/>
  <c r="C50" i="61"/>
  <c r="AB49" i="61"/>
  <c r="J49" i="61" s="1"/>
  <c r="I49" i="61" s="1"/>
  <c r="Z49" i="61"/>
  <c r="W49" i="61"/>
  <c r="V49" i="61"/>
  <c r="T49" i="61"/>
  <c r="S49" i="61"/>
  <c r="R49" i="61"/>
  <c r="P49" i="61"/>
  <c r="O49" i="61"/>
  <c r="M49" i="61"/>
  <c r="H49" i="61"/>
  <c r="C49" i="61"/>
  <c r="Z48" i="61"/>
  <c r="AB48" i="61" s="1"/>
  <c r="J48" i="61" s="1"/>
  <c r="W48" i="61"/>
  <c r="V48" i="61"/>
  <c r="T48" i="61"/>
  <c r="S48" i="61"/>
  <c r="R48" i="61"/>
  <c r="P48" i="61"/>
  <c r="O48" i="61"/>
  <c r="Q48" i="61" s="1"/>
  <c r="M48" i="61"/>
  <c r="H48" i="61"/>
  <c r="C48" i="61"/>
  <c r="Z47" i="61"/>
  <c r="AB47" i="61" s="1"/>
  <c r="J47" i="61" s="1"/>
  <c r="W47" i="61"/>
  <c r="V47" i="61"/>
  <c r="Q47" i="61"/>
  <c r="P47" i="61"/>
  <c r="O47" i="61"/>
  <c r="M47" i="61"/>
  <c r="H47" i="61"/>
  <c r="C47" i="61"/>
  <c r="Z46" i="61"/>
  <c r="AB46" i="61" s="1"/>
  <c r="J46" i="61" s="1"/>
  <c r="W46" i="61"/>
  <c r="V46" i="61"/>
  <c r="P46" i="61"/>
  <c r="O46" i="61"/>
  <c r="Q46" i="61" s="1"/>
  <c r="M46" i="61"/>
  <c r="H46" i="61"/>
  <c r="C46" i="61"/>
  <c r="Z45" i="61"/>
  <c r="AB45" i="61" s="1"/>
  <c r="W45" i="61"/>
  <c r="V45" i="61"/>
  <c r="P45" i="61"/>
  <c r="O45" i="61"/>
  <c r="Q45" i="61" s="1"/>
  <c r="M45" i="61"/>
  <c r="J45" i="61"/>
  <c r="H45" i="61"/>
  <c r="C45" i="61"/>
  <c r="Z44" i="61"/>
  <c r="AB44" i="61" s="1"/>
  <c r="W44" i="61"/>
  <c r="V44" i="61"/>
  <c r="Q44" i="61"/>
  <c r="P44" i="61"/>
  <c r="O44" i="61"/>
  <c r="M44" i="61"/>
  <c r="J44" i="61"/>
  <c r="K44" i="61" s="1"/>
  <c r="H44" i="61"/>
  <c r="C44" i="61"/>
  <c r="AB43" i="61"/>
  <c r="J43" i="61" s="1"/>
  <c r="Z43" i="61"/>
  <c r="W43" i="61"/>
  <c r="V43" i="61"/>
  <c r="Q43" i="61"/>
  <c r="P43" i="61"/>
  <c r="O43" i="61"/>
  <c r="M43" i="61"/>
  <c r="H43" i="61"/>
  <c r="C43" i="61"/>
  <c r="AB42" i="61"/>
  <c r="J42" i="61" s="1"/>
  <c r="Z42" i="61"/>
  <c r="W42" i="61"/>
  <c r="V42" i="61"/>
  <c r="T42" i="61"/>
  <c r="S42" i="61"/>
  <c r="R42" i="61"/>
  <c r="P42" i="61"/>
  <c r="Q42" i="61" s="1"/>
  <c r="O42" i="61"/>
  <c r="M42" i="61"/>
  <c r="H42" i="61"/>
  <c r="C42" i="61"/>
  <c r="AB41" i="61"/>
  <c r="J41" i="61" s="1"/>
  <c r="K41" i="61" s="1"/>
  <c r="Z41" i="61"/>
  <c r="W41" i="61"/>
  <c r="V41" i="61"/>
  <c r="P41" i="61"/>
  <c r="O41" i="61"/>
  <c r="Q41" i="61" s="1"/>
  <c r="M41" i="61"/>
  <c r="I41" i="61"/>
  <c r="H41" i="61"/>
  <c r="C41" i="61"/>
  <c r="Z39" i="61"/>
  <c r="AB39" i="61" s="1"/>
  <c r="J39" i="61" s="1"/>
  <c r="W39" i="61"/>
  <c r="V39" i="61"/>
  <c r="P39" i="61"/>
  <c r="O39" i="61"/>
  <c r="M39" i="61"/>
  <c r="H39" i="61"/>
  <c r="C39" i="61"/>
  <c r="AB38" i="61"/>
  <c r="J38" i="61" s="1"/>
  <c r="I38" i="61" s="1"/>
  <c r="Z38" i="61"/>
  <c r="W38" i="61"/>
  <c r="V38" i="61"/>
  <c r="P38" i="61"/>
  <c r="O38" i="61"/>
  <c r="Q38" i="61" s="1"/>
  <c r="M38" i="61"/>
  <c r="H38" i="61"/>
  <c r="C38" i="61"/>
  <c r="AB37" i="61"/>
  <c r="J37" i="61" s="1"/>
  <c r="Z37" i="61"/>
  <c r="W37" i="61"/>
  <c r="V37" i="61"/>
  <c r="Q37" i="61"/>
  <c r="P37" i="61"/>
  <c r="O37" i="61"/>
  <c r="M37" i="61"/>
  <c r="H37" i="61"/>
  <c r="C37" i="61"/>
  <c r="Z36" i="61"/>
  <c r="AB36" i="61" s="1"/>
  <c r="J36" i="61" s="1"/>
  <c r="W36" i="61"/>
  <c r="V36" i="61"/>
  <c r="Q36" i="61"/>
  <c r="P36" i="61"/>
  <c r="O36" i="61"/>
  <c r="M36" i="61"/>
  <c r="H36" i="61"/>
  <c r="C36" i="61"/>
  <c r="Z35" i="61"/>
  <c r="AB35" i="61" s="1"/>
  <c r="J35" i="61" s="1"/>
  <c r="W35" i="61"/>
  <c r="V35" i="61"/>
  <c r="P35" i="61"/>
  <c r="O35" i="61"/>
  <c r="Q35" i="61" s="1"/>
  <c r="M35" i="61"/>
  <c r="H35" i="61"/>
  <c r="C35" i="61"/>
  <c r="Z34" i="61"/>
  <c r="AB34" i="61" s="1"/>
  <c r="W34" i="61"/>
  <c r="V34" i="61"/>
  <c r="Q34" i="61"/>
  <c r="P34" i="61"/>
  <c r="O34" i="61"/>
  <c r="M34" i="61"/>
  <c r="J34" i="61"/>
  <c r="H34" i="61"/>
  <c r="C34" i="61"/>
  <c r="AB33" i="61"/>
  <c r="J33" i="61" s="1"/>
  <c r="Z33" i="61"/>
  <c r="W33" i="61"/>
  <c r="V33" i="61"/>
  <c r="Q33" i="61"/>
  <c r="P33" i="61"/>
  <c r="O33" i="61"/>
  <c r="M33" i="61"/>
  <c r="H33" i="61"/>
  <c r="C33" i="61"/>
  <c r="AB32" i="61"/>
  <c r="J32" i="61" s="1"/>
  <c r="K32" i="61" s="1"/>
  <c r="Z32" i="61"/>
  <c r="W32" i="61"/>
  <c r="V32" i="61"/>
  <c r="P32" i="61"/>
  <c r="O32" i="61"/>
  <c r="Q32" i="61" s="1"/>
  <c r="M32" i="61"/>
  <c r="I32" i="61"/>
  <c r="H32" i="61"/>
  <c r="C32" i="61"/>
  <c r="Z31" i="61"/>
  <c r="AB31" i="61" s="1"/>
  <c r="J31" i="61" s="1"/>
  <c r="W31" i="61"/>
  <c r="V31" i="61"/>
  <c r="P31" i="61"/>
  <c r="O31" i="61"/>
  <c r="Q31" i="61" s="1"/>
  <c r="M31" i="61"/>
  <c r="H31" i="61"/>
  <c r="C31" i="61"/>
  <c r="AB30" i="61"/>
  <c r="J30" i="61" s="1"/>
  <c r="I30" i="61" s="1"/>
  <c r="Z30" i="61"/>
  <c r="W30" i="61"/>
  <c r="V30" i="61"/>
  <c r="P30" i="61"/>
  <c r="O30" i="61"/>
  <c r="M30" i="61"/>
  <c r="K30" i="61"/>
  <c r="H30" i="61"/>
  <c r="C30" i="61"/>
  <c r="Z29" i="61"/>
  <c r="AB29" i="61" s="1"/>
  <c r="J29" i="61" s="1"/>
  <c r="W29" i="61"/>
  <c r="V29" i="61"/>
  <c r="Q29" i="61"/>
  <c r="P29" i="61"/>
  <c r="O29" i="61"/>
  <c r="M29" i="61"/>
  <c r="H29" i="61"/>
  <c r="C29" i="61"/>
  <c r="Z28" i="61"/>
  <c r="AB28" i="61" s="1"/>
  <c r="J28" i="61" s="1"/>
  <c r="W28" i="61"/>
  <c r="V28" i="61"/>
  <c r="Q28" i="61"/>
  <c r="P28" i="61"/>
  <c r="O28" i="61"/>
  <c r="M28" i="61"/>
  <c r="H28" i="61"/>
  <c r="C28" i="61"/>
  <c r="Z27" i="61"/>
  <c r="AB27" i="61" s="1"/>
  <c r="J27" i="61" s="1"/>
  <c r="W27" i="61"/>
  <c r="V27" i="61"/>
  <c r="P27" i="61"/>
  <c r="O27" i="61"/>
  <c r="Q27" i="61" s="1"/>
  <c r="M27" i="61"/>
  <c r="H27" i="61"/>
  <c r="C27" i="61"/>
  <c r="Z26" i="61"/>
  <c r="AB26" i="61" s="1"/>
  <c r="W26" i="61"/>
  <c r="V26" i="61"/>
  <c r="Q26" i="61"/>
  <c r="P26" i="61"/>
  <c r="O26" i="61"/>
  <c r="M26" i="61"/>
  <c r="J26" i="61"/>
  <c r="H26" i="61"/>
  <c r="C26" i="61"/>
  <c r="AB25" i="61"/>
  <c r="J25" i="61" s="1"/>
  <c r="Z25" i="61"/>
  <c r="W25" i="61"/>
  <c r="V25" i="61"/>
  <c r="Q25" i="61"/>
  <c r="P25" i="61"/>
  <c r="O25" i="61"/>
  <c r="M25" i="61"/>
  <c r="H25" i="61"/>
  <c r="AB24" i="61"/>
  <c r="J24" i="61" s="1"/>
  <c r="Z24" i="61"/>
  <c r="W24" i="61"/>
  <c r="V24" i="61"/>
  <c r="Q24" i="61"/>
  <c r="P24" i="61"/>
  <c r="O24" i="61"/>
  <c r="M24" i="61"/>
  <c r="H24" i="61"/>
  <c r="AB23" i="61"/>
  <c r="J23" i="61" s="1"/>
  <c r="Z23" i="61"/>
  <c r="W23" i="61"/>
  <c r="V23" i="61"/>
  <c r="P23" i="61"/>
  <c r="Q23" i="61" s="1"/>
  <c r="O23" i="61"/>
  <c r="M23" i="61"/>
  <c r="H23" i="61"/>
  <c r="AB22" i="61"/>
  <c r="J22" i="61" s="1"/>
  <c r="Z22" i="61"/>
  <c r="W22" i="61"/>
  <c r="V22" i="61"/>
  <c r="Q22" i="61"/>
  <c r="P22" i="61"/>
  <c r="O22" i="61"/>
  <c r="M22" i="61"/>
  <c r="H22" i="61"/>
  <c r="AB21" i="61"/>
  <c r="J21" i="61" s="1"/>
  <c r="Z21" i="61"/>
  <c r="W21" i="61"/>
  <c r="V21" i="61"/>
  <c r="Q21" i="61"/>
  <c r="P21" i="61"/>
  <c r="O21" i="61"/>
  <c r="M21" i="61"/>
  <c r="H21" i="61"/>
  <c r="AB20" i="61"/>
  <c r="J20" i="61" s="1"/>
  <c r="Z20" i="61"/>
  <c r="W20" i="61"/>
  <c r="V20" i="61"/>
  <c r="Q20" i="61"/>
  <c r="P20" i="61"/>
  <c r="O20" i="61"/>
  <c r="M20" i="61"/>
  <c r="H20" i="61"/>
  <c r="AB19" i="61"/>
  <c r="J19" i="61" s="1"/>
  <c r="Z19" i="61"/>
  <c r="W19" i="61"/>
  <c r="V19" i="61"/>
  <c r="P19" i="61"/>
  <c r="Q19" i="61" s="1"/>
  <c r="O19" i="61"/>
  <c r="M19" i="61"/>
  <c r="H19" i="61"/>
  <c r="AB18" i="61"/>
  <c r="J18" i="61" s="1"/>
  <c r="Z18" i="61"/>
  <c r="W18" i="61"/>
  <c r="V18" i="61"/>
  <c r="Q18" i="61"/>
  <c r="P18" i="61"/>
  <c r="O18" i="61"/>
  <c r="M18" i="61"/>
  <c r="H18" i="61"/>
  <c r="AB17" i="61"/>
  <c r="J17" i="61" s="1"/>
  <c r="Z17" i="61"/>
  <c r="W17" i="61"/>
  <c r="V17" i="61"/>
  <c r="Q17" i="61"/>
  <c r="P17" i="61"/>
  <c r="O17" i="61"/>
  <c r="M17" i="61"/>
  <c r="H17" i="61"/>
  <c r="AB16" i="61"/>
  <c r="J16" i="61" s="1"/>
  <c r="Z16" i="61"/>
  <c r="W16" i="61"/>
  <c r="V16" i="61"/>
  <c r="Q16" i="61"/>
  <c r="P16" i="61"/>
  <c r="O16" i="61"/>
  <c r="M16" i="61"/>
  <c r="H16" i="61"/>
  <c r="AB15" i="61"/>
  <c r="J15" i="61" s="1"/>
  <c r="Z15" i="61"/>
  <c r="W15" i="61"/>
  <c r="V15" i="61"/>
  <c r="P15" i="61"/>
  <c r="Q15" i="61" s="1"/>
  <c r="O15" i="61"/>
  <c r="M15" i="61"/>
  <c r="H15" i="61"/>
  <c r="AB14" i="61"/>
  <c r="J14" i="61" s="1"/>
  <c r="Z14" i="61"/>
  <c r="W14" i="61"/>
  <c r="V14" i="61"/>
  <c r="Q14" i="61"/>
  <c r="P14" i="61"/>
  <c r="O14" i="61"/>
  <c r="M14" i="61"/>
  <c r="H14" i="61"/>
  <c r="AB13" i="61"/>
  <c r="J13" i="61" s="1"/>
  <c r="Z13" i="61"/>
  <c r="W13" i="61"/>
  <c r="V13" i="61"/>
  <c r="Q13" i="61"/>
  <c r="P13" i="61"/>
  <c r="O13" i="61"/>
  <c r="M13" i="61"/>
  <c r="H13" i="61"/>
  <c r="AB12" i="61"/>
  <c r="J12" i="61" s="1"/>
  <c r="Z12" i="61"/>
  <c r="W12" i="61"/>
  <c r="V12" i="61"/>
  <c r="Q12" i="61"/>
  <c r="P12" i="61"/>
  <c r="O12" i="61"/>
  <c r="M12" i="61"/>
  <c r="H12" i="61"/>
  <c r="AB11" i="61"/>
  <c r="J11" i="61" s="1"/>
  <c r="Z11" i="61"/>
  <c r="W11" i="61"/>
  <c r="V11" i="61"/>
  <c r="P11" i="61"/>
  <c r="Q11" i="61" s="1"/>
  <c r="O11" i="61"/>
  <c r="M11" i="61"/>
  <c r="H11" i="61"/>
  <c r="AB10" i="61"/>
  <c r="J10" i="61" s="1"/>
  <c r="Z10" i="61"/>
  <c r="W10" i="61"/>
  <c r="V10" i="61"/>
  <c r="Q10" i="61"/>
  <c r="P10" i="61"/>
  <c r="O10" i="61"/>
  <c r="M10" i="61"/>
  <c r="H10" i="61"/>
  <c r="AB9" i="61"/>
  <c r="J9" i="61" s="1"/>
  <c r="Z9" i="61"/>
  <c r="W9" i="61"/>
  <c r="V9" i="61"/>
  <c r="Q9" i="61"/>
  <c r="P9" i="61"/>
  <c r="O9" i="61"/>
  <c r="M9" i="61"/>
  <c r="H9" i="61"/>
  <c r="AB8" i="61"/>
  <c r="J8" i="61" s="1"/>
  <c r="Z8" i="61"/>
  <c r="W8" i="61"/>
  <c r="V8" i="61"/>
  <c r="Q8" i="61"/>
  <c r="P8" i="61"/>
  <c r="O8" i="61"/>
  <c r="M8" i="61"/>
  <c r="H8" i="61"/>
  <c r="AB7" i="61"/>
  <c r="J7" i="61" s="1"/>
  <c r="Z7" i="61"/>
  <c r="W7" i="61"/>
  <c r="V7" i="61"/>
  <c r="P7" i="61"/>
  <c r="Q7" i="61" s="1"/>
  <c r="O7" i="61"/>
  <c r="M7" i="61"/>
  <c r="H7" i="61"/>
  <c r="AB6" i="61"/>
  <c r="J6" i="61" s="1"/>
  <c r="Z6" i="61"/>
  <c r="W6" i="61"/>
  <c r="V6" i="61"/>
  <c r="Q6" i="61"/>
  <c r="P6" i="61"/>
  <c r="O6" i="61"/>
  <c r="M6" i="61"/>
  <c r="H6" i="61"/>
  <c r="AB5" i="61"/>
  <c r="J5" i="61" s="1"/>
  <c r="Z5" i="61"/>
  <c r="W5" i="61"/>
  <c r="V5" i="61"/>
  <c r="Q5" i="61"/>
  <c r="P5" i="61"/>
  <c r="O5" i="61"/>
  <c r="M5" i="61"/>
  <c r="H5" i="61"/>
  <c r="AB4" i="61"/>
  <c r="J4" i="61" s="1"/>
  <c r="Z4" i="61"/>
  <c r="W4" i="61"/>
  <c r="W3" i="61" s="1"/>
  <c r="V4" i="61"/>
  <c r="Q4" i="61"/>
  <c r="P4" i="61"/>
  <c r="O4" i="61"/>
  <c r="M4" i="61"/>
  <c r="H4" i="61"/>
  <c r="AE3" i="61"/>
  <c r="U3" i="61"/>
  <c r="O3" i="61"/>
  <c r="H3" i="61"/>
  <c r="G3" i="61"/>
  <c r="F3" i="61"/>
  <c r="D3" i="61"/>
  <c r="C3" i="61"/>
  <c r="B3" i="61"/>
  <c r="A2" i="61"/>
  <c r="A1" i="61"/>
  <c r="AB56" i="60"/>
  <c r="Z56" i="60"/>
  <c r="W56" i="60"/>
  <c r="V56" i="60"/>
  <c r="T56" i="60"/>
  <c r="S56" i="60"/>
  <c r="R56" i="60"/>
  <c r="Q56" i="60"/>
  <c r="P56" i="60"/>
  <c r="O56" i="60"/>
  <c r="M56" i="60"/>
  <c r="J56" i="60"/>
  <c r="H56" i="60"/>
  <c r="C56" i="60"/>
  <c r="AB55" i="60"/>
  <c r="J55" i="60" s="1"/>
  <c r="Z55" i="60"/>
  <c r="W55" i="60"/>
  <c r="V55" i="60"/>
  <c r="Q55" i="60"/>
  <c r="P55" i="60"/>
  <c r="O55" i="60"/>
  <c r="M55" i="60"/>
  <c r="H55" i="60"/>
  <c r="C55" i="60"/>
  <c r="AB54" i="60"/>
  <c r="J54" i="60" s="1"/>
  <c r="Z54" i="60"/>
  <c r="W54" i="60"/>
  <c r="V54" i="60"/>
  <c r="T54" i="60"/>
  <c r="S54" i="60"/>
  <c r="R54" i="60"/>
  <c r="Q54" i="60"/>
  <c r="P54" i="60"/>
  <c r="O54" i="60"/>
  <c r="M54" i="60"/>
  <c r="H54" i="60"/>
  <c r="C54" i="60"/>
  <c r="AB53" i="60"/>
  <c r="J53" i="60" s="1"/>
  <c r="Z53" i="60"/>
  <c r="W53" i="60"/>
  <c r="V53" i="60"/>
  <c r="T53" i="60"/>
  <c r="S53" i="60"/>
  <c r="R53" i="60"/>
  <c r="Q53" i="60"/>
  <c r="P53" i="60"/>
  <c r="O53" i="60"/>
  <c r="M53" i="60"/>
  <c r="H53" i="60"/>
  <c r="C53" i="60"/>
  <c r="AB52" i="60"/>
  <c r="J52" i="60" s="1"/>
  <c r="Z52" i="60"/>
  <c r="W52" i="60"/>
  <c r="V52" i="60"/>
  <c r="T52" i="60"/>
  <c r="S52" i="60"/>
  <c r="R52" i="60"/>
  <c r="P52" i="60"/>
  <c r="Q52" i="60" s="1"/>
  <c r="O52" i="60"/>
  <c r="M52" i="60"/>
  <c r="H52" i="60"/>
  <c r="C52" i="60"/>
  <c r="AB51" i="60"/>
  <c r="J51" i="60" s="1"/>
  <c r="Z51" i="60"/>
  <c r="W51" i="60"/>
  <c r="V51" i="60"/>
  <c r="T51" i="60"/>
  <c r="S51" i="60"/>
  <c r="R51" i="60"/>
  <c r="P51" i="60"/>
  <c r="Q51" i="60" s="1"/>
  <c r="O51" i="60"/>
  <c r="M51" i="60"/>
  <c r="H51" i="60"/>
  <c r="C51" i="60"/>
  <c r="AB50" i="60"/>
  <c r="J50" i="60" s="1"/>
  <c r="Z50" i="60"/>
  <c r="W50" i="60"/>
  <c r="V50" i="60"/>
  <c r="T50" i="60"/>
  <c r="S50" i="60"/>
  <c r="R50" i="60"/>
  <c r="P50" i="60"/>
  <c r="Q50" i="60" s="1"/>
  <c r="O50" i="60"/>
  <c r="M50" i="60"/>
  <c r="H50" i="60"/>
  <c r="C50" i="60"/>
  <c r="AB49" i="60"/>
  <c r="J49" i="60" s="1"/>
  <c r="Z49" i="60"/>
  <c r="W49" i="60"/>
  <c r="V49" i="60"/>
  <c r="T49" i="60"/>
  <c r="S49" i="60"/>
  <c r="R49" i="60"/>
  <c r="P49" i="60"/>
  <c r="Q49" i="60" s="1"/>
  <c r="O49" i="60"/>
  <c r="M49" i="60"/>
  <c r="H49" i="60"/>
  <c r="C49" i="60"/>
  <c r="AB48" i="60"/>
  <c r="J48" i="60" s="1"/>
  <c r="Z48" i="60"/>
  <c r="W48" i="60"/>
  <c r="V48" i="60"/>
  <c r="T48" i="60"/>
  <c r="S48" i="60"/>
  <c r="R48" i="60"/>
  <c r="P48" i="60"/>
  <c r="Q48" i="60" s="1"/>
  <c r="O48" i="60"/>
  <c r="M48" i="60"/>
  <c r="H48" i="60"/>
  <c r="C48" i="60"/>
  <c r="AB47" i="60"/>
  <c r="J47" i="60" s="1"/>
  <c r="Z47" i="60"/>
  <c r="W47" i="60"/>
  <c r="V47" i="60"/>
  <c r="P47" i="60"/>
  <c r="O47" i="60"/>
  <c r="Q47" i="60" s="1"/>
  <c r="M47" i="60"/>
  <c r="K47" i="60"/>
  <c r="I47" i="60"/>
  <c r="H47" i="60"/>
  <c r="C47" i="60"/>
  <c r="Z46" i="60"/>
  <c r="AB46" i="60" s="1"/>
  <c r="J46" i="60" s="1"/>
  <c r="K46" i="60" s="1"/>
  <c r="W46" i="60"/>
  <c r="V46" i="60"/>
  <c r="P46" i="60"/>
  <c r="O46" i="60"/>
  <c r="Q46" i="60" s="1"/>
  <c r="M46" i="60"/>
  <c r="I46" i="60"/>
  <c r="H46" i="60"/>
  <c r="C46" i="60"/>
  <c r="AB45" i="60"/>
  <c r="J45" i="60" s="1"/>
  <c r="I45" i="60" s="1"/>
  <c r="Z45" i="60"/>
  <c r="W45" i="60"/>
  <c r="V45" i="60"/>
  <c r="P45" i="60"/>
  <c r="O45" i="60"/>
  <c r="M45" i="60"/>
  <c r="H45" i="60"/>
  <c r="C45" i="60"/>
  <c r="Z44" i="60"/>
  <c r="AB44" i="60" s="1"/>
  <c r="J44" i="60" s="1"/>
  <c r="W44" i="60"/>
  <c r="V44" i="60"/>
  <c r="Q44" i="60"/>
  <c r="P44" i="60"/>
  <c r="O44" i="60"/>
  <c r="M44" i="60"/>
  <c r="H44" i="60"/>
  <c r="C44" i="60"/>
  <c r="AB43" i="60"/>
  <c r="J43" i="60" s="1"/>
  <c r="Z43" i="60"/>
  <c r="W43" i="60"/>
  <c r="V43" i="60"/>
  <c r="Q43" i="60"/>
  <c r="P43" i="60"/>
  <c r="O43" i="60"/>
  <c r="M43" i="60"/>
  <c r="H43" i="60"/>
  <c r="C43" i="60"/>
  <c r="Z42" i="60"/>
  <c r="AB42" i="60" s="1"/>
  <c r="J42" i="60" s="1"/>
  <c r="W42" i="60"/>
  <c r="V42" i="60"/>
  <c r="T42" i="60"/>
  <c r="S42" i="60"/>
  <c r="R42" i="60"/>
  <c r="P42" i="60"/>
  <c r="O42" i="60"/>
  <c r="Q42" i="60" s="1"/>
  <c r="M42" i="60"/>
  <c r="H42" i="60"/>
  <c r="C42" i="60"/>
  <c r="Z41" i="60"/>
  <c r="AB41" i="60" s="1"/>
  <c r="W41" i="60"/>
  <c r="V41" i="60"/>
  <c r="P41" i="60"/>
  <c r="O41" i="60"/>
  <c r="Q41" i="60" s="1"/>
  <c r="M41" i="60"/>
  <c r="J41" i="60"/>
  <c r="H41" i="60"/>
  <c r="C41" i="60"/>
  <c r="Z39" i="60"/>
  <c r="AB39" i="60" s="1"/>
  <c r="W39" i="60"/>
  <c r="V39" i="60"/>
  <c r="Q39" i="60"/>
  <c r="P39" i="60"/>
  <c r="O39" i="60"/>
  <c r="M39" i="60"/>
  <c r="J39" i="60"/>
  <c r="K39" i="60" s="1"/>
  <c r="H39" i="60"/>
  <c r="C39" i="60"/>
  <c r="AB38" i="60"/>
  <c r="J38" i="60" s="1"/>
  <c r="Z38" i="60"/>
  <c r="W38" i="60"/>
  <c r="V38" i="60"/>
  <c r="Q38" i="60"/>
  <c r="P38" i="60"/>
  <c r="O38" i="60"/>
  <c r="M38" i="60"/>
  <c r="H38" i="60"/>
  <c r="C38" i="60"/>
  <c r="AB37" i="60"/>
  <c r="J37" i="60" s="1"/>
  <c r="K37" i="60" s="1"/>
  <c r="Z37" i="60"/>
  <c r="W37" i="60"/>
  <c r="V37" i="60"/>
  <c r="P37" i="60"/>
  <c r="O37" i="60"/>
  <c r="Q37" i="60" s="1"/>
  <c r="M37" i="60"/>
  <c r="H37" i="60"/>
  <c r="C37" i="60"/>
  <c r="Z36" i="60"/>
  <c r="AB36" i="60" s="1"/>
  <c r="J36" i="60" s="1"/>
  <c r="K36" i="60" s="1"/>
  <c r="W36" i="60"/>
  <c r="V36" i="60"/>
  <c r="P36" i="60"/>
  <c r="O36" i="60"/>
  <c r="M36" i="60"/>
  <c r="I36" i="60"/>
  <c r="H36" i="60"/>
  <c r="C36" i="60"/>
  <c r="AB35" i="60"/>
  <c r="J35" i="60" s="1"/>
  <c r="I35" i="60" s="1"/>
  <c r="Z35" i="60"/>
  <c r="W35" i="60"/>
  <c r="V35" i="60"/>
  <c r="P35" i="60"/>
  <c r="O35" i="60"/>
  <c r="Q35" i="60" s="1"/>
  <c r="M35" i="60"/>
  <c r="K35" i="60"/>
  <c r="H35" i="60"/>
  <c r="C35" i="60"/>
  <c r="AB34" i="60"/>
  <c r="J34" i="60" s="1"/>
  <c r="Z34" i="60"/>
  <c r="W34" i="60"/>
  <c r="V34" i="60"/>
  <c r="Q34" i="60"/>
  <c r="P34" i="60"/>
  <c r="O34" i="60"/>
  <c r="M34" i="60"/>
  <c r="H34" i="60"/>
  <c r="C34" i="60"/>
  <c r="AB33" i="60"/>
  <c r="J33" i="60" s="1"/>
  <c r="Z33" i="60"/>
  <c r="W33" i="60"/>
  <c r="V33" i="60"/>
  <c r="P33" i="60"/>
  <c r="O33" i="60"/>
  <c r="Q33" i="60" s="1"/>
  <c r="M33" i="60"/>
  <c r="H33" i="60"/>
  <c r="C33" i="60"/>
  <c r="Z32" i="60"/>
  <c r="AB32" i="60" s="1"/>
  <c r="W32" i="60"/>
  <c r="V32" i="60"/>
  <c r="P32" i="60"/>
  <c r="O32" i="60"/>
  <c r="Q32" i="60" s="1"/>
  <c r="M32" i="60"/>
  <c r="J32" i="60"/>
  <c r="H32" i="60"/>
  <c r="C32" i="60"/>
  <c r="Z31" i="60"/>
  <c r="AB31" i="60" s="1"/>
  <c r="J31" i="60" s="1"/>
  <c r="W31" i="60"/>
  <c r="V31" i="60"/>
  <c r="Q31" i="60"/>
  <c r="P31" i="60"/>
  <c r="O31" i="60"/>
  <c r="M31" i="60"/>
  <c r="H31" i="60"/>
  <c r="C31" i="60"/>
  <c r="AB30" i="60"/>
  <c r="J30" i="60" s="1"/>
  <c r="Z30" i="60"/>
  <c r="W30" i="60"/>
  <c r="V30" i="60"/>
  <c r="P30" i="60"/>
  <c r="Q30" i="60" s="1"/>
  <c r="O30" i="60"/>
  <c r="M30" i="60"/>
  <c r="H30" i="60"/>
  <c r="C30" i="60"/>
  <c r="AB29" i="60"/>
  <c r="J29" i="60" s="1"/>
  <c r="Z29" i="60"/>
  <c r="W29" i="60"/>
  <c r="V29" i="60"/>
  <c r="P29" i="60"/>
  <c r="O29" i="60"/>
  <c r="Q29" i="60" s="1"/>
  <c r="M29" i="60"/>
  <c r="K29" i="60"/>
  <c r="I29" i="60"/>
  <c r="H29" i="60"/>
  <c r="C29" i="60"/>
  <c r="Z28" i="60"/>
  <c r="AB28" i="60" s="1"/>
  <c r="J28" i="60" s="1"/>
  <c r="K28" i="60" s="1"/>
  <c r="W28" i="60"/>
  <c r="V28" i="60"/>
  <c r="P28" i="60"/>
  <c r="O28" i="60"/>
  <c r="Q28" i="60" s="1"/>
  <c r="M28" i="60"/>
  <c r="I28" i="60"/>
  <c r="H28" i="60"/>
  <c r="C28" i="60"/>
  <c r="AB27" i="60"/>
  <c r="J27" i="60" s="1"/>
  <c r="I27" i="60" s="1"/>
  <c r="Z27" i="60"/>
  <c r="W27" i="60"/>
  <c r="V27" i="60"/>
  <c r="P27" i="60"/>
  <c r="O27" i="60"/>
  <c r="M27" i="60"/>
  <c r="H27" i="60"/>
  <c r="C27" i="60"/>
  <c r="Z26" i="60"/>
  <c r="AB26" i="60" s="1"/>
  <c r="J26" i="60" s="1"/>
  <c r="W26" i="60"/>
  <c r="V26" i="60"/>
  <c r="Q26" i="60"/>
  <c r="P26" i="60"/>
  <c r="O26" i="60"/>
  <c r="M26" i="60"/>
  <c r="H26" i="60"/>
  <c r="C26" i="60"/>
  <c r="AB25" i="60"/>
  <c r="J25" i="60" s="1"/>
  <c r="Z25" i="60"/>
  <c r="W25" i="60"/>
  <c r="V25" i="60"/>
  <c r="Q25" i="60"/>
  <c r="P25" i="60"/>
  <c r="O25" i="60"/>
  <c r="M25" i="60"/>
  <c r="H25" i="60"/>
  <c r="AB24" i="60"/>
  <c r="J24" i="60" s="1"/>
  <c r="K24" i="60" s="1"/>
  <c r="Z24" i="60"/>
  <c r="W24" i="60"/>
  <c r="V24" i="60"/>
  <c r="P24" i="60"/>
  <c r="O24" i="60"/>
  <c r="Q24" i="60" s="1"/>
  <c r="M24" i="60"/>
  <c r="I24" i="60"/>
  <c r="H24" i="60"/>
  <c r="AB23" i="60"/>
  <c r="J23" i="60" s="1"/>
  <c r="Z23" i="60"/>
  <c r="W23" i="60"/>
  <c r="V23" i="60"/>
  <c r="Q23" i="60"/>
  <c r="P23" i="60"/>
  <c r="O23" i="60"/>
  <c r="M23" i="60"/>
  <c r="H23" i="60"/>
  <c r="AB22" i="60"/>
  <c r="J22" i="60" s="1"/>
  <c r="K22" i="60" s="1"/>
  <c r="Z22" i="60"/>
  <c r="W22" i="60"/>
  <c r="V22" i="60"/>
  <c r="P22" i="60"/>
  <c r="O22" i="60"/>
  <c r="Q22" i="60" s="1"/>
  <c r="M22" i="60"/>
  <c r="H22" i="60"/>
  <c r="Z21" i="60"/>
  <c r="AB21" i="60" s="1"/>
  <c r="J21" i="60" s="1"/>
  <c r="W21" i="60"/>
  <c r="V21" i="60"/>
  <c r="P21" i="60"/>
  <c r="O21" i="60"/>
  <c r="Q21" i="60" s="1"/>
  <c r="M21" i="60"/>
  <c r="H21" i="60"/>
  <c r="AB20" i="60"/>
  <c r="J20" i="60" s="1"/>
  <c r="Z20" i="60"/>
  <c r="W20" i="60"/>
  <c r="V20" i="60"/>
  <c r="P20" i="60"/>
  <c r="O20" i="60"/>
  <c r="Q20" i="60" s="1"/>
  <c r="M20" i="60"/>
  <c r="K20" i="60"/>
  <c r="I20" i="60"/>
  <c r="H20" i="60"/>
  <c r="Z19" i="60"/>
  <c r="AB19" i="60" s="1"/>
  <c r="J19" i="60" s="1"/>
  <c r="W19" i="60"/>
  <c r="V19" i="60"/>
  <c r="P19" i="60"/>
  <c r="O19" i="60"/>
  <c r="Q19" i="60" s="1"/>
  <c r="M19" i="60"/>
  <c r="H19" i="60"/>
  <c r="AB18" i="60"/>
  <c r="J18" i="60" s="1"/>
  <c r="Z18" i="60"/>
  <c r="W18" i="60"/>
  <c r="V18" i="60"/>
  <c r="P18" i="60"/>
  <c r="O18" i="60"/>
  <c r="Q18" i="60" s="1"/>
  <c r="M18" i="60"/>
  <c r="K18" i="60"/>
  <c r="I18" i="60"/>
  <c r="H18" i="60"/>
  <c r="Z17" i="60"/>
  <c r="AB17" i="60" s="1"/>
  <c r="J17" i="60" s="1"/>
  <c r="W17" i="60"/>
  <c r="V17" i="60"/>
  <c r="Q17" i="60"/>
  <c r="P17" i="60"/>
  <c r="O17" i="60"/>
  <c r="M17" i="60"/>
  <c r="H17" i="60"/>
  <c r="AB16" i="60"/>
  <c r="J16" i="60" s="1"/>
  <c r="K16" i="60" s="1"/>
  <c r="Z16" i="60"/>
  <c r="W16" i="60"/>
  <c r="V16" i="60"/>
  <c r="P16" i="60"/>
  <c r="O16" i="60"/>
  <c r="Q16" i="60" s="1"/>
  <c r="M16" i="60"/>
  <c r="I16" i="60"/>
  <c r="H16" i="60"/>
  <c r="Z15" i="60"/>
  <c r="AB15" i="60" s="1"/>
  <c r="J15" i="60" s="1"/>
  <c r="W15" i="60"/>
  <c r="V15" i="60"/>
  <c r="Q15" i="60"/>
  <c r="P15" i="60"/>
  <c r="O15" i="60"/>
  <c r="M15" i="60"/>
  <c r="H15" i="60"/>
  <c r="AB14" i="60"/>
  <c r="J14" i="60" s="1"/>
  <c r="Z14" i="60"/>
  <c r="W14" i="60"/>
  <c r="V14" i="60"/>
  <c r="P14" i="60"/>
  <c r="O14" i="60"/>
  <c r="Q14" i="60" s="1"/>
  <c r="M14" i="60"/>
  <c r="H14" i="60"/>
  <c r="Z13" i="60"/>
  <c r="AB13" i="60" s="1"/>
  <c r="J13" i="60" s="1"/>
  <c r="W13" i="60"/>
  <c r="V13" i="60"/>
  <c r="P13" i="60"/>
  <c r="O13" i="60"/>
  <c r="Q13" i="60" s="1"/>
  <c r="M13" i="60"/>
  <c r="H13" i="60"/>
  <c r="AB12" i="60"/>
  <c r="J12" i="60" s="1"/>
  <c r="Z12" i="60"/>
  <c r="W12" i="60"/>
  <c r="V12" i="60"/>
  <c r="P12" i="60"/>
  <c r="O12" i="60"/>
  <c r="Q12" i="60" s="1"/>
  <c r="M12" i="60"/>
  <c r="K12" i="60"/>
  <c r="I12" i="60"/>
  <c r="H12" i="60"/>
  <c r="Z11" i="60"/>
  <c r="AB11" i="60" s="1"/>
  <c r="J11" i="60" s="1"/>
  <c r="W11" i="60"/>
  <c r="V11" i="60"/>
  <c r="P11" i="60"/>
  <c r="O11" i="60"/>
  <c r="Q11" i="60" s="1"/>
  <c r="M11" i="60"/>
  <c r="H11" i="60"/>
  <c r="AB10" i="60"/>
  <c r="J10" i="60" s="1"/>
  <c r="Z10" i="60"/>
  <c r="W10" i="60"/>
  <c r="V10" i="60"/>
  <c r="P10" i="60"/>
  <c r="O10" i="60"/>
  <c r="Q10" i="60" s="1"/>
  <c r="M10" i="60"/>
  <c r="K10" i="60"/>
  <c r="I10" i="60"/>
  <c r="H10" i="60"/>
  <c r="Z9" i="60"/>
  <c r="AB9" i="60" s="1"/>
  <c r="J9" i="60" s="1"/>
  <c r="W9" i="60"/>
  <c r="V9" i="60"/>
  <c r="Q9" i="60"/>
  <c r="P9" i="60"/>
  <c r="O9" i="60"/>
  <c r="M9" i="60"/>
  <c r="H9" i="60"/>
  <c r="AB8" i="60"/>
  <c r="J8" i="60" s="1"/>
  <c r="K8" i="60" s="1"/>
  <c r="Z8" i="60"/>
  <c r="W8" i="60"/>
  <c r="V8" i="60"/>
  <c r="P8" i="60"/>
  <c r="O8" i="60"/>
  <c r="Q8" i="60" s="1"/>
  <c r="M8" i="60"/>
  <c r="I8" i="60"/>
  <c r="H8" i="60"/>
  <c r="Z7" i="60"/>
  <c r="AB7" i="60" s="1"/>
  <c r="J7" i="60" s="1"/>
  <c r="W7" i="60"/>
  <c r="V7" i="60"/>
  <c r="Q7" i="60"/>
  <c r="P7" i="60"/>
  <c r="O7" i="60"/>
  <c r="M7" i="60"/>
  <c r="H7" i="60"/>
  <c r="AB6" i="60"/>
  <c r="J6" i="60" s="1"/>
  <c r="K6" i="60" s="1"/>
  <c r="Z6" i="60"/>
  <c r="W6" i="60"/>
  <c r="V6" i="60"/>
  <c r="P6" i="60"/>
  <c r="O6" i="60"/>
  <c r="Q6" i="60" s="1"/>
  <c r="M6" i="60"/>
  <c r="H6" i="60"/>
  <c r="Z5" i="60"/>
  <c r="AB5" i="60" s="1"/>
  <c r="J5" i="60" s="1"/>
  <c r="W5" i="60"/>
  <c r="V5" i="60"/>
  <c r="P5" i="60"/>
  <c r="O5" i="60"/>
  <c r="Q5" i="60" s="1"/>
  <c r="M5" i="60"/>
  <c r="H5" i="60"/>
  <c r="AB4" i="60"/>
  <c r="J4" i="60" s="1"/>
  <c r="Z4" i="60"/>
  <c r="W4" i="60"/>
  <c r="V4" i="60"/>
  <c r="P4" i="60"/>
  <c r="O4" i="60"/>
  <c r="Q4" i="60" s="1"/>
  <c r="M4" i="60"/>
  <c r="K4" i="60"/>
  <c r="I4" i="60"/>
  <c r="H4" i="60"/>
  <c r="AE3" i="60"/>
  <c r="U3" i="60"/>
  <c r="O3" i="60"/>
  <c r="G3" i="60"/>
  <c r="H3" i="60" s="1"/>
  <c r="F3" i="60"/>
  <c r="D3" i="60"/>
  <c r="C3" i="60"/>
  <c r="B3" i="60"/>
  <c r="A2" i="60"/>
  <c r="A1" i="60"/>
  <c r="Z56" i="59"/>
  <c r="AB56" i="59" s="1"/>
  <c r="W56" i="59"/>
  <c r="V56" i="59"/>
  <c r="T56" i="59"/>
  <c r="S56" i="59"/>
  <c r="R56" i="59"/>
  <c r="Q56" i="59"/>
  <c r="P56" i="59"/>
  <c r="O56" i="59"/>
  <c r="M56" i="59"/>
  <c r="K56" i="59"/>
  <c r="J56" i="59"/>
  <c r="I56" i="59" s="1"/>
  <c r="H56" i="59"/>
  <c r="C56" i="59"/>
  <c r="Z55" i="59"/>
  <c r="AB55" i="59" s="1"/>
  <c r="J55" i="59" s="1"/>
  <c r="W55" i="59"/>
  <c r="V55" i="59"/>
  <c r="Q55" i="59"/>
  <c r="P55" i="59"/>
  <c r="O55" i="59"/>
  <c r="M55" i="59"/>
  <c r="H55" i="59"/>
  <c r="C55" i="59"/>
  <c r="Z54" i="59"/>
  <c r="AB54" i="59" s="1"/>
  <c r="J54" i="59" s="1"/>
  <c r="W54" i="59"/>
  <c r="V54" i="59"/>
  <c r="T54" i="59"/>
  <c r="S54" i="59"/>
  <c r="R54" i="59"/>
  <c r="P54" i="59"/>
  <c r="O54" i="59"/>
  <c r="Q54" i="59" s="1"/>
  <c r="M54" i="59"/>
  <c r="H54" i="59"/>
  <c r="C54" i="59"/>
  <c r="Z53" i="59"/>
  <c r="AB53" i="59" s="1"/>
  <c r="J53" i="59" s="1"/>
  <c r="W53" i="59"/>
  <c r="V53" i="59"/>
  <c r="T53" i="59"/>
  <c r="S53" i="59"/>
  <c r="R53" i="59"/>
  <c r="Q53" i="59"/>
  <c r="P53" i="59"/>
  <c r="O53" i="59"/>
  <c r="M53" i="59"/>
  <c r="H53" i="59"/>
  <c r="C53" i="59"/>
  <c r="Z52" i="59"/>
  <c r="AB52" i="59" s="1"/>
  <c r="J52" i="59" s="1"/>
  <c r="W52" i="59"/>
  <c r="V52" i="59"/>
  <c r="T52" i="59"/>
  <c r="S52" i="59"/>
  <c r="R52" i="59"/>
  <c r="P52" i="59"/>
  <c r="O52" i="59"/>
  <c r="Q52" i="59" s="1"/>
  <c r="M52" i="59"/>
  <c r="H52" i="59"/>
  <c r="C52" i="59"/>
  <c r="Z51" i="59"/>
  <c r="AB51" i="59" s="1"/>
  <c r="J51" i="59" s="1"/>
  <c r="W51" i="59"/>
  <c r="V51" i="59"/>
  <c r="T51" i="59"/>
  <c r="S51" i="59"/>
  <c r="R51" i="59"/>
  <c r="Q51" i="59"/>
  <c r="P51" i="59"/>
  <c r="O51" i="59"/>
  <c r="M51" i="59"/>
  <c r="H51" i="59"/>
  <c r="C51" i="59"/>
  <c r="Z50" i="59"/>
  <c r="AB50" i="59" s="1"/>
  <c r="J50" i="59" s="1"/>
  <c r="W50" i="59"/>
  <c r="V50" i="59"/>
  <c r="T50" i="59"/>
  <c r="S50" i="59"/>
  <c r="R50" i="59"/>
  <c r="P50" i="59"/>
  <c r="O50" i="59"/>
  <c r="Q50" i="59" s="1"/>
  <c r="M50" i="59"/>
  <c r="H50" i="59"/>
  <c r="C50" i="59"/>
  <c r="Z49" i="59"/>
  <c r="AB49" i="59" s="1"/>
  <c r="J49" i="59" s="1"/>
  <c r="W49" i="59"/>
  <c r="V49" i="59"/>
  <c r="T49" i="59"/>
  <c r="S49" i="59"/>
  <c r="R49" i="59"/>
  <c r="Q49" i="59"/>
  <c r="P49" i="59"/>
  <c r="O49" i="59"/>
  <c r="M49" i="59"/>
  <c r="H49" i="59"/>
  <c r="C49" i="59"/>
  <c r="Z48" i="59"/>
  <c r="AB48" i="59" s="1"/>
  <c r="J48" i="59" s="1"/>
  <c r="W48" i="59"/>
  <c r="V48" i="59"/>
  <c r="T48" i="59"/>
  <c r="S48" i="59"/>
  <c r="R48" i="59"/>
  <c r="P48" i="59"/>
  <c r="O48" i="59"/>
  <c r="Q48" i="59" s="1"/>
  <c r="M48" i="59"/>
  <c r="H48" i="59"/>
  <c r="C48" i="59"/>
  <c r="Z47" i="59"/>
  <c r="AB47" i="59" s="1"/>
  <c r="W47" i="59"/>
  <c r="V47" i="59"/>
  <c r="P47" i="59"/>
  <c r="O47" i="59"/>
  <c r="Q47" i="59" s="1"/>
  <c r="M47" i="59"/>
  <c r="J47" i="59"/>
  <c r="K47" i="59" s="1"/>
  <c r="I47" i="59"/>
  <c r="H47" i="59"/>
  <c r="C47" i="59"/>
  <c r="Z46" i="59"/>
  <c r="AB46" i="59" s="1"/>
  <c r="W46" i="59"/>
  <c r="V46" i="59"/>
  <c r="P46" i="59"/>
  <c r="Q46" i="59" s="1"/>
  <c r="O46" i="59"/>
  <c r="M46" i="59"/>
  <c r="J46" i="59"/>
  <c r="K46" i="59" s="1"/>
  <c r="H46" i="59"/>
  <c r="C46" i="59"/>
  <c r="AB45" i="59"/>
  <c r="J45" i="59" s="1"/>
  <c r="I45" i="59" s="1"/>
  <c r="Z45" i="59"/>
  <c r="W45" i="59"/>
  <c r="V45" i="59"/>
  <c r="Q45" i="59"/>
  <c r="P45" i="59"/>
  <c r="O45" i="59"/>
  <c r="M45" i="59"/>
  <c r="K45" i="59"/>
  <c r="H45" i="59"/>
  <c r="C45" i="59"/>
  <c r="AB44" i="59"/>
  <c r="J44" i="59" s="1"/>
  <c r="Z44" i="59"/>
  <c r="W44" i="59"/>
  <c r="V44" i="59"/>
  <c r="P44" i="59"/>
  <c r="O44" i="59"/>
  <c r="Q44" i="59" s="1"/>
  <c r="M44" i="59"/>
  <c r="K44" i="59"/>
  <c r="I44" i="59"/>
  <c r="H44" i="59"/>
  <c r="C44" i="59"/>
  <c r="Z43" i="59"/>
  <c r="AB43" i="59" s="1"/>
  <c r="J43" i="59" s="1"/>
  <c r="K43" i="59" s="1"/>
  <c r="W43" i="59"/>
  <c r="V43" i="59"/>
  <c r="P43" i="59"/>
  <c r="O43" i="59"/>
  <c r="Q43" i="59" s="1"/>
  <c r="M43" i="59"/>
  <c r="I43" i="59"/>
  <c r="H43" i="59"/>
  <c r="C43" i="59"/>
  <c r="AB42" i="59"/>
  <c r="J42" i="59" s="1"/>
  <c r="K42" i="59" s="1"/>
  <c r="Z42" i="59"/>
  <c r="W42" i="59"/>
  <c r="V42" i="59"/>
  <c r="T42" i="59"/>
  <c r="S42" i="59"/>
  <c r="R42" i="59"/>
  <c r="P42" i="59"/>
  <c r="O42" i="59"/>
  <c r="Q42" i="59" s="1"/>
  <c r="M42" i="59"/>
  <c r="I42" i="59"/>
  <c r="H42" i="59"/>
  <c r="C42" i="59"/>
  <c r="AB41" i="59"/>
  <c r="Z41" i="59"/>
  <c r="W41" i="59"/>
  <c r="V41" i="59"/>
  <c r="P41" i="59"/>
  <c r="O41" i="59"/>
  <c r="Q41" i="59" s="1"/>
  <c r="M41" i="59"/>
  <c r="K41" i="59"/>
  <c r="J41" i="59"/>
  <c r="I41" i="59" s="1"/>
  <c r="H41" i="59"/>
  <c r="C41" i="59"/>
  <c r="AB39" i="59"/>
  <c r="J39" i="59" s="1"/>
  <c r="Z39" i="59"/>
  <c r="W39" i="59"/>
  <c r="V39" i="59"/>
  <c r="Q39" i="59"/>
  <c r="P39" i="59"/>
  <c r="O39" i="59"/>
  <c r="M39" i="59"/>
  <c r="H39" i="59"/>
  <c r="C39" i="59"/>
  <c r="Z38" i="59"/>
  <c r="AB38" i="59" s="1"/>
  <c r="J38" i="59" s="1"/>
  <c r="W38" i="59"/>
  <c r="V38" i="59"/>
  <c r="P38" i="59"/>
  <c r="O38" i="59"/>
  <c r="Q38" i="59" s="1"/>
  <c r="M38" i="59"/>
  <c r="H38" i="59"/>
  <c r="C38" i="59"/>
  <c r="Z37" i="59"/>
  <c r="AB37" i="59" s="1"/>
  <c r="W37" i="59"/>
  <c r="V37" i="59"/>
  <c r="P37" i="59"/>
  <c r="O37" i="59"/>
  <c r="Q37" i="59" s="1"/>
  <c r="M37" i="59"/>
  <c r="J37" i="59"/>
  <c r="H37" i="59"/>
  <c r="C37" i="59"/>
  <c r="Z36" i="59"/>
  <c r="AB36" i="59" s="1"/>
  <c r="J36" i="59" s="1"/>
  <c r="W36" i="59"/>
  <c r="V36" i="59"/>
  <c r="P36" i="59"/>
  <c r="Q36" i="59" s="1"/>
  <c r="O36" i="59"/>
  <c r="M36" i="59"/>
  <c r="H36" i="59"/>
  <c r="C36" i="59"/>
  <c r="AB35" i="59"/>
  <c r="J35" i="59" s="1"/>
  <c r="I35" i="59" s="1"/>
  <c r="Z35" i="59"/>
  <c r="W35" i="59"/>
  <c r="V35" i="59"/>
  <c r="P35" i="59"/>
  <c r="O35" i="59"/>
  <c r="Q35" i="59" s="1"/>
  <c r="M35" i="59"/>
  <c r="H35" i="59"/>
  <c r="C35" i="59"/>
  <c r="AB34" i="59"/>
  <c r="Z34" i="59"/>
  <c r="W34" i="59"/>
  <c r="V34" i="59"/>
  <c r="P34" i="59"/>
  <c r="O34" i="59"/>
  <c r="Q34" i="59" s="1"/>
  <c r="M34" i="59"/>
  <c r="K34" i="59"/>
  <c r="J34" i="59"/>
  <c r="I34" i="59" s="1"/>
  <c r="H34" i="59"/>
  <c r="C34" i="59"/>
  <c r="Z33" i="59"/>
  <c r="AB33" i="59" s="1"/>
  <c r="W33" i="59"/>
  <c r="V33" i="59"/>
  <c r="Q33" i="59"/>
  <c r="P33" i="59"/>
  <c r="O33" i="59"/>
  <c r="M33" i="59"/>
  <c r="J33" i="59"/>
  <c r="K33" i="59" s="1"/>
  <c r="H33" i="59"/>
  <c r="C33" i="59"/>
  <c r="AB32" i="59"/>
  <c r="J32" i="59" s="1"/>
  <c r="Z32" i="59"/>
  <c r="W32" i="59"/>
  <c r="V32" i="59"/>
  <c r="P32" i="59"/>
  <c r="O32" i="59"/>
  <c r="Q32" i="59" s="1"/>
  <c r="M32" i="59"/>
  <c r="H32" i="59"/>
  <c r="C32" i="59"/>
  <c r="AB31" i="59"/>
  <c r="J31" i="59" s="1"/>
  <c r="K31" i="59" s="1"/>
  <c r="Z31" i="59"/>
  <c r="W31" i="59"/>
  <c r="V31" i="59"/>
  <c r="Q31" i="59"/>
  <c r="P31" i="59"/>
  <c r="O31" i="59"/>
  <c r="M31" i="59"/>
  <c r="I31" i="59"/>
  <c r="H31" i="59"/>
  <c r="C31" i="59"/>
  <c r="Z30" i="59"/>
  <c r="AB30" i="59" s="1"/>
  <c r="J30" i="59" s="1"/>
  <c r="K30" i="59" s="1"/>
  <c r="W30" i="59"/>
  <c r="V30" i="59"/>
  <c r="P30" i="59"/>
  <c r="O30" i="59"/>
  <c r="Q30" i="59" s="1"/>
  <c r="M30" i="59"/>
  <c r="I30" i="59"/>
  <c r="H30" i="59"/>
  <c r="C30" i="59"/>
  <c r="Z29" i="59"/>
  <c r="AB29" i="59" s="1"/>
  <c r="J29" i="59" s="1"/>
  <c r="W29" i="59"/>
  <c r="V29" i="59"/>
  <c r="P29" i="59"/>
  <c r="O29" i="59"/>
  <c r="M29" i="59"/>
  <c r="H29" i="59"/>
  <c r="C29" i="59"/>
  <c r="AB28" i="59"/>
  <c r="J28" i="59" s="1"/>
  <c r="I28" i="59" s="1"/>
  <c r="Z28" i="59"/>
  <c r="W28" i="59"/>
  <c r="V28" i="59"/>
  <c r="P28" i="59"/>
  <c r="Q28" i="59" s="1"/>
  <c r="O28" i="59"/>
  <c r="M28" i="59"/>
  <c r="H28" i="59"/>
  <c r="C28" i="59"/>
  <c r="AB27" i="59"/>
  <c r="J27" i="59" s="1"/>
  <c r="I27" i="59" s="1"/>
  <c r="Z27" i="59"/>
  <c r="W27" i="59"/>
  <c r="V27" i="59"/>
  <c r="Q27" i="59"/>
  <c r="P27" i="59"/>
  <c r="O27" i="59"/>
  <c r="M27" i="59"/>
  <c r="K27" i="59"/>
  <c r="H27" i="59"/>
  <c r="C27" i="59"/>
  <c r="AB26" i="59"/>
  <c r="Z26" i="59"/>
  <c r="W26" i="59"/>
  <c r="V26" i="59"/>
  <c r="P26" i="59"/>
  <c r="O26" i="59"/>
  <c r="Q26" i="59" s="1"/>
  <c r="M26" i="59"/>
  <c r="K26" i="59"/>
  <c r="J26" i="59"/>
  <c r="I26" i="59" s="1"/>
  <c r="H26" i="59"/>
  <c r="C26" i="59"/>
  <c r="Z25" i="59"/>
  <c r="AB25" i="59" s="1"/>
  <c r="J25" i="59" s="1"/>
  <c r="W25" i="59"/>
  <c r="V25" i="59"/>
  <c r="P25" i="59"/>
  <c r="Q25" i="59" s="1"/>
  <c r="O25" i="59"/>
  <c r="M25" i="59"/>
  <c r="H25" i="59"/>
  <c r="Z24" i="59"/>
  <c r="AB24" i="59" s="1"/>
  <c r="J24" i="59" s="1"/>
  <c r="W24" i="59"/>
  <c r="V24" i="59"/>
  <c r="P24" i="59"/>
  <c r="O24" i="59"/>
  <c r="M24" i="59"/>
  <c r="H24" i="59"/>
  <c r="AB23" i="59"/>
  <c r="J23" i="59" s="1"/>
  <c r="Z23" i="59"/>
  <c r="W23" i="59"/>
  <c r="V23" i="59"/>
  <c r="P23" i="59"/>
  <c r="O23" i="59"/>
  <c r="Q23" i="59" s="1"/>
  <c r="M23" i="59"/>
  <c r="H23" i="59"/>
  <c r="AB22" i="59"/>
  <c r="J22" i="59" s="1"/>
  <c r="K22" i="59" s="1"/>
  <c r="Z22" i="59"/>
  <c r="W22" i="59"/>
  <c r="V22" i="59"/>
  <c r="Q22" i="59"/>
  <c r="P22" i="59"/>
  <c r="O22" i="59"/>
  <c r="M22" i="59"/>
  <c r="I22" i="59"/>
  <c r="H22" i="59"/>
  <c r="AB21" i="59"/>
  <c r="J21" i="59" s="1"/>
  <c r="Z21" i="59"/>
  <c r="W21" i="59"/>
  <c r="V21" i="59"/>
  <c r="P21" i="59"/>
  <c r="O21" i="59"/>
  <c r="Q21" i="59" s="1"/>
  <c r="M21" i="59"/>
  <c r="H21" i="59"/>
  <c r="AB20" i="59"/>
  <c r="J20" i="59" s="1"/>
  <c r="K20" i="59" s="1"/>
  <c r="Z20" i="59"/>
  <c r="W20" i="59"/>
  <c r="V20" i="59"/>
  <c r="Q20" i="59"/>
  <c r="P20" i="59"/>
  <c r="O20" i="59"/>
  <c r="M20" i="59"/>
  <c r="I20" i="59"/>
  <c r="H20" i="59"/>
  <c r="AB19" i="59"/>
  <c r="J19" i="59" s="1"/>
  <c r="Z19" i="59"/>
  <c r="W19" i="59"/>
  <c r="V19" i="59"/>
  <c r="P19" i="59"/>
  <c r="O19" i="59"/>
  <c r="Q19" i="59" s="1"/>
  <c r="M19" i="59"/>
  <c r="H19" i="59"/>
  <c r="AB18" i="59"/>
  <c r="J18" i="59" s="1"/>
  <c r="K18" i="59" s="1"/>
  <c r="Z18" i="59"/>
  <c r="W18" i="59"/>
  <c r="V18" i="59"/>
  <c r="Q18" i="59"/>
  <c r="P18" i="59"/>
  <c r="O18" i="59"/>
  <c r="M18" i="59"/>
  <c r="I18" i="59"/>
  <c r="H18" i="59"/>
  <c r="AB17" i="59"/>
  <c r="J17" i="59" s="1"/>
  <c r="Z17" i="59"/>
  <c r="W17" i="59"/>
  <c r="V17" i="59"/>
  <c r="P17" i="59"/>
  <c r="O17" i="59"/>
  <c r="Q17" i="59" s="1"/>
  <c r="M17" i="59"/>
  <c r="H17" i="59"/>
  <c r="AB16" i="59"/>
  <c r="J16" i="59" s="1"/>
  <c r="K16" i="59" s="1"/>
  <c r="Z16" i="59"/>
  <c r="W16" i="59"/>
  <c r="V16" i="59"/>
  <c r="Q16" i="59"/>
  <c r="P16" i="59"/>
  <c r="O16" i="59"/>
  <c r="M16" i="59"/>
  <c r="I16" i="59"/>
  <c r="H16" i="59"/>
  <c r="AB15" i="59"/>
  <c r="J15" i="59" s="1"/>
  <c r="Z15" i="59"/>
  <c r="W15" i="59"/>
  <c r="V15" i="59"/>
  <c r="P15" i="59"/>
  <c r="O15" i="59"/>
  <c r="Q15" i="59" s="1"/>
  <c r="M15" i="59"/>
  <c r="H15" i="59"/>
  <c r="AB14" i="59"/>
  <c r="J14" i="59" s="1"/>
  <c r="K14" i="59" s="1"/>
  <c r="Z14" i="59"/>
  <c r="W14" i="59"/>
  <c r="V14" i="59"/>
  <c r="Q14" i="59"/>
  <c r="P14" i="59"/>
  <c r="O14" i="59"/>
  <c r="M14" i="59"/>
  <c r="I14" i="59"/>
  <c r="H14" i="59"/>
  <c r="AB13" i="59"/>
  <c r="J13" i="59" s="1"/>
  <c r="Z13" i="59"/>
  <c r="W13" i="59"/>
  <c r="V13" i="59"/>
  <c r="P13" i="59"/>
  <c r="O13" i="59"/>
  <c r="Q13" i="59" s="1"/>
  <c r="M13" i="59"/>
  <c r="H13" i="59"/>
  <c r="AB12" i="59"/>
  <c r="J12" i="59" s="1"/>
  <c r="K12" i="59" s="1"/>
  <c r="Z12" i="59"/>
  <c r="W12" i="59"/>
  <c r="V12" i="59"/>
  <c r="Q12" i="59"/>
  <c r="P12" i="59"/>
  <c r="O12" i="59"/>
  <c r="M12" i="59"/>
  <c r="I12" i="59"/>
  <c r="H12" i="59"/>
  <c r="AB11" i="59"/>
  <c r="J11" i="59" s="1"/>
  <c r="Z11" i="59"/>
  <c r="W11" i="59"/>
  <c r="V11" i="59"/>
  <c r="P11" i="59"/>
  <c r="O11" i="59"/>
  <c r="Q11" i="59" s="1"/>
  <c r="M11" i="59"/>
  <c r="H11" i="59"/>
  <c r="AB10" i="59"/>
  <c r="J10" i="59" s="1"/>
  <c r="K10" i="59" s="1"/>
  <c r="Z10" i="59"/>
  <c r="W10" i="59"/>
  <c r="V10" i="59"/>
  <c r="Q10" i="59"/>
  <c r="P10" i="59"/>
  <c r="O10" i="59"/>
  <c r="M10" i="59"/>
  <c r="I10" i="59"/>
  <c r="H10" i="59"/>
  <c r="AB9" i="59"/>
  <c r="J9" i="59" s="1"/>
  <c r="Z9" i="59"/>
  <c r="W9" i="59"/>
  <c r="V9" i="59"/>
  <c r="P9" i="59"/>
  <c r="O9" i="59"/>
  <c r="Q9" i="59" s="1"/>
  <c r="M9" i="59"/>
  <c r="H9" i="59"/>
  <c r="AB8" i="59"/>
  <c r="J8" i="59" s="1"/>
  <c r="K8" i="59" s="1"/>
  <c r="Z8" i="59"/>
  <c r="W8" i="59"/>
  <c r="V8" i="59"/>
  <c r="Q8" i="59"/>
  <c r="P8" i="59"/>
  <c r="O8" i="59"/>
  <c r="M8" i="59"/>
  <c r="I8" i="59"/>
  <c r="H8" i="59"/>
  <c r="AB7" i="59"/>
  <c r="J7" i="59" s="1"/>
  <c r="Z7" i="59"/>
  <c r="W7" i="59"/>
  <c r="V7" i="59"/>
  <c r="P7" i="59"/>
  <c r="O7" i="59"/>
  <c r="Q7" i="59" s="1"/>
  <c r="M7" i="59"/>
  <c r="H7" i="59"/>
  <c r="AB6" i="59"/>
  <c r="J6" i="59" s="1"/>
  <c r="K6" i="59" s="1"/>
  <c r="Z6" i="59"/>
  <c r="W6" i="59"/>
  <c r="V6" i="59"/>
  <c r="Q6" i="59"/>
  <c r="P6" i="59"/>
  <c r="O6" i="59"/>
  <c r="M6" i="59"/>
  <c r="I6" i="59"/>
  <c r="H6" i="59"/>
  <c r="AB5" i="59"/>
  <c r="J5" i="59" s="1"/>
  <c r="Z5" i="59"/>
  <c r="W5" i="59"/>
  <c r="V5" i="59"/>
  <c r="P5" i="59"/>
  <c r="O5" i="59"/>
  <c r="Q5" i="59" s="1"/>
  <c r="M5" i="59"/>
  <c r="H5" i="59"/>
  <c r="AB4" i="59"/>
  <c r="J4" i="59" s="1"/>
  <c r="K4" i="59" s="1"/>
  <c r="Z4" i="59"/>
  <c r="W4" i="59"/>
  <c r="V4" i="59"/>
  <c r="Q4" i="59"/>
  <c r="P4" i="59"/>
  <c r="O4" i="59"/>
  <c r="M4" i="59"/>
  <c r="I4" i="59"/>
  <c r="H4" i="59"/>
  <c r="AE3" i="59"/>
  <c r="U3" i="59"/>
  <c r="O3" i="59"/>
  <c r="H3" i="59"/>
  <c r="G3" i="59"/>
  <c r="F3" i="59"/>
  <c r="D3" i="59"/>
  <c r="C3" i="59"/>
  <c r="B3" i="59"/>
  <c r="A2" i="59"/>
  <c r="A1" i="59"/>
  <c r="AB56" i="58"/>
  <c r="J56" i="58" s="1"/>
  <c r="Z56" i="58"/>
  <c r="W56" i="58"/>
  <c r="V56" i="58"/>
  <c r="T56" i="58"/>
  <c r="S56" i="58"/>
  <c r="R56" i="58"/>
  <c r="Q56" i="58"/>
  <c r="P56" i="58"/>
  <c r="O56" i="58"/>
  <c r="M56" i="58"/>
  <c r="H56" i="58"/>
  <c r="C56" i="58"/>
  <c r="AB55" i="58"/>
  <c r="J55" i="58" s="1"/>
  <c r="Z55" i="58"/>
  <c r="W55" i="58"/>
  <c r="V55" i="58"/>
  <c r="P55" i="58"/>
  <c r="O55" i="58"/>
  <c r="Q55" i="58" s="1"/>
  <c r="M55" i="58"/>
  <c r="H55" i="58"/>
  <c r="C55" i="58"/>
  <c r="Z54" i="58"/>
  <c r="AB54" i="58" s="1"/>
  <c r="J54" i="58" s="1"/>
  <c r="W54" i="58"/>
  <c r="V54" i="58"/>
  <c r="T54" i="58"/>
  <c r="S54" i="58"/>
  <c r="R54" i="58"/>
  <c r="P54" i="58"/>
  <c r="O54" i="58"/>
  <c r="Q54" i="58" s="1"/>
  <c r="M54" i="58"/>
  <c r="H54" i="58"/>
  <c r="C54" i="58"/>
  <c r="Z53" i="58"/>
  <c r="AB53" i="58" s="1"/>
  <c r="J53" i="58" s="1"/>
  <c r="W53" i="58"/>
  <c r="V53" i="58"/>
  <c r="T53" i="58"/>
  <c r="S53" i="58"/>
  <c r="R53" i="58"/>
  <c r="P53" i="58"/>
  <c r="O53" i="58"/>
  <c r="Q53" i="58" s="1"/>
  <c r="M53" i="58"/>
  <c r="H53" i="58"/>
  <c r="C53" i="58"/>
  <c r="Z52" i="58"/>
  <c r="AB52" i="58" s="1"/>
  <c r="J52" i="58" s="1"/>
  <c r="W52" i="58"/>
  <c r="V52" i="58"/>
  <c r="T52" i="58"/>
  <c r="S52" i="58"/>
  <c r="R52" i="58"/>
  <c r="P52" i="58"/>
  <c r="O52" i="58"/>
  <c r="Q52" i="58" s="1"/>
  <c r="M52" i="58"/>
  <c r="H52" i="58"/>
  <c r="C52" i="58"/>
  <c r="Z51" i="58"/>
  <c r="AB51" i="58" s="1"/>
  <c r="J51" i="58" s="1"/>
  <c r="W51" i="58"/>
  <c r="V51" i="58"/>
  <c r="T51" i="58"/>
  <c r="S51" i="58"/>
  <c r="R51" i="58"/>
  <c r="P51" i="58"/>
  <c r="O51" i="58"/>
  <c r="Q51" i="58" s="1"/>
  <c r="M51" i="58"/>
  <c r="H51" i="58"/>
  <c r="C51" i="58"/>
  <c r="Z50" i="58"/>
  <c r="AB50" i="58" s="1"/>
  <c r="J50" i="58" s="1"/>
  <c r="W50" i="58"/>
  <c r="V50" i="58"/>
  <c r="T50" i="58"/>
  <c r="S50" i="58"/>
  <c r="R50" i="58"/>
  <c r="P50" i="58"/>
  <c r="O50" i="58"/>
  <c r="Q50" i="58" s="1"/>
  <c r="M50" i="58"/>
  <c r="H50" i="58"/>
  <c r="C50" i="58"/>
  <c r="Z49" i="58"/>
  <c r="AB49" i="58" s="1"/>
  <c r="J49" i="58" s="1"/>
  <c r="W49" i="58"/>
  <c r="V49" i="58"/>
  <c r="T49" i="58"/>
  <c r="S49" i="58"/>
  <c r="R49" i="58"/>
  <c r="P49" i="58"/>
  <c r="O49" i="58"/>
  <c r="Q49" i="58" s="1"/>
  <c r="M49" i="58"/>
  <c r="H49" i="58"/>
  <c r="C49" i="58"/>
  <c r="Z48" i="58"/>
  <c r="AB48" i="58" s="1"/>
  <c r="J48" i="58" s="1"/>
  <c r="W48" i="58"/>
  <c r="V48" i="58"/>
  <c r="T48" i="58"/>
  <c r="S48" i="58"/>
  <c r="R48" i="58"/>
  <c r="P48" i="58"/>
  <c r="O48" i="58"/>
  <c r="Q48" i="58" s="1"/>
  <c r="M48" i="58"/>
  <c r="H48" i="58"/>
  <c r="C48" i="58"/>
  <c r="Z47" i="58"/>
  <c r="AB47" i="58" s="1"/>
  <c r="J47" i="58" s="1"/>
  <c r="W47" i="58"/>
  <c r="V47" i="58"/>
  <c r="Q47" i="58"/>
  <c r="P47" i="58"/>
  <c r="O47" i="58"/>
  <c r="M47" i="58"/>
  <c r="H47" i="58"/>
  <c r="C47" i="58"/>
  <c r="Z46" i="58"/>
  <c r="AB46" i="58" s="1"/>
  <c r="J46" i="58" s="1"/>
  <c r="W46" i="58"/>
  <c r="V46" i="58"/>
  <c r="P46" i="58"/>
  <c r="Q46" i="58" s="1"/>
  <c r="O46" i="58"/>
  <c r="M46" i="58"/>
  <c r="H46" i="58"/>
  <c r="C46" i="58"/>
  <c r="AB45" i="58"/>
  <c r="J45" i="58" s="1"/>
  <c r="Z45" i="58"/>
  <c r="W45" i="58"/>
  <c r="V45" i="58"/>
  <c r="P45" i="58"/>
  <c r="O45" i="58"/>
  <c r="Q45" i="58" s="1"/>
  <c r="M45" i="58"/>
  <c r="H45" i="58"/>
  <c r="C45" i="58"/>
  <c r="AB44" i="58"/>
  <c r="J44" i="58" s="1"/>
  <c r="K44" i="58" s="1"/>
  <c r="Z44" i="58"/>
  <c r="W44" i="58"/>
  <c r="V44" i="58"/>
  <c r="Q44" i="58"/>
  <c r="P44" i="58"/>
  <c r="O44" i="58"/>
  <c r="M44" i="58"/>
  <c r="I44" i="58"/>
  <c r="H44" i="58"/>
  <c r="C44" i="58"/>
  <c r="AB43" i="58"/>
  <c r="J43" i="58" s="1"/>
  <c r="Z43" i="58"/>
  <c r="W43" i="58"/>
  <c r="V43" i="58"/>
  <c r="P43" i="58"/>
  <c r="O43" i="58"/>
  <c r="M43" i="58"/>
  <c r="H43" i="58"/>
  <c r="C43" i="58"/>
  <c r="Z42" i="58"/>
  <c r="AB42" i="58" s="1"/>
  <c r="J42" i="58" s="1"/>
  <c r="W42" i="58"/>
  <c r="V42" i="58"/>
  <c r="T42" i="58"/>
  <c r="S42" i="58"/>
  <c r="R42" i="58"/>
  <c r="P42" i="58"/>
  <c r="O42" i="58"/>
  <c r="Q42" i="58" s="1"/>
  <c r="M42" i="58"/>
  <c r="H42" i="58"/>
  <c r="C42" i="58"/>
  <c r="Z41" i="58"/>
  <c r="AB41" i="58" s="1"/>
  <c r="J41" i="58" s="1"/>
  <c r="W41" i="58"/>
  <c r="V41" i="58"/>
  <c r="P41" i="58"/>
  <c r="O41" i="58"/>
  <c r="Q41" i="58" s="1"/>
  <c r="M41" i="58"/>
  <c r="H41" i="58"/>
  <c r="C41" i="58"/>
  <c r="Z39" i="58"/>
  <c r="AB39" i="58" s="1"/>
  <c r="J39" i="58" s="1"/>
  <c r="W39" i="58"/>
  <c r="V39" i="58"/>
  <c r="Q39" i="58"/>
  <c r="P39" i="58"/>
  <c r="O39" i="58"/>
  <c r="M39" i="58"/>
  <c r="H39" i="58"/>
  <c r="C39" i="58"/>
  <c r="AB38" i="58"/>
  <c r="J38" i="58" s="1"/>
  <c r="Z38" i="58"/>
  <c r="W38" i="58"/>
  <c r="V38" i="58"/>
  <c r="P38" i="58"/>
  <c r="O38" i="58"/>
  <c r="Q38" i="58" s="1"/>
  <c r="M38" i="58"/>
  <c r="H38" i="58"/>
  <c r="C38" i="58"/>
  <c r="Z37" i="58"/>
  <c r="AB37" i="58" s="1"/>
  <c r="J37" i="58" s="1"/>
  <c r="K37" i="58" s="1"/>
  <c r="W37" i="58"/>
  <c r="V37" i="58"/>
  <c r="Q37" i="58"/>
  <c r="P37" i="58"/>
  <c r="O37" i="58"/>
  <c r="M37" i="58"/>
  <c r="H37" i="58"/>
  <c r="C37" i="58"/>
  <c r="Z36" i="58"/>
  <c r="AB36" i="58" s="1"/>
  <c r="J36" i="58" s="1"/>
  <c r="W36" i="58"/>
  <c r="V36" i="58"/>
  <c r="P36" i="58"/>
  <c r="Q36" i="58" s="1"/>
  <c r="O36" i="58"/>
  <c r="M36" i="58"/>
  <c r="H36" i="58"/>
  <c r="C36" i="58"/>
  <c r="AB35" i="58"/>
  <c r="J35" i="58" s="1"/>
  <c r="I35" i="58" s="1"/>
  <c r="Z35" i="58"/>
  <c r="W35" i="58"/>
  <c r="V35" i="58"/>
  <c r="P35" i="58"/>
  <c r="O35" i="58"/>
  <c r="Q35" i="58" s="1"/>
  <c r="M35" i="58"/>
  <c r="H35" i="58"/>
  <c r="C35" i="58"/>
  <c r="AB34" i="58"/>
  <c r="J34" i="58" s="1"/>
  <c r="K34" i="58" s="1"/>
  <c r="Z34" i="58"/>
  <c r="W34" i="58"/>
  <c r="V34" i="58"/>
  <c r="Q34" i="58"/>
  <c r="P34" i="58"/>
  <c r="O34" i="58"/>
  <c r="M34" i="58"/>
  <c r="I34" i="58"/>
  <c r="H34" i="58"/>
  <c r="C34" i="58"/>
  <c r="AB33" i="58"/>
  <c r="J33" i="58" s="1"/>
  <c r="Z33" i="58"/>
  <c r="W33" i="58"/>
  <c r="V33" i="58"/>
  <c r="P33" i="58"/>
  <c r="O33" i="58"/>
  <c r="Q33" i="58" s="1"/>
  <c r="M33" i="58"/>
  <c r="H33" i="58"/>
  <c r="C33" i="58"/>
  <c r="AB32" i="58"/>
  <c r="Z32" i="58"/>
  <c r="W32" i="58"/>
  <c r="V32" i="58"/>
  <c r="P32" i="58"/>
  <c r="O32" i="58"/>
  <c r="Q32" i="58" s="1"/>
  <c r="M32" i="58"/>
  <c r="K32" i="58"/>
  <c r="J32" i="58"/>
  <c r="I32" i="58" s="1"/>
  <c r="H32" i="58"/>
  <c r="C32" i="58"/>
  <c r="Z31" i="58"/>
  <c r="AB31" i="58" s="1"/>
  <c r="J31" i="58" s="1"/>
  <c r="W31" i="58"/>
  <c r="V31" i="58"/>
  <c r="Q31" i="58"/>
  <c r="P31" i="58"/>
  <c r="O31" i="58"/>
  <c r="M31" i="58"/>
  <c r="H31" i="58"/>
  <c r="C31" i="58"/>
  <c r="AB30" i="58"/>
  <c r="J30" i="58" s="1"/>
  <c r="Z30" i="58"/>
  <c r="W30" i="58"/>
  <c r="V30" i="58"/>
  <c r="P30" i="58"/>
  <c r="O30" i="58"/>
  <c r="Q30" i="58" s="1"/>
  <c r="M30" i="58"/>
  <c r="H30" i="58"/>
  <c r="C30" i="58"/>
  <c r="Z29" i="58"/>
  <c r="AB29" i="58" s="1"/>
  <c r="J29" i="58" s="1"/>
  <c r="W29" i="58"/>
  <c r="V29" i="58"/>
  <c r="Q29" i="58"/>
  <c r="P29" i="58"/>
  <c r="O29" i="58"/>
  <c r="M29" i="58"/>
  <c r="H29" i="58"/>
  <c r="C29" i="58"/>
  <c r="Z28" i="58"/>
  <c r="AB28" i="58" s="1"/>
  <c r="J28" i="58" s="1"/>
  <c r="W28" i="58"/>
  <c r="V28" i="58"/>
  <c r="P28" i="58"/>
  <c r="Q28" i="58" s="1"/>
  <c r="O28" i="58"/>
  <c r="M28" i="58"/>
  <c r="H28" i="58"/>
  <c r="C28" i="58"/>
  <c r="AB27" i="58"/>
  <c r="J27" i="58" s="1"/>
  <c r="I27" i="58" s="1"/>
  <c r="Z27" i="58"/>
  <c r="W27" i="58"/>
  <c r="V27" i="58"/>
  <c r="P27" i="58"/>
  <c r="O27" i="58"/>
  <c r="Q27" i="58" s="1"/>
  <c r="M27" i="58"/>
  <c r="K27" i="58"/>
  <c r="H27" i="58"/>
  <c r="C27" i="58"/>
  <c r="AB26" i="58"/>
  <c r="J26" i="58" s="1"/>
  <c r="K26" i="58" s="1"/>
  <c r="Z26" i="58"/>
  <c r="W26" i="58"/>
  <c r="V26" i="58"/>
  <c r="Q26" i="58"/>
  <c r="P26" i="58"/>
  <c r="O26" i="58"/>
  <c r="M26" i="58"/>
  <c r="I26" i="58"/>
  <c r="H26" i="58"/>
  <c r="C26" i="58"/>
  <c r="AB25" i="58"/>
  <c r="J25" i="58" s="1"/>
  <c r="Z25" i="58"/>
  <c r="W25" i="58"/>
  <c r="V25" i="58"/>
  <c r="P25" i="58"/>
  <c r="O25" i="58"/>
  <c r="Q25" i="58" s="1"/>
  <c r="M25" i="58"/>
  <c r="H25" i="58"/>
  <c r="Z24" i="58"/>
  <c r="AB24" i="58" s="1"/>
  <c r="J24" i="58" s="1"/>
  <c r="K24" i="58" s="1"/>
  <c r="W24" i="58"/>
  <c r="V24" i="58"/>
  <c r="Q24" i="58"/>
  <c r="P24" i="58"/>
  <c r="O24" i="58"/>
  <c r="M24" i="58"/>
  <c r="H24" i="58"/>
  <c r="AB23" i="58"/>
  <c r="J23" i="58" s="1"/>
  <c r="Z23" i="58"/>
  <c r="W23" i="58"/>
  <c r="V23" i="58"/>
  <c r="P23" i="58"/>
  <c r="O23" i="58"/>
  <c r="Q23" i="58" s="1"/>
  <c r="M23" i="58"/>
  <c r="H23" i="58"/>
  <c r="Z22" i="58"/>
  <c r="AB22" i="58" s="1"/>
  <c r="W22" i="58"/>
  <c r="V22" i="58"/>
  <c r="Q22" i="58"/>
  <c r="P22" i="58"/>
  <c r="O22" i="58"/>
  <c r="M22" i="58"/>
  <c r="J22" i="58"/>
  <c r="H22" i="58"/>
  <c r="AB21" i="58"/>
  <c r="J21" i="58" s="1"/>
  <c r="Z21" i="58"/>
  <c r="W21" i="58"/>
  <c r="V21" i="58"/>
  <c r="P21" i="58"/>
  <c r="O21" i="58"/>
  <c r="M21" i="58"/>
  <c r="H21" i="58"/>
  <c r="Z20" i="58"/>
  <c r="AB20" i="58" s="1"/>
  <c r="J20" i="58" s="1"/>
  <c r="W20" i="58"/>
  <c r="V20" i="58"/>
  <c r="Q20" i="58"/>
  <c r="P20" i="58"/>
  <c r="O20" i="58"/>
  <c r="M20" i="58"/>
  <c r="H20" i="58"/>
  <c r="AB19" i="58"/>
  <c r="J19" i="58" s="1"/>
  <c r="Z19" i="58"/>
  <c r="W19" i="58"/>
  <c r="V19" i="58"/>
  <c r="P19" i="58"/>
  <c r="O19" i="58"/>
  <c r="M19" i="58"/>
  <c r="H19" i="58"/>
  <c r="Z18" i="58"/>
  <c r="AB18" i="58" s="1"/>
  <c r="W18" i="58"/>
  <c r="V18" i="58"/>
  <c r="Q18" i="58"/>
  <c r="P18" i="58"/>
  <c r="O18" i="58"/>
  <c r="M18" i="58"/>
  <c r="J18" i="58"/>
  <c r="K18" i="58" s="1"/>
  <c r="H18" i="58"/>
  <c r="AB17" i="58"/>
  <c r="J17" i="58" s="1"/>
  <c r="Z17" i="58"/>
  <c r="W17" i="58"/>
  <c r="V17" i="58"/>
  <c r="P17" i="58"/>
  <c r="O17" i="58"/>
  <c r="Q17" i="58" s="1"/>
  <c r="M17" i="58"/>
  <c r="H17" i="58"/>
  <c r="Z16" i="58"/>
  <c r="AB16" i="58" s="1"/>
  <c r="J16" i="58" s="1"/>
  <c r="W16" i="58"/>
  <c r="V16" i="58"/>
  <c r="Q16" i="58"/>
  <c r="P16" i="58"/>
  <c r="O16" i="58"/>
  <c r="M16" i="58"/>
  <c r="H16" i="58"/>
  <c r="AB15" i="58"/>
  <c r="J15" i="58" s="1"/>
  <c r="Z15" i="58"/>
  <c r="W15" i="58"/>
  <c r="V15" i="58"/>
  <c r="P15" i="58"/>
  <c r="O15" i="58"/>
  <c r="Q15" i="58" s="1"/>
  <c r="M15" i="58"/>
  <c r="H15" i="58"/>
  <c r="Z14" i="58"/>
  <c r="AB14" i="58" s="1"/>
  <c r="W14" i="58"/>
  <c r="V14" i="58"/>
  <c r="Q14" i="58"/>
  <c r="P14" i="58"/>
  <c r="O14" i="58"/>
  <c r="M14" i="58"/>
  <c r="J14" i="58"/>
  <c r="H14" i="58"/>
  <c r="AB13" i="58"/>
  <c r="J13" i="58" s="1"/>
  <c r="Z13" i="58"/>
  <c r="W13" i="58"/>
  <c r="V13" i="58"/>
  <c r="P13" i="58"/>
  <c r="O13" i="58"/>
  <c r="M13" i="58"/>
  <c r="H13" i="58"/>
  <c r="Z12" i="58"/>
  <c r="AB12" i="58" s="1"/>
  <c r="J12" i="58" s="1"/>
  <c r="W12" i="58"/>
  <c r="V12" i="58"/>
  <c r="Q12" i="58"/>
  <c r="P12" i="58"/>
  <c r="O12" i="58"/>
  <c r="M12" i="58"/>
  <c r="H12" i="58"/>
  <c r="AB11" i="58"/>
  <c r="J11" i="58" s="1"/>
  <c r="Z11" i="58"/>
  <c r="W11" i="58"/>
  <c r="V11" i="58"/>
  <c r="P11" i="58"/>
  <c r="O11" i="58"/>
  <c r="M11" i="58"/>
  <c r="H11" i="58"/>
  <c r="Z10" i="58"/>
  <c r="AB10" i="58" s="1"/>
  <c r="J10" i="58" s="1"/>
  <c r="W10" i="58"/>
  <c r="V10" i="58"/>
  <c r="Q10" i="58"/>
  <c r="P10" i="58"/>
  <c r="O10" i="58"/>
  <c r="M10" i="58"/>
  <c r="H10" i="58"/>
  <c r="AB9" i="58"/>
  <c r="J9" i="58" s="1"/>
  <c r="Z9" i="58"/>
  <c r="W9" i="58"/>
  <c r="V9" i="58"/>
  <c r="P9" i="58"/>
  <c r="O9" i="58"/>
  <c r="Q9" i="58" s="1"/>
  <c r="M9" i="58"/>
  <c r="H9" i="58"/>
  <c r="Z8" i="58"/>
  <c r="AB8" i="58" s="1"/>
  <c r="J8" i="58" s="1"/>
  <c r="K8" i="58" s="1"/>
  <c r="W8" i="58"/>
  <c r="V8" i="58"/>
  <c r="Q8" i="58"/>
  <c r="P8" i="58"/>
  <c r="O8" i="58"/>
  <c r="M8" i="58"/>
  <c r="H8" i="58"/>
  <c r="AB7" i="58"/>
  <c r="J7" i="58" s="1"/>
  <c r="Z7" i="58"/>
  <c r="W7" i="58"/>
  <c r="V7" i="58"/>
  <c r="P7" i="58"/>
  <c r="O7" i="58"/>
  <c r="Q7" i="58" s="1"/>
  <c r="M7" i="58"/>
  <c r="H7" i="58"/>
  <c r="Z6" i="58"/>
  <c r="AB6" i="58" s="1"/>
  <c r="W6" i="58"/>
  <c r="V6" i="58"/>
  <c r="Q6" i="58"/>
  <c r="P6" i="58"/>
  <c r="O6" i="58"/>
  <c r="M6" i="58"/>
  <c r="J6" i="58"/>
  <c r="H6" i="58"/>
  <c r="AB5" i="58"/>
  <c r="J5" i="58" s="1"/>
  <c r="Z5" i="58"/>
  <c r="W5" i="58"/>
  <c r="V5" i="58"/>
  <c r="P5" i="58"/>
  <c r="O5" i="58"/>
  <c r="M5" i="58"/>
  <c r="H5" i="58"/>
  <c r="Z4" i="58"/>
  <c r="AB4" i="58" s="1"/>
  <c r="J4" i="58" s="1"/>
  <c r="W4" i="58"/>
  <c r="V4" i="58"/>
  <c r="Q4" i="58"/>
  <c r="P4" i="58"/>
  <c r="O4" i="58"/>
  <c r="M4" i="58"/>
  <c r="H4" i="58"/>
  <c r="AE3" i="58"/>
  <c r="U3" i="58"/>
  <c r="O3" i="58"/>
  <c r="H3" i="58"/>
  <c r="G3" i="58"/>
  <c r="F3" i="58"/>
  <c r="D3" i="58"/>
  <c r="C3" i="58"/>
  <c r="B3" i="58"/>
  <c r="A2" i="58"/>
  <c r="A1" i="58"/>
  <c r="AB56" i="57"/>
  <c r="J56" i="57" s="1"/>
  <c r="K56" i="57" s="1"/>
  <c r="Z56" i="57"/>
  <c r="W56" i="57"/>
  <c r="V56" i="57"/>
  <c r="T56" i="57"/>
  <c r="S56" i="57"/>
  <c r="R56" i="57"/>
  <c r="Q56" i="57"/>
  <c r="P56" i="57"/>
  <c r="O56" i="57"/>
  <c r="M56" i="57"/>
  <c r="I56" i="57"/>
  <c r="H56" i="57"/>
  <c r="C56" i="57"/>
  <c r="AB55" i="57"/>
  <c r="J55" i="57" s="1"/>
  <c r="Z55" i="57"/>
  <c r="W55" i="57"/>
  <c r="V55" i="57"/>
  <c r="P55" i="57"/>
  <c r="O55" i="57"/>
  <c r="Q55" i="57" s="1"/>
  <c r="M55" i="57"/>
  <c r="H55" i="57"/>
  <c r="C55" i="57"/>
  <c r="AB54" i="57"/>
  <c r="J54" i="57" s="1"/>
  <c r="Z54" i="57"/>
  <c r="W54" i="57"/>
  <c r="V54" i="57"/>
  <c r="T54" i="57"/>
  <c r="S54" i="57"/>
  <c r="R54" i="57"/>
  <c r="P54" i="57"/>
  <c r="O54" i="57"/>
  <c r="M54" i="57"/>
  <c r="H54" i="57"/>
  <c r="C54" i="57"/>
  <c r="Z53" i="57"/>
  <c r="AB53" i="57" s="1"/>
  <c r="J53" i="57" s="1"/>
  <c r="W53" i="57"/>
  <c r="V53" i="57"/>
  <c r="T53" i="57"/>
  <c r="S53" i="57"/>
  <c r="R53" i="57"/>
  <c r="P53" i="57"/>
  <c r="O53" i="57"/>
  <c r="Q53" i="57" s="1"/>
  <c r="M53" i="57"/>
  <c r="H53" i="57"/>
  <c r="C53" i="57"/>
  <c r="AB52" i="57"/>
  <c r="J52" i="57" s="1"/>
  <c r="Z52" i="57"/>
  <c r="W52" i="57"/>
  <c r="V52" i="57"/>
  <c r="T52" i="57"/>
  <c r="S52" i="57"/>
  <c r="R52" i="57"/>
  <c r="P52" i="57"/>
  <c r="O52" i="57"/>
  <c r="M52" i="57"/>
  <c r="H52" i="57"/>
  <c r="C52" i="57"/>
  <c r="Z51" i="57"/>
  <c r="AB51" i="57" s="1"/>
  <c r="J51" i="57" s="1"/>
  <c r="W51" i="57"/>
  <c r="V51" i="57"/>
  <c r="T51" i="57"/>
  <c r="S51" i="57"/>
  <c r="R51" i="57"/>
  <c r="P51" i="57"/>
  <c r="O51" i="57"/>
  <c r="Q51" i="57" s="1"/>
  <c r="M51" i="57"/>
  <c r="H51" i="57"/>
  <c r="C51" i="57"/>
  <c r="AB50" i="57"/>
  <c r="J50" i="57" s="1"/>
  <c r="Z50" i="57"/>
  <c r="W50" i="57"/>
  <c r="V50" i="57"/>
  <c r="T50" i="57"/>
  <c r="S50" i="57"/>
  <c r="R50" i="57"/>
  <c r="P50" i="57"/>
  <c r="O50" i="57"/>
  <c r="M50" i="57"/>
  <c r="H50" i="57"/>
  <c r="C50" i="57"/>
  <c r="Z49" i="57"/>
  <c r="AB49" i="57" s="1"/>
  <c r="J49" i="57" s="1"/>
  <c r="W49" i="57"/>
  <c r="V49" i="57"/>
  <c r="T49" i="57"/>
  <c r="S49" i="57"/>
  <c r="R49" i="57"/>
  <c r="P49" i="57"/>
  <c r="O49" i="57"/>
  <c r="Q49" i="57" s="1"/>
  <c r="M49" i="57"/>
  <c r="H49" i="57"/>
  <c r="C49" i="57"/>
  <c r="AB48" i="57"/>
  <c r="J48" i="57" s="1"/>
  <c r="Z48" i="57"/>
  <c r="W48" i="57"/>
  <c r="V48" i="57"/>
  <c r="T48" i="57"/>
  <c r="S48" i="57"/>
  <c r="R48" i="57"/>
  <c r="P48" i="57"/>
  <c r="O48" i="57"/>
  <c r="M48" i="57"/>
  <c r="H48" i="57"/>
  <c r="C48" i="57"/>
  <c r="Z47" i="57"/>
  <c r="AB47" i="57" s="1"/>
  <c r="J47" i="57" s="1"/>
  <c r="W47" i="57"/>
  <c r="V47" i="57"/>
  <c r="P47" i="57"/>
  <c r="O47" i="57"/>
  <c r="Q47" i="57" s="1"/>
  <c r="M47" i="57"/>
  <c r="H47" i="57"/>
  <c r="C47" i="57"/>
  <c r="Z46" i="57"/>
  <c r="AB46" i="57" s="1"/>
  <c r="J46" i="57" s="1"/>
  <c r="W46" i="57"/>
  <c r="V46" i="57"/>
  <c r="Q46" i="57"/>
  <c r="P46" i="57"/>
  <c r="O46" i="57"/>
  <c r="M46" i="57"/>
  <c r="H46" i="57"/>
  <c r="C46" i="57"/>
  <c r="AB45" i="57"/>
  <c r="J45" i="57" s="1"/>
  <c r="Z45" i="57"/>
  <c r="W45" i="57"/>
  <c r="V45" i="57"/>
  <c r="P45" i="57"/>
  <c r="O45" i="57"/>
  <c r="Q45" i="57" s="1"/>
  <c r="M45" i="57"/>
  <c r="H45" i="57"/>
  <c r="C45" i="57"/>
  <c r="Z44" i="57"/>
  <c r="AB44" i="57" s="1"/>
  <c r="W44" i="57"/>
  <c r="V44" i="57"/>
  <c r="Q44" i="57"/>
  <c r="P44" i="57"/>
  <c r="O44" i="57"/>
  <c r="M44" i="57"/>
  <c r="J44" i="57"/>
  <c r="K44" i="57" s="1"/>
  <c r="H44" i="57"/>
  <c r="C44" i="57"/>
  <c r="Z43" i="57"/>
  <c r="AB43" i="57" s="1"/>
  <c r="J43" i="57" s="1"/>
  <c r="W43" i="57"/>
  <c r="V43" i="57"/>
  <c r="Q43" i="57"/>
  <c r="P43" i="57"/>
  <c r="O43" i="57"/>
  <c r="M43" i="57"/>
  <c r="H43" i="57"/>
  <c r="C43" i="57"/>
  <c r="AB42" i="57"/>
  <c r="J42" i="57" s="1"/>
  <c r="Z42" i="57"/>
  <c r="W42" i="57"/>
  <c r="V42" i="57"/>
  <c r="T42" i="57"/>
  <c r="S42" i="57"/>
  <c r="R42" i="57"/>
  <c r="P42" i="57"/>
  <c r="Q42" i="57" s="1"/>
  <c r="O42" i="57"/>
  <c r="M42" i="57"/>
  <c r="H42" i="57"/>
  <c r="C42" i="57"/>
  <c r="AB41" i="57"/>
  <c r="Z41" i="57"/>
  <c r="W41" i="57"/>
  <c r="V41" i="57"/>
  <c r="P41" i="57"/>
  <c r="O41" i="57"/>
  <c r="Q41" i="57" s="1"/>
  <c r="M41" i="57"/>
  <c r="J41" i="57"/>
  <c r="I41" i="57" s="1"/>
  <c r="H41" i="57"/>
  <c r="C41" i="57"/>
  <c r="AB39" i="57"/>
  <c r="J39" i="57" s="1"/>
  <c r="K39" i="57" s="1"/>
  <c r="Z39" i="57"/>
  <c r="W39" i="57"/>
  <c r="V39" i="57"/>
  <c r="Q39" i="57"/>
  <c r="P39" i="57"/>
  <c r="O39" i="57"/>
  <c r="M39" i="57"/>
  <c r="I39" i="57"/>
  <c r="H39" i="57"/>
  <c r="C39" i="57"/>
  <c r="AB38" i="57"/>
  <c r="J38" i="57" s="1"/>
  <c r="Z38" i="57"/>
  <c r="W38" i="57"/>
  <c r="V38" i="57"/>
  <c r="P38" i="57"/>
  <c r="O38" i="57"/>
  <c r="Q38" i="57" s="1"/>
  <c r="M38" i="57"/>
  <c r="H38" i="57"/>
  <c r="C38" i="57"/>
  <c r="Z37" i="57"/>
  <c r="AB37" i="57" s="1"/>
  <c r="J37" i="57" s="1"/>
  <c r="W37" i="57"/>
  <c r="V37" i="57"/>
  <c r="P37" i="57"/>
  <c r="O37" i="57"/>
  <c r="Q37" i="57" s="1"/>
  <c r="M37" i="57"/>
  <c r="H37" i="57"/>
  <c r="C37" i="57"/>
  <c r="Z36" i="57"/>
  <c r="AB36" i="57" s="1"/>
  <c r="J36" i="57" s="1"/>
  <c r="W36" i="57"/>
  <c r="V36" i="57"/>
  <c r="Q36" i="57"/>
  <c r="P36" i="57"/>
  <c r="O36" i="57"/>
  <c r="M36" i="57"/>
  <c r="H36" i="57"/>
  <c r="C36" i="57"/>
  <c r="AB35" i="57"/>
  <c r="J35" i="57" s="1"/>
  <c r="Z35" i="57"/>
  <c r="W35" i="57"/>
  <c r="V35" i="57"/>
  <c r="P35" i="57"/>
  <c r="O35" i="57"/>
  <c r="Q35" i="57" s="1"/>
  <c r="M35" i="57"/>
  <c r="H35" i="57"/>
  <c r="C35" i="57"/>
  <c r="Z34" i="57"/>
  <c r="AB34" i="57" s="1"/>
  <c r="W34" i="57"/>
  <c r="V34" i="57"/>
  <c r="Q34" i="57"/>
  <c r="P34" i="57"/>
  <c r="O34" i="57"/>
  <c r="M34" i="57"/>
  <c r="J34" i="57"/>
  <c r="H34" i="57"/>
  <c r="C34" i="57"/>
  <c r="Z33" i="57"/>
  <c r="AB33" i="57" s="1"/>
  <c r="J33" i="57" s="1"/>
  <c r="W33" i="57"/>
  <c r="V33" i="57"/>
  <c r="Q33" i="57"/>
  <c r="P33" i="57"/>
  <c r="O33" i="57"/>
  <c r="M33" i="57"/>
  <c r="H33" i="57"/>
  <c r="C33" i="57"/>
  <c r="Z32" i="57"/>
  <c r="AB32" i="57" s="1"/>
  <c r="J32" i="57" s="1"/>
  <c r="W32" i="57"/>
  <c r="V32" i="57"/>
  <c r="P32" i="57"/>
  <c r="O32" i="57"/>
  <c r="Q32" i="57" s="1"/>
  <c r="M32" i="57"/>
  <c r="H32" i="57"/>
  <c r="C32" i="57"/>
  <c r="AB31" i="57"/>
  <c r="J31" i="57" s="1"/>
  <c r="K31" i="57" s="1"/>
  <c r="Z31" i="57"/>
  <c r="W31" i="57"/>
  <c r="V31" i="57"/>
  <c r="Q31" i="57"/>
  <c r="P31" i="57"/>
  <c r="O31" i="57"/>
  <c r="M31" i="57"/>
  <c r="I31" i="57"/>
  <c r="H31" i="57"/>
  <c r="C31" i="57"/>
  <c r="AB30" i="57"/>
  <c r="J30" i="57" s="1"/>
  <c r="Z30" i="57"/>
  <c r="W30" i="57"/>
  <c r="V30" i="57"/>
  <c r="P30" i="57"/>
  <c r="O30" i="57"/>
  <c r="M30" i="57"/>
  <c r="H30" i="57"/>
  <c r="C30" i="57"/>
  <c r="Z29" i="57"/>
  <c r="AB29" i="57" s="1"/>
  <c r="J29" i="57" s="1"/>
  <c r="W29" i="57"/>
  <c r="V29" i="57"/>
  <c r="P29" i="57"/>
  <c r="O29" i="57"/>
  <c r="Q29" i="57" s="1"/>
  <c r="M29" i="57"/>
  <c r="H29" i="57"/>
  <c r="C29" i="57"/>
  <c r="Z28" i="57"/>
  <c r="AB28" i="57" s="1"/>
  <c r="J28" i="57" s="1"/>
  <c r="W28" i="57"/>
  <c r="V28" i="57"/>
  <c r="P28" i="57"/>
  <c r="Q28" i="57" s="1"/>
  <c r="O28" i="57"/>
  <c r="M28" i="57"/>
  <c r="H28" i="57"/>
  <c r="C28" i="57"/>
  <c r="AB27" i="57"/>
  <c r="J27" i="57" s="1"/>
  <c r="I27" i="57" s="1"/>
  <c r="Z27" i="57"/>
  <c r="W27" i="57"/>
  <c r="V27" i="57"/>
  <c r="P27" i="57"/>
  <c r="O27" i="57"/>
  <c r="Q27" i="57" s="1"/>
  <c r="M27" i="57"/>
  <c r="K27" i="57"/>
  <c r="H27" i="57"/>
  <c r="C27" i="57"/>
  <c r="Z26" i="57"/>
  <c r="AB26" i="57" s="1"/>
  <c r="J26" i="57" s="1"/>
  <c r="W26" i="57"/>
  <c r="V26" i="57"/>
  <c r="Q26" i="57"/>
  <c r="P26" i="57"/>
  <c r="O26" i="57"/>
  <c r="M26" i="57"/>
  <c r="H26" i="57"/>
  <c r="C26" i="57"/>
  <c r="Z25" i="57"/>
  <c r="AB25" i="57" s="1"/>
  <c r="J25" i="57" s="1"/>
  <c r="W25" i="57"/>
  <c r="V25" i="57"/>
  <c r="Q25" i="57"/>
  <c r="P25" i="57"/>
  <c r="O25" i="57"/>
  <c r="M25" i="57"/>
  <c r="H25" i="57"/>
  <c r="Z24" i="57"/>
  <c r="AB24" i="57" s="1"/>
  <c r="J24" i="57" s="1"/>
  <c r="K24" i="57" s="1"/>
  <c r="W24" i="57"/>
  <c r="V24" i="57"/>
  <c r="P24" i="57"/>
  <c r="O24" i="57"/>
  <c r="Q24" i="57" s="1"/>
  <c r="M24" i="57"/>
  <c r="H24" i="57"/>
  <c r="Z23" i="57"/>
  <c r="AB23" i="57" s="1"/>
  <c r="J23" i="57" s="1"/>
  <c r="K23" i="57" s="1"/>
  <c r="W23" i="57"/>
  <c r="V23" i="57"/>
  <c r="P23" i="57"/>
  <c r="O23" i="57"/>
  <c r="Q23" i="57" s="1"/>
  <c r="M23" i="57"/>
  <c r="I23" i="57"/>
  <c r="H23" i="57"/>
  <c r="Z22" i="57"/>
  <c r="AB22" i="57" s="1"/>
  <c r="J22" i="57" s="1"/>
  <c r="W22" i="57"/>
  <c r="V22" i="57"/>
  <c r="P22" i="57"/>
  <c r="O22" i="57"/>
  <c r="Q22" i="57" s="1"/>
  <c r="M22" i="57"/>
  <c r="H22" i="57"/>
  <c r="Z21" i="57"/>
  <c r="AB21" i="57" s="1"/>
  <c r="J21" i="57" s="1"/>
  <c r="K21" i="57" s="1"/>
  <c r="W21" i="57"/>
  <c r="V21" i="57"/>
  <c r="Q21" i="57"/>
  <c r="P21" i="57"/>
  <c r="O21" i="57"/>
  <c r="M21" i="57"/>
  <c r="H21" i="57"/>
  <c r="Z20" i="57"/>
  <c r="AB20" i="57" s="1"/>
  <c r="J20" i="57" s="1"/>
  <c r="K20" i="57" s="1"/>
  <c r="W20" i="57"/>
  <c r="V20" i="57"/>
  <c r="P20" i="57"/>
  <c r="O20" i="57"/>
  <c r="Q20" i="57" s="1"/>
  <c r="M20" i="57"/>
  <c r="I20" i="57"/>
  <c r="H20" i="57"/>
  <c r="Z19" i="57"/>
  <c r="AB19" i="57" s="1"/>
  <c r="J19" i="57" s="1"/>
  <c r="K19" i="57" s="1"/>
  <c r="W19" i="57"/>
  <c r="V19" i="57"/>
  <c r="P19" i="57"/>
  <c r="O19" i="57"/>
  <c r="Q19" i="57" s="1"/>
  <c r="M19" i="57"/>
  <c r="I19" i="57"/>
  <c r="H19" i="57"/>
  <c r="Z18" i="57"/>
  <c r="AB18" i="57" s="1"/>
  <c r="J18" i="57" s="1"/>
  <c r="W18" i="57"/>
  <c r="V18" i="57"/>
  <c r="P18" i="57"/>
  <c r="O18" i="57"/>
  <c r="Q18" i="57" s="1"/>
  <c r="M18" i="57"/>
  <c r="H18" i="57"/>
  <c r="Z17" i="57"/>
  <c r="AB17" i="57" s="1"/>
  <c r="J17" i="57" s="1"/>
  <c r="K17" i="57" s="1"/>
  <c r="W17" i="57"/>
  <c r="V17" i="57"/>
  <c r="Q17" i="57"/>
  <c r="P17" i="57"/>
  <c r="O17" i="57"/>
  <c r="M17" i="57"/>
  <c r="H17" i="57"/>
  <c r="Z16" i="57"/>
  <c r="AB16" i="57" s="1"/>
  <c r="J16" i="57" s="1"/>
  <c r="K16" i="57" s="1"/>
  <c r="W16" i="57"/>
  <c r="V16" i="57"/>
  <c r="P16" i="57"/>
  <c r="O16" i="57"/>
  <c r="Q16" i="57" s="1"/>
  <c r="M16" i="57"/>
  <c r="H16" i="57"/>
  <c r="Z15" i="57"/>
  <c r="AB15" i="57" s="1"/>
  <c r="J15" i="57" s="1"/>
  <c r="K15" i="57" s="1"/>
  <c r="W15" i="57"/>
  <c r="V15" i="57"/>
  <c r="P15" i="57"/>
  <c r="O15" i="57"/>
  <c r="Q15" i="57" s="1"/>
  <c r="M15" i="57"/>
  <c r="I15" i="57"/>
  <c r="H15" i="57"/>
  <c r="Z14" i="57"/>
  <c r="AB14" i="57" s="1"/>
  <c r="J14" i="57" s="1"/>
  <c r="W14" i="57"/>
  <c r="V14" i="57"/>
  <c r="P14" i="57"/>
  <c r="O14" i="57"/>
  <c r="Q14" i="57" s="1"/>
  <c r="M14" i="57"/>
  <c r="H14" i="57"/>
  <c r="Z13" i="57"/>
  <c r="AB13" i="57" s="1"/>
  <c r="J13" i="57" s="1"/>
  <c r="K13" i="57" s="1"/>
  <c r="W13" i="57"/>
  <c r="V13" i="57"/>
  <c r="Q13" i="57"/>
  <c r="P13" i="57"/>
  <c r="O13" i="57"/>
  <c r="M13" i="57"/>
  <c r="H13" i="57"/>
  <c r="Z12" i="57"/>
  <c r="AB12" i="57" s="1"/>
  <c r="J12" i="57" s="1"/>
  <c r="K12" i="57" s="1"/>
  <c r="W12" i="57"/>
  <c r="V12" i="57"/>
  <c r="P12" i="57"/>
  <c r="O12" i="57"/>
  <c r="Q12" i="57" s="1"/>
  <c r="M12" i="57"/>
  <c r="I12" i="57"/>
  <c r="H12" i="57"/>
  <c r="Z11" i="57"/>
  <c r="AB11" i="57" s="1"/>
  <c r="J11" i="57" s="1"/>
  <c r="K11" i="57" s="1"/>
  <c r="W11" i="57"/>
  <c r="V11" i="57"/>
  <c r="P11" i="57"/>
  <c r="O11" i="57"/>
  <c r="Q11" i="57" s="1"/>
  <c r="M11" i="57"/>
  <c r="I11" i="57"/>
  <c r="H11" i="57"/>
  <c r="Z10" i="57"/>
  <c r="AB10" i="57" s="1"/>
  <c r="J10" i="57" s="1"/>
  <c r="W10" i="57"/>
  <c r="V10" i="57"/>
  <c r="P10" i="57"/>
  <c r="O10" i="57"/>
  <c r="Q10" i="57" s="1"/>
  <c r="M10" i="57"/>
  <c r="H10" i="57"/>
  <c r="Z9" i="57"/>
  <c r="AB9" i="57" s="1"/>
  <c r="J9" i="57" s="1"/>
  <c r="K9" i="57" s="1"/>
  <c r="W9" i="57"/>
  <c r="V9" i="57"/>
  <c r="Q9" i="57"/>
  <c r="P9" i="57"/>
  <c r="O9" i="57"/>
  <c r="M9" i="57"/>
  <c r="H9" i="57"/>
  <c r="Z8" i="57"/>
  <c r="AB8" i="57" s="1"/>
  <c r="J8" i="57" s="1"/>
  <c r="K8" i="57" s="1"/>
  <c r="W8" i="57"/>
  <c r="V8" i="57"/>
  <c r="P8" i="57"/>
  <c r="O8" i="57"/>
  <c r="Q8" i="57" s="1"/>
  <c r="M8" i="57"/>
  <c r="I8" i="57"/>
  <c r="H8" i="57"/>
  <c r="Z7" i="57"/>
  <c r="AB7" i="57" s="1"/>
  <c r="J7" i="57" s="1"/>
  <c r="K7" i="57" s="1"/>
  <c r="W7" i="57"/>
  <c r="V7" i="57"/>
  <c r="P7" i="57"/>
  <c r="O7" i="57"/>
  <c r="Q7" i="57" s="1"/>
  <c r="M7" i="57"/>
  <c r="I7" i="57"/>
  <c r="H7" i="57"/>
  <c r="Z6" i="57"/>
  <c r="AB6" i="57" s="1"/>
  <c r="J6" i="57" s="1"/>
  <c r="W6" i="57"/>
  <c r="V6" i="57"/>
  <c r="P6" i="57"/>
  <c r="O6" i="57"/>
  <c r="Q6" i="57" s="1"/>
  <c r="M6" i="57"/>
  <c r="H6" i="57"/>
  <c r="Z5" i="57"/>
  <c r="AB5" i="57" s="1"/>
  <c r="J5" i="57" s="1"/>
  <c r="K5" i="57" s="1"/>
  <c r="W5" i="57"/>
  <c r="V5" i="57"/>
  <c r="Q5" i="57"/>
  <c r="P5" i="57"/>
  <c r="O5" i="57"/>
  <c r="M5" i="57"/>
  <c r="H5" i="57"/>
  <c r="Z4" i="57"/>
  <c r="AB4" i="57" s="1"/>
  <c r="J4" i="57" s="1"/>
  <c r="W4" i="57"/>
  <c r="V4" i="57"/>
  <c r="V3" i="57" s="1"/>
  <c r="P4" i="57"/>
  <c r="O4" i="57"/>
  <c r="Q4" i="57" s="1"/>
  <c r="M4" i="57"/>
  <c r="H4" i="57"/>
  <c r="AE3" i="57"/>
  <c r="U3" i="57"/>
  <c r="O3" i="57"/>
  <c r="G3" i="57"/>
  <c r="H3" i="57" s="1"/>
  <c r="F3" i="57"/>
  <c r="D3" i="57"/>
  <c r="C3" i="57"/>
  <c r="B3" i="57"/>
  <c r="A2" i="57"/>
  <c r="A1" i="57"/>
  <c r="Z56" i="56"/>
  <c r="AB56" i="56" s="1"/>
  <c r="J56" i="56" s="1"/>
  <c r="W56" i="56"/>
  <c r="V56" i="56"/>
  <c r="T56" i="56"/>
  <c r="S56" i="56"/>
  <c r="R56" i="56"/>
  <c r="Q56" i="56"/>
  <c r="P56" i="56"/>
  <c r="O56" i="56"/>
  <c r="M56" i="56"/>
  <c r="H56" i="56"/>
  <c r="C56" i="56"/>
  <c r="Z55" i="56"/>
  <c r="AB55" i="56" s="1"/>
  <c r="J55" i="56" s="1"/>
  <c r="K55" i="56" s="1"/>
  <c r="W55" i="56"/>
  <c r="V55" i="56"/>
  <c r="Q55" i="56"/>
  <c r="P55" i="56"/>
  <c r="O55" i="56"/>
  <c r="M55" i="56"/>
  <c r="H55" i="56"/>
  <c r="C55" i="56"/>
  <c r="AB54" i="56"/>
  <c r="J54" i="56" s="1"/>
  <c r="Z54" i="56"/>
  <c r="W54" i="56"/>
  <c r="V54" i="56"/>
  <c r="T54" i="56"/>
  <c r="S54" i="56"/>
  <c r="R54" i="56"/>
  <c r="P54" i="56"/>
  <c r="O54" i="56"/>
  <c r="Q54" i="56" s="1"/>
  <c r="M54" i="56"/>
  <c r="H54" i="56"/>
  <c r="C54" i="56"/>
  <c r="Z53" i="56"/>
  <c r="AB53" i="56" s="1"/>
  <c r="J53" i="56" s="1"/>
  <c r="K53" i="56" s="1"/>
  <c r="W53" i="56"/>
  <c r="V53" i="56"/>
  <c r="T53" i="56"/>
  <c r="S53" i="56"/>
  <c r="R53" i="56"/>
  <c r="P53" i="56"/>
  <c r="O53" i="56"/>
  <c r="Q53" i="56" s="1"/>
  <c r="M53" i="56"/>
  <c r="I53" i="56"/>
  <c r="H53" i="56"/>
  <c r="C53" i="56"/>
  <c r="Z52" i="56"/>
  <c r="AB52" i="56" s="1"/>
  <c r="J52" i="56" s="1"/>
  <c r="W52" i="56"/>
  <c r="V52" i="56"/>
  <c r="T52" i="56"/>
  <c r="S52" i="56"/>
  <c r="R52" i="56"/>
  <c r="P52" i="56"/>
  <c r="O52" i="56"/>
  <c r="Q52" i="56" s="1"/>
  <c r="M52" i="56"/>
  <c r="H52" i="56"/>
  <c r="C52" i="56"/>
  <c r="AB51" i="56"/>
  <c r="J51" i="56" s="1"/>
  <c r="K51" i="56" s="1"/>
  <c r="Z51" i="56"/>
  <c r="W51" i="56"/>
  <c r="V51" i="56"/>
  <c r="T51" i="56"/>
  <c r="S51" i="56"/>
  <c r="R51" i="56"/>
  <c r="Q51" i="56"/>
  <c r="P51" i="56"/>
  <c r="O51" i="56"/>
  <c r="M51" i="56"/>
  <c r="H51" i="56"/>
  <c r="C51" i="56"/>
  <c r="AB50" i="56"/>
  <c r="J50" i="56" s="1"/>
  <c r="Z50" i="56"/>
  <c r="W50" i="56"/>
  <c r="V50" i="56"/>
  <c r="T50" i="56"/>
  <c r="S50" i="56"/>
  <c r="R50" i="56"/>
  <c r="P50" i="56"/>
  <c r="O50" i="56"/>
  <c r="Q50" i="56" s="1"/>
  <c r="M50" i="56"/>
  <c r="H50" i="56"/>
  <c r="C50" i="56"/>
  <c r="Z49" i="56"/>
  <c r="AB49" i="56" s="1"/>
  <c r="J49" i="56" s="1"/>
  <c r="K49" i="56" s="1"/>
  <c r="W49" i="56"/>
  <c r="V49" i="56"/>
  <c r="T49" i="56"/>
  <c r="S49" i="56"/>
  <c r="R49" i="56"/>
  <c r="P49" i="56"/>
  <c r="O49" i="56"/>
  <c r="Q49" i="56" s="1"/>
  <c r="M49" i="56"/>
  <c r="I49" i="56"/>
  <c r="H49" i="56"/>
  <c r="C49" i="56"/>
  <c r="Z48" i="56"/>
  <c r="AB48" i="56" s="1"/>
  <c r="J48" i="56" s="1"/>
  <c r="W48" i="56"/>
  <c r="V48" i="56"/>
  <c r="T48" i="56"/>
  <c r="S48" i="56"/>
  <c r="R48" i="56"/>
  <c r="P48" i="56"/>
  <c r="O48" i="56"/>
  <c r="Q48" i="56" s="1"/>
  <c r="M48" i="56"/>
  <c r="H48" i="56"/>
  <c r="C48" i="56"/>
  <c r="AB47" i="56"/>
  <c r="Z47" i="56"/>
  <c r="W47" i="56"/>
  <c r="V47" i="56"/>
  <c r="P47" i="56"/>
  <c r="O47" i="56"/>
  <c r="Q47" i="56" s="1"/>
  <c r="M47" i="56"/>
  <c r="K47" i="56"/>
  <c r="J47" i="56"/>
  <c r="I47" i="56" s="1"/>
  <c r="H47" i="56"/>
  <c r="C47" i="56"/>
  <c r="AB46" i="56"/>
  <c r="Z46" i="56"/>
  <c r="W46" i="56"/>
  <c r="W3" i="56" s="1"/>
  <c r="V46" i="56"/>
  <c r="Q46" i="56"/>
  <c r="P46" i="56"/>
  <c r="O46" i="56"/>
  <c r="M46" i="56"/>
  <c r="J46" i="56"/>
  <c r="K46" i="56" s="1"/>
  <c r="I46" i="56"/>
  <c r="H46" i="56"/>
  <c r="C46" i="56"/>
  <c r="AB45" i="56"/>
  <c r="J45" i="56" s="1"/>
  <c r="I45" i="56" s="1"/>
  <c r="Z45" i="56"/>
  <c r="W45" i="56"/>
  <c r="V45" i="56"/>
  <c r="P45" i="56"/>
  <c r="O45" i="56"/>
  <c r="Q45" i="56" s="1"/>
  <c r="M45" i="56"/>
  <c r="K45" i="56"/>
  <c r="H45" i="56"/>
  <c r="C45" i="56"/>
  <c r="Z44" i="56"/>
  <c r="AB44" i="56" s="1"/>
  <c r="J44" i="56" s="1"/>
  <c r="W44" i="56"/>
  <c r="V44" i="56"/>
  <c r="P44" i="56"/>
  <c r="O44" i="56"/>
  <c r="Q44" i="56" s="1"/>
  <c r="M44" i="56"/>
  <c r="H44" i="56"/>
  <c r="C44" i="56"/>
  <c r="Z43" i="56"/>
  <c r="AB43" i="56" s="1"/>
  <c r="W43" i="56"/>
  <c r="V43" i="56"/>
  <c r="P43" i="56"/>
  <c r="O43" i="56"/>
  <c r="Q43" i="56" s="1"/>
  <c r="M43" i="56"/>
  <c r="J43" i="56"/>
  <c r="H43" i="56"/>
  <c r="C43" i="56"/>
  <c r="Z42" i="56"/>
  <c r="AB42" i="56" s="1"/>
  <c r="J42" i="56" s="1"/>
  <c r="W42" i="56"/>
  <c r="V42" i="56"/>
  <c r="T42" i="56"/>
  <c r="S42" i="56"/>
  <c r="R42" i="56"/>
  <c r="P42" i="56"/>
  <c r="O42" i="56"/>
  <c r="Q42" i="56" s="1"/>
  <c r="M42" i="56"/>
  <c r="H42" i="56"/>
  <c r="C42" i="56"/>
  <c r="Z41" i="56"/>
  <c r="AB41" i="56" s="1"/>
  <c r="J41" i="56" s="1"/>
  <c r="W41" i="56"/>
  <c r="V41" i="56"/>
  <c r="Q41" i="56"/>
  <c r="P41" i="56"/>
  <c r="O41" i="56"/>
  <c r="M41" i="56"/>
  <c r="H41" i="56"/>
  <c r="C41" i="56"/>
  <c r="Z39" i="56"/>
  <c r="AB39" i="56" s="1"/>
  <c r="J39" i="56" s="1"/>
  <c r="W39" i="56"/>
  <c r="V39" i="56"/>
  <c r="Q39" i="56"/>
  <c r="P39" i="56"/>
  <c r="O39" i="56"/>
  <c r="M39" i="56"/>
  <c r="H39" i="56"/>
  <c r="C39" i="56"/>
  <c r="Z38" i="56"/>
  <c r="AB38" i="56" s="1"/>
  <c r="J38" i="56" s="1"/>
  <c r="K38" i="56" s="1"/>
  <c r="W38" i="56"/>
  <c r="V38" i="56"/>
  <c r="Q38" i="56"/>
  <c r="P38" i="56"/>
  <c r="O38" i="56"/>
  <c r="M38" i="56"/>
  <c r="H38" i="56"/>
  <c r="C38" i="56"/>
  <c r="Z37" i="56"/>
  <c r="AB37" i="56" s="1"/>
  <c r="J37" i="56" s="1"/>
  <c r="W37" i="56"/>
  <c r="V37" i="56"/>
  <c r="P37" i="56"/>
  <c r="O37" i="56"/>
  <c r="Q37" i="56" s="1"/>
  <c r="M37" i="56"/>
  <c r="H37" i="56"/>
  <c r="C37" i="56"/>
  <c r="Z36" i="56"/>
  <c r="AB36" i="56" s="1"/>
  <c r="J36" i="56" s="1"/>
  <c r="W36" i="56"/>
  <c r="V36" i="56"/>
  <c r="P36" i="56"/>
  <c r="Q36" i="56" s="1"/>
  <c r="O36" i="56"/>
  <c r="M36" i="56"/>
  <c r="H36" i="56"/>
  <c r="C36" i="56"/>
  <c r="AB35" i="56"/>
  <c r="J35" i="56" s="1"/>
  <c r="I35" i="56" s="1"/>
  <c r="Z35" i="56"/>
  <c r="W35" i="56"/>
  <c r="V35" i="56"/>
  <c r="P35" i="56"/>
  <c r="O35" i="56"/>
  <c r="Q35" i="56" s="1"/>
  <c r="M35" i="56"/>
  <c r="K35" i="56"/>
  <c r="H35" i="56"/>
  <c r="C35" i="56"/>
  <c r="Z34" i="56"/>
  <c r="AB34" i="56" s="1"/>
  <c r="J34" i="56" s="1"/>
  <c r="W34" i="56"/>
  <c r="V34" i="56"/>
  <c r="P34" i="56"/>
  <c r="O34" i="56"/>
  <c r="Q34" i="56" s="1"/>
  <c r="M34" i="56"/>
  <c r="H34" i="56"/>
  <c r="C34" i="56"/>
  <c r="Z33" i="56"/>
  <c r="AB33" i="56" s="1"/>
  <c r="J33" i="56" s="1"/>
  <c r="W33" i="56"/>
  <c r="V33" i="56"/>
  <c r="Q33" i="56"/>
  <c r="P33" i="56"/>
  <c r="O33" i="56"/>
  <c r="M33" i="56"/>
  <c r="H33" i="56"/>
  <c r="C33" i="56"/>
  <c r="AB32" i="56"/>
  <c r="J32" i="56" s="1"/>
  <c r="Z32" i="56"/>
  <c r="W32" i="56"/>
  <c r="V32" i="56"/>
  <c r="P32" i="56"/>
  <c r="O32" i="56"/>
  <c r="Q32" i="56" s="1"/>
  <c r="M32" i="56"/>
  <c r="H32" i="56"/>
  <c r="C32" i="56"/>
  <c r="Z31" i="56"/>
  <c r="AB31" i="56" s="1"/>
  <c r="J31" i="56" s="1"/>
  <c r="K31" i="56" s="1"/>
  <c r="W31" i="56"/>
  <c r="V31" i="56"/>
  <c r="Q31" i="56"/>
  <c r="P31" i="56"/>
  <c r="O31" i="56"/>
  <c r="M31" i="56"/>
  <c r="I31" i="56"/>
  <c r="H31" i="56"/>
  <c r="C31" i="56"/>
  <c r="Z30" i="56"/>
  <c r="AB30" i="56" s="1"/>
  <c r="W30" i="56"/>
  <c r="V30" i="56"/>
  <c r="P30" i="56"/>
  <c r="O30" i="56"/>
  <c r="Q30" i="56" s="1"/>
  <c r="M30" i="56"/>
  <c r="J30" i="56"/>
  <c r="K30" i="56" s="1"/>
  <c r="H30" i="56"/>
  <c r="C30" i="56"/>
  <c r="Z29" i="56"/>
  <c r="AB29" i="56" s="1"/>
  <c r="J29" i="56" s="1"/>
  <c r="W29" i="56"/>
  <c r="V29" i="56"/>
  <c r="Q29" i="56"/>
  <c r="P29" i="56"/>
  <c r="O29" i="56"/>
  <c r="M29" i="56"/>
  <c r="H29" i="56"/>
  <c r="C29" i="56"/>
  <c r="Z28" i="56"/>
  <c r="AB28" i="56" s="1"/>
  <c r="J28" i="56" s="1"/>
  <c r="W28" i="56"/>
  <c r="V28" i="56"/>
  <c r="P28" i="56"/>
  <c r="Q28" i="56" s="1"/>
  <c r="O28" i="56"/>
  <c r="M28" i="56"/>
  <c r="H28" i="56"/>
  <c r="C28" i="56"/>
  <c r="AB27" i="56"/>
  <c r="J27" i="56" s="1"/>
  <c r="K27" i="56" s="1"/>
  <c r="Z27" i="56"/>
  <c r="W27" i="56"/>
  <c r="V27" i="56"/>
  <c r="P27" i="56"/>
  <c r="O27" i="56"/>
  <c r="Q27" i="56" s="1"/>
  <c r="M27" i="56"/>
  <c r="I27" i="56"/>
  <c r="H27" i="56"/>
  <c r="C27" i="56"/>
  <c r="Z26" i="56"/>
  <c r="AB26" i="56" s="1"/>
  <c r="J26" i="56" s="1"/>
  <c r="W26" i="56"/>
  <c r="V26" i="56"/>
  <c r="P26" i="56"/>
  <c r="O26" i="56"/>
  <c r="M26" i="56"/>
  <c r="H26" i="56"/>
  <c r="C26" i="56"/>
  <c r="AB25" i="56"/>
  <c r="Z25" i="56"/>
  <c r="W25" i="56"/>
  <c r="V25" i="56"/>
  <c r="P25" i="56"/>
  <c r="O25" i="56"/>
  <c r="Q25" i="56" s="1"/>
  <c r="M25" i="56"/>
  <c r="K25" i="56"/>
  <c r="J25" i="56"/>
  <c r="I25" i="56" s="1"/>
  <c r="H25" i="56"/>
  <c r="Z24" i="56"/>
  <c r="AB24" i="56" s="1"/>
  <c r="J24" i="56" s="1"/>
  <c r="W24" i="56"/>
  <c r="V24" i="56"/>
  <c r="Q24" i="56"/>
  <c r="P24" i="56"/>
  <c r="O24" i="56"/>
  <c r="M24" i="56"/>
  <c r="H24" i="56"/>
  <c r="Z23" i="56"/>
  <c r="AB23" i="56" s="1"/>
  <c r="J23" i="56" s="1"/>
  <c r="W23" i="56"/>
  <c r="V23" i="56"/>
  <c r="P23" i="56"/>
  <c r="O23" i="56"/>
  <c r="Q23" i="56" s="1"/>
  <c r="M23" i="56"/>
  <c r="H23" i="56"/>
  <c r="Z22" i="56"/>
  <c r="AB22" i="56" s="1"/>
  <c r="J22" i="56" s="1"/>
  <c r="W22" i="56"/>
  <c r="V22" i="56"/>
  <c r="Q22" i="56"/>
  <c r="P22" i="56"/>
  <c r="O22" i="56"/>
  <c r="M22" i="56"/>
  <c r="H22" i="56"/>
  <c r="Z21" i="56"/>
  <c r="AB21" i="56" s="1"/>
  <c r="J21" i="56" s="1"/>
  <c r="I21" i="56" s="1"/>
  <c r="W21" i="56"/>
  <c r="V21" i="56"/>
  <c r="P21" i="56"/>
  <c r="O21" i="56"/>
  <c r="Q21" i="56" s="1"/>
  <c r="M21" i="56"/>
  <c r="K21" i="56"/>
  <c r="H21" i="56"/>
  <c r="Z20" i="56"/>
  <c r="AB20" i="56" s="1"/>
  <c r="J20" i="56" s="1"/>
  <c r="W20" i="56"/>
  <c r="V20" i="56"/>
  <c r="P20" i="56"/>
  <c r="Q20" i="56" s="1"/>
  <c r="O20" i="56"/>
  <c r="M20" i="56"/>
  <c r="H20" i="56"/>
  <c r="Z19" i="56"/>
  <c r="AB19" i="56" s="1"/>
  <c r="J19" i="56" s="1"/>
  <c r="I19" i="56" s="1"/>
  <c r="W19" i="56"/>
  <c r="V19" i="56"/>
  <c r="P19" i="56"/>
  <c r="O19" i="56"/>
  <c r="Q19" i="56" s="1"/>
  <c r="M19" i="56"/>
  <c r="K19" i="56"/>
  <c r="H19" i="56"/>
  <c r="Z18" i="56"/>
  <c r="AB18" i="56" s="1"/>
  <c r="J18" i="56" s="1"/>
  <c r="W18" i="56"/>
  <c r="V18" i="56"/>
  <c r="Q18" i="56"/>
  <c r="P18" i="56"/>
  <c r="O18" i="56"/>
  <c r="M18" i="56"/>
  <c r="H18" i="56"/>
  <c r="AB17" i="56"/>
  <c r="Z17" i="56"/>
  <c r="W17" i="56"/>
  <c r="V17" i="56"/>
  <c r="P17" i="56"/>
  <c r="O17" i="56"/>
  <c r="Q17" i="56" s="1"/>
  <c r="M17" i="56"/>
  <c r="K17" i="56"/>
  <c r="J17" i="56"/>
  <c r="I17" i="56" s="1"/>
  <c r="H17" i="56"/>
  <c r="Z16" i="56"/>
  <c r="AB16" i="56" s="1"/>
  <c r="J16" i="56" s="1"/>
  <c r="W16" i="56"/>
  <c r="V16" i="56"/>
  <c r="Q16" i="56"/>
  <c r="P16" i="56"/>
  <c r="O16" i="56"/>
  <c r="M16" i="56"/>
  <c r="H16" i="56"/>
  <c r="Z15" i="56"/>
  <c r="AB15" i="56" s="1"/>
  <c r="J15" i="56" s="1"/>
  <c r="W15" i="56"/>
  <c r="V15" i="56"/>
  <c r="P15" i="56"/>
  <c r="O15" i="56"/>
  <c r="Q15" i="56" s="1"/>
  <c r="M15" i="56"/>
  <c r="H15" i="56"/>
  <c r="Z14" i="56"/>
  <c r="AB14" i="56" s="1"/>
  <c r="J14" i="56" s="1"/>
  <c r="W14" i="56"/>
  <c r="V14" i="56"/>
  <c r="Q14" i="56"/>
  <c r="P14" i="56"/>
  <c r="O14" i="56"/>
  <c r="M14" i="56"/>
  <c r="H14" i="56"/>
  <c r="Z13" i="56"/>
  <c r="AB13" i="56" s="1"/>
  <c r="J13" i="56" s="1"/>
  <c r="I13" i="56" s="1"/>
  <c r="W13" i="56"/>
  <c r="V13" i="56"/>
  <c r="P13" i="56"/>
  <c r="O13" i="56"/>
  <c r="Q13" i="56" s="1"/>
  <c r="M13" i="56"/>
  <c r="K13" i="56"/>
  <c r="H13" i="56"/>
  <c r="Z12" i="56"/>
  <c r="AB12" i="56" s="1"/>
  <c r="J12" i="56" s="1"/>
  <c r="W12" i="56"/>
  <c r="V12" i="56"/>
  <c r="P12" i="56"/>
  <c r="Q12" i="56" s="1"/>
  <c r="O12" i="56"/>
  <c r="M12" i="56"/>
  <c r="H12" i="56"/>
  <c r="Z11" i="56"/>
  <c r="AB11" i="56" s="1"/>
  <c r="J11" i="56" s="1"/>
  <c r="I11" i="56" s="1"/>
  <c r="W11" i="56"/>
  <c r="V11" i="56"/>
  <c r="P11" i="56"/>
  <c r="O11" i="56"/>
  <c r="Q11" i="56" s="1"/>
  <c r="M11" i="56"/>
  <c r="K11" i="56"/>
  <c r="H11" i="56"/>
  <c r="Z10" i="56"/>
  <c r="AB10" i="56" s="1"/>
  <c r="J10" i="56" s="1"/>
  <c r="W10" i="56"/>
  <c r="V10" i="56"/>
  <c r="Q10" i="56"/>
  <c r="P10" i="56"/>
  <c r="O10" i="56"/>
  <c r="M10" i="56"/>
  <c r="H10" i="56"/>
  <c r="AB9" i="56"/>
  <c r="Z9" i="56"/>
  <c r="W9" i="56"/>
  <c r="V9" i="56"/>
  <c r="P9" i="56"/>
  <c r="O9" i="56"/>
  <c r="Q9" i="56" s="1"/>
  <c r="M9" i="56"/>
  <c r="K9" i="56"/>
  <c r="J9" i="56"/>
  <c r="I9" i="56" s="1"/>
  <c r="H9" i="56"/>
  <c r="Z8" i="56"/>
  <c r="AB8" i="56" s="1"/>
  <c r="J8" i="56" s="1"/>
  <c r="W8" i="56"/>
  <c r="V8" i="56"/>
  <c r="Q8" i="56"/>
  <c r="P8" i="56"/>
  <c r="O8" i="56"/>
  <c r="M8" i="56"/>
  <c r="H8" i="56"/>
  <c r="Z7" i="56"/>
  <c r="AB7" i="56" s="1"/>
  <c r="J7" i="56" s="1"/>
  <c r="W7" i="56"/>
  <c r="V7" i="56"/>
  <c r="P7" i="56"/>
  <c r="O7" i="56"/>
  <c r="Q7" i="56" s="1"/>
  <c r="M7" i="56"/>
  <c r="H7" i="56"/>
  <c r="Z6" i="56"/>
  <c r="AB6" i="56" s="1"/>
  <c r="J6" i="56" s="1"/>
  <c r="W6" i="56"/>
  <c r="V6" i="56"/>
  <c r="Q6" i="56"/>
  <c r="P6" i="56"/>
  <c r="O6" i="56"/>
  <c r="M6" i="56"/>
  <c r="H6" i="56"/>
  <c r="Z5" i="56"/>
  <c r="AB5" i="56" s="1"/>
  <c r="J5" i="56" s="1"/>
  <c r="I5" i="56" s="1"/>
  <c r="W5" i="56"/>
  <c r="V5" i="56"/>
  <c r="P5" i="56"/>
  <c r="O5" i="56"/>
  <c r="Q5" i="56" s="1"/>
  <c r="M5" i="56"/>
  <c r="H5" i="56"/>
  <c r="Z4" i="56"/>
  <c r="AB4" i="56" s="1"/>
  <c r="J4" i="56" s="1"/>
  <c r="W4" i="56"/>
  <c r="V4" i="56"/>
  <c r="V3" i="56" s="1"/>
  <c r="P4" i="56"/>
  <c r="Q4" i="56" s="1"/>
  <c r="O4" i="56"/>
  <c r="M4" i="56"/>
  <c r="H4" i="56"/>
  <c r="AE3" i="56"/>
  <c r="U3" i="56"/>
  <c r="O3" i="56"/>
  <c r="G3" i="56"/>
  <c r="H3" i="56" s="1"/>
  <c r="F3" i="56"/>
  <c r="D3" i="56"/>
  <c r="C3" i="56"/>
  <c r="B3" i="56"/>
  <c r="A2" i="56"/>
  <c r="A1" i="56"/>
  <c r="Z56" i="55"/>
  <c r="AB56" i="55" s="1"/>
  <c r="J56" i="55" s="1"/>
  <c r="W56" i="55"/>
  <c r="V56" i="55"/>
  <c r="T56" i="55"/>
  <c r="S56" i="55"/>
  <c r="R56" i="55"/>
  <c r="P56" i="55"/>
  <c r="O56" i="55"/>
  <c r="Q56" i="55" s="1"/>
  <c r="M56" i="55"/>
  <c r="H56" i="55"/>
  <c r="C56" i="55"/>
  <c r="Z55" i="55"/>
  <c r="AB55" i="55" s="1"/>
  <c r="J55" i="55" s="1"/>
  <c r="I55" i="55" s="1"/>
  <c r="W55" i="55"/>
  <c r="V55" i="55"/>
  <c r="P55" i="55"/>
  <c r="O55" i="55"/>
  <c r="Q55" i="55" s="1"/>
  <c r="M55" i="55"/>
  <c r="K55" i="55"/>
  <c r="H55" i="55"/>
  <c r="C55" i="55"/>
  <c r="AB54" i="55"/>
  <c r="Z54" i="55"/>
  <c r="W54" i="55"/>
  <c r="V54" i="55"/>
  <c r="T54" i="55"/>
  <c r="S54" i="55"/>
  <c r="R54" i="55"/>
  <c r="P54" i="55"/>
  <c r="O54" i="55"/>
  <c r="Q54" i="55" s="1"/>
  <c r="M54" i="55"/>
  <c r="K54" i="55"/>
  <c r="J54" i="55"/>
  <c r="I54" i="55" s="1"/>
  <c r="H54" i="55"/>
  <c r="C54" i="55"/>
  <c r="AB53" i="55"/>
  <c r="Z53" i="55"/>
  <c r="W53" i="55"/>
  <c r="V53" i="55"/>
  <c r="T53" i="55"/>
  <c r="S53" i="55"/>
  <c r="R53" i="55"/>
  <c r="P53" i="55"/>
  <c r="O53" i="55"/>
  <c r="Q53" i="55" s="1"/>
  <c r="M53" i="55"/>
  <c r="J53" i="55"/>
  <c r="I53" i="55" s="1"/>
  <c r="H53" i="55"/>
  <c r="C53" i="55"/>
  <c r="AB52" i="55"/>
  <c r="Z52" i="55"/>
  <c r="W52" i="55"/>
  <c r="V52" i="55"/>
  <c r="T52" i="55"/>
  <c r="S52" i="55"/>
  <c r="R52" i="55"/>
  <c r="P52" i="55"/>
  <c r="O52" i="55"/>
  <c r="Q52" i="55" s="1"/>
  <c r="M52" i="55"/>
  <c r="J52" i="55"/>
  <c r="I52" i="55" s="1"/>
  <c r="H52" i="55"/>
  <c r="C52" i="55"/>
  <c r="AB51" i="55"/>
  <c r="Z51" i="55"/>
  <c r="W51" i="55"/>
  <c r="V51" i="55"/>
  <c r="T51" i="55"/>
  <c r="S51" i="55"/>
  <c r="R51" i="55"/>
  <c r="P51" i="55"/>
  <c r="O51" i="55"/>
  <c r="Q51" i="55" s="1"/>
  <c r="M51" i="55"/>
  <c r="K51" i="55"/>
  <c r="J51" i="55"/>
  <c r="I51" i="55" s="1"/>
  <c r="H51" i="55"/>
  <c r="C51" i="55"/>
  <c r="AB50" i="55"/>
  <c r="Z50" i="55"/>
  <c r="W50" i="55"/>
  <c r="V50" i="55"/>
  <c r="T50" i="55"/>
  <c r="S50" i="55"/>
  <c r="R50" i="55"/>
  <c r="P50" i="55"/>
  <c r="O50" i="55"/>
  <c r="Q50" i="55" s="1"/>
  <c r="M50" i="55"/>
  <c r="K50" i="55"/>
  <c r="J50" i="55"/>
  <c r="I50" i="55" s="1"/>
  <c r="H50" i="55"/>
  <c r="C50" i="55"/>
  <c r="AB49" i="55"/>
  <c r="Z49" i="55"/>
  <c r="W49" i="55"/>
  <c r="V49" i="55"/>
  <c r="T49" i="55"/>
  <c r="S49" i="55"/>
  <c r="R49" i="55"/>
  <c r="P49" i="55"/>
  <c r="O49" i="55"/>
  <c r="Q49" i="55" s="1"/>
  <c r="M49" i="55"/>
  <c r="J49" i="55"/>
  <c r="I49" i="55" s="1"/>
  <c r="H49" i="55"/>
  <c r="C49" i="55"/>
  <c r="AB48" i="55"/>
  <c r="Z48" i="55"/>
  <c r="W48" i="55"/>
  <c r="V48" i="55"/>
  <c r="T48" i="55"/>
  <c r="S48" i="55"/>
  <c r="R48" i="55"/>
  <c r="P48" i="55"/>
  <c r="O48" i="55"/>
  <c r="Q48" i="55" s="1"/>
  <c r="M48" i="55"/>
  <c r="J48" i="55"/>
  <c r="I48" i="55" s="1"/>
  <c r="H48" i="55"/>
  <c r="C48" i="55"/>
  <c r="AB47" i="55"/>
  <c r="J47" i="55" s="1"/>
  <c r="Z47" i="55"/>
  <c r="W47" i="55"/>
  <c r="V47" i="55"/>
  <c r="Q47" i="55"/>
  <c r="P47" i="55"/>
  <c r="O47" i="55"/>
  <c r="M47" i="55"/>
  <c r="H47" i="55"/>
  <c r="C47" i="55"/>
  <c r="AB46" i="55"/>
  <c r="J46" i="55" s="1"/>
  <c r="Z46" i="55"/>
  <c r="W46" i="55"/>
  <c r="V46" i="55"/>
  <c r="P46" i="55"/>
  <c r="O46" i="55"/>
  <c r="Q46" i="55" s="1"/>
  <c r="M46" i="55"/>
  <c r="H46" i="55"/>
  <c r="C46" i="55"/>
  <c r="Z45" i="55"/>
  <c r="AB45" i="55" s="1"/>
  <c r="J45" i="55" s="1"/>
  <c r="K45" i="55" s="1"/>
  <c r="W45" i="55"/>
  <c r="V45" i="55"/>
  <c r="P45" i="55"/>
  <c r="O45" i="55"/>
  <c r="Q45" i="55" s="1"/>
  <c r="M45" i="55"/>
  <c r="I45" i="55"/>
  <c r="H45" i="55"/>
  <c r="C45" i="55"/>
  <c r="Z44" i="55"/>
  <c r="AB44" i="55" s="1"/>
  <c r="J44" i="55" s="1"/>
  <c r="W44" i="55"/>
  <c r="V44" i="55"/>
  <c r="Q44" i="55"/>
  <c r="P44" i="55"/>
  <c r="O44" i="55"/>
  <c r="M44" i="55"/>
  <c r="H44" i="55"/>
  <c r="C44" i="55"/>
  <c r="AB43" i="55"/>
  <c r="J43" i="55" s="1"/>
  <c r="I43" i="55" s="1"/>
  <c r="Z43" i="55"/>
  <c r="W43" i="55"/>
  <c r="V43" i="55"/>
  <c r="P43" i="55"/>
  <c r="O43" i="55"/>
  <c r="Q43" i="55" s="1"/>
  <c r="M43" i="55"/>
  <c r="K43" i="55"/>
  <c r="H43" i="55"/>
  <c r="C43" i="55"/>
  <c r="Z42" i="55"/>
  <c r="AB42" i="55" s="1"/>
  <c r="J42" i="55" s="1"/>
  <c r="W42" i="55"/>
  <c r="V42" i="55"/>
  <c r="T42" i="55"/>
  <c r="S42" i="55"/>
  <c r="R42" i="55"/>
  <c r="P42" i="55"/>
  <c r="O42" i="55"/>
  <c r="Q42" i="55" s="1"/>
  <c r="M42" i="55"/>
  <c r="H42" i="55"/>
  <c r="C42" i="55"/>
  <c r="Z41" i="55"/>
  <c r="AB41" i="55" s="1"/>
  <c r="J41" i="55" s="1"/>
  <c r="K41" i="55" s="1"/>
  <c r="W41" i="55"/>
  <c r="V41" i="55"/>
  <c r="Q41" i="55"/>
  <c r="P41" i="55"/>
  <c r="O41" i="55"/>
  <c r="M41" i="55"/>
  <c r="H41" i="55"/>
  <c r="C41" i="55"/>
  <c r="AB39" i="55"/>
  <c r="J39" i="55" s="1"/>
  <c r="Z39" i="55"/>
  <c r="W39" i="55"/>
  <c r="V39" i="55"/>
  <c r="P39" i="55"/>
  <c r="O39" i="55"/>
  <c r="M39" i="55"/>
  <c r="H39" i="55"/>
  <c r="C39" i="55"/>
  <c r="Z38" i="55"/>
  <c r="AB38" i="55" s="1"/>
  <c r="J38" i="55" s="1"/>
  <c r="W38" i="55"/>
  <c r="V38" i="55"/>
  <c r="P38" i="55"/>
  <c r="O38" i="55"/>
  <c r="Q38" i="55" s="1"/>
  <c r="M38" i="55"/>
  <c r="H38" i="55"/>
  <c r="C38" i="55"/>
  <c r="AB37" i="55"/>
  <c r="J37" i="55" s="1"/>
  <c r="Z37" i="55"/>
  <c r="W37" i="55"/>
  <c r="V37" i="55"/>
  <c r="Q37" i="55"/>
  <c r="P37" i="55"/>
  <c r="O37" i="55"/>
  <c r="M37" i="55"/>
  <c r="H37" i="55"/>
  <c r="C37" i="55"/>
  <c r="AB36" i="55"/>
  <c r="J36" i="55" s="1"/>
  <c r="Z36" i="55"/>
  <c r="W36" i="55"/>
  <c r="V36" i="55"/>
  <c r="P36" i="55"/>
  <c r="O36" i="55"/>
  <c r="Q36" i="55" s="1"/>
  <c r="M36" i="55"/>
  <c r="H36" i="55"/>
  <c r="C36" i="55"/>
  <c r="Z35" i="55"/>
  <c r="AB35" i="55" s="1"/>
  <c r="J35" i="55" s="1"/>
  <c r="W35" i="55"/>
  <c r="V35" i="55"/>
  <c r="P35" i="55"/>
  <c r="O35" i="55"/>
  <c r="Q35" i="55" s="1"/>
  <c r="M35" i="55"/>
  <c r="H35" i="55"/>
  <c r="C35" i="55"/>
  <c r="Z34" i="55"/>
  <c r="AB34" i="55" s="1"/>
  <c r="J34" i="55" s="1"/>
  <c r="W34" i="55"/>
  <c r="V34" i="55"/>
  <c r="Q34" i="55"/>
  <c r="P34" i="55"/>
  <c r="O34" i="55"/>
  <c r="M34" i="55"/>
  <c r="H34" i="55"/>
  <c r="C34" i="55"/>
  <c r="AB33" i="55"/>
  <c r="J33" i="55" s="1"/>
  <c r="Z33" i="55"/>
  <c r="W33" i="55"/>
  <c r="V33" i="55"/>
  <c r="P33" i="55"/>
  <c r="O33" i="55"/>
  <c r="Q33" i="55" s="1"/>
  <c r="M33" i="55"/>
  <c r="H33" i="55"/>
  <c r="C33" i="55"/>
  <c r="Z32" i="55"/>
  <c r="AB32" i="55" s="1"/>
  <c r="J32" i="55" s="1"/>
  <c r="W32" i="55"/>
  <c r="V32" i="55"/>
  <c r="Q32" i="55"/>
  <c r="P32" i="55"/>
  <c r="O32" i="55"/>
  <c r="M32" i="55"/>
  <c r="H32" i="55"/>
  <c r="C32" i="55"/>
  <c r="AB31" i="55"/>
  <c r="J31" i="55" s="1"/>
  <c r="Z31" i="55"/>
  <c r="W31" i="55"/>
  <c r="V31" i="55"/>
  <c r="P31" i="55"/>
  <c r="O31" i="55"/>
  <c r="M31" i="55"/>
  <c r="H31" i="55"/>
  <c r="C31" i="55"/>
  <c r="AB30" i="55"/>
  <c r="Z30" i="55"/>
  <c r="W30" i="55"/>
  <c r="V30" i="55"/>
  <c r="P30" i="55"/>
  <c r="O30" i="55"/>
  <c r="Q30" i="55" s="1"/>
  <c r="M30" i="55"/>
  <c r="J30" i="55"/>
  <c r="I30" i="55" s="1"/>
  <c r="H30" i="55"/>
  <c r="C30" i="55"/>
  <c r="AB29" i="55"/>
  <c r="J29" i="55" s="1"/>
  <c r="Z29" i="55"/>
  <c r="W29" i="55"/>
  <c r="V29" i="55"/>
  <c r="Q29" i="55"/>
  <c r="P29" i="55"/>
  <c r="O29" i="55"/>
  <c r="M29" i="55"/>
  <c r="H29" i="55"/>
  <c r="C29" i="55"/>
  <c r="AB28" i="55"/>
  <c r="J28" i="55" s="1"/>
  <c r="Z28" i="55"/>
  <c r="W28" i="55"/>
  <c r="V28" i="55"/>
  <c r="P28" i="55"/>
  <c r="O28" i="55"/>
  <c r="Q28" i="55" s="1"/>
  <c r="M28" i="55"/>
  <c r="H28" i="55"/>
  <c r="C28" i="55"/>
  <c r="Z27" i="55"/>
  <c r="AB27" i="55" s="1"/>
  <c r="J27" i="55" s="1"/>
  <c r="W27" i="55"/>
  <c r="V27" i="55"/>
  <c r="P27" i="55"/>
  <c r="O27" i="55"/>
  <c r="Q27" i="55" s="1"/>
  <c r="M27" i="55"/>
  <c r="H27" i="55"/>
  <c r="C27" i="55"/>
  <c r="Z26" i="55"/>
  <c r="AB26" i="55" s="1"/>
  <c r="J26" i="55" s="1"/>
  <c r="W26" i="55"/>
  <c r="V26" i="55"/>
  <c r="Q26" i="55"/>
  <c r="P26" i="55"/>
  <c r="O26" i="55"/>
  <c r="M26" i="55"/>
  <c r="H26" i="55"/>
  <c r="C26" i="55"/>
  <c r="AB25" i="55"/>
  <c r="J25" i="55" s="1"/>
  <c r="I25" i="55" s="1"/>
  <c r="Z25" i="55"/>
  <c r="W25" i="55"/>
  <c r="V25" i="55"/>
  <c r="P25" i="55"/>
  <c r="O25" i="55"/>
  <c r="Q25" i="55" s="1"/>
  <c r="M25" i="55"/>
  <c r="K25" i="55"/>
  <c r="H25" i="55"/>
  <c r="AB24" i="55"/>
  <c r="J24" i="55" s="1"/>
  <c r="Z24" i="55"/>
  <c r="W24" i="55"/>
  <c r="V24" i="55"/>
  <c r="Q24" i="55"/>
  <c r="P24" i="55"/>
  <c r="O24" i="55"/>
  <c r="M24" i="55"/>
  <c r="H24" i="55"/>
  <c r="AB23" i="55"/>
  <c r="J23" i="55" s="1"/>
  <c r="Z23" i="55"/>
  <c r="W23" i="55"/>
  <c r="V23" i="55"/>
  <c r="P23" i="55"/>
  <c r="O23" i="55"/>
  <c r="Q23" i="55" s="1"/>
  <c r="M23" i="55"/>
  <c r="H23" i="55"/>
  <c r="AB22" i="55"/>
  <c r="J22" i="55" s="1"/>
  <c r="Z22" i="55"/>
  <c r="W22" i="55"/>
  <c r="V22" i="55"/>
  <c r="Q22" i="55"/>
  <c r="P22" i="55"/>
  <c r="O22" i="55"/>
  <c r="M22" i="55"/>
  <c r="H22" i="55"/>
  <c r="AB21" i="55"/>
  <c r="J21" i="55" s="1"/>
  <c r="Z21" i="55"/>
  <c r="W21" i="55"/>
  <c r="V21" i="55"/>
  <c r="P21" i="55"/>
  <c r="O21" i="55"/>
  <c r="Q21" i="55" s="1"/>
  <c r="M21" i="55"/>
  <c r="H21" i="55"/>
  <c r="AB20" i="55"/>
  <c r="J20" i="55" s="1"/>
  <c r="Z20" i="55"/>
  <c r="W20" i="55"/>
  <c r="V20" i="55"/>
  <c r="Q20" i="55"/>
  <c r="P20" i="55"/>
  <c r="O20" i="55"/>
  <c r="M20" i="55"/>
  <c r="H20" i="55"/>
  <c r="AB19" i="55"/>
  <c r="J19" i="55" s="1"/>
  <c r="I19" i="55" s="1"/>
  <c r="Z19" i="55"/>
  <c r="W19" i="55"/>
  <c r="V19" i="55"/>
  <c r="P19" i="55"/>
  <c r="O19" i="55"/>
  <c r="Q19" i="55" s="1"/>
  <c r="M19" i="55"/>
  <c r="H19" i="55"/>
  <c r="AB18" i="55"/>
  <c r="J18" i="55" s="1"/>
  <c r="Z18" i="55"/>
  <c r="W18" i="55"/>
  <c r="V18" i="55"/>
  <c r="Q18" i="55"/>
  <c r="P18" i="55"/>
  <c r="O18" i="55"/>
  <c r="M18" i="55"/>
  <c r="H18" i="55"/>
  <c r="AB17" i="55"/>
  <c r="J17" i="55" s="1"/>
  <c r="I17" i="55" s="1"/>
  <c r="Z17" i="55"/>
  <c r="W17" i="55"/>
  <c r="V17" i="55"/>
  <c r="P17" i="55"/>
  <c r="O17" i="55"/>
  <c r="Q17" i="55" s="1"/>
  <c r="M17" i="55"/>
  <c r="K17" i="55"/>
  <c r="H17" i="55"/>
  <c r="AB16" i="55"/>
  <c r="J16" i="55" s="1"/>
  <c r="Z16" i="55"/>
  <c r="W16" i="55"/>
  <c r="V16" i="55"/>
  <c r="Q16" i="55"/>
  <c r="P16" i="55"/>
  <c r="O16" i="55"/>
  <c r="M16" i="55"/>
  <c r="H16" i="55"/>
  <c r="AB15" i="55"/>
  <c r="J15" i="55" s="1"/>
  <c r="Z15" i="55"/>
  <c r="W15" i="55"/>
  <c r="V15" i="55"/>
  <c r="P15" i="55"/>
  <c r="O15" i="55"/>
  <c r="Q15" i="55" s="1"/>
  <c r="M15" i="55"/>
  <c r="H15" i="55"/>
  <c r="AB14" i="55"/>
  <c r="J14" i="55" s="1"/>
  <c r="Z14" i="55"/>
  <c r="W14" i="55"/>
  <c r="V14" i="55"/>
  <c r="Q14" i="55"/>
  <c r="P14" i="55"/>
  <c r="O14" i="55"/>
  <c r="M14" i="55"/>
  <c r="H14" i="55"/>
  <c r="AB13" i="55"/>
  <c r="J13" i="55" s="1"/>
  <c r="Z13" i="55"/>
  <c r="W13" i="55"/>
  <c r="V13" i="55"/>
  <c r="P13" i="55"/>
  <c r="O13" i="55"/>
  <c r="Q13" i="55" s="1"/>
  <c r="M13" i="55"/>
  <c r="H13" i="55"/>
  <c r="AB12" i="55"/>
  <c r="J12" i="55" s="1"/>
  <c r="Z12" i="55"/>
  <c r="W12" i="55"/>
  <c r="V12" i="55"/>
  <c r="Q12" i="55"/>
  <c r="P12" i="55"/>
  <c r="O12" i="55"/>
  <c r="M12" i="55"/>
  <c r="H12" i="55"/>
  <c r="AB11" i="55"/>
  <c r="J11" i="55" s="1"/>
  <c r="I11" i="55" s="1"/>
  <c r="Z11" i="55"/>
  <c r="W11" i="55"/>
  <c r="V11" i="55"/>
  <c r="P11" i="55"/>
  <c r="O11" i="55"/>
  <c r="Q11" i="55" s="1"/>
  <c r="M11" i="55"/>
  <c r="H11" i="55"/>
  <c r="AB10" i="55"/>
  <c r="J10" i="55" s="1"/>
  <c r="Z10" i="55"/>
  <c r="W10" i="55"/>
  <c r="V10" i="55"/>
  <c r="Q10" i="55"/>
  <c r="P10" i="55"/>
  <c r="O10" i="55"/>
  <c r="M10" i="55"/>
  <c r="H10" i="55"/>
  <c r="AB9" i="55"/>
  <c r="J9" i="55" s="1"/>
  <c r="I9" i="55" s="1"/>
  <c r="Z9" i="55"/>
  <c r="W9" i="55"/>
  <c r="V9" i="55"/>
  <c r="P9" i="55"/>
  <c r="O9" i="55"/>
  <c r="Q9" i="55" s="1"/>
  <c r="M9" i="55"/>
  <c r="K9" i="55"/>
  <c r="H9" i="55"/>
  <c r="AB8" i="55"/>
  <c r="J8" i="55" s="1"/>
  <c r="Z8" i="55"/>
  <c r="W8" i="55"/>
  <c r="V8" i="55"/>
  <c r="Q8" i="55"/>
  <c r="P8" i="55"/>
  <c r="O8" i="55"/>
  <c r="M8" i="55"/>
  <c r="H8" i="55"/>
  <c r="AB7" i="55"/>
  <c r="J7" i="55" s="1"/>
  <c r="Z7" i="55"/>
  <c r="W7" i="55"/>
  <c r="V7" i="55"/>
  <c r="P7" i="55"/>
  <c r="O7" i="55"/>
  <c r="Q7" i="55" s="1"/>
  <c r="M7" i="55"/>
  <c r="H7" i="55"/>
  <c r="AB6" i="55"/>
  <c r="J6" i="55" s="1"/>
  <c r="Z6" i="55"/>
  <c r="W6" i="55"/>
  <c r="V6" i="55"/>
  <c r="Q6" i="55"/>
  <c r="P6" i="55"/>
  <c r="O6" i="55"/>
  <c r="M6" i="55"/>
  <c r="H6" i="55"/>
  <c r="AB5" i="55"/>
  <c r="J5" i="55" s="1"/>
  <c r="Z5" i="55"/>
  <c r="W5" i="55"/>
  <c r="V5" i="55"/>
  <c r="P5" i="55"/>
  <c r="O5" i="55"/>
  <c r="Q5" i="55" s="1"/>
  <c r="M5" i="55"/>
  <c r="H5" i="55"/>
  <c r="AB4" i="55"/>
  <c r="J4" i="55" s="1"/>
  <c r="Z4" i="55"/>
  <c r="W4" i="55"/>
  <c r="W3" i="55" s="1"/>
  <c r="V4" i="55"/>
  <c r="Q4" i="55"/>
  <c r="P4" i="55"/>
  <c r="O4" i="55"/>
  <c r="M4" i="55"/>
  <c r="H4" i="55"/>
  <c r="AE3" i="55"/>
  <c r="U3" i="55"/>
  <c r="O3" i="55"/>
  <c r="H3" i="55"/>
  <c r="G3" i="55"/>
  <c r="F3" i="55"/>
  <c r="D3" i="55"/>
  <c r="C3" i="55"/>
  <c r="B3" i="55"/>
  <c r="A2" i="55"/>
  <c r="A1" i="55"/>
  <c r="AB56" i="54"/>
  <c r="J56" i="54" s="1"/>
  <c r="Z56" i="54"/>
  <c r="W56" i="54"/>
  <c r="V56" i="54"/>
  <c r="T56" i="54"/>
  <c r="S56" i="54"/>
  <c r="R56" i="54"/>
  <c r="P56" i="54"/>
  <c r="Q56" i="54" s="1"/>
  <c r="O56" i="54"/>
  <c r="M56" i="54"/>
  <c r="H56" i="54"/>
  <c r="C56" i="54"/>
  <c r="AB55" i="54"/>
  <c r="J55" i="54" s="1"/>
  <c r="I55" i="54" s="1"/>
  <c r="Z55" i="54"/>
  <c r="W55" i="54"/>
  <c r="V55" i="54"/>
  <c r="P55" i="54"/>
  <c r="O55" i="54"/>
  <c r="Q55" i="54" s="1"/>
  <c r="M55" i="54"/>
  <c r="H55" i="54"/>
  <c r="C55" i="54"/>
  <c r="Z54" i="54"/>
  <c r="AB54" i="54" s="1"/>
  <c r="J54" i="54" s="1"/>
  <c r="I54" i="54" s="1"/>
  <c r="W54" i="54"/>
  <c r="V54" i="54"/>
  <c r="T54" i="54"/>
  <c r="S54" i="54"/>
  <c r="R54" i="54"/>
  <c r="P54" i="54"/>
  <c r="O54" i="54"/>
  <c r="Q54" i="54" s="1"/>
  <c r="M54" i="54"/>
  <c r="K54" i="54"/>
  <c r="H54" i="54"/>
  <c r="C54" i="54"/>
  <c r="Z53" i="54"/>
  <c r="AB53" i="54" s="1"/>
  <c r="J53" i="54" s="1"/>
  <c r="I53" i="54" s="1"/>
  <c r="W53" i="54"/>
  <c r="V53" i="54"/>
  <c r="T53" i="54"/>
  <c r="S53" i="54"/>
  <c r="R53" i="54"/>
  <c r="P53" i="54"/>
  <c r="O53" i="54"/>
  <c r="Q53" i="54" s="1"/>
  <c r="M53" i="54"/>
  <c r="K53" i="54"/>
  <c r="H53" i="54"/>
  <c r="C53" i="54"/>
  <c r="Z52" i="54"/>
  <c r="AB52" i="54" s="1"/>
  <c r="J52" i="54" s="1"/>
  <c r="I52" i="54" s="1"/>
  <c r="W52" i="54"/>
  <c r="V52" i="54"/>
  <c r="T52" i="54"/>
  <c r="S52" i="54"/>
  <c r="R52" i="54"/>
  <c r="P52" i="54"/>
  <c r="O52" i="54"/>
  <c r="Q52" i="54" s="1"/>
  <c r="M52" i="54"/>
  <c r="K52" i="54"/>
  <c r="H52" i="54"/>
  <c r="C52" i="54"/>
  <c r="Z51" i="54"/>
  <c r="AB51" i="54" s="1"/>
  <c r="J51" i="54" s="1"/>
  <c r="I51" i="54" s="1"/>
  <c r="W51" i="54"/>
  <c r="V51" i="54"/>
  <c r="T51" i="54"/>
  <c r="S51" i="54"/>
  <c r="R51" i="54"/>
  <c r="P51" i="54"/>
  <c r="O51" i="54"/>
  <c r="Q51" i="54" s="1"/>
  <c r="M51" i="54"/>
  <c r="K51" i="54"/>
  <c r="H51" i="54"/>
  <c r="C51" i="54"/>
  <c r="Z50" i="54"/>
  <c r="AB50" i="54" s="1"/>
  <c r="J50" i="54" s="1"/>
  <c r="I50" i="54" s="1"/>
  <c r="W50" i="54"/>
  <c r="V50" i="54"/>
  <c r="T50" i="54"/>
  <c r="S50" i="54"/>
  <c r="R50" i="54"/>
  <c r="P50" i="54"/>
  <c r="O50" i="54"/>
  <c r="Q50" i="54" s="1"/>
  <c r="M50" i="54"/>
  <c r="K50" i="54"/>
  <c r="H50" i="54"/>
  <c r="C50" i="54"/>
  <c r="Z49" i="54"/>
  <c r="AB49" i="54" s="1"/>
  <c r="J49" i="54" s="1"/>
  <c r="I49" i="54" s="1"/>
  <c r="W49" i="54"/>
  <c r="V49" i="54"/>
  <c r="T49" i="54"/>
  <c r="S49" i="54"/>
  <c r="R49" i="54"/>
  <c r="P49" i="54"/>
  <c r="O49" i="54"/>
  <c r="Q49" i="54" s="1"/>
  <c r="M49" i="54"/>
  <c r="K49" i="54"/>
  <c r="H49" i="54"/>
  <c r="C49" i="54"/>
  <c r="Z48" i="54"/>
  <c r="AB48" i="54" s="1"/>
  <c r="J48" i="54" s="1"/>
  <c r="I48" i="54" s="1"/>
  <c r="W48" i="54"/>
  <c r="V48" i="54"/>
  <c r="T48" i="54"/>
  <c r="S48" i="54"/>
  <c r="R48" i="54"/>
  <c r="P48" i="54"/>
  <c r="O48" i="54"/>
  <c r="Q48" i="54" s="1"/>
  <c r="M48" i="54"/>
  <c r="K48" i="54"/>
  <c r="H48" i="54"/>
  <c r="C48" i="54"/>
  <c r="Z47" i="54"/>
  <c r="AB47" i="54" s="1"/>
  <c r="J47" i="54" s="1"/>
  <c r="K47" i="54" s="1"/>
  <c r="W47" i="54"/>
  <c r="V47" i="54"/>
  <c r="Q47" i="54"/>
  <c r="P47" i="54"/>
  <c r="O47" i="54"/>
  <c r="M47" i="54"/>
  <c r="I47" i="54"/>
  <c r="H47" i="54"/>
  <c r="C47" i="54"/>
  <c r="Z46" i="54"/>
  <c r="AB46" i="54" s="1"/>
  <c r="J46" i="54" s="1"/>
  <c r="W46" i="54"/>
  <c r="V46" i="54"/>
  <c r="P46" i="54"/>
  <c r="O46" i="54"/>
  <c r="M46" i="54"/>
  <c r="H46" i="54"/>
  <c r="C46" i="54"/>
  <c r="AB45" i="54"/>
  <c r="Z45" i="54"/>
  <c r="W45" i="54"/>
  <c r="V45" i="54"/>
  <c r="P45" i="54"/>
  <c r="O45" i="54"/>
  <c r="Q45" i="54" s="1"/>
  <c r="M45" i="54"/>
  <c r="J45" i="54"/>
  <c r="I45" i="54" s="1"/>
  <c r="H45" i="54"/>
  <c r="C45" i="54"/>
  <c r="AB44" i="54"/>
  <c r="J44" i="54" s="1"/>
  <c r="Z44" i="54"/>
  <c r="W44" i="54"/>
  <c r="V44" i="54"/>
  <c r="Q44" i="54"/>
  <c r="P44" i="54"/>
  <c r="O44" i="54"/>
  <c r="M44" i="54"/>
  <c r="H44" i="54"/>
  <c r="C44" i="54"/>
  <c r="AB43" i="54"/>
  <c r="J43" i="54" s="1"/>
  <c r="Z43" i="54"/>
  <c r="W43" i="54"/>
  <c r="V43" i="54"/>
  <c r="P43" i="54"/>
  <c r="O43" i="54"/>
  <c r="Q43" i="54" s="1"/>
  <c r="M43" i="54"/>
  <c r="H43" i="54"/>
  <c r="C43" i="54"/>
  <c r="Z42" i="54"/>
  <c r="AB42" i="54" s="1"/>
  <c r="J42" i="54" s="1"/>
  <c r="W42" i="54"/>
  <c r="V42" i="54"/>
  <c r="T42" i="54"/>
  <c r="S42" i="54"/>
  <c r="R42" i="54"/>
  <c r="P42" i="54"/>
  <c r="O42" i="54"/>
  <c r="Q42" i="54" s="1"/>
  <c r="M42" i="54"/>
  <c r="H42" i="54"/>
  <c r="C42" i="54"/>
  <c r="Z41" i="54"/>
  <c r="AB41" i="54" s="1"/>
  <c r="W41" i="54"/>
  <c r="V41" i="54"/>
  <c r="P41" i="54"/>
  <c r="O41" i="54"/>
  <c r="Q41" i="54" s="1"/>
  <c r="M41" i="54"/>
  <c r="J41" i="54"/>
  <c r="K41" i="54" s="1"/>
  <c r="I41" i="54"/>
  <c r="H41" i="54"/>
  <c r="C41" i="54"/>
  <c r="Z39" i="54"/>
  <c r="AB39" i="54" s="1"/>
  <c r="J39" i="54" s="1"/>
  <c r="W39" i="54"/>
  <c r="V39" i="54"/>
  <c r="P39" i="54"/>
  <c r="Q39" i="54" s="1"/>
  <c r="O39" i="54"/>
  <c r="M39" i="54"/>
  <c r="H39" i="54"/>
  <c r="C39" i="54"/>
  <c r="AB38" i="54"/>
  <c r="J38" i="54" s="1"/>
  <c r="I38" i="54" s="1"/>
  <c r="Z38" i="54"/>
  <c r="W38" i="54"/>
  <c r="V38" i="54"/>
  <c r="P38" i="54"/>
  <c r="O38" i="54"/>
  <c r="Q38" i="54" s="1"/>
  <c r="M38" i="54"/>
  <c r="K38" i="54"/>
  <c r="H38" i="54"/>
  <c r="C38" i="54"/>
  <c r="Z37" i="54"/>
  <c r="AB37" i="54" s="1"/>
  <c r="J37" i="54" s="1"/>
  <c r="K37" i="54" s="1"/>
  <c r="W37" i="54"/>
  <c r="V37" i="54"/>
  <c r="Q37" i="54"/>
  <c r="P37" i="54"/>
  <c r="O37" i="54"/>
  <c r="M37" i="54"/>
  <c r="I37" i="54"/>
  <c r="H37" i="54"/>
  <c r="C37" i="54"/>
  <c r="Z36" i="54"/>
  <c r="AB36" i="54" s="1"/>
  <c r="J36" i="54" s="1"/>
  <c r="W36" i="54"/>
  <c r="V36" i="54"/>
  <c r="P36" i="54"/>
  <c r="O36" i="54"/>
  <c r="M36" i="54"/>
  <c r="H36" i="54"/>
  <c r="C36" i="54"/>
  <c r="AB35" i="54"/>
  <c r="Z35" i="54"/>
  <c r="W35" i="54"/>
  <c r="V35" i="54"/>
  <c r="P35" i="54"/>
  <c r="O35" i="54"/>
  <c r="Q35" i="54" s="1"/>
  <c r="M35" i="54"/>
  <c r="J35" i="54"/>
  <c r="I35" i="54" s="1"/>
  <c r="H35" i="54"/>
  <c r="C35" i="54"/>
  <c r="AB34" i="54"/>
  <c r="J34" i="54" s="1"/>
  <c r="Z34" i="54"/>
  <c r="W34" i="54"/>
  <c r="V34" i="54"/>
  <c r="Q34" i="54"/>
  <c r="P34" i="54"/>
  <c r="O34" i="54"/>
  <c r="M34" i="54"/>
  <c r="H34" i="54"/>
  <c r="C34" i="54"/>
  <c r="AB33" i="54"/>
  <c r="J33" i="54" s="1"/>
  <c r="Z33" i="54"/>
  <c r="W33" i="54"/>
  <c r="V33" i="54"/>
  <c r="P33" i="54"/>
  <c r="O33" i="54"/>
  <c r="Q33" i="54" s="1"/>
  <c r="M33" i="54"/>
  <c r="H33" i="54"/>
  <c r="C33" i="54"/>
  <c r="Z32" i="54"/>
  <c r="AB32" i="54" s="1"/>
  <c r="J32" i="54" s="1"/>
  <c r="K32" i="54" s="1"/>
  <c r="W32" i="54"/>
  <c r="V32" i="54"/>
  <c r="P32" i="54"/>
  <c r="O32" i="54"/>
  <c r="Q32" i="54" s="1"/>
  <c r="M32" i="54"/>
  <c r="I32" i="54"/>
  <c r="H32" i="54"/>
  <c r="C32" i="54"/>
  <c r="Z31" i="54"/>
  <c r="AB31" i="54" s="1"/>
  <c r="J31" i="54" s="1"/>
  <c r="W31" i="54"/>
  <c r="V31" i="54"/>
  <c r="Q31" i="54"/>
  <c r="P31" i="54"/>
  <c r="O31" i="54"/>
  <c r="M31" i="54"/>
  <c r="H31" i="54"/>
  <c r="C31" i="54"/>
  <c r="AB30" i="54"/>
  <c r="J30" i="54" s="1"/>
  <c r="I30" i="54" s="1"/>
  <c r="Z30" i="54"/>
  <c r="W30" i="54"/>
  <c r="V30" i="54"/>
  <c r="P30" i="54"/>
  <c r="O30" i="54"/>
  <c r="Q30" i="54" s="1"/>
  <c r="M30" i="54"/>
  <c r="K30" i="54"/>
  <c r="H30" i="54"/>
  <c r="C30" i="54"/>
  <c r="Z29" i="54"/>
  <c r="AB29" i="54" s="1"/>
  <c r="J29" i="54" s="1"/>
  <c r="W29" i="54"/>
  <c r="V29" i="54"/>
  <c r="Q29" i="54"/>
  <c r="P29" i="54"/>
  <c r="O29" i="54"/>
  <c r="M29" i="54"/>
  <c r="H29" i="54"/>
  <c r="C29" i="54"/>
  <c r="Z28" i="54"/>
  <c r="AB28" i="54" s="1"/>
  <c r="J28" i="54" s="1"/>
  <c r="W28" i="54"/>
  <c r="V28" i="54"/>
  <c r="P28" i="54"/>
  <c r="O28" i="54"/>
  <c r="M28" i="54"/>
  <c r="H28" i="54"/>
  <c r="C28" i="54"/>
  <c r="AB27" i="54"/>
  <c r="Z27" i="54"/>
  <c r="W27" i="54"/>
  <c r="V27" i="54"/>
  <c r="P27" i="54"/>
  <c r="O27" i="54"/>
  <c r="Q27" i="54" s="1"/>
  <c r="M27" i="54"/>
  <c r="J27" i="54"/>
  <c r="H27" i="54"/>
  <c r="C27" i="54"/>
  <c r="AB26" i="54"/>
  <c r="J26" i="54" s="1"/>
  <c r="Z26" i="54"/>
  <c r="W26" i="54"/>
  <c r="V26" i="54"/>
  <c r="Q26" i="54"/>
  <c r="P26" i="54"/>
  <c r="O26" i="54"/>
  <c r="M26" i="54"/>
  <c r="H26" i="54"/>
  <c r="C26" i="54"/>
  <c r="AB25" i="54"/>
  <c r="J25" i="54" s="1"/>
  <c r="Z25" i="54"/>
  <c r="W25" i="54"/>
  <c r="V25" i="54"/>
  <c r="P25" i="54"/>
  <c r="O25" i="54"/>
  <c r="Q25" i="54" s="1"/>
  <c r="M25" i="54"/>
  <c r="H25" i="54"/>
  <c r="Z24" i="54"/>
  <c r="AB24" i="54" s="1"/>
  <c r="J24" i="54" s="1"/>
  <c r="K24" i="54" s="1"/>
  <c r="W24" i="54"/>
  <c r="V24" i="54"/>
  <c r="Q24" i="54"/>
  <c r="P24" i="54"/>
  <c r="O24" i="54"/>
  <c r="M24" i="54"/>
  <c r="H24" i="54"/>
  <c r="AB23" i="54"/>
  <c r="J23" i="54" s="1"/>
  <c r="Z23" i="54"/>
  <c r="W23" i="54"/>
  <c r="V23" i="54"/>
  <c r="P23" i="54"/>
  <c r="O23" i="54"/>
  <c r="Q23" i="54" s="1"/>
  <c r="M23" i="54"/>
  <c r="H23" i="54"/>
  <c r="Z22" i="54"/>
  <c r="AB22" i="54" s="1"/>
  <c r="J22" i="54" s="1"/>
  <c r="W22" i="54"/>
  <c r="V22" i="54"/>
  <c r="Q22" i="54"/>
  <c r="P22" i="54"/>
  <c r="O22" i="54"/>
  <c r="M22" i="54"/>
  <c r="H22" i="54"/>
  <c r="AB21" i="54"/>
  <c r="J21" i="54" s="1"/>
  <c r="Z21" i="54"/>
  <c r="W21" i="54"/>
  <c r="V21" i="54"/>
  <c r="P21" i="54"/>
  <c r="O21" i="54"/>
  <c r="Q21" i="54" s="1"/>
  <c r="M21" i="54"/>
  <c r="H21" i="54"/>
  <c r="Z20" i="54"/>
  <c r="AB20" i="54" s="1"/>
  <c r="J20" i="54" s="1"/>
  <c r="K20" i="54" s="1"/>
  <c r="W20" i="54"/>
  <c r="V20" i="54"/>
  <c r="Q20" i="54"/>
  <c r="P20" i="54"/>
  <c r="O20" i="54"/>
  <c r="M20" i="54"/>
  <c r="I20" i="54"/>
  <c r="H20" i="54"/>
  <c r="AB19" i="54"/>
  <c r="J19" i="54" s="1"/>
  <c r="Z19" i="54"/>
  <c r="W19" i="54"/>
  <c r="V19" i="54"/>
  <c r="P19" i="54"/>
  <c r="O19" i="54"/>
  <c r="Q19" i="54" s="1"/>
  <c r="M19" i="54"/>
  <c r="H19" i="54"/>
  <c r="Z18" i="54"/>
  <c r="AB18" i="54" s="1"/>
  <c r="J18" i="54" s="1"/>
  <c r="W18" i="54"/>
  <c r="V18" i="54"/>
  <c r="Q18" i="54"/>
  <c r="P18" i="54"/>
  <c r="O18" i="54"/>
  <c r="M18" i="54"/>
  <c r="H18" i="54"/>
  <c r="AB17" i="54"/>
  <c r="J17" i="54" s="1"/>
  <c r="Z17" i="54"/>
  <c r="W17" i="54"/>
  <c r="V17" i="54"/>
  <c r="P17" i="54"/>
  <c r="O17" i="54"/>
  <c r="Q17" i="54" s="1"/>
  <c r="M17" i="54"/>
  <c r="H17" i="54"/>
  <c r="Z16" i="54"/>
  <c r="AB16" i="54" s="1"/>
  <c r="J16" i="54" s="1"/>
  <c r="K16" i="54" s="1"/>
  <c r="W16" i="54"/>
  <c r="V16" i="54"/>
  <c r="Q16" i="54"/>
  <c r="P16" i="54"/>
  <c r="O16" i="54"/>
  <c r="M16" i="54"/>
  <c r="I16" i="54"/>
  <c r="H16" i="54"/>
  <c r="AB15" i="54"/>
  <c r="J15" i="54" s="1"/>
  <c r="Z15" i="54"/>
  <c r="W15" i="54"/>
  <c r="V15" i="54"/>
  <c r="P15" i="54"/>
  <c r="O15" i="54"/>
  <c r="Q15" i="54" s="1"/>
  <c r="M15" i="54"/>
  <c r="H15" i="54"/>
  <c r="Z14" i="54"/>
  <c r="AB14" i="54" s="1"/>
  <c r="J14" i="54" s="1"/>
  <c r="K14" i="54" s="1"/>
  <c r="W14" i="54"/>
  <c r="V14" i="54"/>
  <c r="Q14" i="54"/>
  <c r="P14" i="54"/>
  <c r="O14" i="54"/>
  <c r="M14" i="54"/>
  <c r="H14" i="54"/>
  <c r="AB13" i="54"/>
  <c r="J13" i="54" s="1"/>
  <c r="Z13" i="54"/>
  <c r="W13" i="54"/>
  <c r="V13" i="54"/>
  <c r="P13" i="54"/>
  <c r="O13" i="54"/>
  <c r="Q13" i="54" s="1"/>
  <c r="M13" i="54"/>
  <c r="H13" i="54"/>
  <c r="Z12" i="54"/>
  <c r="AB12" i="54" s="1"/>
  <c r="J12" i="54" s="1"/>
  <c r="K12" i="54" s="1"/>
  <c r="W12" i="54"/>
  <c r="V12" i="54"/>
  <c r="Q12" i="54"/>
  <c r="P12" i="54"/>
  <c r="O12" i="54"/>
  <c r="M12" i="54"/>
  <c r="H12" i="54"/>
  <c r="AB11" i="54"/>
  <c r="J11" i="54" s="1"/>
  <c r="Z11" i="54"/>
  <c r="W11" i="54"/>
  <c r="V11" i="54"/>
  <c r="P11" i="54"/>
  <c r="O11" i="54"/>
  <c r="Q11" i="54" s="1"/>
  <c r="M11" i="54"/>
  <c r="H11" i="54"/>
  <c r="Z10" i="54"/>
  <c r="AB10" i="54" s="1"/>
  <c r="J10" i="54" s="1"/>
  <c r="K10" i="54" s="1"/>
  <c r="W10" i="54"/>
  <c r="V10" i="54"/>
  <c r="Q10" i="54"/>
  <c r="P10" i="54"/>
  <c r="O10" i="54"/>
  <c r="M10" i="54"/>
  <c r="I10" i="54"/>
  <c r="H10" i="54"/>
  <c r="AB9" i="54"/>
  <c r="J9" i="54" s="1"/>
  <c r="Z9" i="54"/>
  <c r="W9" i="54"/>
  <c r="V9" i="54"/>
  <c r="P9" i="54"/>
  <c r="O9" i="54"/>
  <c r="Q9" i="54" s="1"/>
  <c r="M9" i="54"/>
  <c r="H9" i="54"/>
  <c r="Z8" i="54"/>
  <c r="AB8" i="54" s="1"/>
  <c r="J8" i="54" s="1"/>
  <c r="K8" i="54" s="1"/>
  <c r="W8" i="54"/>
  <c r="V8" i="54"/>
  <c r="Q8" i="54"/>
  <c r="P8" i="54"/>
  <c r="O8" i="54"/>
  <c r="M8" i="54"/>
  <c r="H8" i="54"/>
  <c r="AB7" i="54"/>
  <c r="J7" i="54" s="1"/>
  <c r="Z7" i="54"/>
  <c r="W7" i="54"/>
  <c r="V7" i="54"/>
  <c r="P7" i="54"/>
  <c r="O7" i="54"/>
  <c r="Q7" i="54" s="1"/>
  <c r="M7" i="54"/>
  <c r="H7" i="54"/>
  <c r="Z6" i="54"/>
  <c r="AB6" i="54" s="1"/>
  <c r="J6" i="54" s="1"/>
  <c r="W6" i="54"/>
  <c r="V6" i="54"/>
  <c r="Q6" i="54"/>
  <c r="P6" i="54"/>
  <c r="O6" i="54"/>
  <c r="M6" i="54"/>
  <c r="H6" i="54"/>
  <c r="AB5" i="54"/>
  <c r="J5" i="54" s="1"/>
  <c r="Z5" i="54"/>
  <c r="W5" i="54"/>
  <c r="V5" i="54"/>
  <c r="P5" i="54"/>
  <c r="O5" i="54"/>
  <c r="Q5" i="54" s="1"/>
  <c r="M5" i="54"/>
  <c r="H5" i="54"/>
  <c r="Z4" i="54"/>
  <c r="AB4" i="54" s="1"/>
  <c r="J4" i="54" s="1"/>
  <c r="K4" i="54" s="1"/>
  <c r="W4" i="54"/>
  <c r="V4" i="54"/>
  <c r="Q4" i="54"/>
  <c r="P4" i="54"/>
  <c r="O4" i="54"/>
  <c r="M4" i="54"/>
  <c r="I4" i="54"/>
  <c r="H4" i="54"/>
  <c r="AE3" i="54"/>
  <c r="U3" i="54"/>
  <c r="O3" i="54"/>
  <c r="H3" i="54"/>
  <c r="G3" i="54"/>
  <c r="F3" i="54"/>
  <c r="D3" i="54"/>
  <c r="C3" i="54"/>
  <c r="B3" i="54"/>
  <c r="A2" i="54"/>
  <c r="A1" i="54"/>
  <c r="AB56" i="53"/>
  <c r="J56" i="53" s="1"/>
  <c r="Z56" i="53"/>
  <c r="W56" i="53"/>
  <c r="V56" i="53"/>
  <c r="T56" i="53"/>
  <c r="S56" i="53"/>
  <c r="R56" i="53"/>
  <c r="Q56" i="53"/>
  <c r="P56" i="53"/>
  <c r="O56" i="53"/>
  <c r="M56" i="53"/>
  <c r="H56" i="53"/>
  <c r="C56" i="53"/>
  <c r="AB55" i="53"/>
  <c r="J55" i="53" s="1"/>
  <c r="Z55" i="53"/>
  <c r="W55" i="53"/>
  <c r="V55" i="53"/>
  <c r="P55" i="53"/>
  <c r="O55" i="53"/>
  <c r="Q55" i="53" s="1"/>
  <c r="M55" i="53"/>
  <c r="H55" i="53"/>
  <c r="C55" i="53"/>
  <c r="Z54" i="53"/>
  <c r="AB54" i="53" s="1"/>
  <c r="J54" i="53" s="1"/>
  <c r="W54" i="53"/>
  <c r="V54" i="53"/>
  <c r="T54" i="53"/>
  <c r="S54" i="53"/>
  <c r="R54" i="53"/>
  <c r="P54" i="53"/>
  <c r="O54" i="53"/>
  <c r="Q54" i="53" s="1"/>
  <c r="M54" i="53"/>
  <c r="H54" i="53"/>
  <c r="C54" i="53"/>
  <c r="Z53" i="53"/>
  <c r="AB53" i="53" s="1"/>
  <c r="J53" i="53" s="1"/>
  <c r="W53" i="53"/>
  <c r="V53" i="53"/>
  <c r="T53" i="53"/>
  <c r="S53" i="53"/>
  <c r="R53" i="53"/>
  <c r="P53" i="53"/>
  <c r="O53" i="53"/>
  <c r="Q53" i="53" s="1"/>
  <c r="M53" i="53"/>
  <c r="H53" i="53"/>
  <c r="C53" i="53"/>
  <c r="Z52" i="53"/>
  <c r="AB52" i="53" s="1"/>
  <c r="J52" i="53" s="1"/>
  <c r="W52" i="53"/>
  <c r="V52" i="53"/>
  <c r="T52" i="53"/>
  <c r="S52" i="53"/>
  <c r="R52" i="53"/>
  <c r="P52" i="53"/>
  <c r="O52" i="53"/>
  <c r="Q52" i="53" s="1"/>
  <c r="M52" i="53"/>
  <c r="H52" i="53"/>
  <c r="C52" i="53"/>
  <c r="Z51" i="53"/>
  <c r="AB51" i="53" s="1"/>
  <c r="J51" i="53" s="1"/>
  <c r="W51" i="53"/>
  <c r="V51" i="53"/>
  <c r="T51" i="53"/>
  <c r="S51" i="53"/>
  <c r="R51" i="53"/>
  <c r="P51" i="53"/>
  <c r="O51" i="53"/>
  <c r="Q51" i="53" s="1"/>
  <c r="M51" i="53"/>
  <c r="H51" i="53"/>
  <c r="C51" i="53"/>
  <c r="Z50" i="53"/>
  <c r="AB50" i="53" s="1"/>
  <c r="J50" i="53" s="1"/>
  <c r="W50" i="53"/>
  <c r="V50" i="53"/>
  <c r="T50" i="53"/>
  <c r="S50" i="53"/>
  <c r="R50" i="53"/>
  <c r="P50" i="53"/>
  <c r="O50" i="53"/>
  <c r="Q50" i="53" s="1"/>
  <c r="M50" i="53"/>
  <c r="H50" i="53"/>
  <c r="C50" i="53"/>
  <c r="Z49" i="53"/>
  <c r="AB49" i="53" s="1"/>
  <c r="J49" i="53" s="1"/>
  <c r="W49" i="53"/>
  <c r="V49" i="53"/>
  <c r="T49" i="53"/>
  <c r="S49" i="53"/>
  <c r="R49" i="53"/>
  <c r="P49" i="53"/>
  <c r="O49" i="53"/>
  <c r="Q49" i="53" s="1"/>
  <c r="M49" i="53"/>
  <c r="H49" i="53"/>
  <c r="C49" i="53"/>
  <c r="Z48" i="53"/>
  <c r="AB48" i="53" s="1"/>
  <c r="J48" i="53" s="1"/>
  <c r="W48" i="53"/>
  <c r="V48" i="53"/>
  <c r="T48" i="53"/>
  <c r="S48" i="53"/>
  <c r="R48" i="53"/>
  <c r="P48" i="53"/>
  <c r="O48" i="53"/>
  <c r="Q48" i="53" s="1"/>
  <c r="M48" i="53"/>
  <c r="H48" i="53"/>
  <c r="C48" i="53"/>
  <c r="Z47" i="53"/>
  <c r="AB47" i="53" s="1"/>
  <c r="W47" i="53"/>
  <c r="V47" i="53"/>
  <c r="P47" i="53"/>
  <c r="O47" i="53"/>
  <c r="Q47" i="53" s="1"/>
  <c r="M47" i="53"/>
  <c r="J47" i="53"/>
  <c r="H47" i="53"/>
  <c r="C47" i="53"/>
  <c r="Z46" i="53"/>
  <c r="AB46" i="53" s="1"/>
  <c r="J46" i="53" s="1"/>
  <c r="W46" i="53"/>
  <c r="V46" i="53"/>
  <c r="P46" i="53"/>
  <c r="Q46" i="53" s="1"/>
  <c r="O46" i="53"/>
  <c r="M46" i="53"/>
  <c r="H46" i="53"/>
  <c r="C46" i="53"/>
  <c r="AB45" i="53"/>
  <c r="J45" i="53" s="1"/>
  <c r="I45" i="53" s="1"/>
  <c r="Z45" i="53"/>
  <c r="W45" i="53"/>
  <c r="V45" i="53"/>
  <c r="P45" i="53"/>
  <c r="O45" i="53"/>
  <c r="Q45" i="53" s="1"/>
  <c r="M45" i="53"/>
  <c r="H45" i="53"/>
  <c r="C45" i="53"/>
  <c r="Z44" i="53"/>
  <c r="AB44" i="53" s="1"/>
  <c r="J44" i="53" s="1"/>
  <c r="K44" i="53" s="1"/>
  <c r="W44" i="53"/>
  <c r="V44" i="53"/>
  <c r="Q44" i="53"/>
  <c r="P44" i="53"/>
  <c r="O44" i="53"/>
  <c r="M44" i="53"/>
  <c r="H44" i="53"/>
  <c r="C44" i="53"/>
  <c r="AB43" i="53"/>
  <c r="J43" i="53" s="1"/>
  <c r="Z43" i="53"/>
  <c r="W43" i="53"/>
  <c r="V43" i="53"/>
  <c r="P43" i="53"/>
  <c r="O43" i="53"/>
  <c r="M43" i="53"/>
  <c r="H43" i="53"/>
  <c r="C43" i="53"/>
  <c r="AB42" i="53"/>
  <c r="J42" i="53" s="1"/>
  <c r="Z42" i="53"/>
  <c r="W42" i="53"/>
  <c r="V42" i="53"/>
  <c r="T42" i="53"/>
  <c r="S42" i="53"/>
  <c r="R42" i="53"/>
  <c r="P42" i="53"/>
  <c r="O42" i="53"/>
  <c r="Q42" i="53" s="1"/>
  <c r="M42" i="53"/>
  <c r="H42" i="53"/>
  <c r="C42" i="53"/>
  <c r="Z41" i="53"/>
  <c r="AB41" i="53" s="1"/>
  <c r="J41" i="53" s="1"/>
  <c r="W41" i="53"/>
  <c r="V41" i="53"/>
  <c r="P41" i="53"/>
  <c r="Q41" i="53" s="1"/>
  <c r="O41" i="53"/>
  <c r="M41" i="53"/>
  <c r="H41" i="53"/>
  <c r="C41" i="53"/>
  <c r="AB39" i="53"/>
  <c r="J39" i="53" s="1"/>
  <c r="Z39" i="53"/>
  <c r="W39" i="53"/>
  <c r="V39" i="53"/>
  <c r="Q39" i="53"/>
  <c r="P39" i="53"/>
  <c r="O39" i="53"/>
  <c r="M39" i="53"/>
  <c r="H39" i="53"/>
  <c r="C39" i="53"/>
  <c r="AB38" i="53"/>
  <c r="J38" i="53" s="1"/>
  <c r="Z38" i="53"/>
  <c r="W38" i="53"/>
  <c r="V38" i="53"/>
  <c r="P38" i="53"/>
  <c r="O38" i="53"/>
  <c r="Q38" i="53" s="1"/>
  <c r="M38" i="53"/>
  <c r="H38" i="53"/>
  <c r="C38" i="53"/>
  <c r="Z37" i="53"/>
  <c r="AB37" i="53" s="1"/>
  <c r="W37" i="53"/>
  <c r="V37" i="53"/>
  <c r="P37" i="53"/>
  <c r="O37" i="53"/>
  <c r="Q37" i="53" s="1"/>
  <c r="M37" i="53"/>
  <c r="J37" i="53"/>
  <c r="H37" i="53"/>
  <c r="C37" i="53"/>
  <c r="Z36" i="53"/>
  <c r="AB36" i="53" s="1"/>
  <c r="J36" i="53" s="1"/>
  <c r="W36" i="53"/>
  <c r="V36" i="53"/>
  <c r="P36" i="53"/>
  <c r="Q36" i="53" s="1"/>
  <c r="O36" i="53"/>
  <c r="M36" i="53"/>
  <c r="H36" i="53"/>
  <c r="C36" i="53"/>
  <c r="AB35" i="53"/>
  <c r="J35" i="53" s="1"/>
  <c r="I35" i="53" s="1"/>
  <c r="Z35" i="53"/>
  <c r="W35" i="53"/>
  <c r="V35" i="53"/>
  <c r="P35" i="53"/>
  <c r="O35" i="53"/>
  <c r="Q35" i="53" s="1"/>
  <c r="M35" i="53"/>
  <c r="H35" i="53"/>
  <c r="C35" i="53"/>
  <c r="Z34" i="53"/>
  <c r="AB34" i="53" s="1"/>
  <c r="J34" i="53" s="1"/>
  <c r="K34" i="53" s="1"/>
  <c r="W34" i="53"/>
  <c r="V34" i="53"/>
  <c r="Q34" i="53"/>
  <c r="P34" i="53"/>
  <c r="O34" i="53"/>
  <c r="M34" i="53"/>
  <c r="I34" i="53"/>
  <c r="H34" i="53"/>
  <c r="C34" i="53"/>
  <c r="AB33" i="53"/>
  <c r="J33" i="53" s="1"/>
  <c r="Z33" i="53"/>
  <c r="W33" i="53"/>
  <c r="V33" i="53"/>
  <c r="P33" i="53"/>
  <c r="O33" i="53"/>
  <c r="Q33" i="53" s="1"/>
  <c r="M33" i="53"/>
  <c r="H33" i="53"/>
  <c r="C33" i="53"/>
  <c r="Z32" i="53"/>
  <c r="AB32" i="53" s="1"/>
  <c r="J32" i="53" s="1"/>
  <c r="W32" i="53"/>
  <c r="V32" i="53"/>
  <c r="P32" i="53"/>
  <c r="Q32" i="53" s="1"/>
  <c r="O32" i="53"/>
  <c r="M32" i="53"/>
  <c r="H32" i="53"/>
  <c r="C32" i="53"/>
  <c r="AB31" i="53"/>
  <c r="J31" i="53" s="1"/>
  <c r="Z31" i="53"/>
  <c r="W31" i="53"/>
  <c r="V31" i="53"/>
  <c r="Q31" i="53"/>
  <c r="P31" i="53"/>
  <c r="O31" i="53"/>
  <c r="M31" i="53"/>
  <c r="H31" i="53"/>
  <c r="C31" i="53"/>
  <c r="AB30" i="53"/>
  <c r="J30" i="53" s="1"/>
  <c r="Z30" i="53"/>
  <c r="W30" i="53"/>
  <c r="V30" i="53"/>
  <c r="P30" i="53"/>
  <c r="O30" i="53"/>
  <c r="Q30" i="53" s="1"/>
  <c r="M30" i="53"/>
  <c r="H30" i="53"/>
  <c r="C30" i="53"/>
  <c r="Z29" i="53"/>
  <c r="AB29" i="53" s="1"/>
  <c r="J29" i="53" s="1"/>
  <c r="W29" i="53"/>
  <c r="V29" i="53"/>
  <c r="P29" i="53"/>
  <c r="O29" i="53"/>
  <c r="Q29" i="53" s="1"/>
  <c r="M29" i="53"/>
  <c r="H29" i="53"/>
  <c r="C29" i="53"/>
  <c r="Z28" i="53"/>
  <c r="AB28" i="53" s="1"/>
  <c r="J28" i="53" s="1"/>
  <c r="W28" i="53"/>
  <c r="V28" i="53"/>
  <c r="P28" i="53"/>
  <c r="Q28" i="53" s="1"/>
  <c r="O28" i="53"/>
  <c r="M28" i="53"/>
  <c r="H28" i="53"/>
  <c r="C28" i="53"/>
  <c r="AB27" i="53"/>
  <c r="J27" i="53" s="1"/>
  <c r="I27" i="53" s="1"/>
  <c r="Z27" i="53"/>
  <c r="W27" i="53"/>
  <c r="V27" i="53"/>
  <c r="P27" i="53"/>
  <c r="O27" i="53"/>
  <c r="Q27" i="53" s="1"/>
  <c r="M27" i="53"/>
  <c r="H27" i="53"/>
  <c r="C27" i="53"/>
  <c r="Z26" i="53"/>
  <c r="AB26" i="53" s="1"/>
  <c r="J26" i="53" s="1"/>
  <c r="K26" i="53" s="1"/>
  <c r="W26" i="53"/>
  <c r="V26" i="53"/>
  <c r="Q26" i="53"/>
  <c r="P26" i="53"/>
  <c r="O26" i="53"/>
  <c r="M26" i="53"/>
  <c r="H26" i="53"/>
  <c r="C26" i="53"/>
  <c r="AB25" i="53"/>
  <c r="J25" i="53" s="1"/>
  <c r="Z25" i="53"/>
  <c r="W25" i="53"/>
  <c r="V25" i="53"/>
  <c r="P25" i="53"/>
  <c r="O25" i="53"/>
  <c r="M25" i="53"/>
  <c r="H25" i="53"/>
  <c r="Z24" i="53"/>
  <c r="AB24" i="53" s="1"/>
  <c r="W24" i="53"/>
  <c r="V24" i="53"/>
  <c r="P24" i="53"/>
  <c r="O24" i="53"/>
  <c r="Q24" i="53" s="1"/>
  <c r="M24" i="53"/>
  <c r="J24" i="53"/>
  <c r="K24" i="53" s="1"/>
  <c r="I24" i="53"/>
  <c r="H24" i="53"/>
  <c r="AB23" i="53"/>
  <c r="J23" i="53" s="1"/>
  <c r="Z23" i="53"/>
  <c r="W23" i="53"/>
  <c r="V23" i="53"/>
  <c r="P23" i="53"/>
  <c r="O23" i="53"/>
  <c r="Q23" i="53" s="1"/>
  <c r="M23" i="53"/>
  <c r="H23" i="53"/>
  <c r="Z22" i="53"/>
  <c r="AB22" i="53" s="1"/>
  <c r="J22" i="53" s="1"/>
  <c r="W22" i="53"/>
  <c r="V22" i="53"/>
  <c r="P22" i="53"/>
  <c r="O22" i="53"/>
  <c r="Q22" i="53" s="1"/>
  <c r="M22" i="53"/>
  <c r="H22" i="53"/>
  <c r="AB21" i="53"/>
  <c r="J21" i="53" s="1"/>
  <c r="Z21" i="53"/>
  <c r="W21" i="53"/>
  <c r="V21" i="53"/>
  <c r="P21" i="53"/>
  <c r="O21" i="53"/>
  <c r="Q21" i="53" s="1"/>
  <c r="M21" i="53"/>
  <c r="H21" i="53"/>
  <c r="Z20" i="53"/>
  <c r="AB20" i="53" s="1"/>
  <c r="J20" i="53" s="1"/>
  <c r="K20" i="53" s="1"/>
  <c r="W20" i="53"/>
  <c r="V20" i="53"/>
  <c r="P20" i="53"/>
  <c r="O20" i="53"/>
  <c r="Q20" i="53" s="1"/>
  <c r="M20" i="53"/>
  <c r="H20" i="53"/>
  <c r="AB19" i="53"/>
  <c r="J19" i="53" s="1"/>
  <c r="Z19" i="53"/>
  <c r="W19" i="53"/>
  <c r="V19" i="53"/>
  <c r="P19" i="53"/>
  <c r="O19" i="53"/>
  <c r="M19" i="53"/>
  <c r="H19" i="53"/>
  <c r="Z18" i="53"/>
  <c r="AB18" i="53" s="1"/>
  <c r="W18" i="53"/>
  <c r="V18" i="53"/>
  <c r="P18" i="53"/>
  <c r="O18" i="53"/>
  <c r="Q18" i="53" s="1"/>
  <c r="M18" i="53"/>
  <c r="J18" i="53"/>
  <c r="H18" i="53"/>
  <c r="AB17" i="53"/>
  <c r="J17" i="53" s="1"/>
  <c r="Z17" i="53"/>
  <c r="W17" i="53"/>
  <c r="V17" i="53"/>
  <c r="P17" i="53"/>
  <c r="O17" i="53"/>
  <c r="Q17" i="53" s="1"/>
  <c r="M17" i="53"/>
  <c r="H17" i="53"/>
  <c r="Z16" i="53"/>
  <c r="AB16" i="53" s="1"/>
  <c r="J16" i="53" s="1"/>
  <c r="W16" i="53"/>
  <c r="V16" i="53"/>
  <c r="P16" i="53"/>
  <c r="O16" i="53"/>
  <c r="Q16" i="53" s="1"/>
  <c r="M16" i="53"/>
  <c r="H16" i="53"/>
  <c r="AB15" i="53"/>
  <c r="J15" i="53" s="1"/>
  <c r="Z15" i="53"/>
  <c r="W15" i="53"/>
  <c r="V15" i="53"/>
  <c r="P15" i="53"/>
  <c r="O15" i="53"/>
  <c r="M15" i="53"/>
  <c r="H15" i="53"/>
  <c r="Z14" i="53"/>
  <c r="AB14" i="53" s="1"/>
  <c r="W14" i="53"/>
  <c r="V14" i="53"/>
  <c r="P14" i="53"/>
  <c r="O14" i="53"/>
  <c r="Q14" i="53" s="1"/>
  <c r="M14" i="53"/>
  <c r="J14" i="53"/>
  <c r="K14" i="53" s="1"/>
  <c r="I14" i="53"/>
  <c r="H14" i="53"/>
  <c r="AB13" i="53"/>
  <c r="J13" i="53" s="1"/>
  <c r="Z13" i="53"/>
  <c r="W13" i="53"/>
  <c r="V13" i="53"/>
  <c r="P13" i="53"/>
  <c r="O13" i="53"/>
  <c r="M13" i="53"/>
  <c r="H13" i="53"/>
  <c r="Z12" i="53"/>
  <c r="AB12" i="53" s="1"/>
  <c r="W12" i="53"/>
  <c r="V12" i="53"/>
  <c r="P12" i="53"/>
  <c r="O12" i="53"/>
  <c r="Q12" i="53" s="1"/>
  <c r="M12" i="53"/>
  <c r="J12" i="53"/>
  <c r="K12" i="53" s="1"/>
  <c r="H12" i="53"/>
  <c r="AB11" i="53"/>
  <c r="J11" i="53" s="1"/>
  <c r="Z11" i="53"/>
  <c r="W11" i="53"/>
  <c r="V11" i="53"/>
  <c r="P11" i="53"/>
  <c r="O11" i="53"/>
  <c r="Q11" i="53" s="1"/>
  <c r="M11" i="53"/>
  <c r="H11" i="53"/>
  <c r="Z10" i="53"/>
  <c r="AB10" i="53" s="1"/>
  <c r="J10" i="53" s="1"/>
  <c r="W10" i="53"/>
  <c r="V10" i="53"/>
  <c r="P10" i="53"/>
  <c r="O10" i="53"/>
  <c r="Q10" i="53" s="1"/>
  <c r="M10" i="53"/>
  <c r="H10" i="53"/>
  <c r="AB9" i="53"/>
  <c r="J9" i="53" s="1"/>
  <c r="Z9" i="53"/>
  <c r="W9" i="53"/>
  <c r="V9" i="53"/>
  <c r="P9" i="53"/>
  <c r="O9" i="53"/>
  <c r="M9" i="53"/>
  <c r="H9" i="53"/>
  <c r="Z8" i="53"/>
  <c r="AB8" i="53" s="1"/>
  <c r="W8" i="53"/>
  <c r="V8" i="53"/>
  <c r="P8" i="53"/>
  <c r="O8" i="53"/>
  <c r="Q8" i="53" s="1"/>
  <c r="M8" i="53"/>
  <c r="J8" i="53"/>
  <c r="K8" i="53" s="1"/>
  <c r="I8" i="53"/>
  <c r="H8" i="53"/>
  <c r="AB7" i="53"/>
  <c r="J7" i="53" s="1"/>
  <c r="Z7" i="53"/>
  <c r="W7" i="53"/>
  <c r="V7" i="53"/>
  <c r="P7" i="53"/>
  <c r="O7" i="53"/>
  <c r="Q7" i="53" s="1"/>
  <c r="M7" i="53"/>
  <c r="H7" i="53"/>
  <c r="Z6" i="53"/>
  <c r="AB6" i="53" s="1"/>
  <c r="J6" i="53" s="1"/>
  <c r="W6" i="53"/>
  <c r="V6" i="53"/>
  <c r="P6" i="53"/>
  <c r="O6" i="53"/>
  <c r="Q6" i="53" s="1"/>
  <c r="M6" i="53"/>
  <c r="H6" i="53"/>
  <c r="AB5" i="53"/>
  <c r="J5" i="53" s="1"/>
  <c r="Z5" i="53"/>
  <c r="W5" i="53"/>
  <c r="V5" i="53"/>
  <c r="P5" i="53"/>
  <c r="O5" i="53"/>
  <c r="Q5" i="53" s="1"/>
  <c r="M5" i="53"/>
  <c r="H5" i="53"/>
  <c r="Z4" i="53"/>
  <c r="AB4" i="53" s="1"/>
  <c r="J4" i="53" s="1"/>
  <c r="K4" i="53" s="1"/>
  <c r="W4" i="53"/>
  <c r="V4" i="53"/>
  <c r="P4" i="53"/>
  <c r="O4" i="53"/>
  <c r="Q4" i="53" s="1"/>
  <c r="M4" i="53"/>
  <c r="H4" i="53"/>
  <c r="AE3" i="53"/>
  <c r="U3" i="53"/>
  <c r="O3" i="53"/>
  <c r="G3" i="53"/>
  <c r="F3" i="53"/>
  <c r="H3" i="53" s="1"/>
  <c r="D3" i="53"/>
  <c r="C3" i="53"/>
  <c r="B3" i="53"/>
  <c r="A2" i="53"/>
  <c r="A1" i="53"/>
  <c r="AB56" i="52"/>
  <c r="Z56" i="52"/>
  <c r="W56" i="52"/>
  <c r="V56" i="52"/>
  <c r="T56" i="52"/>
  <c r="S56" i="52"/>
  <c r="R56" i="52"/>
  <c r="Q56" i="52"/>
  <c r="P56" i="52"/>
  <c r="O56" i="52"/>
  <c r="M56" i="52"/>
  <c r="J56" i="52"/>
  <c r="K56" i="52" s="1"/>
  <c r="I56" i="52"/>
  <c r="H56" i="52"/>
  <c r="C56" i="52"/>
  <c r="AB55" i="52"/>
  <c r="J55" i="52" s="1"/>
  <c r="K55" i="52" s="1"/>
  <c r="Z55" i="52"/>
  <c r="W55" i="52"/>
  <c r="V55" i="52"/>
  <c r="P55" i="52"/>
  <c r="O55" i="52"/>
  <c r="M55" i="52"/>
  <c r="H55" i="52"/>
  <c r="C55" i="52"/>
  <c r="Z54" i="52"/>
  <c r="AB54" i="52" s="1"/>
  <c r="J54" i="52" s="1"/>
  <c r="W54" i="52"/>
  <c r="V54" i="52"/>
  <c r="T54" i="52"/>
  <c r="S54" i="52"/>
  <c r="R54" i="52"/>
  <c r="P54" i="52"/>
  <c r="O54" i="52"/>
  <c r="M54" i="52"/>
  <c r="H54" i="52"/>
  <c r="C54" i="52"/>
  <c r="Z53" i="52"/>
  <c r="AB53" i="52" s="1"/>
  <c r="J53" i="52" s="1"/>
  <c r="K53" i="52" s="1"/>
  <c r="W53" i="52"/>
  <c r="V53" i="52"/>
  <c r="T53" i="52"/>
  <c r="S53" i="52"/>
  <c r="R53" i="52"/>
  <c r="P53" i="52"/>
  <c r="O53" i="52"/>
  <c r="M53" i="52"/>
  <c r="I53" i="52"/>
  <c r="H53" i="52"/>
  <c r="C53" i="52"/>
  <c r="AB52" i="52"/>
  <c r="J52" i="52" s="1"/>
  <c r="K52" i="52" s="1"/>
  <c r="Z52" i="52"/>
  <c r="W52" i="52"/>
  <c r="V52" i="52"/>
  <c r="T52" i="52"/>
  <c r="S52" i="52"/>
  <c r="R52" i="52"/>
  <c r="P52" i="52"/>
  <c r="O52" i="52"/>
  <c r="M52" i="52"/>
  <c r="I52" i="52"/>
  <c r="H52" i="52"/>
  <c r="C52" i="52"/>
  <c r="AB51" i="52"/>
  <c r="J51" i="52" s="1"/>
  <c r="K51" i="52" s="1"/>
  <c r="Z51" i="52"/>
  <c r="W51" i="52"/>
  <c r="V51" i="52"/>
  <c r="T51" i="52"/>
  <c r="S51" i="52"/>
  <c r="R51" i="52"/>
  <c r="P51" i="52"/>
  <c r="O51" i="52"/>
  <c r="Q51" i="52" s="1"/>
  <c r="M51" i="52"/>
  <c r="H51" i="52"/>
  <c r="C51" i="52"/>
  <c r="AB50" i="52"/>
  <c r="J50" i="52" s="1"/>
  <c r="K50" i="52" s="1"/>
  <c r="Z50" i="52"/>
  <c r="W50" i="52"/>
  <c r="V50" i="52"/>
  <c r="T50" i="52"/>
  <c r="S50" i="52"/>
  <c r="R50" i="52"/>
  <c r="P50" i="52"/>
  <c r="O50" i="52"/>
  <c r="Q50" i="52" s="1"/>
  <c r="M50" i="52"/>
  <c r="H50" i="52"/>
  <c r="C50" i="52"/>
  <c r="AB49" i="52"/>
  <c r="J49" i="52" s="1"/>
  <c r="Z49" i="52"/>
  <c r="W49" i="52"/>
  <c r="V49" i="52"/>
  <c r="T49" i="52"/>
  <c r="S49" i="52"/>
  <c r="R49" i="52"/>
  <c r="P49" i="52"/>
  <c r="O49" i="52"/>
  <c r="Q49" i="52" s="1"/>
  <c r="M49" i="52"/>
  <c r="H49" i="52"/>
  <c r="C49" i="52"/>
  <c r="Z48" i="52"/>
  <c r="AB48" i="52" s="1"/>
  <c r="J48" i="52" s="1"/>
  <c r="W48" i="52"/>
  <c r="V48" i="52"/>
  <c r="T48" i="52"/>
  <c r="S48" i="52"/>
  <c r="R48" i="52"/>
  <c r="P48" i="52"/>
  <c r="O48" i="52"/>
  <c r="Q48" i="52" s="1"/>
  <c r="M48" i="52"/>
  <c r="H48" i="52"/>
  <c r="C48" i="52"/>
  <c r="Z47" i="52"/>
  <c r="AB47" i="52" s="1"/>
  <c r="J47" i="52" s="1"/>
  <c r="W47" i="52"/>
  <c r="V47" i="52"/>
  <c r="P47" i="52"/>
  <c r="Q47" i="52" s="1"/>
  <c r="O47" i="52"/>
  <c r="M47" i="52"/>
  <c r="H47" i="52"/>
  <c r="C47" i="52"/>
  <c r="AB46" i="52"/>
  <c r="J46" i="52" s="1"/>
  <c r="I46" i="52" s="1"/>
  <c r="Z46" i="52"/>
  <c r="W46" i="52"/>
  <c r="V46" i="52"/>
  <c r="Q46" i="52"/>
  <c r="P46" i="52"/>
  <c r="O46" i="52"/>
  <c r="M46" i="52"/>
  <c r="K46" i="52"/>
  <c r="H46" i="52"/>
  <c r="C46" i="52"/>
  <c r="AB45" i="52"/>
  <c r="J45" i="52" s="1"/>
  <c r="Z45" i="52"/>
  <c r="W45" i="52"/>
  <c r="V45" i="52"/>
  <c r="P45" i="52"/>
  <c r="O45" i="52"/>
  <c r="Q45" i="52" s="1"/>
  <c r="M45" i="52"/>
  <c r="H45" i="52"/>
  <c r="C45" i="52"/>
  <c r="Z44" i="52"/>
  <c r="AB44" i="52" s="1"/>
  <c r="W44" i="52"/>
  <c r="V44" i="52"/>
  <c r="P44" i="52"/>
  <c r="O44" i="52"/>
  <c r="Q44" i="52" s="1"/>
  <c r="M44" i="52"/>
  <c r="J44" i="52"/>
  <c r="H44" i="52"/>
  <c r="C44" i="52"/>
  <c r="Z43" i="52"/>
  <c r="AB43" i="52" s="1"/>
  <c r="W43" i="52"/>
  <c r="V43" i="52"/>
  <c r="P43" i="52"/>
  <c r="O43" i="52"/>
  <c r="Q43" i="52" s="1"/>
  <c r="M43" i="52"/>
  <c r="J43" i="52"/>
  <c r="H43" i="52"/>
  <c r="C43" i="52"/>
  <c r="AB42" i="52"/>
  <c r="J42" i="52" s="1"/>
  <c r="Z42" i="52"/>
  <c r="W42" i="52"/>
  <c r="V42" i="52"/>
  <c r="T42" i="52"/>
  <c r="S42" i="52"/>
  <c r="R42" i="52"/>
  <c r="P42" i="52"/>
  <c r="Q42" i="52" s="1"/>
  <c r="O42" i="52"/>
  <c r="M42" i="52"/>
  <c r="H42" i="52"/>
  <c r="C42" i="52"/>
  <c r="Z41" i="52"/>
  <c r="AB41" i="52" s="1"/>
  <c r="J41" i="52" s="1"/>
  <c r="W41" i="52"/>
  <c r="V41" i="52"/>
  <c r="Q41" i="52"/>
  <c r="P41" i="52"/>
  <c r="O41" i="52"/>
  <c r="M41" i="52"/>
  <c r="H41" i="52"/>
  <c r="C41" i="52"/>
  <c r="Z39" i="52"/>
  <c r="AB39" i="52" s="1"/>
  <c r="J39" i="52" s="1"/>
  <c r="W39" i="52"/>
  <c r="V39" i="52"/>
  <c r="Q39" i="52"/>
  <c r="P39" i="52"/>
  <c r="O39" i="52"/>
  <c r="M39" i="52"/>
  <c r="H39" i="52"/>
  <c r="C39" i="52"/>
  <c r="AB38" i="52"/>
  <c r="J38" i="52" s="1"/>
  <c r="K38" i="52" s="1"/>
  <c r="Z38" i="52"/>
  <c r="W38" i="52"/>
  <c r="V38" i="52"/>
  <c r="Q38" i="52"/>
  <c r="P38" i="52"/>
  <c r="O38" i="52"/>
  <c r="M38" i="52"/>
  <c r="I38" i="52"/>
  <c r="H38" i="52"/>
  <c r="C38" i="52"/>
  <c r="Z37" i="52"/>
  <c r="AB37" i="52" s="1"/>
  <c r="J37" i="52" s="1"/>
  <c r="K37" i="52" s="1"/>
  <c r="W37" i="52"/>
  <c r="V37" i="52"/>
  <c r="P37" i="52"/>
  <c r="Q37" i="52" s="1"/>
  <c r="O37" i="52"/>
  <c r="M37" i="52"/>
  <c r="I37" i="52"/>
  <c r="H37" i="52"/>
  <c r="C37" i="52"/>
  <c r="AB36" i="52"/>
  <c r="J36" i="52" s="1"/>
  <c r="I36" i="52" s="1"/>
  <c r="Z36" i="52"/>
  <c r="W36" i="52"/>
  <c r="V36" i="52"/>
  <c r="P36" i="52"/>
  <c r="Q36" i="52" s="1"/>
  <c r="O36" i="52"/>
  <c r="M36" i="52"/>
  <c r="K36" i="52"/>
  <c r="H36" i="52"/>
  <c r="C36" i="52"/>
  <c r="AB35" i="52"/>
  <c r="J35" i="52" s="1"/>
  <c r="I35" i="52" s="1"/>
  <c r="Z35" i="52"/>
  <c r="W35" i="52"/>
  <c r="V35" i="52"/>
  <c r="P35" i="52"/>
  <c r="O35" i="52"/>
  <c r="M35" i="52"/>
  <c r="H35" i="52"/>
  <c r="C35" i="52"/>
  <c r="Z34" i="52"/>
  <c r="AB34" i="52" s="1"/>
  <c r="J34" i="52" s="1"/>
  <c r="I34" i="52" s="1"/>
  <c r="W34" i="52"/>
  <c r="V34" i="52"/>
  <c r="P34" i="52"/>
  <c r="O34" i="52"/>
  <c r="Q34" i="52" s="1"/>
  <c r="M34" i="52"/>
  <c r="K34" i="52"/>
  <c r="H34" i="52"/>
  <c r="C34" i="52"/>
  <c r="Z33" i="52"/>
  <c r="AB33" i="52" s="1"/>
  <c r="J33" i="52" s="1"/>
  <c r="W33" i="52"/>
  <c r="V33" i="52"/>
  <c r="Q33" i="52"/>
  <c r="P33" i="52"/>
  <c r="O33" i="52"/>
  <c r="M33" i="52"/>
  <c r="H33" i="52"/>
  <c r="C33" i="52"/>
  <c r="Z32" i="52"/>
  <c r="AB32" i="52" s="1"/>
  <c r="J32" i="52" s="1"/>
  <c r="W32" i="52"/>
  <c r="V32" i="52"/>
  <c r="P32" i="52"/>
  <c r="O32" i="52"/>
  <c r="Q32" i="52" s="1"/>
  <c r="M32" i="52"/>
  <c r="H32" i="52"/>
  <c r="C32" i="52"/>
  <c r="Z31" i="52"/>
  <c r="AB31" i="52" s="1"/>
  <c r="W31" i="52"/>
  <c r="V31" i="52"/>
  <c r="Q31" i="52"/>
  <c r="P31" i="52"/>
  <c r="O31" i="52"/>
  <c r="M31" i="52"/>
  <c r="J31" i="52"/>
  <c r="H31" i="52"/>
  <c r="C31" i="52"/>
  <c r="AB30" i="52"/>
  <c r="J30" i="52" s="1"/>
  <c r="K30" i="52" s="1"/>
  <c r="Z30" i="52"/>
  <c r="W30" i="52"/>
  <c r="V30" i="52"/>
  <c r="Q30" i="52"/>
  <c r="P30" i="52"/>
  <c r="O30" i="52"/>
  <c r="M30" i="52"/>
  <c r="I30" i="52"/>
  <c r="H30" i="52"/>
  <c r="C30" i="52"/>
  <c r="Z29" i="52"/>
  <c r="AB29" i="52" s="1"/>
  <c r="J29" i="52" s="1"/>
  <c r="W29" i="52"/>
  <c r="V29" i="52"/>
  <c r="P29" i="52"/>
  <c r="Q29" i="52" s="1"/>
  <c r="O29" i="52"/>
  <c r="M29" i="52"/>
  <c r="K29" i="52"/>
  <c r="I29" i="52"/>
  <c r="H29" i="52"/>
  <c r="C29" i="52"/>
  <c r="AB28" i="52"/>
  <c r="J28" i="52" s="1"/>
  <c r="I28" i="52" s="1"/>
  <c r="Z28" i="52"/>
  <c r="W28" i="52"/>
  <c r="V28" i="52"/>
  <c r="P28" i="52"/>
  <c r="Q28" i="52" s="1"/>
  <c r="O28" i="52"/>
  <c r="M28" i="52"/>
  <c r="K28" i="52"/>
  <c r="H28" i="52"/>
  <c r="C28" i="52"/>
  <c r="AB27" i="52"/>
  <c r="J27" i="52" s="1"/>
  <c r="I27" i="52" s="1"/>
  <c r="Z27" i="52"/>
  <c r="W27" i="52"/>
  <c r="V27" i="52"/>
  <c r="P27" i="52"/>
  <c r="O27" i="52"/>
  <c r="M27" i="52"/>
  <c r="K27" i="52"/>
  <c r="H27" i="52"/>
  <c r="C27" i="52"/>
  <c r="AB26" i="52"/>
  <c r="Z26" i="52"/>
  <c r="W26" i="52"/>
  <c r="V26" i="52"/>
  <c r="P26" i="52"/>
  <c r="O26" i="52"/>
  <c r="Q26" i="52" s="1"/>
  <c r="M26" i="52"/>
  <c r="K26" i="52"/>
  <c r="J26" i="52"/>
  <c r="I26" i="52" s="1"/>
  <c r="H26" i="52"/>
  <c r="C26" i="52"/>
  <c r="Z25" i="52"/>
  <c r="AB25" i="52" s="1"/>
  <c r="J25" i="52" s="1"/>
  <c r="W25" i="52"/>
  <c r="V25" i="52"/>
  <c r="Q25" i="52"/>
  <c r="P25" i="52"/>
  <c r="O25" i="52"/>
  <c r="M25" i="52"/>
  <c r="H25" i="52"/>
  <c r="AB24" i="52"/>
  <c r="J24" i="52" s="1"/>
  <c r="Z24" i="52"/>
  <c r="W24" i="52"/>
  <c r="V24" i="52"/>
  <c r="P24" i="52"/>
  <c r="O24" i="52"/>
  <c r="Q24" i="52" s="1"/>
  <c r="M24" i="52"/>
  <c r="H24" i="52"/>
  <c r="Z23" i="52"/>
  <c r="AB23" i="52" s="1"/>
  <c r="W23" i="52"/>
  <c r="V23" i="52"/>
  <c r="P23" i="52"/>
  <c r="O23" i="52"/>
  <c r="Q23" i="52" s="1"/>
  <c r="M23" i="52"/>
  <c r="J23" i="52"/>
  <c r="H23" i="52"/>
  <c r="Z22" i="52"/>
  <c r="AB22" i="52" s="1"/>
  <c r="J22" i="52" s="1"/>
  <c r="W22" i="52"/>
  <c r="V22" i="52"/>
  <c r="P22" i="52"/>
  <c r="O22" i="52"/>
  <c r="M22" i="52"/>
  <c r="H22" i="52"/>
  <c r="Z21" i="52"/>
  <c r="AB21" i="52" s="1"/>
  <c r="J21" i="52" s="1"/>
  <c r="W21" i="52"/>
  <c r="V21" i="52"/>
  <c r="Q21" i="52"/>
  <c r="P21" i="52"/>
  <c r="O21" i="52"/>
  <c r="M21" i="52"/>
  <c r="H21" i="52"/>
  <c r="AB20" i="52"/>
  <c r="J20" i="52" s="1"/>
  <c r="Z20" i="52"/>
  <c r="W20" i="52"/>
  <c r="V20" i="52"/>
  <c r="P20" i="52"/>
  <c r="O20" i="52"/>
  <c r="Q20" i="52" s="1"/>
  <c r="M20" i="52"/>
  <c r="H20" i="52"/>
  <c r="Z19" i="52"/>
  <c r="AB19" i="52" s="1"/>
  <c r="W19" i="52"/>
  <c r="V19" i="52"/>
  <c r="P19" i="52"/>
  <c r="O19" i="52"/>
  <c r="Q19" i="52" s="1"/>
  <c r="M19" i="52"/>
  <c r="J19" i="52"/>
  <c r="H19" i="52"/>
  <c r="Z18" i="52"/>
  <c r="AB18" i="52" s="1"/>
  <c r="J18" i="52" s="1"/>
  <c r="W18" i="52"/>
  <c r="V18" i="52"/>
  <c r="P18" i="52"/>
  <c r="O18" i="52"/>
  <c r="M18" i="52"/>
  <c r="H18" i="52"/>
  <c r="Z17" i="52"/>
  <c r="AB17" i="52" s="1"/>
  <c r="J17" i="52" s="1"/>
  <c r="W17" i="52"/>
  <c r="V17" i="52"/>
  <c r="Q17" i="52"/>
  <c r="P17" i="52"/>
  <c r="O17" i="52"/>
  <c r="M17" i="52"/>
  <c r="H17" i="52"/>
  <c r="AB16" i="52"/>
  <c r="J16" i="52" s="1"/>
  <c r="Z16" i="52"/>
  <c r="W16" i="52"/>
  <c r="V16" i="52"/>
  <c r="P16" i="52"/>
  <c r="O16" i="52"/>
  <c r="Q16" i="52" s="1"/>
  <c r="M16" i="52"/>
  <c r="H16" i="52"/>
  <c r="Z15" i="52"/>
  <c r="AB15" i="52" s="1"/>
  <c r="W15" i="52"/>
  <c r="V15" i="52"/>
  <c r="P15" i="52"/>
  <c r="O15" i="52"/>
  <c r="Q15" i="52" s="1"/>
  <c r="M15" i="52"/>
  <c r="J15" i="52"/>
  <c r="H15" i="52"/>
  <c r="Z14" i="52"/>
  <c r="AB14" i="52" s="1"/>
  <c r="J14" i="52" s="1"/>
  <c r="W14" i="52"/>
  <c r="V14" i="52"/>
  <c r="P14" i="52"/>
  <c r="O14" i="52"/>
  <c r="M14" i="52"/>
  <c r="H14" i="52"/>
  <c r="Z13" i="52"/>
  <c r="AB13" i="52" s="1"/>
  <c r="J13" i="52" s="1"/>
  <c r="W13" i="52"/>
  <c r="V13" i="52"/>
  <c r="Q13" i="52"/>
  <c r="P13" i="52"/>
  <c r="O13" i="52"/>
  <c r="M13" i="52"/>
  <c r="H13" i="52"/>
  <c r="AB12" i="52"/>
  <c r="J12" i="52" s="1"/>
  <c r="Z12" i="52"/>
  <c r="W12" i="52"/>
  <c r="V12" i="52"/>
  <c r="P12" i="52"/>
  <c r="O12" i="52"/>
  <c r="Q12" i="52" s="1"/>
  <c r="M12" i="52"/>
  <c r="H12" i="52"/>
  <c r="Z11" i="52"/>
  <c r="AB11" i="52" s="1"/>
  <c r="W11" i="52"/>
  <c r="V11" i="52"/>
  <c r="P11" i="52"/>
  <c r="O11" i="52"/>
  <c r="Q11" i="52" s="1"/>
  <c r="M11" i="52"/>
  <c r="J11" i="52"/>
  <c r="H11" i="52"/>
  <c r="Z10" i="52"/>
  <c r="AB10" i="52" s="1"/>
  <c r="J10" i="52" s="1"/>
  <c r="W10" i="52"/>
  <c r="V10" i="52"/>
  <c r="P10" i="52"/>
  <c r="O10" i="52"/>
  <c r="M10" i="52"/>
  <c r="H10" i="52"/>
  <c r="Z9" i="52"/>
  <c r="AB9" i="52" s="1"/>
  <c r="J9" i="52" s="1"/>
  <c r="W9" i="52"/>
  <c r="V9" i="52"/>
  <c r="Q9" i="52"/>
  <c r="P9" i="52"/>
  <c r="O9" i="52"/>
  <c r="M9" i="52"/>
  <c r="H9" i="52"/>
  <c r="AB8" i="52"/>
  <c r="J8" i="52" s="1"/>
  <c r="Z8" i="52"/>
  <c r="W8" i="52"/>
  <c r="V8" i="52"/>
  <c r="P8" i="52"/>
  <c r="O8" i="52"/>
  <c r="Q8" i="52" s="1"/>
  <c r="M8" i="52"/>
  <c r="H8" i="52"/>
  <c r="Z7" i="52"/>
  <c r="AB7" i="52" s="1"/>
  <c r="W7" i="52"/>
  <c r="V7" i="52"/>
  <c r="P7" i="52"/>
  <c r="O7" i="52"/>
  <c r="Q7" i="52" s="1"/>
  <c r="M7" i="52"/>
  <c r="J7" i="52"/>
  <c r="H7" i="52"/>
  <c r="AB6" i="52"/>
  <c r="Z6" i="52"/>
  <c r="W6" i="52"/>
  <c r="V6" i="52"/>
  <c r="V3" i="52" s="1"/>
  <c r="P6" i="52"/>
  <c r="O6" i="52"/>
  <c r="Q6" i="52" s="1"/>
  <c r="M6" i="52"/>
  <c r="J6" i="52"/>
  <c r="K6" i="52" s="1"/>
  <c r="H6" i="52"/>
  <c r="AB5" i="52"/>
  <c r="J5" i="52" s="1"/>
  <c r="Z5" i="52"/>
  <c r="W5" i="52"/>
  <c r="V5" i="52"/>
  <c r="P5" i="52"/>
  <c r="Q5" i="52" s="1"/>
  <c r="O5" i="52"/>
  <c r="M5" i="52"/>
  <c r="K5" i="52"/>
  <c r="I5" i="52"/>
  <c r="H5" i="52"/>
  <c r="Z4" i="52"/>
  <c r="AB4" i="52" s="1"/>
  <c r="J4" i="52" s="1"/>
  <c r="W4" i="52"/>
  <c r="V4" i="52"/>
  <c r="P4" i="52"/>
  <c r="O4" i="52"/>
  <c r="Q4" i="52" s="1"/>
  <c r="M4" i="52"/>
  <c r="H4" i="52"/>
  <c r="AE3" i="52"/>
  <c r="U3" i="52"/>
  <c r="O3" i="52"/>
  <c r="H3" i="52"/>
  <c r="G3" i="52"/>
  <c r="F3" i="52"/>
  <c r="D3" i="52"/>
  <c r="C3" i="52"/>
  <c r="B3" i="52"/>
  <c r="A2" i="52"/>
  <c r="A1" i="52"/>
  <c r="AB56" i="51"/>
  <c r="J56" i="51" s="1"/>
  <c r="Z56" i="51"/>
  <c r="W56" i="51"/>
  <c r="V56" i="51"/>
  <c r="T56" i="51"/>
  <c r="S56" i="51"/>
  <c r="R56" i="51"/>
  <c r="P56" i="51"/>
  <c r="Q56" i="51" s="1"/>
  <c r="O56" i="51"/>
  <c r="M56" i="51"/>
  <c r="H56" i="51"/>
  <c r="C56" i="51"/>
  <c r="AB55" i="51"/>
  <c r="J55" i="51" s="1"/>
  <c r="K55" i="51" s="1"/>
  <c r="Z55" i="51"/>
  <c r="W55" i="51"/>
  <c r="V55" i="51"/>
  <c r="P55" i="51"/>
  <c r="Q55" i="51" s="1"/>
  <c r="O55" i="51"/>
  <c r="M55" i="51"/>
  <c r="I55" i="51"/>
  <c r="H55" i="51"/>
  <c r="C55" i="51"/>
  <c r="AB54" i="51"/>
  <c r="J54" i="51" s="1"/>
  <c r="Z54" i="51"/>
  <c r="W54" i="51"/>
  <c r="V54" i="51"/>
  <c r="T54" i="51"/>
  <c r="S54" i="51"/>
  <c r="R54" i="51"/>
  <c r="P54" i="51"/>
  <c r="Q54" i="51" s="1"/>
  <c r="O54" i="51"/>
  <c r="M54" i="51"/>
  <c r="K54" i="51"/>
  <c r="I54" i="51"/>
  <c r="H54" i="51"/>
  <c r="C54" i="51"/>
  <c r="AB53" i="51"/>
  <c r="J53" i="51" s="1"/>
  <c r="Z53" i="51"/>
  <c r="W53" i="51"/>
  <c r="V53" i="51"/>
  <c r="T53" i="51"/>
  <c r="S53" i="51"/>
  <c r="R53" i="51"/>
  <c r="P53" i="51"/>
  <c r="Q53" i="51" s="1"/>
  <c r="O53" i="51"/>
  <c r="M53" i="51"/>
  <c r="K53" i="51"/>
  <c r="I53" i="51"/>
  <c r="H53" i="51"/>
  <c r="C53" i="51"/>
  <c r="AB52" i="51"/>
  <c r="J52" i="51" s="1"/>
  <c r="K52" i="51" s="1"/>
  <c r="Z52" i="51"/>
  <c r="W52" i="51"/>
  <c r="V52" i="51"/>
  <c r="T52" i="51"/>
  <c r="S52" i="51"/>
  <c r="R52" i="51"/>
  <c r="P52" i="51"/>
  <c r="Q52" i="51" s="1"/>
  <c r="O52" i="51"/>
  <c r="M52" i="51"/>
  <c r="H52" i="51"/>
  <c r="C52" i="51"/>
  <c r="AB51" i="51"/>
  <c r="J51" i="51" s="1"/>
  <c r="Z51" i="51"/>
  <c r="W51" i="51"/>
  <c r="V51" i="51"/>
  <c r="T51" i="51"/>
  <c r="S51" i="51"/>
  <c r="R51" i="51"/>
  <c r="P51" i="51"/>
  <c r="Q51" i="51" s="1"/>
  <c r="O51" i="51"/>
  <c r="M51" i="51"/>
  <c r="H51" i="51"/>
  <c r="C51" i="51"/>
  <c r="AB50" i="51"/>
  <c r="J50" i="51" s="1"/>
  <c r="Z50" i="51"/>
  <c r="W50" i="51"/>
  <c r="V50" i="51"/>
  <c r="T50" i="51"/>
  <c r="S50" i="51"/>
  <c r="R50" i="51"/>
  <c r="P50" i="51"/>
  <c r="Q50" i="51" s="1"/>
  <c r="O50" i="51"/>
  <c r="M50" i="51"/>
  <c r="K50" i="51"/>
  <c r="I50" i="51"/>
  <c r="H50" i="51"/>
  <c r="C50" i="51"/>
  <c r="AB49" i="51"/>
  <c r="J49" i="51" s="1"/>
  <c r="K49" i="51" s="1"/>
  <c r="Z49" i="51"/>
  <c r="W49" i="51"/>
  <c r="V49" i="51"/>
  <c r="T49" i="51"/>
  <c r="S49" i="51"/>
  <c r="R49" i="51"/>
  <c r="P49" i="51"/>
  <c r="Q49" i="51" s="1"/>
  <c r="O49" i="51"/>
  <c r="M49" i="51"/>
  <c r="I49" i="51"/>
  <c r="H49" i="51"/>
  <c r="C49" i="51"/>
  <c r="AB48" i="51"/>
  <c r="J48" i="51" s="1"/>
  <c r="K48" i="51" s="1"/>
  <c r="Z48" i="51"/>
  <c r="W48" i="51"/>
  <c r="V48" i="51"/>
  <c r="T48" i="51"/>
  <c r="S48" i="51"/>
  <c r="R48" i="51"/>
  <c r="P48" i="51"/>
  <c r="Q48" i="51" s="1"/>
  <c r="O48" i="51"/>
  <c r="M48" i="51"/>
  <c r="H48" i="51"/>
  <c r="C48" i="51"/>
  <c r="AB47" i="51"/>
  <c r="J47" i="51" s="1"/>
  <c r="Z47" i="51"/>
  <c r="W47" i="51"/>
  <c r="V47" i="51"/>
  <c r="P47" i="51"/>
  <c r="O47" i="51"/>
  <c r="Q47" i="51" s="1"/>
  <c r="M47" i="51"/>
  <c r="H47" i="51"/>
  <c r="C47" i="51"/>
  <c r="AB46" i="51"/>
  <c r="J46" i="51" s="1"/>
  <c r="I46" i="51" s="1"/>
  <c r="Z46" i="51"/>
  <c r="W46" i="51"/>
  <c r="V46" i="51"/>
  <c r="P46" i="51"/>
  <c r="O46" i="51"/>
  <c r="Q46" i="51" s="1"/>
  <c r="M46" i="51"/>
  <c r="K46" i="51"/>
  <c r="H46" i="51"/>
  <c r="C46" i="51"/>
  <c r="Z45" i="51"/>
  <c r="AB45" i="51" s="1"/>
  <c r="J45" i="51" s="1"/>
  <c r="W45" i="51"/>
  <c r="V45" i="51"/>
  <c r="Q45" i="51"/>
  <c r="P45" i="51"/>
  <c r="O45" i="51"/>
  <c r="M45" i="51"/>
  <c r="H45" i="51"/>
  <c r="C45" i="51"/>
  <c r="Z44" i="51"/>
  <c r="AB44" i="51" s="1"/>
  <c r="J44" i="51" s="1"/>
  <c r="W44" i="51"/>
  <c r="V44" i="51"/>
  <c r="Q44" i="51"/>
  <c r="P44" i="51"/>
  <c r="O44" i="51"/>
  <c r="M44" i="51"/>
  <c r="H44" i="51"/>
  <c r="C44" i="51"/>
  <c r="Z43" i="51"/>
  <c r="AB43" i="51" s="1"/>
  <c r="W43" i="51"/>
  <c r="V43" i="51"/>
  <c r="Q43" i="51"/>
  <c r="P43" i="51"/>
  <c r="O43" i="51"/>
  <c r="M43" i="51"/>
  <c r="J43" i="51"/>
  <c r="H43" i="51"/>
  <c r="C43" i="51"/>
  <c r="Z42" i="51"/>
  <c r="AB42" i="51" s="1"/>
  <c r="J42" i="51" s="1"/>
  <c r="W42" i="51"/>
  <c r="V42" i="51"/>
  <c r="T42" i="51"/>
  <c r="S42" i="51"/>
  <c r="R42" i="51"/>
  <c r="Q42" i="51"/>
  <c r="P42" i="51"/>
  <c r="O42" i="51"/>
  <c r="M42" i="51"/>
  <c r="H42" i="51"/>
  <c r="C42" i="51"/>
  <c r="Z41" i="51"/>
  <c r="AB41" i="51" s="1"/>
  <c r="J41" i="51" s="1"/>
  <c r="K41" i="51" s="1"/>
  <c r="W41" i="51"/>
  <c r="V41" i="51"/>
  <c r="Q41" i="51"/>
  <c r="P41" i="51"/>
  <c r="O41" i="51"/>
  <c r="M41" i="51"/>
  <c r="H41" i="51"/>
  <c r="C41" i="51"/>
  <c r="AB39" i="51"/>
  <c r="J39" i="51" s="1"/>
  <c r="Z39" i="51"/>
  <c r="W39" i="51"/>
  <c r="V39" i="51"/>
  <c r="P39" i="51"/>
  <c r="Q39" i="51" s="1"/>
  <c r="O39" i="51"/>
  <c r="M39" i="51"/>
  <c r="H39" i="51"/>
  <c r="C39" i="51"/>
  <c r="AB38" i="51"/>
  <c r="J38" i="51" s="1"/>
  <c r="K38" i="51" s="1"/>
  <c r="Z38" i="51"/>
  <c r="W38" i="51"/>
  <c r="V38" i="51"/>
  <c r="P38" i="51"/>
  <c r="Q38" i="51" s="1"/>
  <c r="O38" i="51"/>
  <c r="M38" i="51"/>
  <c r="I38" i="51"/>
  <c r="H38" i="51"/>
  <c r="C38" i="51"/>
  <c r="AB37" i="51"/>
  <c r="J37" i="51" s="1"/>
  <c r="Z37" i="51"/>
  <c r="W37" i="51"/>
  <c r="V37" i="51"/>
  <c r="P37" i="51"/>
  <c r="O37" i="51"/>
  <c r="Q37" i="51" s="1"/>
  <c r="M37" i="51"/>
  <c r="H37" i="51"/>
  <c r="C37" i="51"/>
  <c r="AB36" i="51"/>
  <c r="J36" i="51" s="1"/>
  <c r="I36" i="51" s="1"/>
  <c r="Z36" i="51"/>
  <c r="W36" i="51"/>
  <c r="V36" i="51"/>
  <c r="P36" i="51"/>
  <c r="O36" i="51"/>
  <c r="Q36" i="51" s="1"/>
  <c r="M36" i="51"/>
  <c r="K36" i="51"/>
  <c r="H36" i="51"/>
  <c r="C36" i="51"/>
  <c r="Z35" i="51"/>
  <c r="AB35" i="51" s="1"/>
  <c r="J35" i="51" s="1"/>
  <c r="W35" i="51"/>
  <c r="V35" i="51"/>
  <c r="P35" i="51"/>
  <c r="O35" i="51"/>
  <c r="Q35" i="51" s="1"/>
  <c r="M35" i="51"/>
  <c r="H35" i="51"/>
  <c r="C35" i="51"/>
  <c r="Z34" i="51"/>
  <c r="AB34" i="51" s="1"/>
  <c r="J34" i="51" s="1"/>
  <c r="W34" i="51"/>
  <c r="V34" i="51"/>
  <c r="Q34" i="51"/>
  <c r="P34" i="51"/>
  <c r="O34" i="51"/>
  <c r="M34" i="51"/>
  <c r="H34" i="51"/>
  <c r="C34" i="51"/>
  <c r="Z33" i="51"/>
  <c r="AB33" i="51" s="1"/>
  <c r="J33" i="51" s="1"/>
  <c r="W33" i="51"/>
  <c r="V33" i="51"/>
  <c r="Q33" i="51"/>
  <c r="P33" i="51"/>
  <c r="O33" i="51"/>
  <c r="M33" i="51"/>
  <c r="H33" i="51"/>
  <c r="C33" i="51"/>
  <c r="Z32" i="51"/>
  <c r="AB32" i="51" s="1"/>
  <c r="J32" i="51" s="1"/>
  <c r="K32" i="51" s="1"/>
  <c r="W32" i="51"/>
  <c r="V32" i="51"/>
  <c r="Q32" i="51"/>
  <c r="P32" i="51"/>
  <c r="O32" i="51"/>
  <c r="M32" i="51"/>
  <c r="H32" i="51"/>
  <c r="C32" i="51"/>
  <c r="AB31" i="51"/>
  <c r="J31" i="51" s="1"/>
  <c r="Z31" i="51"/>
  <c r="W31" i="51"/>
  <c r="V31" i="51"/>
  <c r="P31" i="51"/>
  <c r="Q31" i="51" s="1"/>
  <c r="O31" i="51"/>
  <c r="M31" i="51"/>
  <c r="H31" i="51"/>
  <c r="C31" i="51"/>
  <c r="AB30" i="51"/>
  <c r="J30" i="51" s="1"/>
  <c r="K30" i="51" s="1"/>
  <c r="Z30" i="51"/>
  <c r="W30" i="51"/>
  <c r="W3" i="51" s="1"/>
  <c r="V30" i="51"/>
  <c r="P30" i="51"/>
  <c r="Q30" i="51" s="1"/>
  <c r="O30" i="51"/>
  <c r="M30" i="51"/>
  <c r="I30" i="51"/>
  <c r="H30" i="51"/>
  <c r="C30" i="51"/>
  <c r="AB29" i="51"/>
  <c r="J29" i="51" s="1"/>
  <c r="Z29" i="51"/>
  <c r="W29" i="51"/>
  <c r="V29" i="51"/>
  <c r="P29" i="51"/>
  <c r="O29" i="51"/>
  <c r="Q29" i="51" s="1"/>
  <c r="M29" i="51"/>
  <c r="H29" i="51"/>
  <c r="C29" i="51"/>
  <c r="AB28" i="51"/>
  <c r="J28" i="51" s="1"/>
  <c r="I28" i="51" s="1"/>
  <c r="Z28" i="51"/>
  <c r="W28" i="51"/>
  <c r="V28" i="51"/>
  <c r="P28" i="51"/>
  <c r="O28" i="51"/>
  <c r="Q28" i="51" s="1"/>
  <c r="M28" i="51"/>
  <c r="K28" i="51"/>
  <c r="H28" i="51"/>
  <c r="C28" i="51"/>
  <c r="Z27" i="51"/>
  <c r="AB27" i="51" s="1"/>
  <c r="J27" i="51" s="1"/>
  <c r="W27" i="51"/>
  <c r="V27" i="51"/>
  <c r="P27" i="51"/>
  <c r="O27" i="51"/>
  <c r="Q27" i="51" s="1"/>
  <c r="M27" i="51"/>
  <c r="H27" i="51"/>
  <c r="C27" i="51"/>
  <c r="Z26" i="51"/>
  <c r="AB26" i="51" s="1"/>
  <c r="J26" i="51" s="1"/>
  <c r="W26" i="51"/>
  <c r="V26" i="51"/>
  <c r="Q26" i="51"/>
  <c r="P26" i="51"/>
  <c r="O26" i="51"/>
  <c r="M26" i="51"/>
  <c r="H26" i="51"/>
  <c r="C26" i="51"/>
  <c r="Z25" i="51"/>
  <c r="AB25" i="51" s="1"/>
  <c r="J25" i="51" s="1"/>
  <c r="W25" i="51"/>
  <c r="V25" i="51"/>
  <c r="Q25" i="51"/>
  <c r="P25" i="51"/>
  <c r="O25" i="51"/>
  <c r="M25" i="51"/>
  <c r="H25" i="51"/>
  <c r="AB24" i="51"/>
  <c r="J24" i="51" s="1"/>
  <c r="Z24" i="51"/>
  <c r="W24" i="51"/>
  <c r="V24" i="51"/>
  <c r="P24" i="51"/>
  <c r="O24" i="51"/>
  <c r="Q24" i="51" s="1"/>
  <c r="M24" i="51"/>
  <c r="H24" i="51"/>
  <c r="Z23" i="51"/>
  <c r="AB23" i="51" s="1"/>
  <c r="W23" i="51"/>
  <c r="V23" i="51"/>
  <c r="Q23" i="51"/>
  <c r="P23" i="51"/>
  <c r="O23" i="51"/>
  <c r="M23" i="51"/>
  <c r="J23" i="51"/>
  <c r="H23" i="51"/>
  <c r="AB22" i="51"/>
  <c r="J22" i="51" s="1"/>
  <c r="Z22" i="51"/>
  <c r="W22" i="51"/>
  <c r="V22" i="51"/>
  <c r="P22" i="51"/>
  <c r="O22" i="51"/>
  <c r="M22" i="51"/>
  <c r="H22" i="51"/>
  <c r="Z21" i="51"/>
  <c r="AB21" i="51" s="1"/>
  <c r="J21" i="51" s="1"/>
  <c r="W21" i="51"/>
  <c r="V21" i="51"/>
  <c r="Q21" i="51"/>
  <c r="P21" i="51"/>
  <c r="O21" i="51"/>
  <c r="M21" i="51"/>
  <c r="H21" i="51"/>
  <c r="AB20" i="51"/>
  <c r="J20" i="51" s="1"/>
  <c r="Z20" i="51"/>
  <c r="W20" i="51"/>
  <c r="V20" i="51"/>
  <c r="P20" i="51"/>
  <c r="O20" i="51"/>
  <c r="Q20" i="51" s="1"/>
  <c r="M20" i="51"/>
  <c r="H20" i="51"/>
  <c r="Z19" i="51"/>
  <c r="AB19" i="51" s="1"/>
  <c r="J19" i="51" s="1"/>
  <c r="W19" i="51"/>
  <c r="V19" i="51"/>
  <c r="Q19" i="51"/>
  <c r="P19" i="51"/>
  <c r="O19" i="51"/>
  <c r="M19" i="51"/>
  <c r="H19" i="51"/>
  <c r="AB18" i="51"/>
  <c r="J18" i="51" s="1"/>
  <c r="Z18" i="51"/>
  <c r="W18" i="51"/>
  <c r="V18" i="51"/>
  <c r="P18" i="51"/>
  <c r="O18" i="51"/>
  <c r="M18" i="51"/>
  <c r="H18" i="51"/>
  <c r="Z17" i="51"/>
  <c r="AB17" i="51" s="1"/>
  <c r="W17" i="51"/>
  <c r="V17" i="51"/>
  <c r="Q17" i="51"/>
  <c r="P17" i="51"/>
  <c r="O17" i="51"/>
  <c r="M17" i="51"/>
  <c r="J17" i="51"/>
  <c r="H17" i="51"/>
  <c r="AB16" i="51"/>
  <c r="J16" i="51" s="1"/>
  <c r="Z16" i="51"/>
  <c r="W16" i="51"/>
  <c r="V16" i="51"/>
  <c r="P16" i="51"/>
  <c r="O16" i="51"/>
  <c r="Q16" i="51" s="1"/>
  <c r="M16" i="51"/>
  <c r="H16" i="51"/>
  <c r="Z15" i="51"/>
  <c r="AB15" i="51" s="1"/>
  <c r="J15" i="51" s="1"/>
  <c r="W15" i="51"/>
  <c r="V15" i="51"/>
  <c r="Q15" i="51"/>
  <c r="P15" i="51"/>
  <c r="O15" i="51"/>
  <c r="M15" i="51"/>
  <c r="H15" i="51"/>
  <c r="AB14" i="51"/>
  <c r="J14" i="51" s="1"/>
  <c r="Z14" i="51"/>
  <c r="W14" i="51"/>
  <c r="V14" i="51"/>
  <c r="P14" i="51"/>
  <c r="O14" i="51"/>
  <c r="Q14" i="51" s="1"/>
  <c r="M14" i="51"/>
  <c r="H14" i="51"/>
  <c r="Z13" i="51"/>
  <c r="AB13" i="51" s="1"/>
  <c r="J13" i="51" s="1"/>
  <c r="W13" i="51"/>
  <c r="V13" i="51"/>
  <c r="Q13" i="51"/>
  <c r="P13" i="51"/>
  <c r="O13" i="51"/>
  <c r="M13" i="51"/>
  <c r="H13" i="51"/>
  <c r="AB12" i="51"/>
  <c r="J12" i="51" s="1"/>
  <c r="Z12" i="51"/>
  <c r="W12" i="51"/>
  <c r="V12" i="51"/>
  <c r="P12" i="51"/>
  <c r="O12" i="51"/>
  <c r="M12" i="51"/>
  <c r="H12" i="51"/>
  <c r="Z11" i="51"/>
  <c r="AB11" i="51" s="1"/>
  <c r="W11" i="51"/>
  <c r="V11" i="51"/>
  <c r="Q11" i="51"/>
  <c r="P11" i="51"/>
  <c r="O11" i="51"/>
  <c r="M11" i="51"/>
  <c r="J11" i="51"/>
  <c r="H11" i="51"/>
  <c r="AB10" i="51"/>
  <c r="J10" i="51" s="1"/>
  <c r="Z10" i="51"/>
  <c r="W10" i="51"/>
  <c r="V10" i="51"/>
  <c r="P10" i="51"/>
  <c r="O10" i="51"/>
  <c r="Q10" i="51" s="1"/>
  <c r="M10" i="51"/>
  <c r="H10" i="51"/>
  <c r="Z9" i="51"/>
  <c r="AB9" i="51" s="1"/>
  <c r="J9" i="51" s="1"/>
  <c r="W9" i="51"/>
  <c r="V9" i="51"/>
  <c r="Q9" i="51"/>
  <c r="P9" i="51"/>
  <c r="O9" i="51"/>
  <c r="M9" i="51"/>
  <c r="H9" i="51"/>
  <c r="AB8" i="51"/>
  <c r="J8" i="51" s="1"/>
  <c r="Z8" i="51"/>
  <c r="W8" i="51"/>
  <c r="V8" i="51"/>
  <c r="P8" i="51"/>
  <c r="O8" i="51"/>
  <c r="Q8" i="51" s="1"/>
  <c r="M8" i="51"/>
  <c r="H8" i="51"/>
  <c r="Z7" i="51"/>
  <c r="AB7" i="51" s="1"/>
  <c r="W7" i="51"/>
  <c r="V7" i="51"/>
  <c r="Q7" i="51"/>
  <c r="P7" i="51"/>
  <c r="O7" i="51"/>
  <c r="M7" i="51"/>
  <c r="J7" i="51"/>
  <c r="H7" i="51"/>
  <c r="AB6" i="51"/>
  <c r="J6" i="51" s="1"/>
  <c r="Z6" i="51"/>
  <c r="W6" i="51"/>
  <c r="V6" i="51"/>
  <c r="P6" i="51"/>
  <c r="O6" i="51"/>
  <c r="M6" i="51"/>
  <c r="H6" i="51"/>
  <c r="Z5" i="51"/>
  <c r="AB5" i="51" s="1"/>
  <c r="J5" i="51" s="1"/>
  <c r="W5" i="51"/>
  <c r="V5" i="51"/>
  <c r="Q5" i="51"/>
  <c r="P5" i="51"/>
  <c r="O5" i="51"/>
  <c r="M5" i="51"/>
  <c r="H5" i="51"/>
  <c r="AB4" i="51"/>
  <c r="J4" i="51" s="1"/>
  <c r="Z4" i="51"/>
  <c r="W4" i="51"/>
  <c r="V4" i="51"/>
  <c r="P4" i="51"/>
  <c r="O4" i="51"/>
  <c r="Q4" i="51" s="1"/>
  <c r="M4" i="51"/>
  <c r="H4" i="51"/>
  <c r="AE3" i="51"/>
  <c r="U3" i="51"/>
  <c r="O3" i="51"/>
  <c r="G3" i="51"/>
  <c r="H3" i="51" s="1"/>
  <c r="F3" i="51"/>
  <c r="D3" i="51"/>
  <c r="C3" i="51"/>
  <c r="B3" i="51"/>
  <c r="A2" i="51"/>
  <c r="A1" i="51"/>
  <c r="Z56" i="50"/>
  <c r="AB56" i="50" s="1"/>
  <c r="J56" i="50" s="1"/>
  <c r="W56" i="50"/>
  <c r="V56" i="50"/>
  <c r="T56" i="50"/>
  <c r="S56" i="50"/>
  <c r="R56" i="50"/>
  <c r="Q56" i="50"/>
  <c r="P56" i="50"/>
  <c r="O56" i="50"/>
  <c r="M56" i="50"/>
  <c r="H56" i="50"/>
  <c r="C56" i="50"/>
  <c r="Z55" i="50"/>
  <c r="AB55" i="50" s="1"/>
  <c r="J55" i="50" s="1"/>
  <c r="W55" i="50"/>
  <c r="V55" i="50"/>
  <c r="Q55" i="50"/>
  <c r="P55" i="50"/>
  <c r="O55" i="50"/>
  <c r="M55" i="50"/>
  <c r="H55" i="50"/>
  <c r="C55" i="50"/>
  <c r="Z54" i="50"/>
  <c r="AB54" i="50" s="1"/>
  <c r="J54" i="50" s="1"/>
  <c r="W54" i="50"/>
  <c r="V54" i="50"/>
  <c r="T54" i="50"/>
  <c r="S54" i="50"/>
  <c r="R54" i="50"/>
  <c r="Q54" i="50"/>
  <c r="P54" i="50"/>
  <c r="O54" i="50"/>
  <c r="M54" i="50"/>
  <c r="H54" i="50"/>
  <c r="C54" i="50"/>
  <c r="Z53" i="50"/>
  <c r="AB53" i="50" s="1"/>
  <c r="J53" i="50" s="1"/>
  <c r="W53" i="50"/>
  <c r="V53" i="50"/>
  <c r="T53" i="50"/>
  <c r="S53" i="50"/>
  <c r="R53" i="50"/>
  <c r="Q53" i="50"/>
  <c r="P53" i="50"/>
  <c r="O53" i="50"/>
  <c r="M53" i="50"/>
  <c r="H53" i="50"/>
  <c r="C53" i="50"/>
  <c r="Z52" i="50"/>
  <c r="AB52" i="50" s="1"/>
  <c r="J52" i="50" s="1"/>
  <c r="W52" i="50"/>
  <c r="V52" i="50"/>
  <c r="T52" i="50"/>
  <c r="S52" i="50"/>
  <c r="R52" i="50"/>
  <c r="Q52" i="50"/>
  <c r="P52" i="50"/>
  <c r="O52" i="50"/>
  <c r="M52" i="50"/>
  <c r="H52" i="50"/>
  <c r="C52" i="50"/>
  <c r="Z51" i="50"/>
  <c r="AB51" i="50" s="1"/>
  <c r="W51" i="50"/>
  <c r="V51" i="50"/>
  <c r="T51" i="50"/>
  <c r="S51" i="50"/>
  <c r="R51" i="50"/>
  <c r="Q51" i="50"/>
  <c r="P51" i="50"/>
  <c r="O51" i="50"/>
  <c r="M51" i="50"/>
  <c r="J51" i="50"/>
  <c r="H51" i="50"/>
  <c r="C51" i="50"/>
  <c r="Z50" i="50"/>
  <c r="AB50" i="50" s="1"/>
  <c r="W50" i="50"/>
  <c r="V50" i="50"/>
  <c r="T50" i="50"/>
  <c r="S50" i="50"/>
  <c r="R50" i="50"/>
  <c r="Q50" i="50"/>
  <c r="P50" i="50"/>
  <c r="O50" i="50"/>
  <c r="M50" i="50"/>
  <c r="J50" i="50"/>
  <c r="H50" i="50"/>
  <c r="C50" i="50"/>
  <c r="Z49" i="50"/>
  <c r="AB49" i="50" s="1"/>
  <c r="J49" i="50" s="1"/>
  <c r="W49" i="50"/>
  <c r="V49" i="50"/>
  <c r="T49" i="50"/>
  <c r="S49" i="50"/>
  <c r="R49" i="50"/>
  <c r="Q49" i="50"/>
  <c r="P49" i="50"/>
  <c r="O49" i="50"/>
  <c r="M49" i="50"/>
  <c r="H49" i="50"/>
  <c r="C49" i="50"/>
  <c r="Z48" i="50"/>
  <c r="AB48" i="50" s="1"/>
  <c r="J48" i="50" s="1"/>
  <c r="W48" i="50"/>
  <c r="V48" i="50"/>
  <c r="T48" i="50"/>
  <c r="S48" i="50"/>
  <c r="R48" i="50"/>
  <c r="Q48" i="50"/>
  <c r="P48" i="50"/>
  <c r="O48" i="50"/>
  <c r="M48" i="50"/>
  <c r="H48" i="50"/>
  <c r="C48" i="50"/>
  <c r="Z47" i="50"/>
  <c r="AB47" i="50" s="1"/>
  <c r="J47" i="50" s="1"/>
  <c r="K47" i="50" s="1"/>
  <c r="W47" i="50"/>
  <c r="V47" i="50"/>
  <c r="P47" i="50"/>
  <c r="Q47" i="50" s="1"/>
  <c r="O47" i="50"/>
  <c r="M47" i="50"/>
  <c r="I47" i="50"/>
  <c r="H47" i="50"/>
  <c r="C47" i="50"/>
  <c r="AB46" i="50"/>
  <c r="J46" i="50" s="1"/>
  <c r="K46" i="50" s="1"/>
  <c r="Z46" i="50"/>
  <c r="W46" i="50"/>
  <c r="V46" i="50"/>
  <c r="P46" i="50"/>
  <c r="Q46" i="50" s="1"/>
  <c r="O46" i="50"/>
  <c r="M46" i="50"/>
  <c r="H46" i="50"/>
  <c r="C46" i="50"/>
  <c r="AB45" i="50"/>
  <c r="J45" i="50" s="1"/>
  <c r="K45" i="50" s="1"/>
  <c r="Z45" i="50"/>
  <c r="W45" i="50"/>
  <c r="V45" i="50"/>
  <c r="P45" i="50"/>
  <c r="Q45" i="50" s="1"/>
  <c r="O45" i="50"/>
  <c r="M45" i="50"/>
  <c r="I45" i="50"/>
  <c r="H45" i="50"/>
  <c r="C45" i="50"/>
  <c r="AB44" i="50"/>
  <c r="J44" i="50" s="1"/>
  <c r="I44" i="50" s="1"/>
  <c r="Z44" i="50"/>
  <c r="W44" i="50"/>
  <c r="V44" i="50"/>
  <c r="P44" i="50"/>
  <c r="O44" i="50"/>
  <c r="Q44" i="50" s="1"/>
  <c r="M44" i="50"/>
  <c r="K44" i="50"/>
  <c r="H44" i="50"/>
  <c r="C44" i="50"/>
  <c r="AB43" i="50"/>
  <c r="J43" i="50" s="1"/>
  <c r="Z43" i="50"/>
  <c r="W43" i="50"/>
  <c r="V43" i="50"/>
  <c r="P43" i="50"/>
  <c r="O43" i="50"/>
  <c r="Q43" i="50" s="1"/>
  <c r="M43" i="50"/>
  <c r="H43" i="50"/>
  <c r="C43" i="50"/>
  <c r="Z42" i="50"/>
  <c r="AB42" i="50" s="1"/>
  <c r="J42" i="50" s="1"/>
  <c r="W42" i="50"/>
  <c r="V42" i="50"/>
  <c r="T42" i="50"/>
  <c r="S42" i="50"/>
  <c r="R42" i="50"/>
  <c r="P42" i="50"/>
  <c r="O42" i="50"/>
  <c r="Q42" i="50" s="1"/>
  <c r="M42" i="50"/>
  <c r="H42" i="50"/>
  <c r="C42" i="50"/>
  <c r="Z41" i="50"/>
  <c r="AB41" i="50" s="1"/>
  <c r="J41" i="50" s="1"/>
  <c r="W41" i="50"/>
  <c r="V41" i="50"/>
  <c r="Q41" i="50"/>
  <c r="P41" i="50"/>
  <c r="O41" i="50"/>
  <c r="M41" i="50"/>
  <c r="H41" i="50"/>
  <c r="C41" i="50"/>
  <c r="Z39" i="50"/>
  <c r="AB39" i="50" s="1"/>
  <c r="J39" i="50" s="1"/>
  <c r="W39" i="50"/>
  <c r="V39" i="50"/>
  <c r="P39" i="50"/>
  <c r="O39" i="50"/>
  <c r="Q39" i="50" s="1"/>
  <c r="M39" i="50"/>
  <c r="H39" i="50"/>
  <c r="C39" i="50"/>
  <c r="Z38" i="50"/>
  <c r="AB38" i="50" s="1"/>
  <c r="W38" i="50"/>
  <c r="V38" i="50"/>
  <c r="Q38" i="50"/>
  <c r="P38" i="50"/>
  <c r="O38" i="50"/>
  <c r="M38" i="50"/>
  <c r="J38" i="50"/>
  <c r="K38" i="50" s="1"/>
  <c r="H38" i="50"/>
  <c r="C38" i="50"/>
  <c r="Z37" i="50"/>
  <c r="AB37" i="50" s="1"/>
  <c r="J37" i="50" s="1"/>
  <c r="K37" i="50" s="1"/>
  <c r="W37" i="50"/>
  <c r="V37" i="50"/>
  <c r="P37" i="50"/>
  <c r="Q37" i="50" s="1"/>
  <c r="O37" i="50"/>
  <c r="M37" i="50"/>
  <c r="H37" i="50"/>
  <c r="C37" i="50"/>
  <c r="AB36" i="50"/>
  <c r="J36" i="50" s="1"/>
  <c r="Z36" i="50"/>
  <c r="W36" i="50"/>
  <c r="V36" i="50"/>
  <c r="P36" i="50"/>
  <c r="Q36" i="50" s="1"/>
  <c r="O36" i="50"/>
  <c r="M36" i="50"/>
  <c r="K36" i="50"/>
  <c r="I36" i="50"/>
  <c r="H36" i="50"/>
  <c r="C36" i="50"/>
  <c r="AB35" i="50"/>
  <c r="J35" i="50" s="1"/>
  <c r="Z35" i="50"/>
  <c r="W35" i="50"/>
  <c r="V35" i="50"/>
  <c r="P35" i="50"/>
  <c r="O35" i="50"/>
  <c r="M35" i="50"/>
  <c r="K35" i="50"/>
  <c r="I35" i="50"/>
  <c r="H35" i="50"/>
  <c r="C35" i="50"/>
  <c r="AB34" i="50"/>
  <c r="J34" i="50" s="1"/>
  <c r="I34" i="50" s="1"/>
  <c r="Z34" i="50"/>
  <c r="W34" i="50"/>
  <c r="V34" i="50"/>
  <c r="P34" i="50"/>
  <c r="O34" i="50"/>
  <c r="M34" i="50"/>
  <c r="H34" i="50"/>
  <c r="C34" i="50"/>
  <c r="Z33" i="50"/>
  <c r="AB33" i="50" s="1"/>
  <c r="J33" i="50" s="1"/>
  <c r="I33" i="50" s="1"/>
  <c r="W33" i="50"/>
  <c r="V33" i="50"/>
  <c r="P33" i="50"/>
  <c r="O33" i="50"/>
  <c r="M33" i="50"/>
  <c r="K33" i="50"/>
  <c r="H33" i="50"/>
  <c r="C33" i="50"/>
  <c r="AB32" i="50"/>
  <c r="J32" i="50" s="1"/>
  <c r="Z32" i="50"/>
  <c r="W32" i="50"/>
  <c r="V32" i="50"/>
  <c r="Q32" i="50"/>
  <c r="P32" i="50"/>
  <c r="O32" i="50"/>
  <c r="M32" i="50"/>
  <c r="H32" i="50"/>
  <c r="C32" i="50"/>
  <c r="Z31" i="50"/>
  <c r="AB31" i="50" s="1"/>
  <c r="J31" i="50" s="1"/>
  <c r="W31" i="50"/>
  <c r="V31" i="50"/>
  <c r="Q31" i="50"/>
  <c r="P31" i="50"/>
  <c r="O31" i="50"/>
  <c r="M31" i="50"/>
  <c r="H31" i="50"/>
  <c r="C31" i="50"/>
  <c r="Z30" i="50"/>
  <c r="AB30" i="50" s="1"/>
  <c r="J30" i="50" s="1"/>
  <c r="W30" i="50"/>
  <c r="V30" i="50"/>
  <c r="P30" i="50"/>
  <c r="O30" i="50"/>
  <c r="Q30" i="50" s="1"/>
  <c r="M30" i="50"/>
  <c r="H30" i="50"/>
  <c r="C30" i="50"/>
  <c r="Z29" i="50"/>
  <c r="AB29" i="50" s="1"/>
  <c r="W29" i="50"/>
  <c r="V29" i="50"/>
  <c r="Q29" i="50"/>
  <c r="P29" i="50"/>
  <c r="O29" i="50"/>
  <c r="M29" i="50"/>
  <c r="J29" i="50"/>
  <c r="K29" i="50" s="1"/>
  <c r="H29" i="50"/>
  <c r="C29" i="50"/>
  <c r="AB28" i="50"/>
  <c r="J28" i="50" s="1"/>
  <c r="I28" i="50" s="1"/>
  <c r="Z28" i="50"/>
  <c r="W28" i="50"/>
  <c r="V28" i="50"/>
  <c r="Q28" i="50"/>
  <c r="P28" i="50"/>
  <c r="O28" i="50"/>
  <c r="M28" i="50"/>
  <c r="K28" i="50"/>
  <c r="H28" i="50"/>
  <c r="C28" i="50"/>
  <c r="AB27" i="50"/>
  <c r="J27" i="50" s="1"/>
  <c r="Z27" i="50"/>
  <c r="W27" i="50"/>
  <c r="V27" i="50"/>
  <c r="P27" i="50"/>
  <c r="O27" i="50"/>
  <c r="M27" i="50"/>
  <c r="K27" i="50"/>
  <c r="I27" i="50"/>
  <c r="H27" i="50"/>
  <c r="C27" i="50"/>
  <c r="AB26" i="50"/>
  <c r="J26" i="50" s="1"/>
  <c r="K26" i="50" s="1"/>
  <c r="Z26" i="50"/>
  <c r="W26" i="50"/>
  <c r="V26" i="50"/>
  <c r="P26" i="50"/>
  <c r="O26" i="50"/>
  <c r="M26" i="50"/>
  <c r="I26" i="50"/>
  <c r="H26" i="50"/>
  <c r="C26" i="50"/>
  <c r="Z25" i="50"/>
  <c r="AB25" i="50" s="1"/>
  <c r="J25" i="50" s="1"/>
  <c r="W25" i="50"/>
  <c r="V25" i="50"/>
  <c r="P25" i="50"/>
  <c r="O25" i="50"/>
  <c r="Q25" i="50" s="1"/>
  <c r="M25" i="50"/>
  <c r="H25" i="50"/>
  <c r="Z24" i="50"/>
  <c r="AB24" i="50" s="1"/>
  <c r="W24" i="50"/>
  <c r="V24" i="50"/>
  <c r="P24" i="50"/>
  <c r="Q24" i="50" s="1"/>
  <c r="O24" i="50"/>
  <c r="M24" i="50"/>
  <c r="J24" i="50"/>
  <c r="K24" i="50" s="1"/>
  <c r="H24" i="50"/>
  <c r="Z23" i="50"/>
  <c r="AB23" i="50" s="1"/>
  <c r="J23" i="50" s="1"/>
  <c r="W23" i="50"/>
  <c r="V23" i="50"/>
  <c r="P23" i="50"/>
  <c r="O23" i="50"/>
  <c r="Q23" i="50" s="1"/>
  <c r="M23" i="50"/>
  <c r="H23" i="50"/>
  <c r="Z22" i="50"/>
  <c r="AB22" i="50" s="1"/>
  <c r="J22" i="50" s="1"/>
  <c r="K22" i="50" s="1"/>
  <c r="W22" i="50"/>
  <c r="V22" i="50"/>
  <c r="Q22" i="50"/>
  <c r="P22" i="50"/>
  <c r="O22" i="50"/>
  <c r="M22" i="50"/>
  <c r="H22" i="50"/>
  <c r="Z21" i="50"/>
  <c r="AB21" i="50" s="1"/>
  <c r="J21" i="50" s="1"/>
  <c r="W21" i="50"/>
  <c r="V21" i="50"/>
  <c r="P21" i="50"/>
  <c r="O21" i="50"/>
  <c r="Q21" i="50" s="1"/>
  <c r="M21" i="50"/>
  <c r="H21" i="50"/>
  <c r="Z20" i="50"/>
  <c r="AB20" i="50" s="1"/>
  <c r="W20" i="50"/>
  <c r="V20" i="50"/>
  <c r="P20" i="50"/>
  <c r="Q20" i="50" s="1"/>
  <c r="O20" i="50"/>
  <c r="M20" i="50"/>
  <c r="J20" i="50"/>
  <c r="K20" i="50" s="1"/>
  <c r="H20" i="50"/>
  <c r="Z19" i="50"/>
  <c r="AB19" i="50" s="1"/>
  <c r="J19" i="50" s="1"/>
  <c r="W19" i="50"/>
  <c r="V19" i="50"/>
  <c r="P19" i="50"/>
  <c r="O19" i="50"/>
  <c r="Q19" i="50" s="1"/>
  <c r="M19" i="50"/>
  <c r="H19" i="50"/>
  <c r="Z18" i="50"/>
  <c r="AB18" i="50" s="1"/>
  <c r="J18" i="50" s="1"/>
  <c r="W18" i="50"/>
  <c r="V18" i="50"/>
  <c r="Q18" i="50"/>
  <c r="P18" i="50"/>
  <c r="O18" i="50"/>
  <c r="M18" i="50"/>
  <c r="H18" i="50"/>
  <c r="AB17" i="50"/>
  <c r="J17" i="50" s="1"/>
  <c r="Z17" i="50"/>
  <c r="W17" i="50"/>
  <c r="V17" i="50"/>
  <c r="P17" i="50"/>
  <c r="O17" i="50"/>
  <c r="Q17" i="50" s="1"/>
  <c r="M17" i="50"/>
  <c r="H17" i="50"/>
  <c r="AB16" i="50"/>
  <c r="J16" i="50" s="1"/>
  <c r="I16" i="50" s="1"/>
  <c r="Z16" i="50"/>
  <c r="W16" i="50"/>
  <c r="V16" i="50"/>
  <c r="Q16" i="50"/>
  <c r="P16" i="50"/>
  <c r="O16" i="50"/>
  <c r="M16" i="50"/>
  <c r="K16" i="50"/>
  <c r="H16" i="50"/>
  <c r="AB15" i="50"/>
  <c r="J15" i="50" s="1"/>
  <c r="Z15" i="50"/>
  <c r="W15" i="50"/>
  <c r="V15" i="50"/>
  <c r="Q15" i="50"/>
  <c r="P15" i="50"/>
  <c r="O15" i="50"/>
  <c r="M15" i="50"/>
  <c r="H15" i="50"/>
  <c r="Z14" i="50"/>
  <c r="AB14" i="50" s="1"/>
  <c r="W14" i="50"/>
  <c r="V14" i="50"/>
  <c r="Q14" i="50"/>
  <c r="P14" i="50"/>
  <c r="O14" i="50"/>
  <c r="M14" i="50"/>
  <c r="J14" i="50"/>
  <c r="H14" i="50"/>
  <c r="AB13" i="50"/>
  <c r="J13" i="50" s="1"/>
  <c r="Z13" i="50"/>
  <c r="W13" i="50"/>
  <c r="V13" i="50"/>
  <c r="P13" i="50"/>
  <c r="Q13" i="50" s="1"/>
  <c r="O13" i="50"/>
  <c r="M13" i="50"/>
  <c r="H13" i="50"/>
  <c r="Z12" i="50"/>
  <c r="AB12" i="50" s="1"/>
  <c r="J12" i="50" s="1"/>
  <c r="W12" i="50"/>
  <c r="V12" i="50"/>
  <c r="Q12" i="50"/>
  <c r="P12" i="50"/>
  <c r="O12" i="50"/>
  <c r="M12" i="50"/>
  <c r="H12" i="50"/>
  <c r="AB11" i="50"/>
  <c r="J11" i="50" s="1"/>
  <c r="Z11" i="50"/>
  <c r="W11" i="50"/>
  <c r="V11" i="50"/>
  <c r="P11" i="50"/>
  <c r="Q11" i="50" s="1"/>
  <c r="O11" i="50"/>
  <c r="M11" i="50"/>
  <c r="H11" i="50"/>
  <c r="Z10" i="50"/>
  <c r="AB10" i="50" s="1"/>
  <c r="W10" i="50"/>
  <c r="V10" i="50"/>
  <c r="Q10" i="50"/>
  <c r="P10" i="50"/>
  <c r="O10" i="50"/>
  <c r="M10" i="50"/>
  <c r="J10" i="50"/>
  <c r="H10" i="50"/>
  <c r="AB9" i="50"/>
  <c r="J9" i="50" s="1"/>
  <c r="Z9" i="50"/>
  <c r="W9" i="50"/>
  <c r="V9" i="50"/>
  <c r="P9" i="50"/>
  <c r="Q9" i="50" s="1"/>
  <c r="O9" i="50"/>
  <c r="M9" i="50"/>
  <c r="H9" i="50"/>
  <c r="Z8" i="50"/>
  <c r="AB8" i="50" s="1"/>
  <c r="J8" i="50" s="1"/>
  <c r="W8" i="50"/>
  <c r="V8" i="50"/>
  <c r="Q8" i="50"/>
  <c r="P8" i="50"/>
  <c r="O8" i="50"/>
  <c r="M8" i="50"/>
  <c r="H8" i="50"/>
  <c r="AB7" i="50"/>
  <c r="J7" i="50" s="1"/>
  <c r="Z7" i="50"/>
  <c r="W7" i="50"/>
  <c r="V7" i="50"/>
  <c r="P7" i="50"/>
  <c r="Q7" i="50" s="1"/>
  <c r="O7" i="50"/>
  <c r="M7" i="50"/>
  <c r="H7" i="50"/>
  <c r="Z6" i="50"/>
  <c r="AB6" i="50" s="1"/>
  <c r="W6" i="50"/>
  <c r="V6" i="50"/>
  <c r="Q6" i="50"/>
  <c r="P6" i="50"/>
  <c r="O6" i="50"/>
  <c r="M6" i="50"/>
  <c r="J6" i="50"/>
  <c r="H6" i="50"/>
  <c r="AB5" i="50"/>
  <c r="J5" i="50" s="1"/>
  <c r="Z5" i="50"/>
  <c r="W5" i="50"/>
  <c r="V5" i="50"/>
  <c r="P5" i="50"/>
  <c r="Q5" i="50" s="1"/>
  <c r="O5" i="50"/>
  <c r="M5" i="50"/>
  <c r="H5" i="50"/>
  <c r="Z4" i="50"/>
  <c r="AB4" i="50" s="1"/>
  <c r="J4" i="50" s="1"/>
  <c r="W4" i="50"/>
  <c r="V4" i="50"/>
  <c r="Q4" i="50"/>
  <c r="P4" i="50"/>
  <c r="O4" i="50"/>
  <c r="M4" i="50"/>
  <c r="H4" i="50"/>
  <c r="AE3" i="50"/>
  <c r="U3" i="50"/>
  <c r="O3" i="50"/>
  <c r="H3" i="50"/>
  <c r="G3" i="50"/>
  <c r="F3" i="50"/>
  <c r="D3" i="50"/>
  <c r="C3" i="50"/>
  <c r="B3" i="50"/>
  <c r="A2" i="50"/>
  <c r="A1" i="50"/>
  <c r="AB56" i="49"/>
  <c r="J56" i="49" s="1"/>
  <c r="K56" i="49" s="1"/>
  <c r="Z56" i="49"/>
  <c r="W56" i="49"/>
  <c r="V56" i="49"/>
  <c r="T56" i="49"/>
  <c r="S56" i="49"/>
  <c r="R56" i="49"/>
  <c r="P56" i="49"/>
  <c r="O56" i="49"/>
  <c r="Q56" i="49" s="1"/>
  <c r="M56" i="49"/>
  <c r="H56" i="49"/>
  <c r="C56" i="49"/>
  <c r="AB55" i="49"/>
  <c r="J55" i="49" s="1"/>
  <c r="Z55" i="49"/>
  <c r="W55" i="49"/>
  <c r="V55" i="49"/>
  <c r="P55" i="49"/>
  <c r="Q55" i="49" s="1"/>
  <c r="O55" i="49"/>
  <c r="M55" i="49"/>
  <c r="H55" i="49"/>
  <c r="C55" i="49"/>
  <c r="AB54" i="49"/>
  <c r="J54" i="49" s="1"/>
  <c r="Z54" i="49"/>
  <c r="W54" i="49"/>
  <c r="V54" i="49"/>
  <c r="T54" i="49"/>
  <c r="S54" i="49"/>
  <c r="R54" i="49"/>
  <c r="P54" i="49"/>
  <c r="Q54" i="49" s="1"/>
  <c r="O54" i="49"/>
  <c r="M54" i="49"/>
  <c r="H54" i="49"/>
  <c r="C54" i="49"/>
  <c r="AB53" i="49"/>
  <c r="J53" i="49" s="1"/>
  <c r="Z53" i="49"/>
  <c r="W53" i="49"/>
  <c r="V53" i="49"/>
  <c r="T53" i="49"/>
  <c r="S53" i="49"/>
  <c r="R53" i="49"/>
  <c r="P53" i="49"/>
  <c r="Q53" i="49" s="1"/>
  <c r="O53" i="49"/>
  <c r="M53" i="49"/>
  <c r="H53" i="49"/>
  <c r="C53" i="49"/>
  <c r="AB52" i="49"/>
  <c r="J52" i="49" s="1"/>
  <c r="Z52" i="49"/>
  <c r="W52" i="49"/>
  <c r="V52" i="49"/>
  <c r="T52" i="49"/>
  <c r="S52" i="49"/>
  <c r="R52" i="49"/>
  <c r="P52" i="49"/>
  <c r="Q52" i="49" s="1"/>
  <c r="O52" i="49"/>
  <c r="M52" i="49"/>
  <c r="H52" i="49"/>
  <c r="C52" i="49"/>
  <c r="AB51" i="49"/>
  <c r="J51" i="49" s="1"/>
  <c r="Z51" i="49"/>
  <c r="W51" i="49"/>
  <c r="V51" i="49"/>
  <c r="T51" i="49"/>
  <c r="S51" i="49"/>
  <c r="R51" i="49"/>
  <c r="P51" i="49"/>
  <c r="Q51" i="49" s="1"/>
  <c r="O51" i="49"/>
  <c r="M51" i="49"/>
  <c r="H51" i="49"/>
  <c r="C51" i="49"/>
  <c r="AB50" i="49"/>
  <c r="J50" i="49" s="1"/>
  <c r="Z50" i="49"/>
  <c r="W50" i="49"/>
  <c r="V50" i="49"/>
  <c r="T50" i="49"/>
  <c r="S50" i="49"/>
  <c r="R50" i="49"/>
  <c r="P50" i="49"/>
  <c r="Q50" i="49" s="1"/>
  <c r="O50" i="49"/>
  <c r="M50" i="49"/>
  <c r="H50" i="49"/>
  <c r="C50" i="49"/>
  <c r="AB49" i="49"/>
  <c r="J49" i="49" s="1"/>
  <c r="Z49" i="49"/>
  <c r="W49" i="49"/>
  <c r="V49" i="49"/>
  <c r="T49" i="49"/>
  <c r="S49" i="49"/>
  <c r="R49" i="49"/>
  <c r="P49" i="49"/>
  <c r="Q49" i="49" s="1"/>
  <c r="O49" i="49"/>
  <c r="M49" i="49"/>
  <c r="H49" i="49"/>
  <c r="C49" i="49"/>
  <c r="AB48" i="49"/>
  <c r="J48" i="49" s="1"/>
  <c r="Z48" i="49"/>
  <c r="W48" i="49"/>
  <c r="V48" i="49"/>
  <c r="T48" i="49"/>
  <c r="S48" i="49"/>
  <c r="R48" i="49"/>
  <c r="P48" i="49"/>
  <c r="Q48" i="49" s="1"/>
  <c r="O48" i="49"/>
  <c r="M48" i="49"/>
  <c r="H48" i="49"/>
  <c r="C48" i="49"/>
  <c r="AB47" i="49"/>
  <c r="J47" i="49" s="1"/>
  <c r="I47" i="49" s="1"/>
  <c r="Z47" i="49"/>
  <c r="W47" i="49"/>
  <c r="V47" i="49"/>
  <c r="Q47" i="49"/>
  <c r="P47" i="49"/>
  <c r="O47" i="49"/>
  <c r="M47" i="49"/>
  <c r="K47" i="49"/>
  <c r="H47" i="49"/>
  <c r="C47" i="49"/>
  <c r="AB46" i="49"/>
  <c r="J46" i="49" s="1"/>
  <c r="Z46" i="49"/>
  <c r="W46" i="49"/>
  <c r="V46" i="49"/>
  <c r="P46" i="49"/>
  <c r="O46" i="49"/>
  <c r="Q46" i="49" s="1"/>
  <c r="M46" i="49"/>
  <c r="H46" i="49"/>
  <c r="C46" i="49"/>
  <c r="Z45" i="49"/>
  <c r="AB45" i="49" s="1"/>
  <c r="J45" i="49" s="1"/>
  <c r="W45" i="49"/>
  <c r="V45" i="49"/>
  <c r="P45" i="49"/>
  <c r="O45" i="49"/>
  <c r="Q45" i="49" s="1"/>
  <c r="M45" i="49"/>
  <c r="H45" i="49"/>
  <c r="C45" i="49"/>
  <c r="Z44" i="49"/>
  <c r="AB44" i="49" s="1"/>
  <c r="W44" i="49"/>
  <c r="V44" i="49"/>
  <c r="Q44" i="49"/>
  <c r="P44" i="49"/>
  <c r="O44" i="49"/>
  <c r="M44" i="49"/>
  <c r="J44" i="49"/>
  <c r="H44" i="49"/>
  <c r="C44" i="49"/>
  <c r="AB43" i="49"/>
  <c r="J43" i="49" s="1"/>
  <c r="Z43" i="49"/>
  <c r="W43" i="49"/>
  <c r="V43" i="49"/>
  <c r="Q43" i="49"/>
  <c r="P43" i="49"/>
  <c r="O43" i="49"/>
  <c r="M43" i="49"/>
  <c r="H43" i="49"/>
  <c r="C43" i="49"/>
  <c r="Z42" i="49"/>
  <c r="AB42" i="49" s="1"/>
  <c r="J42" i="49" s="1"/>
  <c r="W42" i="49"/>
  <c r="V42" i="49"/>
  <c r="T42" i="49"/>
  <c r="S42" i="49"/>
  <c r="R42" i="49"/>
  <c r="Q42" i="49"/>
  <c r="P42" i="49"/>
  <c r="O42" i="49"/>
  <c r="M42" i="49"/>
  <c r="H42" i="49"/>
  <c r="C42" i="49"/>
  <c r="Z41" i="49"/>
  <c r="AB41" i="49" s="1"/>
  <c r="J41" i="49" s="1"/>
  <c r="W41" i="49"/>
  <c r="V41" i="49"/>
  <c r="P41" i="49"/>
  <c r="O41" i="49"/>
  <c r="Q41" i="49" s="1"/>
  <c r="M41" i="49"/>
  <c r="H41" i="49"/>
  <c r="C41" i="49"/>
  <c r="Z39" i="49"/>
  <c r="AB39" i="49" s="1"/>
  <c r="J39" i="49" s="1"/>
  <c r="K39" i="49" s="1"/>
  <c r="W39" i="49"/>
  <c r="V39" i="49"/>
  <c r="P39" i="49"/>
  <c r="O39" i="49"/>
  <c r="Q39" i="49" s="1"/>
  <c r="M39" i="49"/>
  <c r="I39" i="49"/>
  <c r="H39" i="49"/>
  <c r="C39" i="49"/>
  <c r="AB38" i="49"/>
  <c r="J38" i="49" s="1"/>
  <c r="Z38" i="49"/>
  <c r="W38" i="49"/>
  <c r="V38" i="49"/>
  <c r="P38" i="49"/>
  <c r="Q38" i="49" s="1"/>
  <c r="O38" i="49"/>
  <c r="M38" i="49"/>
  <c r="H38" i="49"/>
  <c r="C38" i="49"/>
  <c r="AB37" i="49"/>
  <c r="J37" i="49" s="1"/>
  <c r="I37" i="49" s="1"/>
  <c r="Z37" i="49"/>
  <c r="W37" i="49"/>
  <c r="V37" i="49"/>
  <c r="Q37" i="49"/>
  <c r="P37" i="49"/>
  <c r="O37" i="49"/>
  <c r="M37" i="49"/>
  <c r="K37" i="49"/>
  <c r="H37" i="49"/>
  <c r="C37" i="49"/>
  <c r="AB36" i="49"/>
  <c r="J36" i="49" s="1"/>
  <c r="Z36" i="49"/>
  <c r="W36" i="49"/>
  <c r="V36" i="49"/>
  <c r="P36" i="49"/>
  <c r="O36" i="49"/>
  <c r="Q36" i="49" s="1"/>
  <c r="M36" i="49"/>
  <c r="H36" i="49"/>
  <c r="C36" i="49"/>
  <c r="Z35" i="49"/>
  <c r="AB35" i="49" s="1"/>
  <c r="J35" i="49" s="1"/>
  <c r="W35" i="49"/>
  <c r="V35" i="49"/>
  <c r="P35" i="49"/>
  <c r="O35" i="49"/>
  <c r="Q35" i="49" s="1"/>
  <c r="M35" i="49"/>
  <c r="H35" i="49"/>
  <c r="C35" i="49"/>
  <c r="Z34" i="49"/>
  <c r="AB34" i="49" s="1"/>
  <c r="J34" i="49" s="1"/>
  <c r="W34" i="49"/>
  <c r="V34" i="49"/>
  <c r="Q34" i="49"/>
  <c r="P34" i="49"/>
  <c r="O34" i="49"/>
  <c r="M34" i="49"/>
  <c r="H34" i="49"/>
  <c r="C34" i="49"/>
  <c r="AB33" i="49"/>
  <c r="J33" i="49" s="1"/>
  <c r="Z33" i="49"/>
  <c r="W33" i="49"/>
  <c r="V33" i="49"/>
  <c r="Q33" i="49"/>
  <c r="P33" i="49"/>
  <c r="O33" i="49"/>
  <c r="M33" i="49"/>
  <c r="H33" i="49"/>
  <c r="C33" i="49"/>
  <c r="Z32" i="49"/>
  <c r="AB32" i="49" s="1"/>
  <c r="J32" i="49" s="1"/>
  <c r="W32" i="49"/>
  <c r="V32" i="49"/>
  <c r="P32" i="49"/>
  <c r="O32" i="49"/>
  <c r="Q32" i="49" s="1"/>
  <c r="M32" i="49"/>
  <c r="H32" i="49"/>
  <c r="C32" i="49"/>
  <c r="Z31" i="49"/>
  <c r="AB31" i="49" s="1"/>
  <c r="J31" i="49" s="1"/>
  <c r="K31" i="49" s="1"/>
  <c r="W31" i="49"/>
  <c r="V31" i="49"/>
  <c r="P31" i="49"/>
  <c r="O31" i="49"/>
  <c r="Q31" i="49" s="1"/>
  <c r="M31" i="49"/>
  <c r="I31" i="49"/>
  <c r="H31" i="49"/>
  <c r="C31" i="49"/>
  <c r="AB30" i="49"/>
  <c r="J30" i="49" s="1"/>
  <c r="Z30" i="49"/>
  <c r="W30" i="49"/>
  <c r="V30" i="49"/>
  <c r="P30" i="49"/>
  <c r="Q30" i="49" s="1"/>
  <c r="O30" i="49"/>
  <c r="M30" i="49"/>
  <c r="H30" i="49"/>
  <c r="C30" i="49"/>
  <c r="AB29" i="49"/>
  <c r="J29" i="49" s="1"/>
  <c r="I29" i="49" s="1"/>
  <c r="Z29" i="49"/>
  <c r="W29" i="49"/>
  <c r="V29" i="49"/>
  <c r="Q29" i="49"/>
  <c r="P29" i="49"/>
  <c r="O29" i="49"/>
  <c r="M29" i="49"/>
  <c r="K29" i="49"/>
  <c r="H29" i="49"/>
  <c r="C29" i="49"/>
  <c r="AB28" i="49"/>
  <c r="J28" i="49" s="1"/>
  <c r="Z28" i="49"/>
  <c r="W28" i="49"/>
  <c r="V28" i="49"/>
  <c r="P28" i="49"/>
  <c r="O28" i="49"/>
  <c r="Q28" i="49" s="1"/>
  <c r="M28" i="49"/>
  <c r="H28" i="49"/>
  <c r="C28" i="49"/>
  <c r="Z27" i="49"/>
  <c r="AB27" i="49" s="1"/>
  <c r="J27" i="49" s="1"/>
  <c r="W27" i="49"/>
  <c r="W3" i="49" s="1"/>
  <c r="V27" i="49"/>
  <c r="P27" i="49"/>
  <c r="O27" i="49"/>
  <c r="Q27" i="49" s="1"/>
  <c r="M27" i="49"/>
  <c r="H27" i="49"/>
  <c r="C27" i="49"/>
  <c r="P26" i="49"/>
  <c r="Q26" i="49" s="1"/>
  <c r="P25" i="49"/>
  <c r="Q25" i="49" s="1"/>
  <c r="Q24" i="49"/>
  <c r="P24" i="49"/>
  <c r="Q23" i="49"/>
  <c r="P23" i="49"/>
  <c r="P22" i="49"/>
  <c r="Q22" i="49" s="1"/>
  <c r="P21" i="49"/>
  <c r="Q21" i="49" s="1"/>
  <c r="Q20" i="49"/>
  <c r="P20" i="49"/>
  <c r="Q19" i="49"/>
  <c r="P19" i="49"/>
  <c r="P18" i="49"/>
  <c r="Q18" i="49" s="1"/>
  <c r="P17" i="49"/>
  <c r="Q17" i="49" s="1"/>
  <c r="Q16" i="49"/>
  <c r="P16" i="49"/>
  <c r="Q15" i="49"/>
  <c r="P15" i="49"/>
  <c r="P14" i="49"/>
  <c r="Q14" i="49" s="1"/>
  <c r="P13" i="49"/>
  <c r="Q13" i="49" s="1"/>
  <c r="Q12" i="49"/>
  <c r="P12" i="49"/>
  <c r="Q11" i="49"/>
  <c r="P11" i="49"/>
  <c r="P10" i="49"/>
  <c r="Q10" i="49" s="1"/>
  <c r="P9" i="49"/>
  <c r="Q9" i="49" s="1"/>
  <c r="Q8" i="49"/>
  <c r="P8" i="49"/>
  <c r="Q7" i="49"/>
  <c r="P7" i="49"/>
  <c r="P6" i="49"/>
  <c r="Q6" i="49" s="1"/>
  <c r="P5" i="49"/>
  <c r="Q5" i="49" s="1"/>
  <c r="Q4" i="49"/>
  <c r="P4" i="49"/>
  <c r="AE3" i="49"/>
  <c r="U3" i="49"/>
  <c r="O3" i="49"/>
  <c r="G3" i="49"/>
  <c r="F3" i="49"/>
  <c r="H3" i="49" s="1"/>
  <c r="D3" i="49"/>
  <c r="C3" i="49"/>
  <c r="B3" i="49"/>
  <c r="A2" i="49"/>
  <c r="A1" i="49"/>
  <c r="AB56" i="48"/>
  <c r="J56" i="48" s="1"/>
  <c r="I56" i="48" s="1"/>
  <c r="Z56" i="48"/>
  <c r="W56" i="48"/>
  <c r="V56" i="48"/>
  <c r="T56" i="48"/>
  <c r="S56" i="48"/>
  <c r="R56" i="48"/>
  <c r="Q56" i="48"/>
  <c r="P56" i="48"/>
  <c r="O56" i="48"/>
  <c r="M56" i="48"/>
  <c r="K56" i="48"/>
  <c r="H56" i="48"/>
  <c r="C56" i="48"/>
  <c r="AB55" i="48"/>
  <c r="J55" i="48" s="1"/>
  <c r="Z55" i="48"/>
  <c r="W55" i="48"/>
  <c r="V55" i="48"/>
  <c r="P55" i="48"/>
  <c r="O55" i="48"/>
  <c r="Q55" i="48" s="1"/>
  <c r="M55" i="48"/>
  <c r="H55" i="48"/>
  <c r="C55" i="48"/>
  <c r="Z54" i="48"/>
  <c r="AB54" i="48" s="1"/>
  <c r="J54" i="48" s="1"/>
  <c r="W54" i="48"/>
  <c r="V54" i="48"/>
  <c r="T54" i="48"/>
  <c r="S54" i="48"/>
  <c r="R54" i="48"/>
  <c r="P54" i="48"/>
  <c r="O54" i="48"/>
  <c r="Q54" i="48" s="1"/>
  <c r="M54" i="48"/>
  <c r="H54" i="48"/>
  <c r="C54" i="48"/>
  <c r="Z53" i="48"/>
  <c r="AB53" i="48" s="1"/>
  <c r="J53" i="48" s="1"/>
  <c r="W53" i="48"/>
  <c r="V53" i="48"/>
  <c r="T53" i="48"/>
  <c r="S53" i="48"/>
  <c r="R53" i="48"/>
  <c r="P53" i="48"/>
  <c r="O53" i="48"/>
  <c r="Q53" i="48" s="1"/>
  <c r="M53" i="48"/>
  <c r="H53" i="48"/>
  <c r="C53" i="48"/>
  <c r="Z52" i="48"/>
  <c r="AB52" i="48" s="1"/>
  <c r="J52" i="48" s="1"/>
  <c r="W52" i="48"/>
  <c r="V52" i="48"/>
  <c r="T52" i="48"/>
  <c r="S52" i="48"/>
  <c r="R52" i="48"/>
  <c r="P52" i="48"/>
  <c r="O52" i="48"/>
  <c r="Q52" i="48" s="1"/>
  <c r="M52" i="48"/>
  <c r="H52" i="48"/>
  <c r="C52" i="48"/>
  <c r="Z51" i="48"/>
  <c r="AB51" i="48" s="1"/>
  <c r="J51" i="48" s="1"/>
  <c r="W51" i="48"/>
  <c r="V51" i="48"/>
  <c r="T51" i="48"/>
  <c r="S51" i="48"/>
  <c r="R51" i="48"/>
  <c r="P51" i="48"/>
  <c r="O51" i="48"/>
  <c r="Q51" i="48" s="1"/>
  <c r="M51" i="48"/>
  <c r="H51" i="48"/>
  <c r="C51" i="48"/>
  <c r="Z50" i="48"/>
  <c r="AB50" i="48" s="1"/>
  <c r="J50" i="48" s="1"/>
  <c r="W50" i="48"/>
  <c r="V50" i="48"/>
  <c r="T50" i="48"/>
  <c r="S50" i="48"/>
  <c r="R50" i="48"/>
  <c r="P50" i="48"/>
  <c r="O50" i="48"/>
  <c r="Q50" i="48" s="1"/>
  <c r="M50" i="48"/>
  <c r="H50" i="48"/>
  <c r="C50" i="48"/>
  <c r="Z49" i="48"/>
  <c r="AB49" i="48" s="1"/>
  <c r="J49" i="48" s="1"/>
  <c r="W49" i="48"/>
  <c r="V49" i="48"/>
  <c r="T49" i="48"/>
  <c r="S49" i="48"/>
  <c r="R49" i="48"/>
  <c r="P49" i="48"/>
  <c r="O49" i="48"/>
  <c r="Q49" i="48" s="1"/>
  <c r="M49" i="48"/>
  <c r="H49" i="48"/>
  <c r="C49" i="48"/>
  <c r="Z48" i="48"/>
  <c r="AB48" i="48" s="1"/>
  <c r="J48" i="48" s="1"/>
  <c r="W48" i="48"/>
  <c r="V48" i="48"/>
  <c r="T48" i="48"/>
  <c r="S48" i="48"/>
  <c r="R48" i="48"/>
  <c r="P48" i="48"/>
  <c r="O48" i="48"/>
  <c r="Q48" i="48" s="1"/>
  <c r="M48" i="48"/>
  <c r="H48" i="48"/>
  <c r="C48" i="48"/>
  <c r="Z47" i="48"/>
  <c r="AB47" i="48" s="1"/>
  <c r="J47" i="48" s="1"/>
  <c r="W47" i="48"/>
  <c r="V47" i="48"/>
  <c r="P47" i="48"/>
  <c r="O47" i="48"/>
  <c r="Q47" i="48" s="1"/>
  <c r="M47" i="48"/>
  <c r="H47" i="48"/>
  <c r="C47" i="48"/>
  <c r="Z46" i="48"/>
  <c r="AB46" i="48" s="1"/>
  <c r="W46" i="48"/>
  <c r="V46" i="48"/>
  <c r="Q46" i="48"/>
  <c r="P46" i="48"/>
  <c r="O46" i="48"/>
  <c r="M46" i="48"/>
  <c r="J46" i="48"/>
  <c r="H46" i="48"/>
  <c r="C46" i="48"/>
  <c r="AB45" i="48"/>
  <c r="J45" i="48" s="1"/>
  <c r="Z45" i="48"/>
  <c r="W45" i="48"/>
  <c r="V45" i="48"/>
  <c r="Q45" i="48"/>
  <c r="P45" i="48"/>
  <c r="O45" i="48"/>
  <c r="M45" i="48"/>
  <c r="H45" i="48"/>
  <c r="C45" i="48"/>
  <c r="Z44" i="48"/>
  <c r="AB44" i="48" s="1"/>
  <c r="J44" i="48" s="1"/>
  <c r="W44" i="48"/>
  <c r="V44" i="48"/>
  <c r="P44" i="48"/>
  <c r="O44" i="48"/>
  <c r="Q44" i="48" s="1"/>
  <c r="M44" i="48"/>
  <c r="H44" i="48"/>
  <c r="C44" i="48"/>
  <c r="Z43" i="48"/>
  <c r="AB43" i="48" s="1"/>
  <c r="J43" i="48" s="1"/>
  <c r="K43" i="48" s="1"/>
  <c r="W43" i="48"/>
  <c r="V43" i="48"/>
  <c r="P43" i="48"/>
  <c r="O43" i="48"/>
  <c r="Q43" i="48" s="1"/>
  <c r="M43" i="48"/>
  <c r="H43" i="48"/>
  <c r="C43" i="48"/>
  <c r="AB42" i="48"/>
  <c r="J42" i="48" s="1"/>
  <c r="K42" i="48" s="1"/>
  <c r="Z42" i="48"/>
  <c r="W42" i="48"/>
  <c r="V42" i="48"/>
  <c r="T42" i="48"/>
  <c r="S42" i="48"/>
  <c r="R42" i="48"/>
  <c r="P42" i="48"/>
  <c r="O42" i="48"/>
  <c r="Q42" i="48" s="1"/>
  <c r="M42" i="48"/>
  <c r="I42" i="48"/>
  <c r="H42" i="48"/>
  <c r="C42" i="48"/>
  <c r="AB41" i="48"/>
  <c r="J41" i="48" s="1"/>
  <c r="Z41" i="48"/>
  <c r="W41" i="48"/>
  <c r="V41" i="48"/>
  <c r="P41" i="48"/>
  <c r="Q41" i="48" s="1"/>
  <c r="O41" i="48"/>
  <c r="M41" i="48"/>
  <c r="H41" i="48"/>
  <c r="C41" i="48"/>
  <c r="AB39" i="48"/>
  <c r="J39" i="48" s="1"/>
  <c r="I39" i="48" s="1"/>
  <c r="Z39" i="48"/>
  <c r="W39" i="48"/>
  <c r="V39" i="48"/>
  <c r="Q39" i="48"/>
  <c r="P39" i="48"/>
  <c r="O39" i="48"/>
  <c r="M39" i="48"/>
  <c r="K39" i="48"/>
  <c r="H39" i="48"/>
  <c r="C39" i="48"/>
  <c r="AB38" i="48"/>
  <c r="J38" i="48" s="1"/>
  <c r="Z38" i="48"/>
  <c r="W38" i="48"/>
  <c r="V38" i="48"/>
  <c r="P38" i="48"/>
  <c r="O38" i="48"/>
  <c r="Q38" i="48" s="1"/>
  <c r="M38" i="48"/>
  <c r="H38" i="48"/>
  <c r="C38" i="48"/>
  <c r="Z37" i="48"/>
  <c r="AB37" i="48" s="1"/>
  <c r="J37" i="48" s="1"/>
  <c r="W37" i="48"/>
  <c r="V37" i="48"/>
  <c r="P37" i="48"/>
  <c r="O37" i="48"/>
  <c r="Q37" i="48" s="1"/>
  <c r="M37" i="48"/>
  <c r="H37" i="48"/>
  <c r="C37" i="48"/>
  <c r="Z36" i="48"/>
  <c r="AB36" i="48" s="1"/>
  <c r="W36" i="48"/>
  <c r="V36" i="48"/>
  <c r="Q36" i="48"/>
  <c r="P36" i="48"/>
  <c r="O36" i="48"/>
  <c r="M36" i="48"/>
  <c r="J36" i="48"/>
  <c r="H36" i="48"/>
  <c r="C36" i="48"/>
  <c r="AB35" i="48"/>
  <c r="J35" i="48" s="1"/>
  <c r="Z35" i="48"/>
  <c r="W35" i="48"/>
  <c r="V35" i="48"/>
  <c r="Q35" i="48"/>
  <c r="P35" i="48"/>
  <c r="O35" i="48"/>
  <c r="M35" i="48"/>
  <c r="H35" i="48"/>
  <c r="C35" i="48"/>
  <c r="Z34" i="48"/>
  <c r="AB34" i="48" s="1"/>
  <c r="J34" i="48" s="1"/>
  <c r="W34" i="48"/>
  <c r="V34" i="48"/>
  <c r="P34" i="48"/>
  <c r="O34" i="48"/>
  <c r="Q34" i="48" s="1"/>
  <c r="M34" i="48"/>
  <c r="H34" i="48"/>
  <c r="C34" i="48"/>
  <c r="Z33" i="48"/>
  <c r="AB33" i="48" s="1"/>
  <c r="J33" i="48" s="1"/>
  <c r="K33" i="48" s="1"/>
  <c r="W33" i="48"/>
  <c r="W3" i="48" s="1"/>
  <c r="V33" i="48"/>
  <c r="P33" i="48"/>
  <c r="O33" i="48"/>
  <c r="Q33" i="48" s="1"/>
  <c r="M33" i="48"/>
  <c r="I33" i="48"/>
  <c r="H33" i="48"/>
  <c r="C33" i="48"/>
  <c r="AB32" i="48"/>
  <c r="J32" i="48" s="1"/>
  <c r="Z32" i="48"/>
  <c r="W32" i="48"/>
  <c r="V32" i="48"/>
  <c r="P32" i="48"/>
  <c r="Q32" i="48" s="1"/>
  <c r="O32" i="48"/>
  <c r="M32" i="48"/>
  <c r="H32" i="48"/>
  <c r="C32" i="48"/>
  <c r="AB31" i="48"/>
  <c r="J31" i="48" s="1"/>
  <c r="I31" i="48" s="1"/>
  <c r="Z31" i="48"/>
  <c r="W31" i="48"/>
  <c r="V31" i="48"/>
  <c r="Q31" i="48"/>
  <c r="P31" i="48"/>
  <c r="O31" i="48"/>
  <c r="M31" i="48"/>
  <c r="K31" i="48"/>
  <c r="H31" i="48"/>
  <c r="C31" i="48"/>
  <c r="AB30" i="48"/>
  <c r="J30" i="48" s="1"/>
  <c r="Z30" i="48"/>
  <c r="W30" i="48"/>
  <c r="V30" i="48"/>
  <c r="P30" i="48"/>
  <c r="O30" i="48"/>
  <c r="Q30" i="48" s="1"/>
  <c r="M30" i="48"/>
  <c r="H30" i="48"/>
  <c r="C30" i="48"/>
  <c r="Z29" i="48"/>
  <c r="AB29" i="48" s="1"/>
  <c r="J29" i="48" s="1"/>
  <c r="W29" i="48"/>
  <c r="V29" i="48"/>
  <c r="P29" i="48"/>
  <c r="O29" i="48"/>
  <c r="Q29" i="48" s="1"/>
  <c r="M29" i="48"/>
  <c r="H29" i="48"/>
  <c r="C29" i="48"/>
  <c r="Z28" i="48"/>
  <c r="AB28" i="48" s="1"/>
  <c r="J28" i="48" s="1"/>
  <c r="W28" i="48"/>
  <c r="V28" i="48"/>
  <c r="Q28" i="48"/>
  <c r="P28" i="48"/>
  <c r="O28" i="48"/>
  <c r="M28" i="48"/>
  <c r="H28" i="48"/>
  <c r="C28" i="48"/>
  <c r="Q26" i="48"/>
  <c r="P26" i="48"/>
  <c r="P25" i="48"/>
  <c r="Q25" i="48" s="1"/>
  <c r="Q24" i="48"/>
  <c r="P24" i="48"/>
  <c r="P23" i="48"/>
  <c r="Q23" i="48" s="1"/>
  <c r="Q22" i="48"/>
  <c r="P22" i="48"/>
  <c r="P21" i="48"/>
  <c r="Q21" i="48" s="1"/>
  <c r="Q20" i="48"/>
  <c r="P20" i="48"/>
  <c r="P19" i="48"/>
  <c r="Q19" i="48" s="1"/>
  <c r="Q18" i="48"/>
  <c r="P18" i="48"/>
  <c r="P17" i="48"/>
  <c r="Q17" i="48" s="1"/>
  <c r="Q16" i="48"/>
  <c r="P16" i="48"/>
  <c r="P15" i="48"/>
  <c r="Q15" i="48" s="1"/>
  <c r="Q14" i="48"/>
  <c r="P14" i="48"/>
  <c r="P13" i="48"/>
  <c r="Q13" i="48" s="1"/>
  <c r="Q12" i="48"/>
  <c r="P12" i="48"/>
  <c r="P11" i="48"/>
  <c r="Q11" i="48" s="1"/>
  <c r="Q10" i="48"/>
  <c r="P10" i="48"/>
  <c r="P9" i="48"/>
  <c r="Q9" i="48" s="1"/>
  <c r="Q8" i="48"/>
  <c r="P8" i="48"/>
  <c r="P7" i="48"/>
  <c r="Q7" i="48" s="1"/>
  <c r="Q6" i="48"/>
  <c r="P6" i="48"/>
  <c r="P5" i="48"/>
  <c r="Q5" i="48" s="1"/>
  <c r="Q4" i="48"/>
  <c r="P4" i="48"/>
  <c r="AE3" i="48"/>
  <c r="U3" i="48"/>
  <c r="O3" i="48"/>
  <c r="G3" i="48"/>
  <c r="H3" i="48" s="1"/>
  <c r="F3" i="48"/>
  <c r="D3" i="48"/>
  <c r="C3" i="48"/>
  <c r="B3" i="48"/>
  <c r="A2" i="48"/>
  <c r="A1" i="48"/>
  <c r="Z56" i="47"/>
  <c r="AB56" i="47" s="1"/>
  <c r="J56" i="47" s="1"/>
  <c r="W56" i="47"/>
  <c r="V56" i="47"/>
  <c r="T56" i="47"/>
  <c r="S56" i="47"/>
  <c r="R56" i="47"/>
  <c r="P56" i="47"/>
  <c r="O56" i="47"/>
  <c r="Q56" i="47" s="1"/>
  <c r="M56" i="47"/>
  <c r="H56" i="47"/>
  <c r="C56" i="47"/>
  <c r="Z55" i="47"/>
  <c r="AB55" i="47" s="1"/>
  <c r="J55" i="47" s="1"/>
  <c r="W55" i="47"/>
  <c r="V55" i="47"/>
  <c r="P55" i="47"/>
  <c r="O55" i="47"/>
  <c r="Q55" i="47" s="1"/>
  <c r="M55" i="47"/>
  <c r="H55" i="47"/>
  <c r="C55" i="47"/>
  <c r="Z54" i="47"/>
  <c r="AB54" i="47" s="1"/>
  <c r="J54" i="47" s="1"/>
  <c r="W54" i="47"/>
  <c r="V54" i="47"/>
  <c r="T54" i="47"/>
  <c r="S54" i="47"/>
  <c r="R54" i="47"/>
  <c r="P54" i="47"/>
  <c r="O54" i="47"/>
  <c r="Q54" i="47" s="1"/>
  <c r="M54" i="47"/>
  <c r="H54" i="47"/>
  <c r="C54" i="47"/>
  <c r="Z53" i="47"/>
  <c r="AB53" i="47" s="1"/>
  <c r="J53" i="47" s="1"/>
  <c r="W53" i="47"/>
  <c r="V53" i="47"/>
  <c r="T53" i="47"/>
  <c r="S53" i="47"/>
  <c r="R53" i="47"/>
  <c r="P53" i="47"/>
  <c r="O53" i="47"/>
  <c r="Q53" i="47" s="1"/>
  <c r="M53" i="47"/>
  <c r="H53" i="47"/>
  <c r="C53" i="47"/>
  <c r="Z52" i="47"/>
  <c r="AB52" i="47" s="1"/>
  <c r="J52" i="47" s="1"/>
  <c r="W52" i="47"/>
  <c r="V52" i="47"/>
  <c r="T52" i="47"/>
  <c r="S52" i="47"/>
  <c r="R52" i="47"/>
  <c r="P52" i="47"/>
  <c r="O52" i="47"/>
  <c r="Q52" i="47" s="1"/>
  <c r="M52" i="47"/>
  <c r="H52" i="47"/>
  <c r="C52" i="47"/>
  <c r="Z51" i="47"/>
  <c r="AB51" i="47" s="1"/>
  <c r="J51" i="47" s="1"/>
  <c r="W51" i="47"/>
  <c r="V51" i="47"/>
  <c r="T51" i="47"/>
  <c r="S51" i="47"/>
  <c r="R51" i="47"/>
  <c r="P51" i="47"/>
  <c r="O51" i="47"/>
  <c r="Q51" i="47" s="1"/>
  <c r="M51" i="47"/>
  <c r="H51" i="47"/>
  <c r="C51" i="47"/>
  <c r="Z50" i="47"/>
  <c r="AB50" i="47" s="1"/>
  <c r="J50" i="47" s="1"/>
  <c r="W50" i="47"/>
  <c r="V50" i="47"/>
  <c r="T50" i="47"/>
  <c r="S50" i="47"/>
  <c r="R50" i="47"/>
  <c r="P50" i="47"/>
  <c r="O50" i="47"/>
  <c r="Q50" i="47" s="1"/>
  <c r="M50" i="47"/>
  <c r="H50" i="47"/>
  <c r="C50" i="47"/>
  <c r="Z49" i="47"/>
  <c r="AB49" i="47" s="1"/>
  <c r="J49" i="47" s="1"/>
  <c r="W49" i="47"/>
  <c r="V49" i="47"/>
  <c r="T49" i="47"/>
  <c r="S49" i="47"/>
  <c r="R49" i="47"/>
  <c r="P49" i="47"/>
  <c r="O49" i="47"/>
  <c r="Q49" i="47" s="1"/>
  <c r="M49" i="47"/>
  <c r="H49" i="47"/>
  <c r="C49" i="47"/>
  <c r="Z48" i="47"/>
  <c r="AB48" i="47" s="1"/>
  <c r="J48" i="47" s="1"/>
  <c r="W48" i="47"/>
  <c r="V48" i="47"/>
  <c r="T48" i="47"/>
  <c r="S48" i="47"/>
  <c r="R48" i="47"/>
  <c r="P48" i="47"/>
  <c r="O48" i="47"/>
  <c r="Q48" i="47" s="1"/>
  <c r="M48" i="47"/>
  <c r="H48" i="47"/>
  <c r="C48" i="47"/>
  <c r="Z47" i="47"/>
  <c r="AB47" i="47" s="1"/>
  <c r="J47" i="47" s="1"/>
  <c r="W47" i="47"/>
  <c r="V47" i="47"/>
  <c r="Q47" i="47"/>
  <c r="P47" i="47"/>
  <c r="O47" i="47"/>
  <c r="M47" i="47"/>
  <c r="H47" i="47"/>
  <c r="C47" i="47"/>
  <c r="AB46" i="47"/>
  <c r="J46" i="47" s="1"/>
  <c r="Z46" i="47"/>
  <c r="W46" i="47"/>
  <c r="V46" i="47"/>
  <c r="Q46" i="47"/>
  <c r="P46" i="47"/>
  <c r="O46" i="47"/>
  <c r="M46" i="47"/>
  <c r="H46" i="47"/>
  <c r="C46" i="47"/>
  <c r="Z45" i="47"/>
  <c r="AB45" i="47" s="1"/>
  <c r="J45" i="47" s="1"/>
  <c r="W45" i="47"/>
  <c r="V45" i="47"/>
  <c r="P45" i="47"/>
  <c r="O45" i="47"/>
  <c r="Q45" i="47" s="1"/>
  <c r="M45" i="47"/>
  <c r="H45" i="47"/>
  <c r="C45" i="47"/>
  <c r="Z44" i="47"/>
  <c r="AB44" i="47" s="1"/>
  <c r="J44" i="47" s="1"/>
  <c r="K44" i="47" s="1"/>
  <c r="W44" i="47"/>
  <c r="V44" i="47"/>
  <c r="P44" i="47"/>
  <c r="O44" i="47"/>
  <c r="Q44" i="47" s="1"/>
  <c r="M44" i="47"/>
  <c r="I44" i="47"/>
  <c r="H44" i="47"/>
  <c r="C44" i="47"/>
  <c r="AB43" i="47"/>
  <c r="J43" i="47" s="1"/>
  <c r="Z43" i="47"/>
  <c r="W43" i="47"/>
  <c r="V43" i="47"/>
  <c r="P43" i="47"/>
  <c r="Q43" i="47" s="1"/>
  <c r="O43" i="47"/>
  <c r="M43" i="47"/>
  <c r="H43" i="47"/>
  <c r="C43" i="47"/>
  <c r="AB42" i="47"/>
  <c r="J42" i="47" s="1"/>
  <c r="Z42" i="47"/>
  <c r="W42" i="47"/>
  <c r="V42" i="47"/>
  <c r="T42" i="47"/>
  <c r="S42" i="47"/>
  <c r="R42" i="47"/>
  <c r="P42" i="47"/>
  <c r="Q42" i="47" s="1"/>
  <c r="O42" i="47"/>
  <c r="M42" i="47"/>
  <c r="H42" i="47"/>
  <c r="C42" i="47"/>
  <c r="AB41" i="47"/>
  <c r="J41" i="47" s="1"/>
  <c r="I41" i="47" s="1"/>
  <c r="Z41" i="47"/>
  <c r="W41" i="47"/>
  <c r="V41" i="47"/>
  <c r="Q41" i="47"/>
  <c r="P41" i="47"/>
  <c r="O41" i="47"/>
  <c r="M41" i="47"/>
  <c r="K41" i="47"/>
  <c r="H41" i="47"/>
  <c r="C41" i="47"/>
  <c r="AB39" i="47"/>
  <c r="J39" i="47" s="1"/>
  <c r="Z39" i="47"/>
  <c r="W39" i="47"/>
  <c r="V39" i="47"/>
  <c r="P39" i="47"/>
  <c r="O39" i="47"/>
  <c r="Q39" i="47" s="1"/>
  <c r="M39" i="47"/>
  <c r="H39" i="47"/>
  <c r="C39" i="47"/>
  <c r="Z38" i="47"/>
  <c r="AB38" i="47" s="1"/>
  <c r="J38" i="47" s="1"/>
  <c r="W38" i="47"/>
  <c r="V38" i="47"/>
  <c r="P38" i="47"/>
  <c r="O38" i="47"/>
  <c r="Q38" i="47" s="1"/>
  <c r="M38" i="47"/>
  <c r="H38" i="47"/>
  <c r="C38" i="47"/>
  <c r="Z37" i="47"/>
  <c r="AB37" i="47" s="1"/>
  <c r="W37" i="47"/>
  <c r="V37" i="47"/>
  <c r="Q37" i="47"/>
  <c r="P37" i="47"/>
  <c r="O37" i="47"/>
  <c r="M37" i="47"/>
  <c r="J37" i="47"/>
  <c r="H37" i="47"/>
  <c r="C37" i="47"/>
  <c r="AB36" i="47"/>
  <c r="J36" i="47" s="1"/>
  <c r="Z36" i="47"/>
  <c r="W36" i="47"/>
  <c r="V36" i="47"/>
  <c r="Q36" i="47"/>
  <c r="P36" i="47"/>
  <c r="O36" i="47"/>
  <c r="M36" i="47"/>
  <c r="H36" i="47"/>
  <c r="C36" i="47"/>
  <c r="Z35" i="47"/>
  <c r="AB35" i="47" s="1"/>
  <c r="J35" i="47" s="1"/>
  <c r="W35" i="47"/>
  <c r="V35" i="47"/>
  <c r="P35" i="47"/>
  <c r="O35" i="47"/>
  <c r="Q35" i="47" s="1"/>
  <c r="M35" i="47"/>
  <c r="H35" i="47"/>
  <c r="C35" i="47"/>
  <c r="Z34" i="47"/>
  <c r="AB34" i="47" s="1"/>
  <c r="J34" i="47" s="1"/>
  <c r="K34" i="47" s="1"/>
  <c r="W34" i="47"/>
  <c r="V34" i="47"/>
  <c r="P34" i="47"/>
  <c r="O34" i="47"/>
  <c r="Q34" i="47" s="1"/>
  <c r="M34" i="47"/>
  <c r="I34" i="47"/>
  <c r="H34" i="47"/>
  <c r="C34" i="47"/>
  <c r="AB33" i="47"/>
  <c r="J33" i="47" s="1"/>
  <c r="Z33" i="47"/>
  <c r="W33" i="47"/>
  <c r="V33" i="47"/>
  <c r="P33" i="47"/>
  <c r="Q33" i="47" s="1"/>
  <c r="O33" i="47"/>
  <c r="M33" i="47"/>
  <c r="H33" i="47"/>
  <c r="C33" i="47"/>
  <c r="AB32" i="47"/>
  <c r="J32" i="47" s="1"/>
  <c r="I32" i="47" s="1"/>
  <c r="Z32" i="47"/>
  <c r="W32" i="47"/>
  <c r="V32" i="47"/>
  <c r="Q32" i="47"/>
  <c r="P32" i="47"/>
  <c r="O32" i="47"/>
  <c r="M32" i="47"/>
  <c r="K32" i="47"/>
  <c r="H32" i="47"/>
  <c r="C32" i="47"/>
  <c r="AB31" i="47"/>
  <c r="J31" i="47" s="1"/>
  <c r="Z31" i="47"/>
  <c r="W31" i="47"/>
  <c r="V31" i="47"/>
  <c r="P31" i="47"/>
  <c r="O31" i="47"/>
  <c r="Q31" i="47" s="1"/>
  <c r="M31" i="47"/>
  <c r="H31" i="47"/>
  <c r="C31" i="47"/>
  <c r="Z30" i="47"/>
  <c r="AB30" i="47" s="1"/>
  <c r="J30" i="47" s="1"/>
  <c r="W30" i="47"/>
  <c r="V30" i="47"/>
  <c r="P30" i="47"/>
  <c r="O30" i="47"/>
  <c r="Q30" i="47" s="1"/>
  <c r="M30" i="47"/>
  <c r="H30" i="47"/>
  <c r="C30" i="47"/>
  <c r="Z29" i="47"/>
  <c r="AB29" i="47" s="1"/>
  <c r="J29" i="47" s="1"/>
  <c r="W29" i="47"/>
  <c r="V29" i="47"/>
  <c r="Q29" i="47"/>
  <c r="P29" i="47"/>
  <c r="O29" i="47"/>
  <c r="M29" i="47"/>
  <c r="H29" i="47"/>
  <c r="C29" i="47"/>
  <c r="AB28" i="47"/>
  <c r="J28" i="47" s="1"/>
  <c r="Z28" i="47"/>
  <c r="W28" i="47"/>
  <c r="V28" i="47"/>
  <c r="Q28" i="47"/>
  <c r="P28" i="47"/>
  <c r="O28" i="47"/>
  <c r="M28" i="47"/>
  <c r="H28" i="47"/>
  <c r="C28" i="47"/>
  <c r="Z27" i="47"/>
  <c r="AB27" i="47" s="1"/>
  <c r="J27" i="47" s="1"/>
  <c r="W27" i="47"/>
  <c r="V27" i="47"/>
  <c r="P27" i="47"/>
  <c r="O27" i="47"/>
  <c r="Q27" i="47" s="1"/>
  <c r="M27" i="47"/>
  <c r="H27" i="47"/>
  <c r="C27" i="47"/>
  <c r="Z26" i="47"/>
  <c r="AB26" i="47" s="1"/>
  <c r="J26" i="47" s="1"/>
  <c r="K26" i="47" s="1"/>
  <c r="W26" i="47"/>
  <c r="W3" i="47" s="1"/>
  <c r="V26" i="47"/>
  <c r="P26" i="47"/>
  <c r="O26" i="47"/>
  <c r="Q26" i="47" s="1"/>
  <c r="M26" i="47"/>
  <c r="I26" i="47"/>
  <c r="H26" i="47"/>
  <c r="C26" i="47"/>
  <c r="AB25" i="47"/>
  <c r="J25" i="47" s="1"/>
  <c r="Z25" i="47"/>
  <c r="W25" i="47"/>
  <c r="V25" i="47"/>
  <c r="P25" i="47"/>
  <c r="Q25" i="47" s="1"/>
  <c r="O25" i="47"/>
  <c r="M25" i="47"/>
  <c r="H25" i="47"/>
  <c r="Z24" i="47"/>
  <c r="AB24" i="47" s="1"/>
  <c r="J24" i="47" s="1"/>
  <c r="W24" i="47"/>
  <c r="V24" i="47"/>
  <c r="Q24" i="47"/>
  <c r="P24" i="47"/>
  <c r="O24" i="47"/>
  <c r="M24" i="47"/>
  <c r="H24" i="47"/>
  <c r="AB23" i="47"/>
  <c r="J23" i="47" s="1"/>
  <c r="Z23" i="47"/>
  <c r="W23" i="47"/>
  <c r="V23" i="47"/>
  <c r="P23" i="47"/>
  <c r="Q23" i="47" s="1"/>
  <c r="O23" i="47"/>
  <c r="M23" i="47"/>
  <c r="H23" i="47"/>
  <c r="Z22" i="47"/>
  <c r="AB22" i="47" s="1"/>
  <c r="W22" i="47"/>
  <c r="V22" i="47"/>
  <c r="Q22" i="47"/>
  <c r="P22" i="47"/>
  <c r="O22" i="47"/>
  <c r="M22" i="47"/>
  <c r="J22" i="47"/>
  <c r="H22" i="47"/>
  <c r="AB21" i="47"/>
  <c r="J21" i="47" s="1"/>
  <c r="I21" i="47" s="1"/>
  <c r="Z21" i="47"/>
  <c r="W21" i="47"/>
  <c r="V21" i="47"/>
  <c r="P21" i="47"/>
  <c r="Q21" i="47" s="1"/>
  <c r="O21" i="47"/>
  <c r="M21" i="47"/>
  <c r="K21" i="47"/>
  <c r="H21" i="47"/>
  <c r="Z20" i="47"/>
  <c r="AB20" i="47" s="1"/>
  <c r="J20" i="47" s="1"/>
  <c r="W20" i="47"/>
  <c r="V20" i="47"/>
  <c r="Q20" i="47"/>
  <c r="P20" i="47"/>
  <c r="O20" i="47"/>
  <c r="M20" i="47"/>
  <c r="H20" i="47"/>
  <c r="AB19" i="47"/>
  <c r="J19" i="47" s="1"/>
  <c r="I19" i="47" s="1"/>
  <c r="Z19" i="47"/>
  <c r="W19" i="47"/>
  <c r="V19" i="47"/>
  <c r="P19" i="47"/>
  <c r="Q19" i="47" s="1"/>
  <c r="O19" i="47"/>
  <c r="M19" i="47"/>
  <c r="K19" i="47"/>
  <c r="H19" i="47"/>
  <c r="Z18" i="47"/>
  <c r="AB18" i="47" s="1"/>
  <c r="J18" i="47" s="1"/>
  <c r="W18" i="47"/>
  <c r="V18" i="47"/>
  <c r="Q18" i="47"/>
  <c r="P18" i="47"/>
  <c r="O18" i="47"/>
  <c r="M18" i="47"/>
  <c r="H18" i="47"/>
  <c r="AB17" i="47"/>
  <c r="J17" i="47" s="1"/>
  <c r="I17" i="47" s="1"/>
  <c r="Z17" i="47"/>
  <c r="W17" i="47"/>
  <c r="V17" i="47"/>
  <c r="P17" i="47"/>
  <c r="Q17" i="47" s="1"/>
  <c r="O17" i="47"/>
  <c r="M17" i="47"/>
  <c r="K17" i="47"/>
  <c r="H17" i="47"/>
  <c r="Z16" i="47"/>
  <c r="AB16" i="47" s="1"/>
  <c r="W16" i="47"/>
  <c r="V16" i="47"/>
  <c r="Q16" i="47"/>
  <c r="P16" i="47"/>
  <c r="O16" i="47"/>
  <c r="M16" i="47"/>
  <c r="J16" i="47"/>
  <c r="H16" i="47"/>
  <c r="AB15" i="47"/>
  <c r="J15" i="47" s="1"/>
  <c r="I15" i="47" s="1"/>
  <c r="Z15" i="47"/>
  <c r="W15" i="47"/>
  <c r="V15" i="47"/>
  <c r="P15" i="47"/>
  <c r="Q15" i="47" s="1"/>
  <c r="O15" i="47"/>
  <c r="M15" i="47"/>
  <c r="H15" i="47"/>
  <c r="Z14" i="47"/>
  <c r="AB14" i="47" s="1"/>
  <c r="W14" i="47"/>
  <c r="V14" i="47"/>
  <c r="Q14" i="47"/>
  <c r="P14" i="47"/>
  <c r="O14" i="47"/>
  <c r="M14" i="47"/>
  <c r="J14" i="47"/>
  <c r="H14" i="47"/>
  <c r="AB13" i="47"/>
  <c r="J13" i="47" s="1"/>
  <c r="I13" i="47" s="1"/>
  <c r="Z13" i="47"/>
  <c r="W13" i="47"/>
  <c r="V13" i="47"/>
  <c r="P13" i="47"/>
  <c r="Q13" i="47" s="1"/>
  <c r="O13" i="47"/>
  <c r="M13" i="47"/>
  <c r="K13" i="47"/>
  <c r="H13" i="47"/>
  <c r="Z12" i="47"/>
  <c r="AB12" i="47" s="1"/>
  <c r="J12" i="47" s="1"/>
  <c r="W12" i="47"/>
  <c r="V12" i="47"/>
  <c r="Q12" i="47"/>
  <c r="P12" i="47"/>
  <c r="O12" i="47"/>
  <c r="M12" i="47"/>
  <c r="H12" i="47"/>
  <c r="AB11" i="47"/>
  <c r="J11" i="47" s="1"/>
  <c r="I11" i="47" s="1"/>
  <c r="Z11" i="47"/>
  <c r="W11" i="47"/>
  <c r="V11" i="47"/>
  <c r="P11" i="47"/>
  <c r="Q11" i="47" s="1"/>
  <c r="O11" i="47"/>
  <c r="M11" i="47"/>
  <c r="K11" i="47"/>
  <c r="H11" i="47"/>
  <c r="Z10" i="47"/>
  <c r="AB10" i="47" s="1"/>
  <c r="J10" i="47" s="1"/>
  <c r="W10" i="47"/>
  <c r="V10" i="47"/>
  <c r="Q10" i="47"/>
  <c r="P10" i="47"/>
  <c r="O10" i="47"/>
  <c r="M10" i="47"/>
  <c r="H10" i="47"/>
  <c r="AB9" i="47"/>
  <c r="J9" i="47" s="1"/>
  <c r="I9" i="47" s="1"/>
  <c r="Z9" i="47"/>
  <c r="W9" i="47"/>
  <c r="V9" i="47"/>
  <c r="P9" i="47"/>
  <c r="Q9" i="47" s="1"/>
  <c r="O9" i="47"/>
  <c r="M9" i="47"/>
  <c r="K9" i="47"/>
  <c r="H9" i="47"/>
  <c r="Z8" i="47"/>
  <c r="AB8" i="47" s="1"/>
  <c r="W8" i="47"/>
  <c r="V8" i="47"/>
  <c r="Q8" i="47"/>
  <c r="P8" i="47"/>
  <c r="O8" i="47"/>
  <c r="M8" i="47"/>
  <c r="J8" i="47"/>
  <c r="H8" i="47"/>
  <c r="AB7" i="47"/>
  <c r="J7" i="47" s="1"/>
  <c r="I7" i="47" s="1"/>
  <c r="Z7" i="47"/>
  <c r="W7" i="47"/>
  <c r="V7" i="47"/>
  <c r="P7" i="47"/>
  <c r="Q7" i="47" s="1"/>
  <c r="O7" i="47"/>
  <c r="M7" i="47"/>
  <c r="H7" i="47"/>
  <c r="Z6" i="47"/>
  <c r="AB6" i="47" s="1"/>
  <c r="W6" i="47"/>
  <c r="V6" i="47"/>
  <c r="Q6" i="47"/>
  <c r="P6" i="47"/>
  <c r="O6" i="47"/>
  <c r="M6" i="47"/>
  <c r="J6" i="47"/>
  <c r="H6" i="47"/>
  <c r="AB5" i="47"/>
  <c r="J5" i="47" s="1"/>
  <c r="I5" i="47" s="1"/>
  <c r="Z5" i="47"/>
  <c r="W5" i="47"/>
  <c r="V5" i="47"/>
  <c r="P5" i="47"/>
  <c r="Q5" i="47" s="1"/>
  <c r="O5" i="47"/>
  <c r="M5" i="47"/>
  <c r="K5" i="47"/>
  <c r="H5" i="47"/>
  <c r="Z4" i="47"/>
  <c r="AB4" i="47" s="1"/>
  <c r="J4" i="47" s="1"/>
  <c r="W4" i="47"/>
  <c r="V4" i="47"/>
  <c r="Q4" i="47"/>
  <c r="P4" i="47"/>
  <c r="O4" i="47"/>
  <c r="M4" i="47"/>
  <c r="H4" i="47"/>
  <c r="AE3" i="47"/>
  <c r="U3" i="47"/>
  <c r="O3" i="47"/>
  <c r="H3" i="47"/>
  <c r="G3" i="47"/>
  <c r="F3" i="47"/>
  <c r="D3" i="47"/>
  <c r="C3" i="47"/>
  <c r="B3" i="47"/>
  <c r="A2" i="47"/>
  <c r="A1" i="47"/>
  <c r="AB56" i="46"/>
  <c r="J56" i="46" s="1"/>
  <c r="K56" i="46" s="1"/>
  <c r="Z56" i="46"/>
  <c r="W56" i="46"/>
  <c r="V56" i="46"/>
  <c r="T56" i="46"/>
  <c r="S56" i="46"/>
  <c r="R56" i="46"/>
  <c r="P56" i="46"/>
  <c r="O56" i="46"/>
  <c r="Q56" i="46" s="1"/>
  <c r="M56" i="46"/>
  <c r="H56" i="46"/>
  <c r="C56" i="46"/>
  <c r="AB55" i="46"/>
  <c r="J55" i="46" s="1"/>
  <c r="I55" i="46" s="1"/>
  <c r="Z55" i="46"/>
  <c r="W55" i="46"/>
  <c r="V55" i="46"/>
  <c r="P55" i="46"/>
  <c r="Q55" i="46" s="1"/>
  <c r="O55" i="46"/>
  <c r="M55" i="46"/>
  <c r="H55" i="46"/>
  <c r="C55" i="46"/>
  <c r="AB54" i="46"/>
  <c r="J54" i="46" s="1"/>
  <c r="I54" i="46" s="1"/>
  <c r="Z54" i="46"/>
  <c r="W54" i="46"/>
  <c r="V54" i="46"/>
  <c r="T54" i="46"/>
  <c r="S54" i="46"/>
  <c r="R54" i="46"/>
  <c r="P54" i="46"/>
  <c r="Q54" i="46" s="1"/>
  <c r="O54" i="46"/>
  <c r="M54" i="46"/>
  <c r="K54" i="46"/>
  <c r="H54" i="46"/>
  <c r="C54" i="46"/>
  <c r="AB53" i="46"/>
  <c r="J53" i="46" s="1"/>
  <c r="I53" i="46" s="1"/>
  <c r="Z53" i="46"/>
  <c r="W53" i="46"/>
  <c r="V53" i="46"/>
  <c r="T53" i="46"/>
  <c r="S53" i="46"/>
  <c r="R53" i="46"/>
  <c r="P53" i="46"/>
  <c r="Q53" i="46" s="1"/>
  <c r="O53" i="46"/>
  <c r="M53" i="46"/>
  <c r="K53" i="46"/>
  <c r="H53" i="46"/>
  <c r="C53" i="46"/>
  <c r="AB52" i="46"/>
  <c r="J52" i="46" s="1"/>
  <c r="I52" i="46" s="1"/>
  <c r="Z52" i="46"/>
  <c r="W52" i="46"/>
  <c r="V52" i="46"/>
  <c r="T52" i="46"/>
  <c r="S52" i="46"/>
  <c r="R52" i="46"/>
  <c r="P52" i="46"/>
  <c r="Q52" i="46" s="1"/>
  <c r="O52" i="46"/>
  <c r="M52" i="46"/>
  <c r="K52" i="46"/>
  <c r="H52" i="46"/>
  <c r="C52" i="46"/>
  <c r="AB51" i="46"/>
  <c r="J51" i="46" s="1"/>
  <c r="I51" i="46" s="1"/>
  <c r="Z51" i="46"/>
  <c r="W51" i="46"/>
  <c r="V51" i="46"/>
  <c r="T51" i="46"/>
  <c r="S51" i="46"/>
  <c r="R51" i="46"/>
  <c r="P51" i="46"/>
  <c r="Q51" i="46" s="1"/>
  <c r="O51" i="46"/>
  <c r="M51" i="46"/>
  <c r="K51" i="46"/>
  <c r="H51" i="46"/>
  <c r="C51" i="46"/>
  <c r="AB50" i="46"/>
  <c r="J50" i="46" s="1"/>
  <c r="Z50" i="46"/>
  <c r="W50" i="46"/>
  <c r="V50" i="46"/>
  <c r="T50" i="46"/>
  <c r="S50" i="46"/>
  <c r="R50" i="46"/>
  <c r="P50" i="46"/>
  <c r="Q50" i="46" s="1"/>
  <c r="O50" i="46"/>
  <c r="M50" i="46"/>
  <c r="H50" i="46"/>
  <c r="C50" i="46"/>
  <c r="AB49" i="46"/>
  <c r="J49" i="46" s="1"/>
  <c r="I49" i="46" s="1"/>
  <c r="Z49" i="46"/>
  <c r="W49" i="46"/>
  <c r="V49" i="46"/>
  <c r="T49" i="46"/>
  <c r="S49" i="46"/>
  <c r="R49" i="46"/>
  <c r="P49" i="46"/>
  <c r="Q49" i="46" s="1"/>
  <c r="O49" i="46"/>
  <c r="M49" i="46"/>
  <c r="H49" i="46"/>
  <c r="C49" i="46"/>
  <c r="AB48" i="46"/>
  <c r="J48" i="46" s="1"/>
  <c r="I48" i="46" s="1"/>
  <c r="Z48" i="46"/>
  <c r="W48" i="46"/>
  <c r="V48" i="46"/>
  <c r="T48" i="46"/>
  <c r="S48" i="46"/>
  <c r="R48" i="46"/>
  <c r="P48" i="46"/>
  <c r="Q48" i="46" s="1"/>
  <c r="O48" i="46"/>
  <c r="M48" i="46"/>
  <c r="H48" i="46"/>
  <c r="C48" i="46"/>
  <c r="AB47" i="46"/>
  <c r="J47" i="46" s="1"/>
  <c r="I47" i="46" s="1"/>
  <c r="Z47" i="46"/>
  <c r="W47" i="46"/>
  <c r="V47" i="46"/>
  <c r="Q47" i="46"/>
  <c r="P47" i="46"/>
  <c r="O47" i="46"/>
  <c r="M47" i="46"/>
  <c r="K47" i="46"/>
  <c r="H47" i="46"/>
  <c r="C47" i="46"/>
  <c r="AB46" i="46"/>
  <c r="J46" i="46" s="1"/>
  <c r="Z46" i="46"/>
  <c r="W46" i="46"/>
  <c r="V46" i="46"/>
  <c r="P46" i="46"/>
  <c r="O46" i="46"/>
  <c r="Q46" i="46" s="1"/>
  <c r="M46" i="46"/>
  <c r="H46" i="46"/>
  <c r="C46" i="46"/>
  <c r="Z45" i="46"/>
  <c r="AB45" i="46" s="1"/>
  <c r="J45" i="46" s="1"/>
  <c r="W45" i="46"/>
  <c r="V45" i="46"/>
  <c r="P45" i="46"/>
  <c r="O45" i="46"/>
  <c r="Q45" i="46" s="1"/>
  <c r="M45" i="46"/>
  <c r="H45" i="46"/>
  <c r="C45" i="46"/>
  <c r="Z44" i="46"/>
  <c r="AB44" i="46" s="1"/>
  <c r="W44" i="46"/>
  <c r="V44" i="46"/>
  <c r="Q44" i="46"/>
  <c r="P44" i="46"/>
  <c r="O44" i="46"/>
  <c r="M44" i="46"/>
  <c r="J44" i="46"/>
  <c r="H44" i="46"/>
  <c r="C44" i="46"/>
  <c r="AB43" i="46"/>
  <c r="J43" i="46" s="1"/>
  <c r="Z43" i="46"/>
  <c r="W43" i="46"/>
  <c r="V43" i="46"/>
  <c r="Q43" i="46"/>
  <c r="P43" i="46"/>
  <c r="O43" i="46"/>
  <c r="M43" i="46"/>
  <c r="H43" i="46"/>
  <c r="C43" i="46"/>
  <c r="AB42" i="46"/>
  <c r="Z42" i="46"/>
  <c r="W42" i="46"/>
  <c r="W3" i="46" s="1"/>
  <c r="V42" i="46"/>
  <c r="T42" i="46"/>
  <c r="S42" i="46"/>
  <c r="R42" i="46"/>
  <c r="Q42" i="46"/>
  <c r="P42" i="46"/>
  <c r="O42" i="46"/>
  <c r="M42" i="46"/>
  <c r="K42" i="46"/>
  <c r="J42" i="46"/>
  <c r="I42" i="46" s="1"/>
  <c r="H42" i="46"/>
  <c r="C42" i="46"/>
  <c r="AB41" i="46"/>
  <c r="J41" i="46" s="1"/>
  <c r="K41" i="46" s="1"/>
  <c r="Z41" i="46"/>
  <c r="W41" i="46"/>
  <c r="V41" i="46"/>
  <c r="Q41" i="46"/>
  <c r="P41" i="46"/>
  <c r="O41" i="46"/>
  <c r="M41" i="46"/>
  <c r="I41" i="46"/>
  <c r="H41" i="46"/>
  <c r="C41" i="46"/>
  <c r="AB39" i="46"/>
  <c r="J39" i="46" s="1"/>
  <c r="K39" i="46" s="1"/>
  <c r="Z39" i="46"/>
  <c r="W39" i="46"/>
  <c r="V39" i="46"/>
  <c r="P39" i="46"/>
  <c r="O39" i="46"/>
  <c r="M39" i="46"/>
  <c r="H39" i="46"/>
  <c r="C39" i="46"/>
  <c r="AB38" i="46"/>
  <c r="J38" i="46" s="1"/>
  <c r="I38" i="46" s="1"/>
  <c r="Z38" i="46"/>
  <c r="W38" i="46"/>
  <c r="V38" i="46"/>
  <c r="P38" i="46"/>
  <c r="O38" i="46"/>
  <c r="M38" i="46"/>
  <c r="K38" i="46"/>
  <c r="H38" i="46"/>
  <c r="C38" i="46"/>
  <c r="AB37" i="46"/>
  <c r="J37" i="46" s="1"/>
  <c r="I37" i="46" s="1"/>
  <c r="Z37" i="46"/>
  <c r="W37" i="46"/>
  <c r="V37" i="46"/>
  <c r="Q37" i="46"/>
  <c r="P37" i="46"/>
  <c r="O37" i="46"/>
  <c r="M37" i="46"/>
  <c r="K37" i="46"/>
  <c r="H37" i="46"/>
  <c r="C37" i="46"/>
  <c r="AB36" i="46"/>
  <c r="J36" i="46" s="1"/>
  <c r="Z36" i="46"/>
  <c r="W36" i="46"/>
  <c r="V36" i="46"/>
  <c r="P36" i="46"/>
  <c r="O36" i="46"/>
  <c r="Q36" i="46" s="1"/>
  <c r="M36" i="46"/>
  <c r="H36" i="46"/>
  <c r="C36" i="46"/>
  <c r="Z35" i="46"/>
  <c r="AB35" i="46" s="1"/>
  <c r="W35" i="46"/>
  <c r="V35" i="46"/>
  <c r="P35" i="46"/>
  <c r="O35" i="46"/>
  <c r="Q35" i="46" s="1"/>
  <c r="M35" i="46"/>
  <c r="J35" i="46"/>
  <c r="H35" i="46"/>
  <c r="C35" i="46"/>
  <c r="Z34" i="46"/>
  <c r="AB34" i="46" s="1"/>
  <c r="W34" i="46"/>
  <c r="V34" i="46"/>
  <c r="Q34" i="46"/>
  <c r="P34" i="46"/>
  <c r="O34" i="46"/>
  <c r="M34" i="46"/>
  <c r="J34" i="46"/>
  <c r="H34" i="46"/>
  <c r="C34" i="46"/>
  <c r="AB33" i="46"/>
  <c r="J33" i="46" s="1"/>
  <c r="Z33" i="46"/>
  <c r="W33" i="46"/>
  <c r="V33" i="46"/>
  <c r="Q33" i="46"/>
  <c r="P33" i="46"/>
  <c r="O33" i="46"/>
  <c r="M33" i="46"/>
  <c r="H33" i="46"/>
  <c r="C33" i="46"/>
  <c r="AB32" i="46"/>
  <c r="J32" i="46" s="1"/>
  <c r="K32" i="46" s="1"/>
  <c r="Z32" i="46"/>
  <c r="W32" i="46"/>
  <c r="V32" i="46"/>
  <c r="Q32" i="46"/>
  <c r="P32" i="46"/>
  <c r="O32" i="46"/>
  <c r="M32" i="46"/>
  <c r="I32" i="46"/>
  <c r="H32" i="46"/>
  <c r="C32" i="46"/>
  <c r="AB31" i="46"/>
  <c r="J31" i="46" s="1"/>
  <c r="K31" i="46" s="1"/>
  <c r="Z31" i="46"/>
  <c r="W31" i="46"/>
  <c r="V31" i="46"/>
  <c r="P31" i="46"/>
  <c r="O31" i="46"/>
  <c r="M31" i="46"/>
  <c r="H31" i="46"/>
  <c r="C31" i="46"/>
  <c r="Z30" i="46"/>
  <c r="AB30" i="46" s="1"/>
  <c r="J30" i="46" s="1"/>
  <c r="W30" i="46"/>
  <c r="V30" i="46"/>
  <c r="P30" i="46"/>
  <c r="O30" i="46"/>
  <c r="M30" i="46"/>
  <c r="H30" i="46"/>
  <c r="C30" i="46"/>
  <c r="AB29" i="46"/>
  <c r="J29" i="46" s="1"/>
  <c r="I29" i="46" s="1"/>
  <c r="Z29" i="46"/>
  <c r="W29" i="46"/>
  <c r="V29" i="46"/>
  <c r="Q29" i="46"/>
  <c r="P29" i="46"/>
  <c r="O29" i="46"/>
  <c r="M29" i="46"/>
  <c r="K29" i="46"/>
  <c r="H29" i="46"/>
  <c r="C29" i="46"/>
  <c r="AB28" i="46"/>
  <c r="J28" i="46" s="1"/>
  <c r="Z28" i="46"/>
  <c r="W28" i="46"/>
  <c r="V28" i="46"/>
  <c r="P28" i="46"/>
  <c r="O28" i="46"/>
  <c r="Q28" i="46" s="1"/>
  <c r="M28" i="46"/>
  <c r="H28" i="46"/>
  <c r="C28" i="46"/>
  <c r="Z27" i="46"/>
  <c r="AB27" i="46" s="1"/>
  <c r="J27" i="46" s="1"/>
  <c r="W27" i="46"/>
  <c r="V27" i="46"/>
  <c r="P27" i="46"/>
  <c r="O27" i="46"/>
  <c r="Q27" i="46" s="1"/>
  <c r="M27" i="46"/>
  <c r="H27" i="46"/>
  <c r="C27" i="46"/>
  <c r="Z26" i="46"/>
  <c r="AB26" i="46" s="1"/>
  <c r="J26" i="46" s="1"/>
  <c r="W26" i="46"/>
  <c r="V26" i="46"/>
  <c r="Q26" i="46"/>
  <c r="P26" i="46"/>
  <c r="O26" i="46"/>
  <c r="M26" i="46"/>
  <c r="H26" i="46"/>
  <c r="C26" i="46"/>
  <c r="AB25" i="46"/>
  <c r="J25" i="46" s="1"/>
  <c r="I25" i="46" s="1"/>
  <c r="Z25" i="46"/>
  <c r="W25" i="46"/>
  <c r="V25" i="46"/>
  <c r="Q25" i="46"/>
  <c r="P25" i="46"/>
  <c r="O25" i="46"/>
  <c r="M25" i="46"/>
  <c r="K25" i="46"/>
  <c r="H25" i="46"/>
  <c r="AB24" i="46"/>
  <c r="J24" i="46" s="1"/>
  <c r="I24" i="46" s="1"/>
  <c r="Z24" i="46"/>
  <c r="W24" i="46"/>
  <c r="V24" i="46"/>
  <c r="Q24" i="46"/>
  <c r="P24" i="46"/>
  <c r="O24" i="46"/>
  <c r="M24" i="46"/>
  <c r="K24" i="46"/>
  <c r="H24" i="46"/>
  <c r="AB23" i="46"/>
  <c r="J23" i="46" s="1"/>
  <c r="I23" i="46" s="1"/>
  <c r="Z23" i="46"/>
  <c r="W23" i="46"/>
  <c r="V23" i="46"/>
  <c r="Q23" i="46"/>
  <c r="P23" i="46"/>
  <c r="O23" i="46"/>
  <c r="M23" i="46"/>
  <c r="K23" i="46"/>
  <c r="H23" i="46"/>
  <c r="AB22" i="46"/>
  <c r="J22" i="46" s="1"/>
  <c r="I22" i="46" s="1"/>
  <c r="Z22" i="46"/>
  <c r="W22" i="46"/>
  <c r="V22" i="46"/>
  <c r="P22" i="46"/>
  <c r="Q22" i="46" s="1"/>
  <c r="O22" i="46"/>
  <c r="M22" i="46"/>
  <c r="K22" i="46"/>
  <c r="H22" i="46"/>
  <c r="Z21" i="46"/>
  <c r="AB21" i="46" s="1"/>
  <c r="W21" i="46"/>
  <c r="V21" i="46"/>
  <c r="Q21" i="46"/>
  <c r="P21" i="46"/>
  <c r="O21" i="46"/>
  <c r="M21" i="46"/>
  <c r="J21" i="46"/>
  <c r="H21" i="46"/>
  <c r="AB20" i="46"/>
  <c r="J20" i="46" s="1"/>
  <c r="I20" i="46" s="1"/>
  <c r="Z20" i="46"/>
  <c r="W20" i="46"/>
  <c r="V20" i="46"/>
  <c r="Q20" i="46"/>
  <c r="P20" i="46"/>
  <c r="O20" i="46"/>
  <c r="M20" i="46"/>
  <c r="K20" i="46"/>
  <c r="H20" i="46"/>
  <c r="Z19" i="46"/>
  <c r="AB19" i="46" s="1"/>
  <c r="J19" i="46" s="1"/>
  <c r="W19" i="46"/>
  <c r="V19" i="46"/>
  <c r="Q19" i="46"/>
  <c r="P19" i="46"/>
  <c r="O19" i="46"/>
  <c r="M19" i="46"/>
  <c r="H19" i="46"/>
  <c r="AB18" i="46"/>
  <c r="J18" i="46" s="1"/>
  <c r="I18" i="46" s="1"/>
  <c r="Z18" i="46"/>
  <c r="W18" i="46"/>
  <c r="V18" i="46"/>
  <c r="Q18" i="46"/>
  <c r="P18" i="46"/>
  <c r="O18" i="46"/>
  <c r="M18" i="46"/>
  <c r="K18" i="46"/>
  <c r="H18" i="46"/>
  <c r="Z17" i="46"/>
  <c r="AB17" i="46" s="1"/>
  <c r="J17" i="46" s="1"/>
  <c r="W17" i="46"/>
  <c r="V17" i="46"/>
  <c r="Q17" i="46"/>
  <c r="P17" i="46"/>
  <c r="O17" i="46"/>
  <c r="M17" i="46"/>
  <c r="H17" i="46"/>
  <c r="Q16" i="46"/>
  <c r="P16" i="46"/>
  <c r="P15" i="46"/>
  <c r="Q15" i="46" s="1"/>
  <c r="P14" i="46"/>
  <c r="Q14" i="46" s="1"/>
  <c r="Q13" i="46"/>
  <c r="P13" i="46"/>
  <c r="Q12" i="46"/>
  <c r="P12" i="46"/>
  <c r="P11" i="46"/>
  <c r="Q11" i="46" s="1"/>
  <c r="P10" i="46"/>
  <c r="Q10" i="46" s="1"/>
  <c r="Q9" i="46"/>
  <c r="P9" i="46"/>
  <c r="Q8" i="46"/>
  <c r="P8" i="46"/>
  <c r="P7" i="46"/>
  <c r="Q7" i="46" s="1"/>
  <c r="Q6" i="46"/>
  <c r="P6" i="46"/>
  <c r="Q5" i="46"/>
  <c r="P5" i="46"/>
  <c r="Q4" i="46"/>
  <c r="P4" i="46"/>
  <c r="AE3" i="46"/>
  <c r="U3" i="46"/>
  <c r="O3" i="46"/>
  <c r="G3" i="46"/>
  <c r="F3" i="46"/>
  <c r="D3" i="46"/>
  <c r="C3" i="46"/>
  <c r="B3" i="46"/>
  <c r="A2" i="46"/>
  <c r="A1" i="46"/>
  <c r="Z56" i="45"/>
  <c r="AB56" i="45" s="1"/>
  <c r="J56" i="45" s="1"/>
  <c r="W56" i="45"/>
  <c r="V56" i="45"/>
  <c r="T56" i="45"/>
  <c r="S56" i="45"/>
  <c r="R56" i="45"/>
  <c r="P56" i="45"/>
  <c r="O56" i="45"/>
  <c r="Q56" i="45" s="1"/>
  <c r="M56" i="45"/>
  <c r="H56" i="45"/>
  <c r="C56" i="45"/>
  <c r="Z55" i="45"/>
  <c r="AB55" i="45" s="1"/>
  <c r="J55" i="45" s="1"/>
  <c r="W55" i="45"/>
  <c r="V55" i="45"/>
  <c r="Q55" i="45"/>
  <c r="P55" i="45"/>
  <c r="O55" i="45"/>
  <c r="M55" i="45"/>
  <c r="H55" i="45"/>
  <c r="C55" i="45"/>
  <c r="Z54" i="45"/>
  <c r="AB54" i="45" s="1"/>
  <c r="J54" i="45" s="1"/>
  <c r="W54" i="45"/>
  <c r="V54" i="45"/>
  <c r="T54" i="45"/>
  <c r="S54" i="45"/>
  <c r="R54" i="45"/>
  <c r="P54" i="45"/>
  <c r="O54" i="45"/>
  <c r="Q54" i="45" s="1"/>
  <c r="M54" i="45"/>
  <c r="H54" i="45"/>
  <c r="C54" i="45"/>
  <c r="Z53" i="45"/>
  <c r="AB53" i="45" s="1"/>
  <c r="W53" i="45"/>
  <c r="V53" i="45"/>
  <c r="T53" i="45"/>
  <c r="S53" i="45"/>
  <c r="R53" i="45"/>
  <c r="P53" i="45"/>
  <c r="O53" i="45"/>
  <c r="Q53" i="45" s="1"/>
  <c r="M53" i="45"/>
  <c r="J53" i="45"/>
  <c r="H53" i="45"/>
  <c r="C53" i="45"/>
  <c r="Z52" i="45"/>
  <c r="AB52" i="45" s="1"/>
  <c r="W52" i="45"/>
  <c r="V52" i="45"/>
  <c r="T52" i="45"/>
  <c r="S52" i="45"/>
  <c r="R52" i="45"/>
  <c r="Q52" i="45"/>
  <c r="P52" i="45"/>
  <c r="O52" i="45"/>
  <c r="M52" i="45"/>
  <c r="J52" i="45"/>
  <c r="K52" i="45" s="1"/>
  <c r="I52" i="45"/>
  <c r="H52" i="45"/>
  <c r="C52" i="45"/>
  <c r="Z51" i="45"/>
  <c r="AB51" i="45" s="1"/>
  <c r="J51" i="45" s="1"/>
  <c r="W51" i="45"/>
  <c r="V51" i="45"/>
  <c r="T51" i="45"/>
  <c r="S51" i="45"/>
  <c r="R51" i="45"/>
  <c r="Q51" i="45"/>
  <c r="P51" i="45"/>
  <c r="O51" i="45"/>
  <c r="M51" i="45"/>
  <c r="H51" i="45"/>
  <c r="C51" i="45"/>
  <c r="Z50" i="45"/>
  <c r="AB50" i="45" s="1"/>
  <c r="W50" i="45"/>
  <c r="V50" i="45"/>
  <c r="T50" i="45"/>
  <c r="S50" i="45"/>
  <c r="R50" i="45"/>
  <c r="P50" i="45"/>
  <c r="Q50" i="45" s="1"/>
  <c r="O50" i="45"/>
  <c r="M50" i="45"/>
  <c r="K50" i="45"/>
  <c r="J50" i="45"/>
  <c r="I50" i="45"/>
  <c r="H50" i="45"/>
  <c r="C50" i="45"/>
  <c r="AB49" i="45"/>
  <c r="J49" i="45" s="1"/>
  <c r="Z49" i="45"/>
  <c r="W49" i="45"/>
  <c r="V49" i="45"/>
  <c r="T49" i="45"/>
  <c r="S49" i="45"/>
  <c r="R49" i="45"/>
  <c r="P49" i="45"/>
  <c r="Q49" i="45" s="1"/>
  <c r="O49" i="45"/>
  <c r="M49" i="45"/>
  <c r="H49" i="45"/>
  <c r="C49" i="45"/>
  <c r="AB48" i="45"/>
  <c r="J48" i="45" s="1"/>
  <c r="Z48" i="45"/>
  <c r="W48" i="45"/>
  <c r="V48" i="45"/>
  <c r="T48" i="45"/>
  <c r="S48" i="45"/>
  <c r="R48" i="45"/>
  <c r="P48" i="45"/>
  <c r="Q48" i="45" s="1"/>
  <c r="O48" i="45"/>
  <c r="M48" i="45"/>
  <c r="H48" i="45"/>
  <c r="C48" i="45"/>
  <c r="AB47" i="45"/>
  <c r="J47" i="45" s="1"/>
  <c r="I47" i="45" s="1"/>
  <c r="Z47" i="45"/>
  <c r="W47" i="45"/>
  <c r="V47" i="45"/>
  <c r="P47" i="45"/>
  <c r="O47" i="45"/>
  <c r="Q47" i="45" s="1"/>
  <c r="M47" i="45"/>
  <c r="K47" i="45"/>
  <c r="H47" i="45"/>
  <c r="C47" i="45"/>
  <c r="AB46" i="45"/>
  <c r="J46" i="45" s="1"/>
  <c r="Z46" i="45"/>
  <c r="W46" i="45"/>
  <c r="V46" i="45"/>
  <c r="P46" i="45"/>
  <c r="O46" i="45"/>
  <c r="Q46" i="45" s="1"/>
  <c r="M46" i="45"/>
  <c r="H46" i="45"/>
  <c r="C46" i="45"/>
  <c r="AB45" i="45"/>
  <c r="J45" i="45" s="1"/>
  <c r="Z45" i="45"/>
  <c r="W45" i="45"/>
  <c r="V45" i="45"/>
  <c r="P45" i="45"/>
  <c r="O45" i="45"/>
  <c r="Q45" i="45" s="1"/>
  <c r="M45" i="45"/>
  <c r="H45" i="45"/>
  <c r="C45" i="45"/>
  <c r="Z44" i="45"/>
  <c r="AB44" i="45" s="1"/>
  <c r="W44" i="45"/>
  <c r="V44" i="45"/>
  <c r="P44" i="45"/>
  <c r="O44" i="45"/>
  <c r="Q44" i="45" s="1"/>
  <c r="M44" i="45"/>
  <c r="J44" i="45"/>
  <c r="H44" i="45"/>
  <c r="C44" i="45"/>
  <c r="Z43" i="45"/>
  <c r="AB43" i="45" s="1"/>
  <c r="J43" i="45" s="1"/>
  <c r="W43" i="45"/>
  <c r="V43" i="45"/>
  <c r="Q43" i="45"/>
  <c r="P43" i="45"/>
  <c r="O43" i="45"/>
  <c r="M43" i="45"/>
  <c r="H43" i="45"/>
  <c r="C43" i="45"/>
  <c r="Z42" i="45"/>
  <c r="AB42" i="45" s="1"/>
  <c r="J42" i="45" s="1"/>
  <c r="W42" i="45"/>
  <c r="V42" i="45"/>
  <c r="T42" i="45"/>
  <c r="S42" i="45"/>
  <c r="R42" i="45"/>
  <c r="Q42" i="45"/>
  <c r="P42" i="45"/>
  <c r="O42" i="45"/>
  <c r="M42" i="45"/>
  <c r="H42" i="45"/>
  <c r="C42" i="45"/>
  <c r="Z41" i="45"/>
  <c r="AB41" i="45" s="1"/>
  <c r="J41" i="45" s="1"/>
  <c r="W41" i="45"/>
  <c r="V41" i="45"/>
  <c r="Q41" i="45"/>
  <c r="P41" i="45"/>
  <c r="O41" i="45"/>
  <c r="M41" i="45"/>
  <c r="H41" i="45"/>
  <c r="C41" i="45"/>
  <c r="Z39" i="45"/>
  <c r="AB39" i="45" s="1"/>
  <c r="J39" i="45" s="1"/>
  <c r="K39" i="45" s="1"/>
  <c r="W39" i="45"/>
  <c r="V39" i="45"/>
  <c r="Q39" i="45"/>
  <c r="P39" i="45"/>
  <c r="O39" i="45"/>
  <c r="M39" i="45"/>
  <c r="I39" i="45"/>
  <c r="H39" i="45"/>
  <c r="C39" i="45"/>
  <c r="AB38" i="45"/>
  <c r="J38" i="45" s="1"/>
  <c r="Z38" i="45"/>
  <c r="W38" i="45"/>
  <c r="V38" i="45"/>
  <c r="P38" i="45"/>
  <c r="Q38" i="45" s="1"/>
  <c r="O38" i="45"/>
  <c r="M38" i="45"/>
  <c r="H38" i="45"/>
  <c r="C38" i="45"/>
  <c r="AB37" i="45"/>
  <c r="J37" i="45" s="1"/>
  <c r="I37" i="45" s="1"/>
  <c r="Z37" i="45"/>
  <c r="W37" i="45"/>
  <c r="V37" i="45"/>
  <c r="P37" i="45"/>
  <c r="O37" i="45"/>
  <c r="Q37" i="45" s="1"/>
  <c r="M37" i="45"/>
  <c r="K37" i="45"/>
  <c r="H37" i="45"/>
  <c r="C37" i="45"/>
  <c r="AB36" i="45"/>
  <c r="J36" i="45" s="1"/>
  <c r="Z36" i="45"/>
  <c r="W36" i="45"/>
  <c r="V36" i="45"/>
  <c r="P36" i="45"/>
  <c r="Q36" i="45" s="1"/>
  <c r="O36" i="45"/>
  <c r="M36" i="45"/>
  <c r="H36" i="45"/>
  <c r="C36" i="45"/>
  <c r="AB35" i="45"/>
  <c r="J35" i="45" s="1"/>
  <c r="Z35" i="45"/>
  <c r="W35" i="45"/>
  <c r="V35" i="45"/>
  <c r="P35" i="45"/>
  <c r="O35" i="45"/>
  <c r="Q35" i="45" s="1"/>
  <c r="M35" i="45"/>
  <c r="H35" i="45"/>
  <c r="C35" i="45"/>
  <c r="Z34" i="45"/>
  <c r="AB34" i="45" s="1"/>
  <c r="J34" i="45" s="1"/>
  <c r="W34" i="45"/>
  <c r="V34" i="45"/>
  <c r="P34" i="45"/>
  <c r="O34" i="45"/>
  <c r="Q34" i="45" s="1"/>
  <c r="M34" i="45"/>
  <c r="H34" i="45"/>
  <c r="C34" i="45"/>
  <c r="Z33" i="45"/>
  <c r="AB33" i="45" s="1"/>
  <c r="J33" i="45" s="1"/>
  <c r="W33" i="45"/>
  <c r="V33" i="45"/>
  <c r="Q33" i="45"/>
  <c r="P33" i="45"/>
  <c r="O33" i="45"/>
  <c r="M33" i="45"/>
  <c r="H33" i="45"/>
  <c r="C33" i="45"/>
  <c r="Z32" i="45"/>
  <c r="AB32" i="45" s="1"/>
  <c r="J32" i="45" s="1"/>
  <c r="W32" i="45"/>
  <c r="V32" i="45"/>
  <c r="Q32" i="45"/>
  <c r="P32" i="45"/>
  <c r="O32" i="45"/>
  <c r="M32" i="45"/>
  <c r="H32" i="45"/>
  <c r="C32" i="45"/>
  <c r="Z31" i="45"/>
  <c r="AB31" i="45" s="1"/>
  <c r="J31" i="45" s="1"/>
  <c r="K31" i="45" s="1"/>
  <c r="W31" i="45"/>
  <c r="V31" i="45"/>
  <c r="Q31" i="45"/>
  <c r="P31" i="45"/>
  <c r="O31" i="45"/>
  <c r="M31" i="45"/>
  <c r="H31" i="45"/>
  <c r="C31" i="45"/>
  <c r="AB30" i="45"/>
  <c r="J30" i="45" s="1"/>
  <c r="Z30" i="45"/>
  <c r="W30" i="45"/>
  <c r="V30" i="45"/>
  <c r="P30" i="45"/>
  <c r="Q30" i="45" s="1"/>
  <c r="O30" i="45"/>
  <c r="M30" i="45"/>
  <c r="H30" i="45"/>
  <c r="C30" i="45"/>
  <c r="AB29" i="45"/>
  <c r="J29" i="45" s="1"/>
  <c r="I29" i="45" s="1"/>
  <c r="Z29" i="45"/>
  <c r="W29" i="45"/>
  <c r="V29" i="45"/>
  <c r="P29" i="45"/>
  <c r="O29" i="45"/>
  <c r="Q29" i="45" s="1"/>
  <c r="M29" i="45"/>
  <c r="K29" i="45"/>
  <c r="H29" i="45"/>
  <c r="C29" i="45"/>
  <c r="AB28" i="45"/>
  <c r="J28" i="45" s="1"/>
  <c r="Z28" i="45"/>
  <c r="W28" i="45"/>
  <c r="V28" i="45"/>
  <c r="P28" i="45"/>
  <c r="Q28" i="45" s="1"/>
  <c r="O28" i="45"/>
  <c r="M28" i="45"/>
  <c r="H28" i="45"/>
  <c r="C28" i="45"/>
  <c r="AB27" i="45"/>
  <c r="J27" i="45" s="1"/>
  <c r="Z27" i="45"/>
  <c r="W27" i="45"/>
  <c r="V27" i="45"/>
  <c r="P27" i="45"/>
  <c r="O27" i="45"/>
  <c r="Q27" i="45" s="1"/>
  <c r="M27" i="45"/>
  <c r="H27" i="45"/>
  <c r="C27" i="45"/>
  <c r="Z26" i="45"/>
  <c r="AB26" i="45" s="1"/>
  <c r="W26" i="45"/>
  <c r="V26" i="45"/>
  <c r="P26" i="45"/>
  <c r="O26" i="45"/>
  <c r="Q26" i="45" s="1"/>
  <c r="M26" i="45"/>
  <c r="J26" i="45"/>
  <c r="H26" i="45"/>
  <c r="C26" i="45"/>
  <c r="Z25" i="45"/>
  <c r="AB25" i="45" s="1"/>
  <c r="J25" i="45" s="1"/>
  <c r="W25" i="45"/>
  <c r="V25" i="45"/>
  <c r="Q25" i="45"/>
  <c r="P25" i="45"/>
  <c r="O25" i="45"/>
  <c r="M25" i="45"/>
  <c r="H25" i="45"/>
  <c r="AB24" i="45"/>
  <c r="J24" i="45" s="1"/>
  <c r="I24" i="45" s="1"/>
  <c r="Z24" i="45"/>
  <c r="W24" i="45"/>
  <c r="V24" i="45"/>
  <c r="P24" i="45"/>
  <c r="O24" i="45"/>
  <c r="Q24" i="45" s="1"/>
  <c r="M24" i="45"/>
  <c r="H24" i="45"/>
  <c r="Z23" i="45"/>
  <c r="AB23" i="45" s="1"/>
  <c r="J23" i="45" s="1"/>
  <c r="W23" i="45"/>
  <c r="V23" i="45"/>
  <c r="Q23" i="45"/>
  <c r="P23" i="45"/>
  <c r="O23" i="45"/>
  <c r="M23" i="45"/>
  <c r="H23" i="45"/>
  <c r="AB22" i="45"/>
  <c r="J22" i="45" s="1"/>
  <c r="I22" i="45" s="1"/>
  <c r="Z22" i="45"/>
  <c r="W22" i="45"/>
  <c r="V22" i="45"/>
  <c r="P22" i="45"/>
  <c r="O22" i="45"/>
  <c r="Q22" i="45" s="1"/>
  <c r="M22" i="45"/>
  <c r="K22" i="45"/>
  <c r="H22" i="45"/>
  <c r="Z21" i="45"/>
  <c r="AB21" i="45" s="1"/>
  <c r="J21" i="45" s="1"/>
  <c r="W21" i="45"/>
  <c r="V21" i="45"/>
  <c r="Q21" i="45"/>
  <c r="P21" i="45"/>
  <c r="O21" i="45"/>
  <c r="M21" i="45"/>
  <c r="H21" i="45"/>
  <c r="AB20" i="45"/>
  <c r="J20" i="45" s="1"/>
  <c r="K20" i="45" s="1"/>
  <c r="Z20" i="45"/>
  <c r="W20" i="45"/>
  <c r="V20" i="45"/>
  <c r="P20" i="45"/>
  <c r="O20" i="45"/>
  <c r="Q20" i="45" s="1"/>
  <c r="M20" i="45"/>
  <c r="I20" i="45"/>
  <c r="H20" i="45"/>
  <c r="Z19" i="45"/>
  <c r="AB19" i="45" s="1"/>
  <c r="J19" i="45" s="1"/>
  <c r="W19" i="45"/>
  <c r="V19" i="45"/>
  <c r="P19" i="45"/>
  <c r="O19" i="45"/>
  <c r="Q19" i="45" s="1"/>
  <c r="M19" i="45"/>
  <c r="H19" i="45"/>
  <c r="AB18" i="45"/>
  <c r="J18" i="45" s="1"/>
  <c r="Z18" i="45"/>
  <c r="W18" i="45"/>
  <c r="V18" i="45"/>
  <c r="P18" i="45"/>
  <c r="O18" i="45"/>
  <c r="Q18" i="45" s="1"/>
  <c r="M18" i="45"/>
  <c r="K18" i="45"/>
  <c r="I18" i="45"/>
  <c r="H18" i="45"/>
  <c r="Z17" i="45"/>
  <c r="AB17" i="45" s="1"/>
  <c r="J17" i="45" s="1"/>
  <c r="W17" i="45"/>
  <c r="W3" i="45" s="1"/>
  <c r="V17" i="45"/>
  <c r="V3" i="45" s="1"/>
  <c r="P17" i="45"/>
  <c r="O17" i="45"/>
  <c r="Q17" i="45" s="1"/>
  <c r="M17" i="45"/>
  <c r="H17" i="45"/>
  <c r="Q16" i="45"/>
  <c r="P16" i="45"/>
  <c r="Q15" i="45"/>
  <c r="P15" i="45"/>
  <c r="P14" i="45"/>
  <c r="Q14" i="45" s="1"/>
  <c r="P13" i="45"/>
  <c r="Q13" i="45" s="1"/>
  <c r="Q12" i="45"/>
  <c r="P12" i="45"/>
  <c r="Q11" i="45"/>
  <c r="P11" i="45"/>
  <c r="P10" i="45"/>
  <c r="Q10" i="45" s="1"/>
  <c r="P9" i="45"/>
  <c r="Q9" i="45" s="1"/>
  <c r="Q8" i="45"/>
  <c r="P8" i="45"/>
  <c r="Q7" i="45"/>
  <c r="P7" i="45"/>
  <c r="P6" i="45"/>
  <c r="Q6" i="45" s="1"/>
  <c r="P5" i="45"/>
  <c r="Q5" i="45" s="1"/>
  <c r="Q4" i="45"/>
  <c r="P4" i="45"/>
  <c r="AE3" i="45"/>
  <c r="U3" i="45"/>
  <c r="O3" i="45"/>
  <c r="H3" i="45"/>
  <c r="G3" i="45"/>
  <c r="F3" i="45"/>
  <c r="D3" i="45"/>
  <c r="C3" i="45"/>
  <c r="B3" i="45"/>
  <c r="A2" i="45"/>
  <c r="A1" i="45"/>
  <c r="AB56" i="44"/>
  <c r="J56" i="44" s="1"/>
  <c r="K56" i="44" s="1"/>
  <c r="Z56" i="44"/>
  <c r="W56" i="44"/>
  <c r="V56" i="44"/>
  <c r="T56" i="44"/>
  <c r="S56" i="44"/>
  <c r="R56" i="44"/>
  <c r="P56" i="44"/>
  <c r="Q56" i="44" s="1"/>
  <c r="O56" i="44"/>
  <c r="M56" i="44"/>
  <c r="I56" i="44"/>
  <c r="H56" i="44"/>
  <c r="C56" i="44"/>
  <c r="AB55" i="44"/>
  <c r="J55" i="44" s="1"/>
  <c r="I55" i="44" s="1"/>
  <c r="Z55" i="44"/>
  <c r="W55" i="44"/>
  <c r="V55" i="44"/>
  <c r="P55" i="44"/>
  <c r="O55" i="44"/>
  <c r="Q55" i="44" s="1"/>
  <c r="M55" i="44"/>
  <c r="K55" i="44"/>
  <c r="H55" i="44"/>
  <c r="C55" i="44"/>
  <c r="AB54" i="44"/>
  <c r="J54" i="44" s="1"/>
  <c r="Z54" i="44"/>
  <c r="W54" i="44"/>
  <c r="V54" i="44"/>
  <c r="T54" i="44"/>
  <c r="S54" i="44"/>
  <c r="R54" i="44"/>
  <c r="P54" i="44"/>
  <c r="O54" i="44"/>
  <c r="Q54" i="44" s="1"/>
  <c r="M54" i="44"/>
  <c r="H54" i="44"/>
  <c r="C54" i="44"/>
  <c r="AB53" i="44"/>
  <c r="J53" i="44" s="1"/>
  <c r="Z53" i="44"/>
  <c r="W53" i="44"/>
  <c r="V53" i="44"/>
  <c r="T53" i="44"/>
  <c r="S53" i="44"/>
  <c r="R53" i="44"/>
  <c r="P53" i="44"/>
  <c r="O53" i="44"/>
  <c r="Q53" i="44" s="1"/>
  <c r="M53" i="44"/>
  <c r="H53" i="44"/>
  <c r="C53" i="44"/>
  <c r="Z52" i="44"/>
  <c r="AB52" i="44" s="1"/>
  <c r="J52" i="44" s="1"/>
  <c r="W52" i="44"/>
  <c r="V52" i="44"/>
  <c r="T52" i="44"/>
  <c r="S52" i="44"/>
  <c r="R52" i="44"/>
  <c r="P52" i="44"/>
  <c r="O52" i="44"/>
  <c r="M52" i="44"/>
  <c r="H52" i="44"/>
  <c r="C52" i="44"/>
  <c r="Z51" i="44"/>
  <c r="AB51" i="44" s="1"/>
  <c r="J51" i="44" s="1"/>
  <c r="W51" i="44"/>
  <c r="V51" i="44"/>
  <c r="T51" i="44"/>
  <c r="S51" i="44"/>
  <c r="R51" i="44"/>
  <c r="P51" i="44"/>
  <c r="O51" i="44"/>
  <c r="M51" i="44"/>
  <c r="H51" i="44"/>
  <c r="C51" i="44"/>
  <c r="Z50" i="44"/>
  <c r="AB50" i="44" s="1"/>
  <c r="J50" i="44" s="1"/>
  <c r="W50" i="44"/>
  <c r="V50" i="44"/>
  <c r="T50" i="44"/>
  <c r="S50" i="44"/>
  <c r="R50" i="44"/>
  <c r="P50" i="44"/>
  <c r="O50" i="44"/>
  <c r="M50" i="44"/>
  <c r="H50" i="44"/>
  <c r="C50" i="44"/>
  <c r="AB49" i="44"/>
  <c r="J49" i="44" s="1"/>
  <c r="I49" i="44" s="1"/>
  <c r="Z49" i="44"/>
  <c r="W49" i="44"/>
  <c r="V49" i="44"/>
  <c r="T49" i="44"/>
  <c r="S49" i="44"/>
  <c r="R49" i="44"/>
  <c r="P49" i="44"/>
  <c r="O49" i="44"/>
  <c r="M49" i="44"/>
  <c r="K49" i="44"/>
  <c r="H49" i="44"/>
  <c r="C49" i="44"/>
  <c r="AB48" i="44"/>
  <c r="J48" i="44" s="1"/>
  <c r="I48" i="44" s="1"/>
  <c r="Z48" i="44"/>
  <c r="W48" i="44"/>
  <c r="V48" i="44"/>
  <c r="T48" i="44"/>
  <c r="S48" i="44"/>
  <c r="R48" i="44"/>
  <c r="P48" i="44"/>
  <c r="O48" i="44"/>
  <c r="M48" i="44"/>
  <c r="K48" i="44"/>
  <c r="H48" i="44"/>
  <c r="C48" i="44"/>
  <c r="AB47" i="44"/>
  <c r="Z47" i="44"/>
  <c r="W47" i="44"/>
  <c r="V47" i="44"/>
  <c r="P47" i="44"/>
  <c r="O47" i="44"/>
  <c r="Q47" i="44" s="1"/>
  <c r="M47" i="44"/>
  <c r="J47" i="44"/>
  <c r="I47" i="44" s="1"/>
  <c r="H47" i="44"/>
  <c r="C47" i="44"/>
  <c r="Z46" i="44"/>
  <c r="AB46" i="44" s="1"/>
  <c r="J46" i="44" s="1"/>
  <c r="W46" i="44"/>
  <c r="V46" i="44"/>
  <c r="P46" i="44"/>
  <c r="O46" i="44"/>
  <c r="Q46" i="44" s="1"/>
  <c r="M46" i="44"/>
  <c r="H46" i="44"/>
  <c r="C46" i="44"/>
  <c r="Z45" i="44"/>
  <c r="AB45" i="44" s="1"/>
  <c r="W45" i="44"/>
  <c r="V45" i="44"/>
  <c r="P45" i="44"/>
  <c r="O45" i="44"/>
  <c r="Q45" i="44" s="1"/>
  <c r="M45" i="44"/>
  <c r="J45" i="44"/>
  <c r="H45" i="44"/>
  <c r="C45" i="44"/>
  <c r="Z44" i="44"/>
  <c r="AB44" i="44" s="1"/>
  <c r="J44" i="44" s="1"/>
  <c r="K44" i="44" s="1"/>
  <c r="W44" i="44"/>
  <c r="V44" i="44"/>
  <c r="Q44" i="44"/>
  <c r="P44" i="44"/>
  <c r="O44" i="44"/>
  <c r="M44" i="44"/>
  <c r="I44" i="44"/>
  <c r="H44" i="44"/>
  <c r="C44" i="44"/>
  <c r="AB43" i="44"/>
  <c r="J43" i="44" s="1"/>
  <c r="Z43" i="44"/>
  <c r="W43" i="44"/>
  <c r="V43" i="44"/>
  <c r="P43" i="44"/>
  <c r="Q43" i="44" s="1"/>
  <c r="O43" i="44"/>
  <c r="M43" i="44"/>
  <c r="H43" i="44"/>
  <c r="C43" i="44"/>
  <c r="AB42" i="44"/>
  <c r="J42" i="44" s="1"/>
  <c r="Z42" i="44"/>
  <c r="W42" i="44"/>
  <c r="V42" i="44"/>
  <c r="T42" i="44"/>
  <c r="S42" i="44"/>
  <c r="R42" i="44"/>
  <c r="P42" i="44"/>
  <c r="Q42" i="44" s="1"/>
  <c r="O42" i="44"/>
  <c r="M42" i="44"/>
  <c r="H42" i="44"/>
  <c r="C42" i="44"/>
  <c r="AB41" i="44"/>
  <c r="J41" i="44" s="1"/>
  <c r="Z41" i="44"/>
  <c r="W41" i="44"/>
  <c r="V41" i="44"/>
  <c r="P41" i="44"/>
  <c r="O41" i="44"/>
  <c r="Q41" i="44" s="1"/>
  <c r="M41" i="44"/>
  <c r="K41" i="44"/>
  <c r="I41" i="44"/>
  <c r="H41" i="44"/>
  <c r="C41" i="44"/>
  <c r="AB39" i="44"/>
  <c r="J39" i="44" s="1"/>
  <c r="Z39" i="44"/>
  <c r="W39" i="44"/>
  <c r="V39" i="44"/>
  <c r="P39" i="44"/>
  <c r="Q39" i="44" s="1"/>
  <c r="O39" i="44"/>
  <c r="M39" i="44"/>
  <c r="H39" i="44"/>
  <c r="C39" i="44"/>
  <c r="AB38" i="44"/>
  <c r="J38" i="44" s="1"/>
  <c r="I38" i="44" s="1"/>
  <c r="Z38" i="44"/>
  <c r="W38" i="44"/>
  <c r="V38" i="44"/>
  <c r="P38" i="44"/>
  <c r="O38" i="44"/>
  <c r="M38" i="44"/>
  <c r="K38" i="44"/>
  <c r="H38" i="44"/>
  <c r="C38" i="44"/>
  <c r="AB37" i="44"/>
  <c r="Z37" i="44"/>
  <c r="W37" i="44"/>
  <c r="V37" i="44"/>
  <c r="P37" i="44"/>
  <c r="O37" i="44"/>
  <c r="Q37" i="44" s="1"/>
  <c r="M37" i="44"/>
  <c r="K37" i="44"/>
  <c r="J37" i="44"/>
  <c r="I37" i="44" s="1"/>
  <c r="H37" i="44"/>
  <c r="C37" i="44"/>
  <c r="Z36" i="44"/>
  <c r="AB36" i="44" s="1"/>
  <c r="J36" i="44" s="1"/>
  <c r="W36" i="44"/>
  <c r="V36" i="44"/>
  <c r="P36" i="44"/>
  <c r="O36" i="44"/>
  <c r="Q36" i="44" s="1"/>
  <c r="M36" i="44"/>
  <c r="H36" i="44"/>
  <c r="C36" i="44"/>
  <c r="Z35" i="44"/>
  <c r="AB35" i="44" s="1"/>
  <c r="J35" i="44" s="1"/>
  <c r="W35" i="44"/>
  <c r="V35" i="44"/>
  <c r="P35" i="44"/>
  <c r="O35" i="44"/>
  <c r="Q35" i="44" s="1"/>
  <c r="M35" i="44"/>
  <c r="H35" i="44"/>
  <c r="C35" i="44"/>
  <c r="Z34" i="44"/>
  <c r="AB34" i="44" s="1"/>
  <c r="W34" i="44"/>
  <c r="V34" i="44"/>
  <c r="Q34" i="44"/>
  <c r="P34" i="44"/>
  <c r="O34" i="44"/>
  <c r="M34" i="44"/>
  <c r="J34" i="44"/>
  <c r="H34" i="44"/>
  <c r="C34" i="44"/>
  <c r="AB33" i="44"/>
  <c r="J33" i="44" s="1"/>
  <c r="Z33" i="44"/>
  <c r="W33" i="44"/>
  <c r="V33" i="44"/>
  <c r="Q33" i="44"/>
  <c r="P33" i="44"/>
  <c r="O33" i="44"/>
  <c r="M33" i="44"/>
  <c r="H33" i="44"/>
  <c r="C33" i="44"/>
  <c r="AB32" i="44"/>
  <c r="J32" i="44" s="1"/>
  <c r="K32" i="44" s="1"/>
  <c r="Z32" i="44"/>
  <c r="W32" i="44"/>
  <c r="V32" i="44"/>
  <c r="P32" i="44"/>
  <c r="O32" i="44"/>
  <c r="Q32" i="44" s="1"/>
  <c r="M32" i="44"/>
  <c r="I32" i="44"/>
  <c r="H32" i="44"/>
  <c r="C32" i="44"/>
  <c r="AB31" i="44"/>
  <c r="J31" i="44" s="1"/>
  <c r="K31" i="44" s="1"/>
  <c r="Z31" i="44"/>
  <c r="W31" i="44"/>
  <c r="V31" i="44"/>
  <c r="P31" i="44"/>
  <c r="Q31" i="44" s="1"/>
  <c r="O31" i="44"/>
  <c r="M31" i="44"/>
  <c r="I31" i="44"/>
  <c r="H31" i="44"/>
  <c r="C31" i="44"/>
  <c r="AB30" i="44"/>
  <c r="J30" i="44" s="1"/>
  <c r="Z30" i="44"/>
  <c r="W30" i="44"/>
  <c r="V30" i="44"/>
  <c r="P30" i="44"/>
  <c r="O30" i="44"/>
  <c r="Q30" i="44" s="1"/>
  <c r="M30" i="44"/>
  <c r="H30" i="44"/>
  <c r="C30" i="44"/>
  <c r="Z29" i="44"/>
  <c r="AB29" i="44" s="1"/>
  <c r="J29" i="44" s="1"/>
  <c r="W29" i="44"/>
  <c r="V29" i="44"/>
  <c r="P29" i="44"/>
  <c r="O29" i="44"/>
  <c r="Q29" i="44" s="1"/>
  <c r="M29" i="44"/>
  <c r="H29" i="44"/>
  <c r="C29" i="44"/>
  <c r="Z28" i="44"/>
  <c r="AB28" i="44" s="1"/>
  <c r="J28" i="44" s="1"/>
  <c r="W28" i="44"/>
  <c r="V28" i="44"/>
  <c r="Q28" i="44"/>
  <c r="P28" i="44"/>
  <c r="O28" i="44"/>
  <c r="M28" i="44"/>
  <c r="H28" i="44"/>
  <c r="C28" i="44"/>
  <c r="Z27" i="44"/>
  <c r="AB27" i="44" s="1"/>
  <c r="J27" i="44" s="1"/>
  <c r="W27" i="44"/>
  <c r="V27" i="44"/>
  <c r="P27" i="44"/>
  <c r="O27" i="44"/>
  <c r="Q27" i="44" s="1"/>
  <c r="M27" i="44"/>
  <c r="H27" i="44"/>
  <c r="C27" i="44"/>
  <c r="Z26" i="44"/>
  <c r="AB26" i="44" s="1"/>
  <c r="W26" i="44"/>
  <c r="V26" i="44"/>
  <c r="Q26" i="44"/>
  <c r="P26" i="44"/>
  <c r="O26" i="44"/>
  <c r="M26" i="44"/>
  <c r="J26" i="44"/>
  <c r="K26" i="44" s="1"/>
  <c r="H26" i="44"/>
  <c r="C26" i="44"/>
  <c r="AB25" i="44"/>
  <c r="J25" i="44" s="1"/>
  <c r="Z25" i="44"/>
  <c r="W25" i="44"/>
  <c r="V25" i="44"/>
  <c r="Q25" i="44"/>
  <c r="P25" i="44"/>
  <c r="O25" i="44"/>
  <c r="M25" i="44"/>
  <c r="H25" i="44"/>
  <c r="AB24" i="44"/>
  <c r="Z24" i="44"/>
  <c r="W24" i="44"/>
  <c r="V24" i="44"/>
  <c r="P24" i="44"/>
  <c r="O24" i="44"/>
  <c r="Q24" i="44" s="1"/>
  <c r="M24" i="44"/>
  <c r="J24" i="44"/>
  <c r="I24" i="44" s="1"/>
  <c r="H24" i="44"/>
  <c r="AB23" i="44"/>
  <c r="J23" i="44" s="1"/>
  <c r="Z23" i="44"/>
  <c r="W23" i="44"/>
  <c r="V23" i="44"/>
  <c r="Q23" i="44"/>
  <c r="P23" i="44"/>
  <c r="O23" i="44"/>
  <c r="M23" i="44"/>
  <c r="H23" i="44"/>
  <c r="AB22" i="44"/>
  <c r="Z22" i="44"/>
  <c r="W22" i="44"/>
  <c r="V22" i="44"/>
  <c r="P22" i="44"/>
  <c r="O22" i="44"/>
  <c r="Q22" i="44" s="1"/>
  <c r="M22" i="44"/>
  <c r="K22" i="44"/>
  <c r="J22" i="44"/>
  <c r="I22" i="44" s="1"/>
  <c r="H22" i="44"/>
  <c r="AB21" i="44"/>
  <c r="J21" i="44" s="1"/>
  <c r="Z21" i="44"/>
  <c r="W21" i="44"/>
  <c r="V21" i="44"/>
  <c r="P21" i="44"/>
  <c r="Q21" i="44" s="1"/>
  <c r="O21" i="44"/>
  <c r="M21" i="44"/>
  <c r="H21" i="44"/>
  <c r="AB20" i="44"/>
  <c r="Z20" i="44"/>
  <c r="W20" i="44"/>
  <c r="V20" i="44"/>
  <c r="P20" i="44"/>
  <c r="O20" i="44"/>
  <c r="Q20" i="44" s="1"/>
  <c r="M20" i="44"/>
  <c r="K20" i="44"/>
  <c r="J20" i="44"/>
  <c r="I20" i="44" s="1"/>
  <c r="H20" i="44"/>
  <c r="AB19" i="44"/>
  <c r="J19" i="44" s="1"/>
  <c r="Z19" i="44"/>
  <c r="W19" i="44"/>
  <c r="V19" i="44"/>
  <c r="P19" i="44"/>
  <c r="Q19" i="44" s="1"/>
  <c r="O19" i="44"/>
  <c r="M19" i="44"/>
  <c r="H19" i="44"/>
  <c r="Z18" i="44"/>
  <c r="AB18" i="44" s="1"/>
  <c r="J18" i="44" s="1"/>
  <c r="W18" i="44"/>
  <c r="V18" i="44"/>
  <c r="P18" i="44"/>
  <c r="O18" i="44"/>
  <c r="Q18" i="44" s="1"/>
  <c r="M18" i="44"/>
  <c r="H18" i="44"/>
  <c r="AB17" i="44"/>
  <c r="J17" i="44" s="1"/>
  <c r="Z17" i="44"/>
  <c r="W17" i="44"/>
  <c r="V17" i="44"/>
  <c r="P17" i="44"/>
  <c r="Q17" i="44" s="1"/>
  <c r="O17" i="44"/>
  <c r="M17" i="44"/>
  <c r="H17" i="44"/>
  <c r="Z16" i="44"/>
  <c r="AB16" i="44" s="1"/>
  <c r="J16" i="44" s="1"/>
  <c r="W16" i="44"/>
  <c r="V16" i="44"/>
  <c r="P16" i="44"/>
  <c r="O16" i="44"/>
  <c r="Q16" i="44" s="1"/>
  <c r="M16" i="44"/>
  <c r="H16" i="44"/>
  <c r="AB15" i="44"/>
  <c r="J15" i="44" s="1"/>
  <c r="Z15" i="44"/>
  <c r="W15" i="44"/>
  <c r="V15" i="44"/>
  <c r="Q15" i="44"/>
  <c r="P15" i="44"/>
  <c r="O15" i="44"/>
  <c r="M15" i="44"/>
  <c r="H15" i="44"/>
  <c r="Z14" i="44"/>
  <c r="AB14" i="44" s="1"/>
  <c r="J14" i="44" s="1"/>
  <c r="W14" i="44"/>
  <c r="V14" i="44"/>
  <c r="P14" i="44"/>
  <c r="O14" i="44"/>
  <c r="Q14" i="44" s="1"/>
  <c r="M14" i="44"/>
  <c r="H14" i="44"/>
  <c r="AB13" i="44"/>
  <c r="J13" i="44" s="1"/>
  <c r="Z13" i="44"/>
  <c r="W13" i="44"/>
  <c r="V13" i="44"/>
  <c r="Q13" i="44"/>
  <c r="P13" i="44"/>
  <c r="O13" i="44"/>
  <c r="M13" i="44"/>
  <c r="H13" i="44"/>
  <c r="AB12" i="44"/>
  <c r="J12" i="44" s="1"/>
  <c r="Z12" i="44"/>
  <c r="W12" i="44"/>
  <c r="V12" i="44"/>
  <c r="P12" i="44"/>
  <c r="O12" i="44"/>
  <c r="Q12" i="44" s="1"/>
  <c r="M12" i="44"/>
  <c r="H12" i="44"/>
  <c r="AB11" i="44"/>
  <c r="J11" i="44" s="1"/>
  <c r="Z11" i="44"/>
  <c r="W11" i="44"/>
  <c r="V11" i="44"/>
  <c r="Q11" i="44"/>
  <c r="P11" i="44"/>
  <c r="O11" i="44"/>
  <c r="M11" i="44"/>
  <c r="H11" i="44"/>
  <c r="AB10" i="44"/>
  <c r="J10" i="44" s="1"/>
  <c r="Z10" i="44"/>
  <c r="W10" i="44"/>
  <c r="V10" i="44"/>
  <c r="P10" i="44"/>
  <c r="O10" i="44"/>
  <c r="Q10" i="44" s="1"/>
  <c r="M10" i="44"/>
  <c r="H10" i="44"/>
  <c r="AB9" i="44"/>
  <c r="J9" i="44" s="1"/>
  <c r="Z9" i="44"/>
  <c r="W9" i="44"/>
  <c r="V9" i="44"/>
  <c r="Q9" i="44"/>
  <c r="P9" i="44"/>
  <c r="O9" i="44"/>
  <c r="M9" i="44"/>
  <c r="H9" i="44"/>
  <c r="AB8" i="44"/>
  <c r="Z8" i="44"/>
  <c r="W8" i="44"/>
  <c r="V8" i="44"/>
  <c r="P8" i="44"/>
  <c r="O8" i="44"/>
  <c r="Q8" i="44" s="1"/>
  <c r="M8" i="44"/>
  <c r="J8" i="44"/>
  <c r="I8" i="44" s="1"/>
  <c r="H8" i="44"/>
  <c r="AB7" i="44"/>
  <c r="J7" i="44" s="1"/>
  <c r="Z7" i="44"/>
  <c r="W7" i="44"/>
  <c r="V7" i="44"/>
  <c r="Q7" i="44"/>
  <c r="P7" i="44"/>
  <c r="O7" i="44"/>
  <c r="M7" i="44"/>
  <c r="H7" i="44"/>
  <c r="AB6" i="44"/>
  <c r="Z6" i="44"/>
  <c r="W6" i="44"/>
  <c r="V6" i="44"/>
  <c r="P6" i="44"/>
  <c r="O6" i="44"/>
  <c r="Q6" i="44" s="1"/>
  <c r="M6" i="44"/>
  <c r="K6" i="44"/>
  <c r="J6" i="44"/>
  <c r="I6" i="44" s="1"/>
  <c r="H6" i="44"/>
  <c r="AB5" i="44"/>
  <c r="J5" i="44" s="1"/>
  <c r="Z5" i="44"/>
  <c r="W5" i="44"/>
  <c r="V5" i="44"/>
  <c r="P5" i="44"/>
  <c r="Q5" i="44" s="1"/>
  <c r="O5" i="44"/>
  <c r="M5" i="44"/>
  <c r="H5" i="44"/>
  <c r="AB4" i="44"/>
  <c r="Z4" i="44"/>
  <c r="W4" i="44"/>
  <c r="V4" i="44"/>
  <c r="P4" i="44"/>
  <c r="O4" i="44"/>
  <c r="Q4" i="44" s="1"/>
  <c r="M4" i="44"/>
  <c r="K4" i="44"/>
  <c r="J4" i="44"/>
  <c r="H4" i="44"/>
  <c r="AE3" i="44"/>
  <c r="U3" i="44"/>
  <c r="O3" i="44"/>
  <c r="G3" i="44"/>
  <c r="H3" i="44" s="1"/>
  <c r="F3" i="44"/>
  <c r="D3" i="44"/>
  <c r="C3" i="44"/>
  <c r="B3" i="44"/>
  <c r="A2" i="44"/>
  <c r="A1" i="44"/>
  <c r="Z56" i="43"/>
  <c r="AB56" i="43" s="1"/>
  <c r="W56" i="43"/>
  <c r="V56" i="43"/>
  <c r="T56" i="43"/>
  <c r="S56" i="43"/>
  <c r="R56" i="43"/>
  <c r="Q56" i="43"/>
  <c r="P56" i="43"/>
  <c r="O56" i="43"/>
  <c r="M56" i="43"/>
  <c r="J56" i="43"/>
  <c r="K56" i="43" s="1"/>
  <c r="H56" i="43"/>
  <c r="C56" i="43"/>
  <c r="Z55" i="43"/>
  <c r="AB55" i="43" s="1"/>
  <c r="J55" i="43" s="1"/>
  <c r="W55" i="43"/>
  <c r="V55" i="43"/>
  <c r="Q55" i="43"/>
  <c r="P55" i="43"/>
  <c r="O55" i="43"/>
  <c r="M55" i="43"/>
  <c r="H55" i="43"/>
  <c r="C55" i="43"/>
  <c r="AB54" i="43"/>
  <c r="J54" i="43" s="1"/>
  <c r="Z54" i="43"/>
  <c r="W54" i="43"/>
  <c r="V54" i="43"/>
  <c r="T54" i="43"/>
  <c r="S54" i="43"/>
  <c r="R54" i="43"/>
  <c r="Q54" i="43"/>
  <c r="P54" i="43"/>
  <c r="O54" i="43"/>
  <c r="M54" i="43"/>
  <c r="H54" i="43"/>
  <c r="C54" i="43"/>
  <c r="AB53" i="43"/>
  <c r="J53" i="43" s="1"/>
  <c r="Z53" i="43"/>
  <c r="W53" i="43"/>
  <c r="V53" i="43"/>
  <c r="T53" i="43"/>
  <c r="S53" i="43"/>
  <c r="R53" i="43"/>
  <c r="P53" i="43"/>
  <c r="Q53" i="43" s="1"/>
  <c r="O53" i="43"/>
  <c r="M53" i="43"/>
  <c r="H53" i="43"/>
  <c r="C53" i="43"/>
  <c r="AB52" i="43"/>
  <c r="J52" i="43" s="1"/>
  <c r="Z52" i="43"/>
  <c r="W52" i="43"/>
  <c r="V52" i="43"/>
  <c r="T52" i="43"/>
  <c r="S52" i="43"/>
  <c r="R52" i="43"/>
  <c r="P52" i="43"/>
  <c r="Q52" i="43" s="1"/>
  <c r="O52" i="43"/>
  <c r="M52" i="43"/>
  <c r="H52" i="43"/>
  <c r="C52" i="43"/>
  <c r="AB51" i="43"/>
  <c r="J51" i="43" s="1"/>
  <c r="Z51" i="43"/>
  <c r="W51" i="43"/>
  <c r="V51" i="43"/>
  <c r="T51" i="43"/>
  <c r="S51" i="43"/>
  <c r="R51" i="43"/>
  <c r="P51" i="43"/>
  <c r="Q51" i="43" s="1"/>
  <c r="O51" i="43"/>
  <c r="M51" i="43"/>
  <c r="H51" i="43"/>
  <c r="C51" i="43"/>
  <c r="AB50" i="43"/>
  <c r="J50" i="43" s="1"/>
  <c r="Z50" i="43"/>
  <c r="W50" i="43"/>
  <c r="V50" i="43"/>
  <c r="T50" i="43"/>
  <c r="S50" i="43"/>
  <c r="R50" i="43"/>
  <c r="Q50" i="43"/>
  <c r="P50" i="43"/>
  <c r="O50" i="43"/>
  <c r="M50" i="43"/>
  <c r="H50" i="43"/>
  <c r="C50" i="43"/>
  <c r="AB49" i="43"/>
  <c r="J49" i="43" s="1"/>
  <c r="Z49" i="43"/>
  <c r="W49" i="43"/>
  <c r="V49" i="43"/>
  <c r="T49" i="43"/>
  <c r="S49" i="43"/>
  <c r="R49" i="43"/>
  <c r="Q49" i="43"/>
  <c r="P49" i="43"/>
  <c r="O49" i="43"/>
  <c r="M49" i="43"/>
  <c r="H49" i="43"/>
  <c r="C49" i="43"/>
  <c r="AB48" i="43"/>
  <c r="J48" i="43" s="1"/>
  <c r="Z48" i="43"/>
  <c r="W48" i="43"/>
  <c r="V48" i="43"/>
  <c r="T48" i="43"/>
  <c r="S48" i="43"/>
  <c r="R48" i="43"/>
  <c r="Q48" i="43"/>
  <c r="P48" i="43"/>
  <c r="O48" i="43"/>
  <c r="M48" i="43"/>
  <c r="H48" i="43"/>
  <c r="C48" i="43"/>
  <c r="AB47" i="43"/>
  <c r="J47" i="43" s="1"/>
  <c r="Z47" i="43"/>
  <c r="W47" i="43"/>
  <c r="V47" i="43"/>
  <c r="P47" i="43"/>
  <c r="O47" i="43"/>
  <c r="Q47" i="43" s="1"/>
  <c r="M47" i="43"/>
  <c r="K47" i="43"/>
  <c r="I47" i="43"/>
  <c r="H47" i="43"/>
  <c r="C47" i="43"/>
  <c r="AB46" i="43"/>
  <c r="J46" i="43" s="1"/>
  <c r="K46" i="43" s="1"/>
  <c r="Z46" i="43"/>
  <c r="W46" i="43"/>
  <c r="V46" i="43"/>
  <c r="P46" i="43"/>
  <c r="Q46" i="43" s="1"/>
  <c r="O46" i="43"/>
  <c r="M46" i="43"/>
  <c r="I46" i="43"/>
  <c r="H46" i="43"/>
  <c r="C46" i="43"/>
  <c r="AB45" i="43"/>
  <c r="J45" i="43" s="1"/>
  <c r="I45" i="43" s="1"/>
  <c r="Z45" i="43"/>
  <c r="W45" i="43"/>
  <c r="V45" i="43"/>
  <c r="P45" i="43"/>
  <c r="O45" i="43"/>
  <c r="Q45" i="43" s="1"/>
  <c r="M45" i="43"/>
  <c r="K45" i="43"/>
  <c r="H45" i="43"/>
  <c r="C45" i="43"/>
  <c r="AB44" i="43"/>
  <c r="Z44" i="43"/>
  <c r="W44" i="43"/>
  <c r="V44" i="43"/>
  <c r="P44" i="43"/>
  <c r="O44" i="43"/>
  <c r="Q44" i="43" s="1"/>
  <c r="M44" i="43"/>
  <c r="J44" i="43"/>
  <c r="H44" i="43"/>
  <c r="C44" i="43"/>
  <c r="Z43" i="43"/>
  <c r="AB43" i="43" s="1"/>
  <c r="J43" i="43" s="1"/>
  <c r="W43" i="43"/>
  <c r="V43" i="43"/>
  <c r="P43" i="43"/>
  <c r="O43" i="43"/>
  <c r="Q43" i="43" s="1"/>
  <c r="M43" i="43"/>
  <c r="H43" i="43"/>
  <c r="C43" i="43"/>
  <c r="Z42" i="43"/>
  <c r="AB42" i="43" s="1"/>
  <c r="J42" i="43" s="1"/>
  <c r="W42" i="43"/>
  <c r="V42" i="43"/>
  <c r="T42" i="43"/>
  <c r="S42" i="43"/>
  <c r="R42" i="43"/>
  <c r="P42" i="43"/>
  <c r="O42" i="43"/>
  <c r="Q42" i="43" s="1"/>
  <c r="M42" i="43"/>
  <c r="H42" i="43"/>
  <c r="C42" i="43"/>
  <c r="Z41" i="43"/>
  <c r="AB41" i="43" s="1"/>
  <c r="J41" i="43" s="1"/>
  <c r="W41" i="43"/>
  <c r="V41" i="43"/>
  <c r="P41" i="43"/>
  <c r="O41" i="43"/>
  <c r="Q41" i="43" s="1"/>
  <c r="M41" i="43"/>
  <c r="H41" i="43"/>
  <c r="C41" i="43"/>
  <c r="Z39" i="43"/>
  <c r="AB39" i="43" s="1"/>
  <c r="W39" i="43"/>
  <c r="V39" i="43"/>
  <c r="Q39" i="43"/>
  <c r="P39" i="43"/>
  <c r="O39" i="43"/>
  <c r="M39" i="43"/>
  <c r="J39" i="43"/>
  <c r="H39" i="43"/>
  <c r="C39" i="43"/>
  <c r="Z38" i="43"/>
  <c r="AB38" i="43" s="1"/>
  <c r="J38" i="43" s="1"/>
  <c r="W38" i="43"/>
  <c r="V38" i="43"/>
  <c r="P38" i="43"/>
  <c r="Q38" i="43" s="1"/>
  <c r="O38" i="43"/>
  <c r="M38" i="43"/>
  <c r="H38" i="43"/>
  <c r="C38" i="43"/>
  <c r="AB37" i="43"/>
  <c r="J37" i="43" s="1"/>
  <c r="K37" i="43" s="1"/>
  <c r="Z37" i="43"/>
  <c r="W37" i="43"/>
  <c r="V37" i="43"/>
  <c r="P37" i="43"/>
  <c r="O37" i="43"/>
  <c r="Q37" i="43" s="1"/>
  <c r="M37" i="43"/>
  <c r="H37" i="43"/>
  <c r="C37" i="43"/>
  <c r="AB36" i="43"/>
  <c r="J36" i="43" s="1"/>
  <c r="Z36" i="43"/>
  <c r="W36" i="43"/>
  <c r="V36" i="43"/>
  <c r="P36" i="43"/>
  <c r="Q36" i="43" s="1"/>
  <c r="O36" i="43"/>
  <c r="M36" i="43"/>
  <c r="H36" i="43"/>
  <c r="C36" i="43"/>
  <c r="AB35" i="43"/>
  <c r="J35" i="43" s="1"/>
  <c r="I35" i="43" s="1"/>
  <c r="Z35" i="43"/>
  <c r="W35" i="43"/>
  <c r="V35" i="43"/>
  <c r="P35" i="43"/>
  <c r="O35" i="43"/>
  <c r="M35" i="43"/>
  <c r="K35" i="43"/>
  <c r="H35" i="43"/>
  <c r="C35" i="43"/>
  <c r="Z34" i="43"/>
  <c r="AB34" i="43" s="1"/>
  <c r="J34" i="43" s="1"/>
  <c r="W34" i="43"/>
  <c r="V34" i="43"/>
  <c r="P34" i="43"/>
  <c r="O34" i="43"/>
  <c r="Q34" i="43" s="1"/>
  <c r="M34" i="43"/>
  <c r="H34" i="43"/>
  <c r="C34" i="43"/>
  <c r="AB33" i="43"/>
  <c r="J33" i="43" s="1"/>
  <c r="I33" i="43" s="1"/>
  <c r="Z33" i="43"/>
  <c r="W33" i="43"/>
  <c r="V33" i="43"/>
  <c r="P33" i="43"/>
  <c r="O33" i="43"/>
  <c r="Q33" i="43" s="1"/>
  <c r="M33" i="43"/>
  <c r="K33" i="43"/>
  <c r="H33" i="43"/>
  <c r="C33" i="43"/>
  <c r="Z32" i="43"/>
  <c r="AB32" i="43" s="1"/>
  <c r="W32" i="43"/>
  <c r="V32" i="43"/>
  <c r="P32" i="43"/>
  <c r="O32" i="43"/>
  <c r="Q32" i="43" s="1"/>
  <c r="M32" i="43"/>
  <c r="J32" i="43"/>
  <c r="H32" i="43"/>
  <c r="C32" i="43"/>
  <c r="Z31" i="43"/>
  <c r="AB31" i="43" s="1"/>
  <c r="J31" i="43" s="1"/>
  <c r="W31" i="43"/>
  <c r="V31" i="43"/>
  <c r="P31" i="43"/>
  <c r="O31" i="43"/>
  <c r="Q31" i="43" s="1"/>
  <c r="M31" i="43"/>
  <c r="H31" i="43"/>
  <c r="C31" i="43"/>
  <c r="Z30" i="43"/>
  <c r="AB30" i="43" s="1"/>
  <c r="W30" i="43"/>
  <c r="V30" i="43"/>
  <c r="Q30" i="43"/>
  <c r="P30" i="43"/>
  <c r="O30" i="43"/>
  <c r="M30" i="43"/>
  <c r="J30" i="43"/>
  <c r="H30" i="43"/>
  <c r="C30" i="43"/>
  <c r="AB29" i="43"/>
  <c r="J29" i="43" s="1"/>
  <c r="I29" i="43" s="1"/>
  <c r="Z29" i="43"/>
  <c r="W29" i="43"/>
  <c r="V29" i="43"/>
  <c r="Q29" i="43"/>
  <c r="P29" i="43"/>
  <c r="O29" i="43"/>
  <c r="M29" i="43"/>
  <c r="K29" i="43"/>
  <c r="H29" i="43"/>
  <c r="C29" i="43"/>
  <c r="AB28" i="43"/>
  <c r="J28" i="43" s="1"/>
  <c r="K28" i="43" s="1"/>
  <c r="Z28" i="43"/>
  <c r="W28" i="43"/>
  <c r="V28" i="43"/>
  <c r="P28" i="43"/>
  <c r="Q28" i="43" s="1"/>
  <c r="O28" i="43"/>
  <c r="M28" i="43"/>
  <c r="I28" i="43"/>
  <c r="H28" i="43"/>
  <c r="C28" i="43"/>
  <c r="AB27" i="43"/>
  <c r="J27" i="43" s="1"/>
  <c r="Z27" i="43"/>
  <c r="W27" i="43"/>
  <c r="V27" i="43"/>
  <c r="P27" i="43"/>
  <c r="O27" i="43"/>
  <c r="Q27" i="43" s="1"/>
  <c r="M27" i="43"/>
  <c r="K27" i="43"/>
  <c r="I27" i="43"/>
  <c r="H27" i="43"/>
  <c r="C27" i="43"/>
  <c r="AB26" i="43"/>
  <c r="Z26" i="43"/>
  <c r="W26" i="43"/>
  <c r="V26" i="43"/>
  <c r="P26" i="43"/>
  <c r="O26" i="43"/>
  <c r="M26" i="43"/>
  <c r="K26" i="43"/>
  <c r="J26" i="43"/>
  <c r="I26" i="43" s="1"/>
  <c r="H26" i="43"/>
  <c r="C26" i="43"/>
  <c r="AB25" i="43"/>
  <c r="J25" i="43" s="1"/>
  <c r="I25" i="43" s="1"/>
  <c r="Z25" i="43"/>
  <c r="W25" i="43"/>
  <c r="V25" i="43"/>
  <c r="Q25" i="43"/>
  <c r="P25" i="43"/>
  <c r="O25" i="43"/>
  <c r="M25" i="43"/>
  <c r="K25" i="43"/>
  <c r="H25" i="43"/>
  <c r="AB24" i="43"/>
  <c r="J24" i="43" s="1"/>
  <c r="I24" i="43" s="1"/>
  <c r="Z24" i="43"/>
  <c r="W24" i="43"/>
  <c r="V24" i="43"/>
  <c r="Q24" i="43"/>
  <c r="P24" i="43"/>
  <c r="O24" i="43"/>
  <c r="M24" i="43"/>
  <c r="K24" i="43"/>
  <c r="H24" i="43"/>
  <c r="AB23" i="43"/>
  <c r="J23" i="43" s="1"/>
  <c r="I23" i="43" s="1"/>
  <c r="Z23" i="43"/>
  <c r="W23" i="43"/>
  <c r="V23" i="43"/>
  <c r="Q23" i="43"/>
  <c r="P23" i="43"/>
  <c r="O23" i="43"/>
  <c r="M23" i="43"/>
  <c r="K23" i="43"/>
  <c r="H23" i="43"/>
  <c r="AB22" i="43"/>
  <c r="J22" i="43" s="1"/>
  <c r="I22" i="43" s="1"/>
  <c r="Z22" i="43"/>
  <c r="W22" i="43"/>
  <c r="V22" i="43"/>
  <c r="Q22" i="43"/>
  <c r="P22" i="43"/>
  <c r="O22" i="43"/>
  <c r="M22" i="43"/>
  <c r="K22" i="43"/>
  <c r="H22" i="43"/>
  <c r="AB21" i="43"/>
  <c r="J21" i="43" s="1"/>
  <c r="I21" i="43" s="1"/>
  <c r="Z21" i="43"/>
  <c r="W21" i="43"/>
  <c r="V21" i="43"/>
  <c r="P21" i="43"/>
  <c r="O21" i="43"/>
  <c r="Q21" i="43" s="1"/>
  <c r="M21" i="43"/>
  <c r="K21" i="43"/>
  <c r="H21" i="43"/>
  <c r="AB20" i="43"/>
  <c r="J20" i="43" s="1"/>
  <c r="I20" i="43" s="1"/>
  <c r="Z20" i="43"/>
  <c r="W20" i="43"/>
  <c r="V20" i="43"/>
  <c r="Q20" i="43"/>
  <c r="P20" i="43"/>
  <c r="O20" i="43"/>
  <c r="M20" i="43"/>
  <c r="K20" i="43"/>
  <c r="H20" i="43"/>
  <c r="AB19" i="43"/>
  <c r="J19" i="43" s="1"/>
  <c r="I19" i="43" s="1"/>
  <c r="Z19" i="43"/>
  <c r="W19" i="43"/>
  <c r="V19" i="43"/>
  <c r="P19" i="43"/>
  <c r="O19" i="43"/>
  <c r="Q19" i="43" s="1"/>
  <c r="M19" i="43"/>
  <c r="K19" i="43"/>
  <c r="H19" i="43"/>
  <c r="AB18" i="43"/>
  <c r="J18" i="43" s="1"/>
  <c r="I18" i="43" s="1"/>
  <c r="Z18" i="43"/>
  <c r="W18" i="43"/>
  <c r="V18" i="43"/>
  <c r="Q18" i="43"/>
  <c r="P18" i="43"/>
  <c r="O18" i="43"/>
  <c r="M18" i="43"/>
  <c r="K18" i="43"/>
  <c r="H18" i="43"/>
  <c r="AB17" i="43"/>
  <c r="J17" i="43" s="1"/>
  <c r="I17" i="43" s="1"/>
  <c r="Z17" i="43"/>
  <c r="W17" i="43"/>
  <c r="V17" i="43"/>
  <c r="P17" i="43"/>
  <c r="O17" i="43"/>
  <c r="Q17" i="43" s="1"/>
  <c r="M17" i="43"/>
  <c r="K17" i="43"/>
  <c r="H17" i="43"/>
  <c r="AB16" i="43"/>
  <c r="J16" i="43" s="1"/>
  <c r="Z16" i="43"/>
  <c r="W16" i="43"/>
  <c r="V16" i="43"/>
  <c r="Q16" i="43"/>
  <c r="P16" i="43"/>
  <c r="O16" i="43"/>
  <c r="M16" i="43"/>
  <c r="K16" i="43"/>
  <c r="I16" i="43"/>
  <c r="H16" i="43"/>
  <c r="AB15" i="43"/>
  <c r="J15" i="43" s="1"/>
  <c r="I15" i="43" s="1"/>
  <c r="Z15" i="43"/>
  <c r="W15" i="43"/>
  <c r="V15" i="43"/>
  <c r="P15" i="43"/>
  <c r="O15" i="43"/>
  <c r="Q15" i="43" s="1"/>
  <c r="M15" i="43"/>
  <c r="H15" i="43"/>
  <c r="AB14" i="43"/>
  <c r="J14" i="43" s="1"/>
  <c r="Z14" i="43"/>
  <c r="W14" i="43"/>
  <c r="V14" i="43"/>
  <c r="Q14" i="43"/>
  <c r="P14" i="43"/>
  <c r="O14" i="43"/>
  <c r="M14" i="43"/>
  <c r="K14" i="43"/>
  <c r="I14" i="43"/>
  <c r="H14" i="43"/>
  <c r="AB13" i="43"/>
  <c r="J13" i="43" s="1"/>
  <c r="I13" i="43" s="1"/>
  <c r="Z13" i="43"/>
  <c r="W13" i="43"/>
  <c r="V13" i="43"/>
  <c r="P13" i="43"/>
  <c r="O13" i="43"/>
  <c r="Q13" i="43" s="1"/>
  <c r="M13" i="43"/>
  <c r="K13" i="43"/>
  <c r="H13" i="43"/>
  <c r="AB12" i="43"/>
  <c r="J12" i="43" s="1"/>
  <c r="Z12" i="43"/>
  <c r="W12" i="43"/>
  <c r="V12" i="43"/>
  <c r="Q12" i="43"/>
  <c r="P12" i="43"/>
  <c r="O12" i="43"/>
  <c r="M12" i="43"/>
  <c r="K12" i="43"/>
  <c r="I12" i="43"/>
  <c r="H12" i="43"/>
  <c r="AB11" i="43"/>
  <c r="J11" i="43" s="1"/>
  <c r="I11" i="43" s="1"/>
  <c r="Z11" i="43"/>
  <c r="W11" i="43"/>
  <c r="V11" i="43"/>
  <c r="P11" i="43"/>
  <c r="O11" i="43"/>
  <c r="Q11" i="43" s="1"/>
  <c r="M11" i="43"/>
  <c r="K11" i="43"/>
  <c r="H11" i="43"/>
  <c r="AB10" i="43"/>
  <c r="J10" i="43" s="1"/>
  <c r="I10" i="43" s="1"/>
  <c r="Z10" i="43"/>
  <c r="W10" i="43"/>
  <c r="V10" i="43"/>
  <c r="Q10" i="43"/>
  <c r="P10" i="43"/>
  <c r="O10" i="43"/>
  <c r="M10" i="43"/>
  <c r="K10" i="43"/>
  <c r="H10" i="43"/>
  <c r="AB9" i="43"/>
  <c r="J9" i="43" s="1"/>
  <c r="I9" i="43" s="1"/>
  <c r="Z9" i="43"/>
  <c r="W9" i="43"/>
  <c r="V9" i="43"/>
  <c r="Q9" i="43"/>
  <c r="P9" i="43"/>
  <c r="O9" i="43"/>
  <c r="M9" i="43"/>
  <c r="K9" i="43"/>
  <c r="H9" i="43"/>
  <c r="AB8" i="43"/>
  <c r="J8" i="43" s="1"/>
  <c r="I8" i="43" s="1"/>
  <c r="Z8" i="43"/>
  <c r="W8" i="43"/>
  <c r="V8" i="43"/>
  <c r="Q8" i="43"/>
  <c r="P8" i="43"/>
  <c r="O8" i="43"/>
  <c r="M8" i="43"/>
  <c r="K8" i="43"/>
  <c r="H8" i="43"/>
  <c r="AB7" i="43"/>
  <c r="J7" i="43" s="1"/>
  <c r="I7" i="43" s="1"/>
  <c r="Z7" i="43"/>
  <c r="W7" i="43"/>
  <c r="V7" i="43"/>
  <c r="Q7" i="43"/>
  <c r="P7" i="43"/>
  <c r="O7" i="43"/>
  <c r="M7" i="43"/>
  <c r="K7" i="43"/>
  <c r="H7" i="43"/>
  <c r="AB6" i="43"/>
  <c r="J6" i="43" s="1"/>
  <c r="I6" i="43" s="1"/>
  <c r="Z6" i="43"/>
  <c r="W6" i="43"/>
  <c r="V6" i="43"/>
  <c r="Q6" i="43"/>
  <c r="P6" i="43"/>
  <c r="O6" i="43"/>
  <c r="M6" i="43"/>
  <c r="K6" i="43"/>
  <c r="H6" i="43"/>
  <c r="AB5" i="43"/>
  <c r="J5" i="43" s="1"/>
  <c r="I5" i="43" s="1"/>
  <c r="Z5" i="43"/>
  <c r="W5" i="43"/>
  <c r="V5" i="43"/>
  <c r="P5" i="43"/>
  <c r="O5" i="43"/>
  <c r="Q5" i="43" s="1"/>
  <c r="M5" i="43"/>
  <c r="K5" i="43"/>
  <c r="H5" i="43"/>
  <c r="AB4" i="43"/>
  <c r="J4" i="43" s="1"/>
  <c r="Z4" i="43"/>
  <c r="W4" i="43"/>
  <c r="V4" i="43"/>
  <c r="Q4" i="43"/>
  <c r="P4" i="43"/>
  <c r="O4" i="43"/>
  <c r="M4" i="43"/>
  <c r="K4" i="43"/>
  <c r="H4" i="43"/>
  <c r="AE3" i="43"/>
  <c r="U3" i="43"/>
  <c r="O3" i="43"/>
  <c r="H3" i="43"/>
  <c r="G3" i="43"/>
  <c r="F3" i="43"/>
  <c r="D3" i="43"/>
  <c r="C3" i="43"/>
  <c r="B3" i="43"/>
  <c r="A2" i="43"/>
  <c r="A1" i="43"/>
  <c r="AB56" i="42"/>
  <c r="Z56" i="42"/>
  <c r="W56" i="42"/>
  <c r="V56" i="42"/>
  <c r="T56" i="42"/>
  <c r="S56" i="42"/>
  <c r="R56" i="42"/>
  <c r="P56" i="42"/>
  <c r="O56" i="42"/>
  <c r="M56" i="42"/>
  <c r="K56" i="42"/>
  <c r="J56" i="42"/>
  <c r="I56" i="42" s="1"/>
  <c r="H56" i="42"/>
  <c r="C56" i="42"/>
  <c r="AB55" i="42"/>
  <c r="J55" i="42" s="1"/>
  <c r="I55" i="42" s="1"/>
  <c r="Z55" i="42"/>
  <c r="W55" i="42"/>
  <c r="V55" i="42"/>
  <c r="P55" i="42"/>
  <c r="O55" i="42"/>
  <c r="Q55" i="42" s="1"/>
  <c r="M55" i="42"/>
  <c r="H55" i="42"/>
  <c r="C55" i="42"/>
  <c r="Z54" i="42"/>
  <c r="AB54" i="42" s="1"/>
  <c r="J54" i="42" s="1"/>
  <c r="W54" i="42"/>
  <c r="V54" i="42"/>
  <c r="T54" i="42"/>
  <c r="S54" i="42"/>
  <c r="R54" i="42"/>
  <c r="P54" i="42"/>
  <c r="O54" i="42"/>
  <c r="Q54" i="42" s="1"/>
  <c r="M54" i="42"/>
  <c r="H54" i="42"/>
  <c r="C54" i="42"/>
  <c r="Z53" i="42"/>
  <c r="AB53" i="42" s="1"/>
  <c r="J53" i="42" s="1"/>
  <c r="W53" i="42"/>
  <c r="V53" i="42"/>
  <c r="T53" i="42"/>
  <c r="S53" i="42"/>
  <c r="R53" i="42"/>
  <c r="P53" i="42"/>
  <c r="O53" i="42"/>
  <c r="Q53" i="42" s="1"/>
  <c r="M53" i="42"/>
  <c r="H53" i="42"/>
  <c r="C53" i="42"/>
  <c r="Z52" i="42"/>
  <c r="AB52" i="42" s="1"/>
  <c r="J52" i="42" s="1"/>
  <c r="I52" i="42" s="1"/>
  <c r="W52" i="42"/>
  <c r="V52" i="42"/>
  <c r="T52" i="42"/>
  <c r="S52" i="42"/>
  <c r="R52" i="42"/>
  <c r="Q52" i="42"/>
  <c r="P52" i="42"/>
  <c r="O52" i="42"/>
  <c r="M52" i="42"/>
  <c r="K52" i="42"/>
  <c r="H52" i="42"/>
  <c r="C52" i="42"/>
  <c r="Z51" i="42"/>
  <c r="AB51" i="42" s="1"/>
  <c r="J51" i="42" s="1"/>
  <c r="I51" i="42" s="1"/>
  <c r="W51" i="42"/>
  <c r="V51" i="42"/>
  <c r="T51" i="42"/>
  <c r="S51" i="42"/>
  <c r="R51" i="42"/>
  <c r="Q51" i="42"/>
  <c r="P51" i="42"/>
  <c r="O51" i="42"/>
  <c r="M51" i="42"/>
  <c r="K51" i="42"/>
  <c r="H51" i="42"/>
  <c r="C51" i="42"/>
  <c r="Z50" i="42"/>
  <c r="AB50" i="42" s="1"/>
  <c r="J50" i="42" s="1"/>
  <c r="I50" i="42" s="1"/>
  <c r="W50" i="42"/>
  <c r="V50" i="42"/>
  <c r="T50" i="42"/>
  <c r="S50" i="42"/>
  <c r="R50" i="42"/>
  <c r="P50" i="42"/>
  <c r="O50" i="42"/>
  <c r="Q50" i="42" s="1"/>
  <c r="M50" i="42"/>
  <c r="K50" i="42"/>
  <c r="H50" i="42"/>
  <c r="C50" i="42"/>
  <c r="Z49" i="42"/>
  <c r="AB49" i="42" s="1"/>
  <c r="J49" i="42" s="1"/>
  <c r="I49" i="42" s="1"/>
  <c r="W49" i="42"/>
  <c r="V49" i="42"/>
  <c r="T49" i="42"/>
  <c r="S49" i="42"/>
  <c r="R49" i="42"/>
  <c r="P49" i="42"/>
  <c r="O49" i="42"/>
  <c r="Q49" i="42" s="1"/>
  <c r="M49" i="42"/>
  <c r="K49" i="42"/>
  <c r="H49" i="42"/>
  <c r="C49" i="42"/>
  <c r="Z48" i="42"/>
  <c r="AB48" i="42" s="1"/>
  <c r="J48" i="42" s="1"/>
  <c r="I48" i="42" s="1"/>
  <c r="W48" i="42"/>
  <c r="V48" i="42"/>
  <c r="T48" i="42"/>
  <c r="S48" i="42"/>
  <c r="R48" i="42"/>
  <c r="P48" i="42"/>
  <c r="O48" i="42"/>
  <c r="Q48" i="42" s="1"/>
  <c r="M48" i="42"/>
  <c r="K48" i="42"/>
  <c r="H48" i="42"/>
  <c r="C48" i="42"/>
  <c r="Z47" i="42"/>
  <c r="AB47" i="42" s="1"/>
  <c r="J47" i="42" s="1"/>
  <c r="W47" i="42"/>
  <c r="V47" i="42"/>
  <c r="P47" i="42"/>
  <c r="O47" i="42"/>
  <c r="Q47" i="42" s="1"/>
  <c r="M47" i="42"/>
  <c r="H47" i="42"/>
  <c r="C47" i="42"/>
  <c r="Z46" i="42"/>
  <c r="AB46" i="42" s="1"/>
  <c r="W46" i="42"/>
  <c r="V46" i="42"/>
  <c r="P46" i="42"/>
  <c r="O46" i="42"/>
  <c r="Q46" i="42" s="1"/>
  <c r="M46" i="42"/>
  <c r="J46" i="42"/>
  <c r="K46" i="42" s="1"/>
  <c r="H46" i="42"/>
  <c r="C46" i="42"/>
  <c r="Z45" i="42"/>
  <c r="AB45" i="42" s="1"/>
  <c r="W45" i="42"/>
  <c r="V45" i="42"/>
  <c r="P45" i="42"/>
  <c r="Q45" i="42" s="1"/>
  <c r="O45" i="42"/>
  <c r="M45" i="42"/>
  <c r="J45" i="42"/>
  <c r="H45" i="42"/>
  <c r="C45" i="42"/>
  <c r="AB44" i="42"/>
  <c r="J44" i="42" s="1"/>
  <c r="I44" i="42" s="1"/>
  <c r="Z44" i="42"/>
  <c r="W44" i="42"/>
  <c r="V44" i="42"/>
  <c r="Q44" i="42"/>
  <c r="P44" i="42"/>
  <c r="O44" i="42"/>
  <c r="M44" i="42"/>
  <c r="K44" i="42"/>
  <c r="H44" i="42"/>
  <c r="C44" i="42"/>
  <c r="AB43" i="42"/>
  <c r="J43" i="42" s="1"/>
  <c r="Z43" i="42"/>
  <c r="W43" i="42"/>
  <c r="V43" i="42"/>
  <c r="P43" i="42"/>
  <c r="Q43" i="42" s="1"/>
  <c r="O43" i="42"/>
  <c r="M43" i="42"/>
  <c r="H43" i="42"/>
  <c r="C43" i="42"/>
  <c r="AB42" i="42"/>
  <c r="J42" i="42" s="1"/>
  <c r="K42" i="42" s="1"/>
  <c r="Z42" i="42"/>
  <c r="W42" i="42"/>
  <c r="V42" i="42"/>
  <c r="T42" i="42"/>
  <c r="S42" i="42"/>
  <c r="R42" i="42"/>
  <c r="P42" i="42"/>
  <c r="Q42" i="42" s="1"/>
  <c r="O42" i="42"/>
  <c r="M42" i="42"/>
  <c r="I42" i="42"/>
  <c r="H42" i="42"/>
  <c r="C42" i="42"/>
  <c r="AB41" i="42"/>
  <c r="J41" i="42" s="1"/>
  <c r="Z41" i="42"/>
  <c r="W41" i="42"/>
  <c r="V41" i="42"/>
  <c r="P41" i="42"/>
  <c r="O41" i="42"/>
  <c r="M41" i="42"/>
  <c r="K41" i="42"/>
  <c r="I41" i="42"/>
  <c r="H41" i="42"/>
  <c r="C41" i="42"/>
  <c r="Z39" i="42"/>
  <c r="AB39" i="42" s="1"/>
  <c r="J39" i="42" s="1"/>
  <c r="W39" i="42"/>
  <c r="V39" i="42"/>
  <c r="P39" i="42"/>
  <c r="O39" i="42"/>
  <c r="M39" i="42"/>
  <c r="H39" i="42"/>
  <c r="C39" i="42"/>
  <c r="AB38" i="42"/>
  <c r="J38" i="42" s="1"/>
  <c r="I38" i="42" s="1"/>
  <c r="Z38" i="42"/>
  <c r="W38" i="42"/>
  <c r="V38" i="42"/>
  <c r="P38" i="42"/>
  <c r="O38" i="42"/>
  <c r="Q38" i="42" s="1"/>
  <c r="M38" i="42"/>
  <c r="K38" i="42"/>
  <c r="H38" i="42"/>
  <c r="C38" i="42"/>
  <c r="Z37" i="42"/>
  <c r="AB37" i="42" s="1"/>
  <c r="J37" i="42" s="1"/>
  <c r="W37" i="42"/>
  <c r="V37" i="42"/>
  <c r="P37" i="42"/>
  <c r="O37" i="42"/>
  <c r="Q37" i="42" s="1"/>
  <c r="M37" i="42"/>
  <c r="H37" i="42"/>
  <c r="C37" i="42"/>
  <c r="Z36" i="42"/>
  <c r="AB36" i="42" s="1"/>
  <c r="W36" i="42"/>
  <c r="V36" i="42"/>
  <c r="P36" i="42"/>
  <c r="O36" i="42"/>
  <c r="Q36" i="42" s="1"/>
  <c r="M36" i="42"/>
  <c r="J36" i="42"/>
  <c r="H36" i="42"/>
  <c r="C36" i="42"/>
  <c r="Z35" i="42"/>
  <c r="AB35" i="42" s="1"/>
  <c r="W35" i="42"/>
  <c r="V35" i="42"/>
  <c r="P35" i="42"/>
  <c r="Q35" i="42" s="1"/>
  <c r="O35" i="42"/>
  <c r="M35" i="42"/>
  <c r="J35" i="42"/>
  <c r="H35" i="42"/>
  <c r="C35" i="42"/>
  <c r="AB34" i="42"/>
  <c r="J34" i="42" s="1"/>
  <c r="I34" i="42" s="1"/>
  <c r="Z34" i="42"/>
  <c r="W34" i="42"/>
  <c r="V34" i="42"/>
  <c r="Q34" i="42"/>
  <c r="P34" i="42"/>
  <c r="O34" i="42"/>
  <c r="M34" i="42"/>
  <c r="K34" i="42"/>
  <c r="H34" i="42"/>
  <c r="C34" i="42"/>
  <c r="AB33" i="42"/>
  <c r="J33" i="42" s="1"/>
  <c r="K33" i="42" s="1"/>
  <c r="Z33" i="42"/>
  <c r="W33" i="42"/>
  <c r="V33" i="42"/>
  <c r="P33" i="42"/>
  <c r="Q33" i="42" s="1"/>
  <c r="O33" i="42"/>
  <c r="M33" i="42"/>
  <c r="I33" i="42"/>
  <c r="H33" i="42"/>
  <c r="C33" i="42"/>
  <c r="AB32" i="42"/>
  <c r="J32" i="42" s="1"/>
  <c r="Z32" i="42"/>
  <c r="W32" i="42"/>
  <c r="V32" i="42"/>
  <c r="P32" i="42"/>
  <c r="O32" i="42"/>
  <c r="M32" i="42"/>
  <c r="K32" i="42"/>
  <c r="I32" i="42"/>
  <c r="H32" i="42"/>
  <c r="C32" i="42"/>
  <c r="Z31" i="42"/>
  <c r="AB31" i="42" s="1"/>
  <c r="J31" i="42" s="1"/>
  <c r="W31" i="42"/>
  <c r="V31" i="42"/>
  <c r="P31" i="42"/>
  <c r="O31" i="42"/>
  <c r="M31" i="42"/>
  <c r="H31" i="42"/>
  <c r="C31" i="42"/>
  <c r="AB30" i="42"/>
  <c r="J30" i="42" s="1"/>
  <c r="I30" i="42" s="1"/>
  <c r="Z30" i="42"/>
  <c r="W30" i="42"/>
  <c r="V30" i="42"/>
  <c r="P30" i="42"/>
  <c r="O30" i="42"/>
  <c r="Q30" i="42" s="1"/>
  <c r="M30" i="42"/>
  <c r="K30" i="42"/>
  <c r="H30" i="42"/>
  <c r="C30" i="42"/>
  <c r="Z29" i="42"/>
  <c r="AB29" i="42" s="1"/>
  <c r="W29" i="42"/>
  <c r="V29" i="42"/>
  <c r="P29" i="42"/>
  <c r="O29" i="42"/>
  <c r="Q29" i="42" s="1"/>
  <c r="M29" i="42"/>
  <c r="J29" i="42"/>
  <c r="H29" i="42"/>
  <c r="C29" i="42"/>
  <c r="Z28" i="42"/>
  <c r="AB28" i="42" s="1"/>
  <c r="J28" i="42" s="1"/>
  <c r="W28" i="42"/>
  <c r="V28" i="42"/>
  <c r="P28" i="42"/>
  <c r="O28" i="42"/>
  <c r="Q28" i="42" s="1"/>
  <c r="M28" i="42"/>
  <c r="H28" i="42"/>
  <c r="C28" i="42"/>
  <c r="Z27" i="42"/>
  <c r="AB27" i="42" s="1"/>
  <c r="W27" i="42"/>
  <c r="V27" i="42"/>
  <c r="Q27" i="42"/>
  <c r="P27" i="42"/>
  <c r="O27" i="42"/>
  <c r="M27" i="42"/>
  <c r="J27" i="42"/>
  <c r="H27" i="42"/>
  <c r="C27" i="42"/>
  <c r="AB26" i="42"/>
  <c r="J26" i="42" s="1"/>
  <c r="I26" i="42" s="1"/>
  <c r="Z26" i="42"/>
  <c r="W26" i="42"/>
  <c r="V26" i="42"/>
  <c r="Q26" i="42"/>
  <c r="P26" i="42"/>
  <c r="O26" i="42"/>
  <c r="M26" i="42"/>
  <c r="K26" i="42"/>
  <c r="H26" i="42"/>
  <c r="C26" i="42"/>
  <c r="AB25" i="42"/>
  <c r="J25" i="42" s="1"/>
  <c r="K25" i="42" s="1"/>
  <c r="Z25" i="42"/>
  <c r="W25" i="42"/>
  <c r="V25" i="42"/>
  <c r="P25" i="42"/>
  <c r="Q25" i="42" s="1"/>
  <c r="O25" i="42"/>
  <c r="M25" i="42"/>
  <c r="I25" i="42"/>
  <c r="H25" i="42"/>
  <c r="Z24" i="42"/>
  <c r="AB24" i="42" s="1"/>
  <c r="J24" i="42" s="1"/>
  <c r="W24" i="42"/>
  <c r="V24" i="42"/>
  <c r="P24" i="42"/>
  <c r="O24" i="42"/>
  <c r="Q24" i="42" s="1"/>
  <c r="M24" i="42"/>
  <c r="H24" i="42"/>
  <c r="AB23" i="42"/>
  <c r="J23" i="42" s="1"/>
  <c r="Z23" i="42"/>
  <c r="W23" i="42"/>
  <c r="V23" i="42"/>
  <c r="P23" i="42"/>
  <c r="Q23" i="42" s="1"/>
  <c r="O23" i="42"/>
  <c r="M23" i="42"/>
  <c r="H23" i="42"/>
  <c r="Z22" i="42"/>
  <c r="AB22" i="42" s="1"/>
  <c r="J22" i="42" s="1"/>
  <c r="W22" i="42"/>
  <c r="V22" i="42"/>
  <c r="P22" i="42"/>
  <c r="O22" i="42"/>
  <c r="Q22" i="42" s="1"/>
  <c r="M22" i="42"/>
  <c r="H22" i="42"/>
  <c r="AB21" i="42"/>
  <c r="J21" i="42" s="1"/>
  <c r="K21" i="42" s="1"/>
  <c r="Z21" i="42"/>
  <c r="W21" i="42"/>
  <c r="V21" i="42"/>
  <c r="P21" i="42"/>
  <c r="Q21" i="42" s="1"/>
  <c r="O21" i="42"/>
  <c r="M21" i="42"/>
  <c r="I21" i="42"/>
  <c r="H21" i="42"/>
  <c r="Z20" i="42"/>
  <c r="AB20" i="42" s="1"/>
  <c r="W20" i="42"/>
  <c r="V20" i="42"/>
  <c r="P20" i="42"/>
  <c r="O20" i="42"/>
  <c r="Q20" i="42" s="1"/>
  <c r="M20" i="42"/>
  <c r="J20" i="42"/>
  <c r="H20" i="42"/>
  <c r="AB19" i="42"/>
  <c r="J19" i="42" s="1"/>
  <c r="K19" i="42" s="1"/>
  <c r="Z19" i="42"/>
  <c r="W19" i="42"/>
  <c r="V19" i="42"/>
  <c r="P19" i="42"/>
  <c r="Q19" i="42" s="1"/>
  <c r="O19" i="42"/>
  <c r="M19" i="42"/>
  <c r="I19" i="42"/>
  <c r="H19" i="42"/>
  <c r="Z18" i="42"/>
  <c r="AB18" i="42" s="1"/>
  <c r="J18" i="42" s="1"/>
  <c r="W18" i="42"/>
  <c r="V18" i="42"/>
  <c r="P18" i="42"/>
  <c r="O18" i="42"/>
  <c r="Q18" i="42" s="1"/>
  <c r="M18" i="42"/>
  <c r="H18" i="42"/>
  <c r="AB17" i="42"/>
  <c r="J17" i="42" s="1"/>
  <c r="Z17" i="42"/>
  <c r="W17" i="42"/>
  <c r="V17" i="42"/>
  <c r="P17" i="42"/>
  <c r="Q17" i="42" s="1"/>
  <c r="O17" i="42"/>
  <c r="M17" i="42"/>
  <c r="H17" i="42"/>
  <c r="Z16" i="42"/>
  <c r="AB16" i="42" s="1"/>
  <c r="J16" i="42" s="1"/>
  <c r="W16" i="42"/>
  <c r="V16" i="42"/>
  <c r="P16" i="42"/>
  <c r="O16" i="42"/>
  <c r="Q16" i="42" s="1"/>
  <c r="M16" i="42"/>
  <c r="H16" i="42"/>
  <c r="AB15" i="42"/>
  <c r="J15" i="42" s="1"/>
  <c r="K15" i="42" s="1"/>
  <c r="Z15" i="42"/>
  <c r="W15" i="42"/>
  <c r="V15" i="42"/>
  <c r="P15" i="42"/>
  <c r="Q15" i="42" s="1"/>
  <c r="O15" i="42"/>
  <c r="M15" i="42"/>
  <c r="I15" i="42"/>
  <c r="H15" i="42"/>
  <c r="Z14" i="42"/>
  <c r="AB14" i="42" s="1"/>
  <c r="W14" i="42"/>
  <c r="V14" i="42"/>
  <c r="P14" i="42"/>
  <c r="O14" i="42"/>
  <c r="Q14" i="42" s="1"/>
  <c r="M14" i="42"/>
  <c r="J14" i="42"/>
  <c r="H14" i="42"/>
  <c r="AB13" i="42"/>
  <c r="J13" i="42" s="1"/>
  <c r="K13" i="42" s="1"/>
  <c r="Z13" i="42"/>
  <c r="W13" i="42"/>
  <c r="V13" i="42"/>
  <c r="P13" i="42"/>
  <c r="Q13" i="42" s="1"/>
  <c r="O13" i="42"/>
  <c r="M13" i="42"/>
  <c r="I13" i="42"/>
  <c r="H13" i="42"/>
  <c r="Z12" i="42"/>
  <c r="AB12" i="42" s="1"/>
  <c r="J12" i="42" s="1"/>
  <c r="W12" i="42"/>
  <c r="V12" i="42"/>
  <c r="P12" i="42"/>
  <c r="O12" i="42"/>
  <c r="Q12" i="42" s="1"/>
  <c r="M12" i="42"/>
  <c r="H12" i="42"/>
  <c r="AB11" i="42"/>
  <c r="J11" i="42" s="1"/>
  <c r="K11" i="42" s="1"/>
  <c r="Z11" i="42"/>
  <c r="W11" i="42"/>
  <c r="V11" i="42"/>
  <c r="P11" i="42"/>
  <c r="Q11" i="42" s="1"/>
  <c r="O11" i="42"/>
  <c r="M11" i="42"/>
  <c r="H11" i="42"/>
  <c r="Z10" i="42"/>
  <c r="AB10" i="42" s="1"/>
  <c r="J10" i="42" s="1"/>
  <c r="W10" i="42"/>
  <c r="V10" i="42"/>
  <c r="P10" i="42"/>
  <c r="O10" i="42"/>
  <c r="Q10" i="42" s="1"/>
  <c r="M10" i="42"/>
  <c r="H10" i="42"/>
  <c r="AB9" i="42"/>
  <c r="J9" i="42" s="1"/>
  <c r="K9" i="42" s="1"/>
  <c r="Z9" i="42"/>
  <c r="W9" i="42"/>
  <c r="V9" i="42"/>
  <c r="P9" i="42"/>
  <c r="Q9" i="42" s="1"/>
  <c r="O9" i="42"/>
  <c r="M9" i="42"/>
  <c r="I9" i="42"/>
  <c r="H9" i="42"/>
  <c r="Z8" i="42"/>
  <c r="AB8" i="42" s="1"/>
  <c r="J8" i="42" s="1"/>
  <c r="W8" i="42"/>
  <c r="V8" i="42"/>
  <c r="P8" i="42"/>
  <c r="O8" i="42"/>
  <c r="Q8" i="42" s="1"/>
  <c r="M8" i="42"/>
  <c r="H8" i="42"/>
  <c r="AB7" i="42"/>
  <c r="J7" i="42" s="1"/>
  <c r="Z7" i="42"/>
  <c r="W7" i="42"/>
  <c r="V7" i="42"/>
  <c r="P7" i="42"/>
  <c r="Q7" i="42" s="1"/>
  <c r="O7" i="42"/>
  <c r="M7" i="42"/>
  <c r="H7" i="42"/>
  <c r="Z6" i="42"/>
  <c r="AB6" i="42" s="1"/>
  <c r="J6" i="42" s="1"/>
  <c r="W6" i="42"/>
  <c r="V6" i="42"/>
  <c r="P6" i="42"/>
  <c r="O6" i="42"/>
  <c r="Q6" i="42" s="1"/>
  <c r="M6" i="42"/>
  <c r="H6" i="42"/>
  <c r="AB5" i="42"/>
  <c r="J5" i="42" s="1"/>
  <c r="K5" i="42" s="1"/>
  <c r="Z5" i="42"/>
  <c r="W5" i="42"/>
  <c r="W3" i="42" s="1"/>
  <c r="V5" i="42"/>
  <c r="P5" i="42"/>
  <c r="Q5" i="42" s="1"/>
  <c r="O5" i="42"/>
  <c r="M5" i="42"/>
  <c r="I5" i="42"/>
  <c r="H5" i="42"/>
  <c r="Z4" i="42"/>
  <c r="AB4" i="42" s="1"/>
  <c r="W4" i="42"/>
  <c r="V4" i="42"/>
  <c r="P4" i="42"/>
  <c r="O4" i="42"/>
  <c r="Q4" i="42" s="1"/>
  <c r="M4" i="42"/>
  <c r="J4" i="42"/>
  <c r="H4" i="42"/>
  <c r="AE3" i="42"/>
  <c r="U3" i="42"/>
  <c r="O3" i="42"/>
  <c r="G3" i="42"/>
  <c r="F3" i="42"/>
  <c r="H3" i="42" s="1"/>
  <c r="D3" i="42"/>
  <c r="C3" i="42"/>
  <c r="B3" i="42"/>
  <c r="A2" i="42"/>
  <c r="A1" i="42"/>
  <c r="AB56" i="41"/>
  <c r="J56" i="41" s="1"/>
  <c r="K56" i="41" s="1"/>
  <c r="Z56" i="41"/>
  <c r="W56" i="41"/>
  <c r="V56" i="41"/>
  <c r="T56" i="41"/>
  <c r="S56" i="41"/>
  <c r="R56" i="41"/>
  <c r="Q56" i="41"/>
  <c r="P56" i="41"/>
  <c r="O56" i="41"/>
  <c r="M56" i="41"/>
  <c r="I56" i="41"/>
  <c r="H56" i="41"/>
  <c r="C56" i="41"/>
  <c r="AB55" i="41"/>
  <c r="J55" i="41" s="1"/>
  <c r="K55" i="41" s="1"/>
  <c r="Z55" i="41"/>
  <c r="W55" i="41"/>
  <c r="V55" i="41"/>
  <c r="V3" i="41" s="1"/>
  <c r="P55" i="41"/>
  <c r="Q55" i="41" s="1"/>
  <c r="O55" i="41"/>
  <c r="M55" i="41"/>
  <c r="H55" i="41"/>
  <c r="C55" i="41"/>
  <c r="AB54" i="41"/>
  <c r="J54" i="41" s="1"/>
  <c r="Z54" i="41"/>
  <c r="W54" i="41"/>
  <c r="V54" i="41"/>
  <c r="T54" i="41"/>
  <c r="S54" i="41"/>
  <c r="R54" i="41"/>
  <c r="P54" i="41"/>
  <c r="Q54" i="41" s="1"/>
  <c r="O54" i="41"/>
  <c r="M54" i="41"/>
  <c r="H54" i="41"/>
  <c r="C54" i="41"/>
  <c r="AB53" i="41"/>
  <c r="J53" i="41" s="1"/>
  <c r="K53" i="41" s="1"/>
  <c r="Z53" i="41"/>
  <c r="W53" i="41"/>
  <c r="V53" i="41"/>
  <c r="T53" i="41"/>
  <c r="S53" i="41"/>
  <c r="R53" i="41"/>
  <c r="P53" i="41"/>
  <c r="Q53" i="41" s="1"/>
  <c r="O53" i="41"/>
  <c r="M53" i="41"/>
  <c r="I53" i="41"/>
  <c r="H53" i="41"/>
  <c r="C53" i="41"/>
  <c r="AB52" i="41"/>
  <c r="J52" i="41" s="1"/>
  <c r="K52" i="41" s="1"/>
  <c r="Z52" i="41"/>
  <c r="W52" i="41"/>
  <c r="V52" i="41"/>
  <c r="T52" i="41"/>
  <c r="S52" i="41"/>
  <c r="R52" i="41"/>
  <c r="P52" i="41"/>
  <c r="Q52" i="41" s="1"/>
  <c r="O52" i="41"/>
  <c r="M52" i="41"/>
  <c r="I52" i="41"/>
  <c r="H52" i="41"/>
  <c r="C52" i="41"/>
  <c r="AB51" i="41"/>
  <c r="J51" i="41" s="1"/>
  <c r="K51" i="41" s="1"/>
  <c r="Z51" i="41"/>
  <c r="W51" i="41"/>
  <c r="V51" i="41"/>
  <c r="T51" i="41"/>
  <c r="S51" i="41"/>
  <c r="R51" i="41"/>
  <c r="P51" i="41"/>
  <c r="Q51" i="41" s="1"/>
  <c r="O51" i="41"/>
  <c r="M51" i="41"/>
  <c r="I51" i="41"/>
  <c r="H51" i="41"/>
  <c r="C51" i="41"/>
  <c r="AB50" i="41"/>
  <c r="J50" i="41" s="1"/>
  <c r="K50" i="41" s="1"/>
  <c r="Z50" i="41"/>
  <c r="W50" i="41"/>
  <c r="V50" i="41"/>
  <c r="T50" i="41"/>
  <c r="S50" i="41"/>
  <c r="R50" i="41"/>
  <c r="P50" i="41"/>
  <c r="Q50" i="41" s="1"/>
  <c r="O50" i="41"/>
  <c r="M50" i="41"/>
  <c r="I50" i="41"/>
  <c r="H50" i="41"/>
  <c r="C50" i="41"/>
  <c r="AB49" i="41"/>
  <c r="J49" i="41" s="1"/>
  <c r="K49" i="41" s="1"/>
  <c r="Z49" i="41"/>
  <c r="W49" i="41"/>
  <c r="V49" i="41"/>
  <c r="T49" i="41"/>
  <c r="S49" i="41"/>
  <c r="R49" i="41"/>
  <c r="P49" i="41"/>
  <c r="Q49" i="41" s="1"/>
  <c r="O49" i="41"/>
  <c r="M49" i="41"/>
  <c r="I49" i="41"/>
  <c r="H49" i="41"/>
  <c r="C49" i="41"/>
  <c r="AB48" i="41"/>
  <c r="J48" i="41" s="1"/>
  <c r="I48" i="41" s="1"/>
  <c r="Z48" i="41"/>
  <c r="W48" i="41"/>
  <c r="W3" i="41" s="1"/>
  <c r="V48" i="41"/>
  <c r="T48" i="41"/>
  <c r="S48" i="41"/>
  <c r="R48" i="41"/>
  <c r="P48" i="41"/>
  <c r="Q48" i="41" s="1"/>
  <c r="O48" i="41"/>
  <c r="M48" i="41"/>
  <c r="K48" i="41"/>
  <c r="H48" i="41"/>
  <c r="C48" i="41"/>
  <c r="AE3" i="41"/>
  <c r="U3" i="41"/>
  <c r="O3" i="41"/>
  <c r="G3" i="41"/>
  <c r="F3" i="41"/>
  <c r="H3" i="41" s="1"/>
  <c r="D3" i="41"/>
  <c r="C3" i="41"/>
  <c r="B3" i="41"/>
  <c r="A2" i="41"/>
  <c r="A1" i="41"/>
  <c r="AB56" i="40"/>
  <c r="J56" i="40" s="1"/>
  <c r="Z56" i="40"/>
  <c r="W56" i="40"/>
  <c r="V56" i="40"/>
  <c r="T56" i="40"/>
  <c r="S56" i="40"/>
  <c r="R56" i="40"/>
  <c r="P56" i="40"/>
  <c r="Q56" i="40" s="1"/>
  <c r="O56" i="40"/>
  <c r="M56" i="40"/>
  <c r="K56" i="40"/>
  <c r="I56" i="40"/>
  <c r="H56" i="40"/>
  <c r="C56" i="40"/>
  <c r="AB55" i="40"/>
  <c r="J55" i="40" s="1"/>
  <c r="Z55" i="40"/>
  <c r="W55" i="40"/>
  <c r="V55" i="40"/>
  <c r="P55" i="40"/>
  <c r="O55" i="40"/>
  <c r="M55" i="40"/>
  <c r="H55" i="40"/>
  <c r="C55" i="40"/>
  <c r="AB54" i="40"/>
  <c r="J54" i="40" s="1"/>
  <c r="Z54" i="40"/>
  <c r="W54" i="40"/>
  <c r="V54" i="40"/>
  <c r="T54" i="40"/>
  <c r="S54" i="40"/>
  <c r="R54" i="40"/>
  <c r="P54" i="40"/>
  <c r="O54" i="40"/>
  <c r="Q54" i="40" s="1"/>
  <c r="M54" i="40"/>
  <c r="H54" i="40"/>
  <c r="C54" i="40"/>
  <c r="AB53" i="40"/>
  <c r="J53" i="40" s="1"/>
  <c r="Z53" i="40"/>
  <c r="W53" i="40"/>
  <c r="V53" i="40"/>
  <c r="T53" i="40"/>
  <c r="S53" i="40"/>
  <c r="R53" i="40"/>
  <c r="P53" i="40"/>
  <c r="O53" i="40"/>
  <c r="M53" i="40"/>
  <c r="K53" i="40"/>
  <c r="I53" i="40"/>
  <c r="H53" i="40"/>
  <c r="C53" i="40"/>
  <c r="Z52" i="40"/>
  <c r="AB52" i="40" s="1"/>
  <c r="J52" i="40" s="1"/>
  <c r="W52" i="40"/>
  <c r="V52" i="40"/>
  <c r="T52" i="40"/>
  <c r="S52" i="40"/>
  <c r="R52" i="40"/>
  <c r="P52" i="40"/>
  <c r="O52" i="40"/>
  <c r="M52" i="40"/>
  <c r="H52" i="40"/>
  <c r="C52" i="40"/>
  <c r="Z51" i="40"/>
  <c r="AB51" i="40" s="1"/>
  <c r="J51" i="40" s="1"/>
  <c r="K51" i="40" s="1"/>
  <c r="W51" i="40"/>
  <c r="V51" i="40"/>
  <c r="T51" i="40"/>
  <c r="S51" i="40"/>
  <c r="R51" i="40"/>
  <c r="P51" i="40"/>
  <c r="O51" i="40"/>
  <c r="M51" i="40"/>
  <c r="I51" i="40"/>
  <c r="H51" i="40"/>
  <c r="C51" i="40"/>
  <c r="AB50" i="40"/>
  <c r="J50" i="40" s="1"/>
  <c r="Z50" i="40"/>
  <c r="W50" i="40"/>
  <c r="V50" i="40"/>
  <c r="T50" i="40"/>
  <c r="S50" i="40"/>
  <c r="R50" i="40"/>
  <c r="P50" i="40"/>
  <c r="O50" i="40"/>
  <c r="Q50" i="40" s="1"/>
  <c r="M50" i="40"/>
  <c r="H50" i="40"/>
  <c r="C50" i="40"/>
  <c r="AB49" i="40"/>
  <c r="J49" i="40" s="1"/>
  <c r="Z49" i="40"/>
  <c r="W49" i="40"/>
  <c r="V49" i="40"/>
  <c r="T49" i="40"/>
  <c r="S49" i="40"/>
  <c r="R49" i="40"/>
  <c r="P49" i="40"/>
  <c r="O49" i="40"/>
  <c r="M49" i="40"/>
  <c r="K49" i="40"/>
  <c r="I49" i="40"/>
  <c r="H49" i="40"/>
  <c r="C49" i="40"/>
  <c r="Z48" i="40"/>
  <c r="AB48" i="40" s="1"/>
  <c r="J48" i="40" s="1"/>
  <c r="W48" i="40"/>
  <c r="V48" i="40"/>
  <c r="T48" i="40"/>
  <c r="S48" i="40"/>
  <c r="R48" i="40"/>
  <c r="P48" i="40"/>
  <c r="O48" i="40"/>
  <c r="M48" i="40"/>
  <c r="H48" i="40"/>
  <c r="C48" i="40"/>
  <c r="Z47" i="40"/>
  <c r="AB47" i="40" s="1"/>
  <c r="J47" i="40" s="1"/>
  <c r="W47" i="40"/>
  <c r="V47" i="40"/>
  <c r="P47" i="40"/>
  <c r="O47" i="40"/>
  <c r="M47" i="40"/>
  <c r="H47" i="40"/>
  <c r="C47" i="40"/>
  <c r="AB46" i="40"/>
  <c r="J46" i="40" s="1"/>
  <c r="I46" i="40" s="1"/>
  <c r="Z46" i="40"/>
  <c r="W46" i="40"/>
  <c r="V46" i="40"/>
  <c r="Q46" i="40"/>
  <c r="P46" i="40"/>
  <c r="O46" i="40"/>
  <c r="M46" i="40"/>
  <c r="K46" i="40"/>
  <c r="H46" i="40"/>
  <c r="C46" i="40"/>
  <c r="Z45" i="40"/>
  <c r="AB45" i="40" s="1"/>
  <c r="W45" i="40"/>
  <c r="V45" i="40"/>
  <c r="P45" i="40"/>
  <c r="O45" i="40"/>
  <c r="Q45" i="40" s="1"/>
  <c r="M45" i="40"/>
  <c r="J45" i="40"/>
  <c r="H45" i="40"/>
  <c r="C45" i="40"/>
  <c r="Z44" i="40"/>
  <c r="AB44" i="40" s="1"/>
  <c r="J44" i="40" s="1"/>
  <c r="W44" i="40"/>
  <c r="V44" i="40"/>
  <c r="P44" i="40"/>
  <c r="O44" i="40"/>
  <c r="Q44" i="40" s="1"/>
  <c r="M44" i="40"/>
  <c r="H44" i="40"/>
  <c r="C44" i="40"/>
  <c r="Z43" i="40"/>
  <c r="AB43" i="40" s="1"/>
  <c r="W43" i="40"/>
  <c r="V43" i="40"/>
  <c r="Q43" i="40"/>
  <c r="P43" i="40"/>
  <c r="O43" i="40"/>
  <c r="M43" i="40"/>
  <c r="J43" i="40"/>
  <c r="H43" i="40"/>
  <c r="C43" i="40"/>
  <c r="AB42" i="40"/>
  <c r="J42" i="40" s="1"/>
  <c r="K42" i="40" s="1"/>
  <c r="Z42" i="40"/>
  <c r="W42" i="40"/>
  <c r="V42" i="40"/>
  <c r="T42" i="40"/>
  <c r="S42" i="40"/>
  <c r="R42" i="40"/>
  <c r="Q42" i="40"/>
  <c r="P42" i="40"/>
  <c r="O42" i="40"/>
  <c r="M42" i="40"/>
  <c r="I42" i="40"/>
  <c r="H42" i="40"/>
  <c r="C42" i="40"/>
  <c r="AB41" i="40"/>
  <c r="J41" i="40" s="1"/>
  <c r="I41" i="40" s="1"/>
  <c r="Z41" i="40"/>
  <c r="W41" i="40"/>
  <c r="V41" i="40"/>
  <c r="P41" i="40"/>
  <c r="Q41" i="40" s="1"/>
  <c r="O41" i="40"/>
  <c r="M41" i="40"/>
  <c r="H41" i="40"/>
  <c r="C41" i="40"/>
  <c r="AB39" i="40"/>
  <c r="J39" i="40" s="1"/>
  <c r="Z39" i="40"/>
  <c r="W39" i="40"/>
  <c r="V39" i="40"/>
  <c r="P39" i="40"/>
  <c r="Q39" i="40" s="1"/>
  <c r="O39" i="40"/>
  <c r="M39" i="40"/>
  <c r="K39" i="40"/>
  <c r="I39" i="40"/>
  <c r="H39" i="40"/>
  <c r="C39" i="40"/>
  <c r="AB38" i="40"/>
  <c r="J38" i="40" s="1"/>
  <c r="Z38" i="40"/>
  <c r="W38" i="40"/>
  <c r="V38" i="40"/>
  <c r="P38" i="40"/>
  <c r="O38" i="40"/>
  <c r="M38" i="40"/>
  <c r="K38" i="40"/>
  <c r="I38" i="40"/>
  <c r="H38" i="40"/>
  <c r="C38" i="40"/>
  <c r="Z37" i="40"/>
  <c r="AB37" i="40" s="1"/>
  <c r="J37" i="40" s="1"/>
  <c r="W37" i="40"/>
  <c r="V37" i="40"/>
  <c r="P37" i="40"/>
  <c r="O37" i="40"/>
  <c r="M37" i="40"/>
  <c r="H37" i="40"/>
  <c r="C37" i="40"/>
  <c r="AB36" i="40"/>
  <c r="J36" i="40" s="1"/>
  <c r="I36" i="40" s="1"/>
  <c r="Z36" i="40"/>
  <c r="W36" i="40"/>
  <c r="V36" i="40"/>
  <c r="P36" i="40"/>
  <c r="O36" i="40"/>
  <c r="Q36" i="40" s="1"/>
  <c r="M36" i="40"/>
  <c r="H36" i="40"/>
  <c r="C36" i="40"/>
  <c r="Z35" i="40"/>
  <c r="AB35" i="40" s="1"/>
  <c r="W35" i="40"/>
  <c r="V35" i="40"/>
  <c r="P35" i="40"/>
  <c r="O35" i="40"/>
  <c r="Q35" i="40" s="1"/>
  <c r="M35" i="40"/>
  <c r="J35" i="40"/>
  <c r="H35" i="40"/>
  <c r="C35" i="40"/>
  <c r="Z34" i="40"/>
  <c r="AB34" i="40" s="1"/>
  <c r="J34" i="40" s="1"/>
  <c r="W34" i="40"/>
  <c r="V34" i="40"/>
  <c r="P34" i="40"/>
  <c r="O34" i="40"/>
  <c r="Q34" i="40" s="1"/>
  <c r="M34" i="40"/>
  <c r="H34" i="40"/>
  <c r="C34" i="40"/>
  <c r="Z33" i="40"/>
  <c r="AB33" i="40" s="1"/>
  <c r="W33" i="40"/>
  <c r="V33" i="40"/>
  <c r="P33" i="40"/>
  <c r="O33" i="40"/>
  <c r="Q33" i="40" s="1"/>
  <c r="M33" i="40"/>
  <c r="J33" i="40"/>
  <c r="H33" i="40"/>
  <c r="C33" i="40"/>
  <c r="AB32" i="40"/>
  <c r="J32" i="40" s="1"/>
  <c r="Z32" i="40"/>
  <c r="W32" i="40"/>
  <c r="V32" i="40"/>
  <c r="Q32" i="40"/>
  <c r="P32" i="40"/>
  <c r="O32" i="40"/>
  <c r="M32" i="40"/>
  <c r="H32" i="40"/>
  <c r="C32" i="40"/>
  <c r="AB31" i="40"/>
  <c r="J31" i="40" s="1"/>
  <c r="I31" i="40" s="1"/>
  <c r="Z31" i="40"/>
  <c r="W31" i="40"/>
  <c r="V31" i="40"/>
  <c r="P31" i="40"/>
  <c r="Q31" i="40" s="1"/>
  <c r="O31" i="40"/>
  <c r="M31" i="40"/>
  <c r="K31" i="40"/>
  <c r="H31" i="40"/>
  <c r="C31" i="40"/>
  <c r="AB30" i="40"/>
  <c r="J30" i="40" s="1"/>
  <c r="Z30" i="40"/>
  <c r="W30" i="40"/>
  <c r="V30" i="40"/>
  <c r="P30" i="40"/>
  <c r="O30" i="40"/>
  <c r="M30" i="40"/>
  <c r="K30" i="40"/>
  <c r="I30" i="40"/>
  <c r="H30" i="40"/>
  <c r="C30" i="40"/>
  <c r="AB29" i="40"/>
  <c r="J29" i="40" s="1"/>
  <c r="Z29" i="40"/>
  <c r="W29" i="40"/>
  <c r="V29" i="40"/>
  <c r="V3" i="40" s="1"/>
  <c r="P29" i="40"/>
  <c r="O29" i="40"/>
  <c r="M29" i="40"/>
  <c r="H29" i="40"/>
  <c r="C29" i="40"/>
  <c r="AB28" i="40"/>
  <c r="J28" i="40" s="1"/>
  <c r="Z28" i="40"/>
  <c r="W28" i="40"/>
  <c r="V28" i="40"/>
  <c r="Q28" i="40"/>
  <c r="P28" i="40"/>
  <c r="O28" i="40"/>
  <c r="M28" i="40"/>
  <c r="H28" i="40"/>
  <c r="C28" i="40"/>
  <c r="AB27" i="40"/>
  <c r="J27" i="40" s="1"/>
  <c r="I27" i="40" s="1"/>
  <c r="Z27" i="40"/>
  <c r="W27" i="40"/>
  <c r="V27" i="40"/>
  <c r="P27" i="40"/>
  <c r="O27" i="40"/>
  <c r="Q27" i="40" s="1"/>
  <c r="M27" i="40"/>
  <c r="K27" i="40"/>
  <c r="H27" i="40"/>
  <c r="C27" i="40"/>
  <c r="Z26" i="40"/>
  <c r="AB26" i="40" s="1"/>
  <c r="W26" i="40"/>
  <c r="V26" i="40"/>
  <c r="P26" i="40"/>
  <c r="O26" i="40"/>
  <c r="Q26" i="40" s="1"/>
  <c r="M26" i="40"/>
  <c r="J26" i="40"/>
  <c r="H26" i="40"/>
  <c r="C26" i="40"/>
  <c r="Z25" i="40"/>
  <c r="AB25" i="40" s="1"/>
  <c r="W25" i="40"/>
  <c r="V25" i="40"/>
  <c r="P25" i="40"/>
  <c r="O25" i="40"/>
  <c r="Q25" i="40" s="1"/>
  <c r="M25" i="40"/>
  <c r="J25" i="40"/>
  <c r="K25" i="40" s="1"/>
  <c r="H25" i="40"/>
  <c r="AB24" i="40"/>
  <c r="Z24" i="40"/>
  <c r="W24" i="40"/>
  <c r="V24" i="40"/>
  <c r="P24" i="40"/>
  <c r="O24" i="40"/>
  <c r="Q24" i="40" s="1"/>
  <c r="M24" i="40"/>
  <c r="K24" i="40"/>
  <c r="J24" i="40"/>
  <c r="I24" i="40" s="1"/>
  <c r="H24" i="40"/>
  <c r="Z23" i="40"/>
  <c r="AB23" i="40" s="1"/>
  <c r="W23" i="40"/>
  <c r="V23" i="40"/>
  <c r="P23" i="40"/>
  <c r="O23" i="40"/>
  <c r="Q23" i="40" s="1"/>
  <c r="M23" i="40"/>
  <c r="J23" i="40"/>
  <c r="H23" i="40"/>
  <c r="AB22" i="40"/>
  <c r="Z22" i="40"/>
  <c r="W22" i="40"/>
  <c r="V22" i="40"/>
  <c r="P22" i="40"/>
  <c r="O22" i="40"/>
  <c r="Q22" i="40" s="1"/>
  <c r="M22" i="40"/>
  <c r="J22" i="40"/>
  <c r="K22" i="40" s="1"/>
  <c r="H22" i="40"/>
  <c r="Z21" i="40"/>
  <c r="AB21" i="40" s="1"/>
  <c r="W21" i="40"/>
  <c r="V21" i="40"/>
  <c r="P21" i="40"/>
  <c r="O21" i="40"/>
  <c r="Q21" i="40" s="1"/>
  <c r="M21" i="40"/>
  <c r="J21" i="40"/>
  <c r="H21" i="40"/>
  <c r="AB20" i="40"/>
  <c r="Z20" i="40"/>
  <c r="W20" i="40"/>
  <c r="V20" i="40"/>
  <c r="P20" i="40"/>
  <c r="O20" i="40"/>
  <c r="Q20" i="40" s="1"/>
  <c r="M20" i="40"/>
  <c r="J20" i="40"/>
  <c r="H20" i="40"/>
  <c r="Z19" i="40"/>
  <c r="AB19" i="40" s="1"/>
  <c r="J19" i="40" s="1"/>
  <c r="W19" i="40"/>
  <c r="V19" i="40"/>
  <c r="P19" i="40"/>
  <c r="O19" i="40"/>
  <c r="Q19" i="40" s="1"/>
  <c r="M19" i="40"/>
  <c r="H19" i="40"/>
  <c r="AB18" i="40"/>
  <c r="Z18" i="40"/>
  <c r="W18" i="40"/>
  <c r="V18" i="40"/>
  <c r="P18" i="40"/>
  <c r="O18" i="40"/>
  <c r="M18" i="40"/>
  <c r="J18" i="40"/>
  <c r="H18" i="40"/>
  <c r="Z17" i="40"/>
  <c r="AB17" i="40" s="1"/>
  <c r="J17" i="40" s="1"/>
  <c r="K17" i="40" s="1"/>
  <c r="W17" i="40"/>
  <c r="V17" i="40"/>
  <c r="P17" i="40"/>
  <c r="O17" i="40"/>
  <c r="Q17" i="40" s="1"/>
  <c r="M17" i="40"/>
  <c r="I17" i="40"/>
  <c r="H17" i="40"/>
  <c r="Z16" i="40"/>
  <c r="AB16" i="40" s="1"/>
  <c r="J16" i="40" s="1"/>
  <c r="W16" i="40"/>
  <c r="V16" i="40"/>
  <c r="P16" i="40"/>
  <c r="O16" i="40"/>
  <c r="M16" i="40"/>
  <c r="H16" i="40"/>
  <c r="Z15" i="40"/>
  <c r="AB15" i="40" s="1"/>
  <c r="J15" i="40" s="1"/>
  <c r="K15" i="40" s="1"/>
  <c r="W15" i="40"/>
  <c r="V15" i="40"/>
  <c r="Q15" i="40"/>
  <c r="P15" i="40"/>
  <c r="O15" i="40"/>
  <c r="M15" i="40"/>
  <c r="I15" i="40"/>
  <c r="H15" i="40"/>
  <c r="Z14" i="40"/>
  <c r="AB14" i="40" s="1"/>
  <c r="J14" i="40" s="1"/>
  <c r="K14" i="40" s="1"/>
  <c r="W14" i="40"/>
  <c r="V14" i="40"/>
  <c r="P14" i="40"/>
  <c r="O14" i="40"/>
  <c r="M14" i="40"/>
  <c r="I14" i="40"/>
  <c r="H14" i="40"/>
  <c r="Z13" i="40"/>
  <c r="AB13" i="40" s="1"/>
  <c r="W13" i="40"/>
  <c r="V13" i="40"/>
  <c r="Q13" i="40"/>
  <c r="P13" i="40"/>
  <c r="O13" i="40"/>
  <c r="M13" i="40"/>
  <c r="J13" i="40"/>
  <c r="K13" i="40" s="1"/>
  <c r="H13" i="40"/>
  <c r="Z12" i="40"/>
  <c r="AB12" i="40" s="1"/>
  <c r="J12" i="40" s="1"/>
  <c r="K12" i="40" s="1"/>
  <c r="W12" i="40"/>
  <c r="V12" i="40"/>
  <c r="P12" i="40"/>
  <c r="O12" i="40"/>
  <c r="M12" i="40"/>
  <c r="I12" i="40"/>
  <c r="H12" i="40"/>
  <c r="Z11" i="40"/>
  <c r="AB11" i="40" s="1"/>
  <c r="W11" i="40"/>
  <c r="V11" i="40"/>
  <c r="P11" i="40"/>
  <c r="O11" i="40"/>
  <c r="Q11" i="40" s="1"/>
  <c r="M11" i="40"/>
  <c r="J11" i="40"/>
  <c r="K11" i="40" s="1"/>
  <c r="H11" i="40"/>
  <c r="AB10" i="40"/>
  <c r="Z10" i="40"/>
  <c r="W10" i="40"/>
  <c r="V10" i="40"/>
  <c r="P10" i="40"/>
  <c r="O10" i="40"/>
  <c r="M10" i="40"/>
  <c r="K10" i="40"/>
  <c r="J10" i="40"/>
  <c r="I10" i="40" s="1"/>
  <c r="H10" i="40"/>
  <c r="Z9" i="40"/>
  <c r="AB9" i="40" s="1"/>
  <c r="W9" i="40"/>
  <c r="V9" i="40"/>
  <c r="P9" i="40"/>
  <c r="O9" i="40"/>
  <c r="M9" i="40"/>
  <c r="J9" i="40"/>
  <c r="K9" i="40" s="1"/>
  <c r="H9" i="40"/>
  <c r="AB8" i="40"/>
  <c r="Z8" i="40"/>
  <c r="W8" i="40"/>
  <c r="V8" i="40"/>
  <c r="P8" i="40"/>
  <c r="O8" i="40"/>
  <c r="Q8" i="40" s="1"/>
  <c r="M8" i="40"/>
  <c r="K8" i="40"/>
  <c r="J8" i="40"/>
  <c r="I8" i="40" s="1"/>
  <c r="H8" i="40"/>
  <c r="Z7" i="40"/>
  <c r="AB7" i="40" s="1"/>
  <c r="W7" i="40"/>
  <c r="V7" i="40"/>
  <c r="P7" i="40"/>
  <c r="O7" i="40"/>
  <c r="M7" i="40"/>
  <c r="J7" i="40"/>
  <c r="H7" i="40"/>
  <c r="AB6" i="40"/>
  <c r="Z6" i="40"/>
  <c r="W6" i="40"/>
  <c r="V6" i="40"/>
  <c r="P6" i="40"/>
  <c r="O6" i="40"/>
  <c r="Q6" i="40" s="1"/>
  <c r="M6" i="40"/>
  <c r="J6" i="40"/>
  <c r="K6" i="40" s="1"/>
  <c r="H6" i="40"/>
  <c r="Z5" i="40"/>
  <c r="AB5" i="40" s="1"/>
  <c r="W5" i="40"/>
  <c r="V5" i="40"/>
  <c r="P5" i="40"/>
  <c r="O5" i="40"/>
  <c r="Q5" i="40" s="1"/>
  <c r="M5" i="40"/>
  <c r="J5" i="40"/>
  <c r="H5" i="40"/>
  <c r="AB4" i="40"/>
  <c r="J4" i="40" s="1"/>
  <c r="Z4" i="40"/>
  <c r="W4" i="40"/>
  <c r="V4" i="40"/>
  <c r="P4" i="40"/>
  <c r="O4" i="40"/>
  <c r="Q4" i="40" s="1"/>
  <c r="M4" i="40"/>
  <c r="H4" i="40"/>
  <c r="AE3" i="40"/>
  <c r="U3" i="40"/>
  <c r="O3" i="40"/>
  <c r="G3" i="40"/>
  <c r="H3" i="40" s="1"/>
  <c r="F3" i="40"/>
  <c r="D3" i="40"/>
  <c r="C3" i="40"/>
  <c r="B3" i="40"/>
  <c r="A2" i="40"/>
  <c r="A1" i="40"/>
  <c r="Z56" i="39"/>
  <c r="AB56" i="39" s="1"/>
  <c r="W56" i="39"/>
  <c r="V56" i="39"/>
  <c r="T56" i="39"/>
  <c r="S56" i="39"/>
  <c r="R56" i="39"/>
  <c r="Q56" i="39"/>
  <c r="P56" i="39"/>
  <c r="O56" i="39"/>
  <c r="M56" i="39"/>
  <c r="J56" i="39"/>
  <c r="K56" i="39" s="1"/>
  <c r="I56" i="39"/>
  <c r="H56" i="39"/>
  <c r="C56" i="39"/>
  <c r="Z55" i="39"/>
  <c r="AB55" i="39" s="1"/>
  <c r="J55" i="39" s="1"/>
  <c r="K55" i="39" s="1"/>
  <c r="W55" i="39"/>
  <c r="V55" i="39"/>
  <c r="P55" i="39"/>
  <c r="O55" i="39"/>
  <c r="Q55" i="39" s="1"/>
  <c r="M55" i="39"/>
  <c r="I55" i="39"/>
  <c r="H55" i="39"/>
  <c r="C55" i="39"/>
  <c r="AB54" i="39"/>
  <c r="J54" i="39" s="1"/>
  <c r="Z54" i="39"/>
  <c r="W54" i="39"/>
  <c r="V54" i="39"/>
  <c r="T54" i="39"/>
  <c r="S54" i="39"/>
  <c r="R54" i="39"/>
  <c r="P54" i="39"/>
  <c r="O54" i="39"/>
  <c r="Q54" i="39" s="1"/>
  <c r="M54" i="39"/>
  <c r="H54" i="39"/>
  <c r="C54" i="39"/>
  <c r="Z53" i="39"/>
  <c r="AB53" i="39" s="1"/>
  <c r="J53" i="39" s="1"/>
  <c r="W53" i="39"/>
  <c r="V53" i="39"/>
  <c r="T53" i="39"/>
  <c r="S53" i="39"/>
  <c r="R53" i="39"/>
  <c r="P53" i="39"/>
  <c r="O53" i="39"/>
  <c r="Q53" i="39" s="1"/>
  <c r="M53" i="39"/>
  <c r="H53" i="39"/>
  <c r="C53" i="39"/>
  <c r="AB52" i="39"/>
  <c r="J52" i="39" s="1"/>
  <c r="K52" i="39" s="1"/>
  <c r="Z52" i="39"/>
  <c r="W52" i="39"/>
  <c r="V52" i="39"/>
  <c r="T52" i="39"/>
  <c r="S52" i="39"/>
  <c r="R52" i="39"/>
  <c r="Q52" i="39"/>
  <c r="P52" i="39"/>
  <c r="O52" i="39"/>
  <c r="M52" i="39"/>
  <c r="H52" i="39"/>
  <c r="C52" i="39"/>
  <c r="AB51" i="39"/>
  <c r="J51" i="39" s="1"/>
  <c r="Z51" i="39"/>
  <c r="W51" i="39"/>
  <c r="V51" i="39"/>
  <c r="T51" i="39"/>
  <c r="S51" i="39"/>
  <c r="R51" i="39"/>
  <c r="P51" i="39"/>
  <c r="O51" i="39"/>
  <c r="Q51" i="39" s="1"/>
  <c r="M51" i="39"/>
  <c r="H51" i="39"/>
  <c r="C51" i="39"/>
  <c r="Z50" i="39"/>
  <c r="AB50" i="39" s="1"/>
  <c r="J50" i="39" s="1"/>
  <c r="W50" i="39"/>
  <c r="W3" i="39" s="1"/>
  <c r="V50" i="39"/>
  <c r="T50" i="39"/>
  <c r="S50" i="39"/>
  <c r="R50" i="39"/>
  <c r="P50" i="39"/>
  <c r="O50" i="39"/>
  <c r="Q50" i="39" s="1"/>
  <c r="M50" i="39"/>
  <c r="H50" i="39"/>
  <c r="C50" i="39"/>
  <c r="AE3" i="39"/>
  <c r="V3" i="39"/>
  <c r="U3" i="39"/>
  <c r="O3" i="39"/>
  <c r="H3" i="39"/>
  <c r="G3" i="39"/>
  <c r="F3" i="39"/>
  <c r="D3" i="39"/>
  <c r="C3" i="39"/>
  <c r="A2" i="39"/>
  <c r="A1" i="39"/>
  <c r="Z56" i="38"/>
  <c r="AB56" i="38" s="1"/>
  <c r="J56" i="38" s="1"/>
  <c r="W56" i="38"/>
  <c r="V56" i="38"/>
  <c r="T56" i="38"/>
  <c r="S56" i="38"/>
  <c r="R56" i="38"/>
  <c r="P56" i="38"/>
  <c r="O56" i="38"/>
  <c r="M56" i="38"/>
  <c r="H56" i="38"/>
  <c r="C56" i="38"/>
  <c r="Z55" i="38"/>
  <c r="AB55" i="38" s="1"/>
  <c r="J55" i="38" s="1"/>
  <c r="W55" i="38"/>
  <c r="W3" i="38" s="1"/>
  <c r="V55" i="38"/>
  <c r="P55" i="38"/>
  <c r="O55" i="38"/>
  <c r="M55" i="38"/>
  <c r="H55" i="38"/>
  <c r="C55" i="38"/>
  <c r="AB54" i="38"/>
  <c r="Z54" i="38"/>
  <c r="W54" i="38"/>
  <c r="V54" i="38"/>
  <c r="T54" i="38"/>
  <c r="S54" i="38"/>
  <c r="R54" i="38"/>
  <c r="P54" i="38"/>
  <c r="O54" i="38"/>
  <c r="M54" i="38"/>
  <c r="K54" i="38"/>
  <c r="J54" i="38"/>
  <c r="I54" i="38" s="1"/>
  <c r="H54" i="38"/>
  <c r="C54" i="38"/>
  <c r="AB53" i="38"/>
  <c r="Z53" i="38"/>
  <c r="W53" i="38"/>
  <c r="V53" i="38"/>
  <c r="T53" i="38"/>
  <c r="S53" i="38"/>
  <c r="R53" i="38"/>
  <c r="P53" i="38"/>
  <c r="O53" i="38"/>
  <c r="Q53" i="38" s="1"/>
  <c r="M53" i="38"/>
  <c r="J53" i="38"/>
  <c r="H53" i="38"/>
  <c r="C53" i="38"/>
  <c r="Z52" i="38"/>
  <c r="AB52" i="38" s="1"/>
  <c r="J52" i="38" s="1"/>
  <c r="W52" i="38"/>
  <c r="V52" i="38"/>
  <c r="T52" i="38"/>
  <c r="S52" i="38"/>
  <c r="R52" i="38"/>
  <c r="P52" i="38"/>
  <c r="O52" i="38"/>
  <c r="M52" i="38"/>
  <c r="H52" i="38"/>
  <c r="C52" i="38"/>
  <c r="AB51" i="38"/>
  <c r="J51" i="38" s="1"/>
  <c r="I51" i="38" s="1"/>
  <c r="Z51" i="38"/>
  <c r="W51" i="38"/>
  <c r="V51" i="38"/>
  <c r="T51" i="38"/>
  <c r="S51" i="38"/>
  <c r="R51" i="38"/>
  <c r="P51" i="38"/>
  <c r="O51" i="38"/>
  <c r="Q51" i="38" s="1"/>
  <c r="M51" i="38"/>
  <c r="K51" i="38"/>
  <c r="H51" i="38"/>
  <c r="C51" i="38"/>
  <c r="Z50" i="38"/>
  <c r="AB50" i="38" s="1"/>
  <c r="W50" i="38"/>
  <c r="V50" i="38"/>
  <c r="T50" i="38"/>
  <c r="S50" i="38"/>
  <c r="R50" i="38"/>
  <c r="P50" i="38"/>
  <c r="O50" i="38"/>
  <c r="M50" i="38"/>
  <c r="J50" i="38"/>
  <c r="H50" i="38"/>
  <c r="C50" i="38"/>
  <c r="AE3" i="38"/>
  <c r="U3" i="38"/>
  <c r="O3" i="38"/>
  <c r="G3" i="38"/>
  <c r="H3" i="38" s="1"/>
  <c r="F3" i="38"/>
  <c r="D3" i="38"/>
  <c r="C3" i="38"/>
  <c r="B3" i="38"/>
  <c r="A2" i="38"/>
  <c r="A1" i="38"/>
  <c r="Z56" i="37"/>
  <c r="AB56" i="37" s="1"/>
  <c r="J56" i="37" s="1"/>
  <c r="W56" i="37"/>
  <c r="V56" i="37"/>
  <c r="T56" i="37"/>
  <c r="S56" i="37"/>
  <c r="R56" i="37"/>
  <c r="P56" i="37"/>
  <c r="O56" i="37"/>
  <c r="M56" i="37"/>
  <c r="H56" i="37"/>
  <c r="C56" i="37"/>
  <c r="AB55" i="37"/>
  <c r="J55" i="37" s="1"/>
  <c r="Z55" i="37"/>
  <c r="W55" i="37"/>
  <c r="V55" i="37"/>
  <c r="P55" i="37"/>
  <c r="O55" i="37"/>
  <c r="Q55" i="37" s="1"/>
  <c r="M55" i="37"/>
  <c r="H55" i="37"/>
  <c r="C55" i="37"/>
  <c r="Z54" i="37"/>
  <c r="AB54" i="37" s="1"/>
  <c r="J54" i="37" s="1"/>
  <c r="I54" i="37" s="1"/>
  <c r="W54" i="37"/>
  <c r="V54" i="37"/>
  <c r="T54" i="37"/>
  <c r="S54" i="37"/>
  <c r="R54" i="37"/>
  <c r="P54" i="37"/>
  <c r="O54" i="37"/>
  <c r="Q54" i="37" s="1"/>
  <c r="M54" i="37"/>
  <c r="K54" i="37"/>
  <c r="H54" i="37"/>
  <c r="C54" i="37"/>
  <c r="AB53" i="37"/>
  <c r="Z53" i="37"/>
  <c r="W53" i="37"/>
  <c r="V53" i="37"/>
  <c r="T53" i="37"/>
  <c r="S53" i="37"/>
  <c r="R53" i="37"/>
  <c r="Q53" i="37"/>
  <c r="P53" i="37"/>
  <c r="O53" i="37"/>
  <c r="M53" i="37"/>
  <c r="J53" i="37"/>
  <c r="H53" i="37"/>
  <c r="C53" i="37"/>
  <c r="AB52" i="37"/>
  <c r="J52" i="37" s="1"/>
  <c r="Z52" i="37"/>
  <c r="W52" i="37"/>
  <c r="V52" i="37"/>
  <c r="T52" i="37"/>
  <c r="S52" i="37"/>
  <c r="R52" i="37"/>
  <c r="P52" i="37"/>
  <c r="O52" i="37"/>
  <c r="Q52" i="37" s="1"/>
  <c r="M52" i="37"/>
  <c r="H52" i="37"/>
  <c r="C52" i="37"/>
  <c r="Z51" i="37"/>
  <c r="AB51" i="37" s="1"/>
  <c r="J51" i="37" s="1"/>
  <c r="W51" i="37"/>
  <c r="V51" i="37"/>
  <c r="T51" i="37"/>
  <c r="S51" i="37"/>
  <c r="R51" i="37"/>
  <c r="P51" i="37"/>
  <c r="O51" i="37"/>
  <c r="Q51" i="37" s="1"/>
  <c r="M51" i="37"/>
  <c r="H51" i="37"/>
  <c r="C51" i="37"/>
  <c r="AB50" i="37"/>
  <c r="J50" i="37" s="1"/>
  <c r="Z50" i="37"/>
  <c r="W50" i="37"/>
  <c r="V50" i="37"/>
  <c r="T50" i="37"/>
  <c r="S50" i="37"/>
  <c r="R50" i="37"/>
  <c r="Q50" i="37"/>
  <c r="P50" i="37"/>
  <c r="O50" i="37"/>
  <c r="M50" i="37"/>
  <c r="H50" i="37"/>
  <c r="C50" i="37"/>
  <c r="AE3" i="37"/>
  <c r="W3" i="37"/>
  <c r="U3" i="37"/>
  <c r="O3" i="37"/>
  <c r="H3" i="37"/>
  <c r="G3" i="37"/>
  <c r="F3" i="37"/>
  <c r="D3" i="37"/>
  <c r="C3" i="37"/>
  <c r="B3" i="37"/>
  <c r="A2" i="37"/>
  <c r="A1" i="37"/>
  <c r="AB56" i="36"/>
  <c r="J56" i="36" s="1"/>
  <c r="I56" i="36" s="1"/>
  <c r="Z56" i="36"/>
  <c r="W56" i="36"/>
  <c r="V56" i="36"/>
  <c r="T56" i="36"/>
  <c r="S56" i="36"/>
  <c r="R56" i="36"/>
  <c r="P56" i="36"/>
  <c r="O56" i="36"/>
  <c r="Q56" i="36" s="1"/>
  <c r="M56" i="36"/>
  <c r="K56" i="36"/>
  <c r="H56" i="36"/>
  <c r="C56" i="36"/>
  <c r="AB55" i="36"/>
  <c r="J55" i="36" s="1"/>
  <c r="I55" i="36" s="1"/>
  <c r="Z55" i="36"/>
  <c r="W55" i="36"/>
  <c r="V55" i="36"/>
  <c r="P55" i="36"/>
  <c r="O55" i="36"/>
  <c r="Q55" i="36" s="1"/>
  <c r="M55" i="36"/>
  <c r="K55" i="36"/>
  <c r="H55" i="36"/>
  <c r="C55" i="36"/>
  <c r="AB54" i="36"/>
  <c r="Z54" i="36"/>
  <c r="W54" i="36"/>
  <c r="V54" i="36"/>
  <c r="T54" i="36"/>
  <c r="S54" i="36"/>
  <c r="R54" i="36"/>
  <c r="Q54" i="36"/>
  <c r="P54" i="36"/>
  <c r="O54" i="36"/>
  <c r="M54" i="36"/>
  <c r="J54" i="36"/>
  <c r="H54" i="36"/>
  <c r="C54" i="36"/>
  <c r="AB53" i="36"/>
  <c r="J53" i="36" s="1"/>
  <c r="Z53" i="36"/>
  <c r="W53" i="36"/>
  <c r="V53" i="36"/>
  <c r="V3" i="36" s="1"/>
  <c r="T53" i="36"/>
  <c r="S53" i="36"/>
  <c r="R53" i="36"/>
  <c r="P53" i="36"/>
  <c r="O53" i="36"/>
  <c r="M53" i="36"/>
  <c r="H53" i="36"/>
  <c r="C53" i="36"/>
  <c r="AE3" i="36"/>
  <c r="W3" i="36"/>
  <c r="U3" i="36"/>
  <c r="O3" i="36"/>
  <c r="G3" i="36"/>
  <c r="F3" i="36"/>
  <c r="H3" i="36" s="1"/>
  <c r="D3" i="36"/>
  <c r="C3" i="36"/>
  <c r="B3" i="36"/>
  <c r="A2" i="36"/>
  <c r="A1" i="36"/>
  <c r="AB56" i="35"/>
  <c r="J56" i="35" s="1"/>
  <c r="Z56" i="35"/>
  <c r="W56" i="35"/>
  <c r="V56" i="35"/>
  <c r="T56" i="35"/>
  <c r="S56" i="35"/>
  <c r="R56" i="35"/>
  <c r="Q56" i="35"/>
  <c r="P56" i="35"/>
  <c r="O56" i="35"/>
  <c r="M56" i="35"/>
  <c r="H56" i="35"/>
  <c r="C56" i="35"/>
  <c r="AB55" i="35"/>
  <c r="J55" i="35" s="1"/>
  <c r="Z55" i="35"/>
  <c r="W55" i="35"/>
  <c r="V55" i="35"/>
  <c r="P55" i="35"/>
  <c r="O55" i="35"/>
  <c r="Q55" i="35" s="1"/>
  <c r="M55" i="35"/>
  <c r="H55" i="35"/>
  <c r="C55" i="35"/>
  <c r="Z54" i="35"/>
  <c r="AB54" i="35" s="1"/>
  <c r="W54" i="35"/>
  <c r="V54" i="35"/>
  <c r="T54" i="35"/>
  <c r="S54" i="35"/>
  <c r="R54" i="35"/>
  <c r="Q54" i="35"/>
  <c r="P54" i="35"/>
  <c r="O54" i="35"/>
  <c r="M54" i="35"/>
  <c r="J54" i="35"/>
  <c r="H54" i="35"/>
  <c r="C54" i="35"/>
  <c r="Z53" i="35"/>
  <c r="AB53" i="35" s="1"/>
  <c r="J53" i="35" s="1"/>
  <c r="K53" i="35" s="1"/>
  <c r="W53" i="35"/>
  <c r="V53" i="35"/>
  <c r="T53" i="35"/>
  <c r="S53" i="35"/>
  <c r="R53" i="35"/>
  <c r="P53" i="35"/>
  <c r="O53" i="35"/>
  <c r="Q53" i="35" s="1"/>
  <c r="M53" i="35"/>
  <c r="I53" i="35"/>
  <c r="H53" i="35"/>
  <c r="C53" i="35"/>
  <c r="Z52" i="35"/>
  <c r="AB52" i="35" s="1"/>
  <c r="J52" i="35" s="1"/>
  <c r="W52" i="35"/>
  <c r="V52" i="35"/>
  <c r="T52" i="35"/>
  <c r="S52" i="35"/>
  <c r="R52" i="35"/>
  <c r="P52" i="35"/>
  <c r="O52" i="35"/>
  <c r="Q52" i="35" s="1"/>
  <c r="M52" i="35"/>
  <c r="H52" i="35"/>
  <c r="C52" i="35"/>
  <c r="Z51" i="35"/>
  <c r="AB51" i="35" s="1"/>
  <c r="J51" i="35" s="1"/>
  <c r="W51" i="35"/>
  <c r="W3" i="35" s="1"/>
  <c r="V51" i="35"/>
  <c r="T51" i="35"/>
  <c r="S51" i="35"/>
  <c r="R51" i="35"/>
  <c r="Q51" i="35"/>
  <c r="P51" i="35"/>
  <c r="O51" i="35"/>
  <c r="M51" i="35"/>
  <c r="H51" i="35"/>
  <c r="C51" i="35"/>
  <c r="Z50" i="35"/>
  <c r="AB50" i="35" s="1"/>
  <c r="W50" i="35"/>
  <c r="V50" i="35"/>
  <c r="V3" i="35" s="1"/>
  <c r="T50" i="35"/>
  <c r="S50" i="35"/>
  <c r="R50" i="35"/>
  <c r="P50" i="35"/>
  <c r="O50" i="35"/>
  <c r="Q50" i="35" s="1"/>
  <c r="M50" i="35"/>
  <c r="K50" i="35"/>
  <c r="J50" i="35"/>
  <c r="I50" i="35" s="1"/>
  <c r="H50" i="35"/>
  <c r="C50" i="35"/>
  <c r="Z49" i="35"/>
  <c r="AB49" i="35" s="1"/>
  <c r="W49" i="35"/>
  <c r="V49" i="35"/>
  <c r="T49" i="35"/>
  <c r="S49" i="35"/>
  <c r="R49" i="35"/>
  <c r="P49" i="35"/>
  <c r="O49" i="35"/>
  <c r="Q49" i="35" s="1"/>
  <c r="M49" i="35"/>
  <c r="J49" i="35"/>
  <c r="H49" i="35"/>
  <c r="C49" i="35"/>
  <c r="AE3" i="35"/>
  <c r="U3" i="35"/>
  <c r="O3" i="35"/>
  <c r="G3" i="35"/>
  <c r="F3" i="35"/>
  <c r="D3" i="35"/>
  <c r="C3" i="35"/>
  <c r="B3" i="35"/>
  <c r="A2" i="35"/>
  <c r="A1" i="35"/>
  <c r="Z56" i="34"/>
  <c r="AB56" i="34" s="1"/>
  <c r="J56" i="34" s="1"/>
  <c r="W56" i="34"/>
  <c r="V56" i="34"/>
  <c r="T56" i="34"/>
  <c r="S56" i="34"/>
  <c r="R56" i="34"/>
  <c r="P56" i="34"/>
  <c r="O56" i="34"/>
  <c r="Q56" i="34" s="1"/>
  <c r="M56" i="34"/>
  <c r="H56" i="34"/>
  <c r="C56" i="34"/>
  <c r="Z55" i="34"/>
  <c r="AB55" i="34" s="1"/>
  <c r="W55" i="34"/>
  <c r="V55" i="34"/>
  <c r="Q55" i="34"/>
  <c r="P55" i="34"/>
  <c r="O55" i="34"/>
  <c r="M55" i="34"/>
  <c r="J55" i="34"/>
  <c r="K55" i="34" s="1"/>
  <c r="H55" i="34"/>
  <c r="C55" i="34"/>
  <c r="AB54" i="34"/>
  <c r="Z54" i="34"/>
  <c r="W54" i="34"/>
  <c r="V54" i="34"/>
  <c r="T54" i="34"/>
  <c r="S54" i="34"/>
  <c r="R54" i="34"/>
  <c r="P54" i="34"/>
  <c r="O54" i="34"/>
  <c r="Q54" i="34" s="1"/>
  <c r="M54" i="34"/>
  <c r="J54" i="34"/>
  <c r="H54" i="34"/>
  <c r="C54" i="34"/>
  <c r="Z53" i="34"/>
  <c r="AB53" i="34" s="1"/>
  <c r="J53" i="34" s="1"/>
  <c r="K53" i="34" s="1"/>
  <c r="W53" i="34"/>
  <c r="V53" i="34"/>
  <c r="T53" i="34"/>
  <c r="S53" i="34"/>
  <c r="R53" i="34"/>
  <c r="P53" i="34"/>
  <c r="O53" i="34"/>
  <c r="Q53" i="34" s="1"/>
  <c r="M53" i="34"/>
  <c r="I53" i="34"/>
  <c r="H53" i="34"/>
  <c r="C53" i="34"/>
  <c r="AB52" i="34"/>
  <c r="J52" i="34" s="1"/>
  <c r="Z52" i="34"/>
  <c r="W52" i="34"/>
  <c r="W3" i="34" s="1"/>
  <c r="V52" i="34"/>
  <c r="T52" i="34"/>
  <c r="S52" i="34"/>
  <c r="R52" i="34"/>
  <c r="P52" i="34"/>
  <c r="O52" i="34"/>
  <c r="Q52" i="34" s="1"/>
  <c r="M52" i="34"/>
  <c r="H52" i="34"/>
  <c r="C52" i="34"/>
  <c r="Z51" i="34"/>
  <c r="AB51" i="34" s="1"/>
  <c r="J51" i="34" s="1"/>
  <c r="I51" i="34" s="1"/>
  <c r="W51" i="34"/>
  <c r="V51" i="34"/>
  <c r="T51" i="34"/>
  <c r="S51" i="34"/>
  <c r="R51" i="34"/>
  <c r="P51" i="34"/>
  <c r="O51" i="34"/>
  <c r="Q51" i="34" s="1"/>
  <c r="M51" i="34"/>
  <c r="K51" i="34"/>
  <c r="H51" i="34"/>
  <c r="C51" i="34"/>
  <c r="Z50" i="34"/>
  <c r="AB50" i="34" s="1"/>
  <c r="J50" i="34" s="1"/>
  <c r="I50" i="34" s="1"/>
  <c r="W50" i="34"/>
  <c r="V50" i="34"/>
  <c r="T50" i="34"/>
  <c r="S50" i="34"/>
  <c r="R50" i="34"/>
  <c r="P50" i="34"/>
  <c r="O50" i="34"/>
  <c r="Q50" i="34" s="1"/>
  <c r="M50" i="34"/>
  <c r="K50" i="34"/>
  <c r="H50" i="34"/>
  <c r="C50" i="34"/>
  <c r="AE3" i="34"/>
  <c r="U3" i="34"/>
  <c r="O3" i="34"/>
  <c r="G3" i="34"/>
  <c r="H3" i="34" s="1"/>
  <c r="F3" i="34"/>
  <c r="D3" i="34"/>
  <c r="C3" i="34"/>
  <c r="B3" i="34"/>
  <c r="A2" i="34"/>
  <c r="A1" i="34"/>
  <c r="Z56" i="33"/>
  <c r="AB56" i="33" s="1"/>
  <c r="J56" i="33" s="1"/>
  <c r="I56" i="33" s="1"/>
  <c r="W56" i="33"/>
  <c r="V56" i="33"/>
  <c r="T56" i="33"/>
  <c r="S56" i="33"/>
  <c r="R56" i="33"/>
  <c r="P56" i="33"/>
  <c r="O56" i="33"/>
  <c r="Q56" i="33" s="1"/>
  <c r="M56" i="33"/>
  <c r="K56" i="33"/>
  <c r="H56" i="33"/>
  <c r="C56" i="33"/>
  <c r="Z55" i="33"/>
  <c r="AB55" i="33" s="1"/>
  <c r="J55" i="33" s="1"/>
  <c r="W55" i="33"/>
  <c r="V55" i="33"/>
  <c r="P55" i="33"/>
  <c r="O55" i="33"/>
  <c r="Q55" i="33" s="1"/>
  <c r="M55" i="33"/>
  <c r="H55" i="33"/>
  <c r="C55" i="33"/>
  <c r="Z54" i="33"/>
  <c r="AB54" i="33" s="1"/>
  <c r="J54" i="33" s="1"/>
  <c r="W54" i="33"/>
  <c r="V54" i="33"/>
  <c r="T54" i="33"/>
  <c r="S54" i="33"/>
  <c r="R54" i="33"/>
  <c r="P54" i="33"/>
  <c r="O54" i="33"/>
  <c r="Q54" i="33" s="1"/>
  <c r="M54" i="33"/>
  <c r="H54" i="33"/>
  <c r="C54" i="33"/>
  <c r="Z53" i="33"/>
  <c r="AB53" i="33" s="1"/>
  <c r="J53" i="33" s="1"/>
  <c r="W53" i="33"/>
  <c r="V53" i="33"/>
  <c r="T53" i="33"/>
  <c r="S53" i="33"/>
  <c r="R53" i="33"/>
  <c r="P53" i="33"/>
  <c r="O53" i="33"/>
  <c r="Q53" i="33" s="1"/>
  <c r="M53" i="33"/>
  <c r="H53" i="33"/>
  <c r="C53" i="33"/>
  <c r="Z52" i="33"/>
  <c r="AB52" i="33" s="1"/>
  <c r="J52" i="33" s="1"/>
  <c r="W52" i="33"/>
  <c r="V52" i="33"/>
  <c r="T52" i="33"/>
  <c r="S52" i="33"/>
  <c r="R52" i="33"/>
  <c r="P52" i="33"/>
  <c r="O52" i="33"/>
  <c r="Q52" i="33" s="1"/>
  <c r="M52" i="33"/>
  <c r="H52" i="33"/>
  <c r="C52" i="33"/>
  <c r="Z51" i="33"/>
  <c r="AB51" i="33" s="1"/>
  <c r="J51" i="33" s="1"/>
  <c r="W51" i="33"/>
  <c r="V51" i="33"/>
  <c r="T51" i="33"/>
  <c r="S51" i="33"/>
  <c r="R51" i="33"/>
  <c r="P51" i="33"/>
  <c r="O51" i="33"/>
  <c r="Q51" i="33" s="1"/>
  <c r="M51" i="33"/>
  <c r="H51" i="33"/>
  <c r="C51" i="33"/>
  <c r="Z50" i="33"/>
  <c r="AB50" i="33" s="1"/>
  <c r="J50" i="33" s="1"/>
  <c r="W50" i="33"/>
  <c r="V50" i="33"/>
  <c r="T50" i="33"/>
  <c r="S50" i="33"/>
  <c r="R50" i="33"/>
  <c r="P50" i="33"/>
  <c r="O50" i="33"/>
  <c r="Q50" i="33" s="1"/>
  <c r="M50" i="33"/>
  <c r="H50" i="33"/>
  <c r="C50" i="33"/>
  <c r="Z49" i="33"/>
  <c r="AB49" i="33" s="1"/>
  <c r="J49" i="33" s="1"/>
  <c r="W49" i="33"/>
  <c r="V49" i="33"/>
  <c r="T49" i="33"/>
  <c r="S49" i="33"/>
  <c r="R49" i="33"/>
  <c r="P49" i="33"/>
  <c r="O49" i="33"/>
  <c r="Q49" i="33" s="1"/>
  <c r="M49" i="33"/>
  <c r="H49" i="33"/>
  <c r="C49" i="33"/>
  <c r="AE3" i="33"/>
  <c r="W3" i="33"/>
  <c r="U3" i="33"/>
  <c r="O3" i="33"/>
  <c r="G3" i="33"/>
  <c r="H3" i="33" s="1"/>
  <c r="F3" i="33"/>
  <c r="D3" i="33"/>
  <c r="C3" i="33"/>
  <c r="B3" i="33"/>
  <c r="A2" i="33"/>
  <c r="A1" i="33"/>
  <c r="Z56" i="32"/>
  <c r="AB56" i="32" s="1"/>
  <c r="J56" i="32" s="1"/>
  <c r="W56" i="32"/>
  <c r="V56" i="32"/>
  <c r="T56" i="32"/>
  <c r="S56" i="32"/>
  <c r="R56" i="32"/>
  <c r="P56" i="32"/>
  <c r="O56" i="32"/>
  <c r="Q56" i="32" s="1"/>
  <c r="M56" i="32"/>
  <c r="H56" i="32"/>
  <c r="C56" i="32"/>
  <c r="Z55" i="32"/>
  <c r="AB55" i="32" s="1"/>
  <c r="W55" i="32"/>
  <c r="V55" i="32"/>
  <c r="P55" i="32"/>
  <c r="O55" i="32"/>
  <c r="Q55" i="32" s="1"/>
  <c r="M55" i="32"/>
  <c r="J55" i="32"/>
  <c r="H55" i="32"/>
  <c r="C55" i="32"/>
  <c r="Z54" i="32"/>
  <c r="AB54" i="32" s="1"/>
  <c r="J54" i="32" s="1"/>
  <c r="W54" i="32"/>
  <c r="V54" i="32"/>
  <c r="T54" i="32"/>
  <c r="S54" i="32"/>
  <c r="R54" i="32"/>
  <c r="P54" i="32"/>
  <c r="O54" i="32"/>
  <c r="Q54" i="32" s="1"/>
  <c r="M54" i="32"/>
  <c r="H54" i="32"/>
  <c r="C54" i="32"/>
  <c r="AE3" i="32"/>
  <c r="W3" i="32"/>
  <c r="V3" i="32"/>
  <c r="U3" i="32"/>
  <c r="O3" i="32"/>
  <c r="G3" i="32"/>
  <c r="H3" i="32" s="1"/>
  <c r="F3" i="32"/>
  <c r="D3" i="32"/>
  <c r="C3" i="32"/>
  <c r="B3" i="32"/>
  <c r="A2" i="32"/>
  <c r="A1" i="32"/>
  <c r="Z56" i="31"/>
  <c r="AB56" i="31" s="1"/>
  <c r="J56" i="31" s="1"/>
  <c r="W56" i="31"/>
  <c r="V56" i="31"/>
  <c r="T56" i="31"/>
  <c r="S56" i="31"/>
  <c r="R56" i="31"/>
  <c r="P56" i="31"/>
  <c r="O56" i="31"/>
  <c r="Q56" i="31" s="1"/>
  <c r="M56" i="31"/>
  <c r="H56" i="31"/>
  <c r="C56" i="31"/>
  <c r="Z55" i="31"/>
  <c r="AB55" i="31" s="1"/>
  <c r="J55" i="31" s="1"/>
  <c r="W55" i="31"/>
  <c r="V55" i="31"/>
  <c r="Q55" i="31"/>
  <c r="P55" i="31"/>
  <c r="O55" i="31"/>
  <c r="M55" i="31"/>
  <c r="H55" i="31"/>
  <c r="C55" i="31"/>
  <c r="AB54" i="31"/>
  <c r="Z54" i="31"/>
  <c r="W54" i="31"/>
  <c r="V54" i="31"/>
  <c r="T54" i="31"/>
  <c r="S54" i="31"/>
  <c r="R54" i="31"/>
  <c r="Q54" i="31"/>
  <c r="P54" i="31"/>
  <c r="O54" i="31"/>
  <c r="M54" i="31"/>
  <c r="J54" i="31"/>
  <c r="H54" i="31"/>
  <c r="C54" i="31"/>
  <c r="AB53" i="31"/>
  <c r="Z53" i="31"/>
  <c r="W53" i="31"/>
  <c r="V53" i="31"/>
  <c r="T53" i="31"/>
  <c r="S53" i="31"/>
  <c r="R53" i="31"/>
  <c r="Q53" i="31"/>
  <c r="P53" i="31"/>
  <c r="O53" i="31"/>
  <c r="M53" i="31"/>
  <c r="J53" i="31"/>
  <c r="H53" i="31"/>
  <c r="C53" i="31"/>
  <c r="AB52" i="31"/>
  <c r="Z52" i="31"/>
  <c r="W52" i="31"/>
  <c r="V52" i="31"/>
  <c r="T52" i="31"/>
  <c r="S52" i="31"/>
  <c r="R52" i="31"/>
  <c r="Q52" i="31"/>
  <c r="P52" i="31"/>
  <c r="O52" i="31"/>
  <c r="M52" i="31"/>
  <c r="J52" i="31"/>
  <c r="H52" i="31"/>
  <c r="C52" i="31"/>
  <c r="AB51" i="31"/>
  <c r="Z51" i="31"/>
  <c r="W51" i="31"/>
  <c r="V51" i="31"/>
  <c r="T51" i="31"/>
  <c r="S51" i="31"/>
  <c r="R51" i="31"/>
  <c r="Q51" i="31"/>
  <c r="P51" i="31"/>
  <c r="O51" i="31"/>
  <c r="M51" i="31"/>
  <c r="J51" i="31"/>
  <c r="H51" i="31"/>
  <c r="C51" i="31"/>
  <c r="AB50" i="31"/>
  <c r="Z50" i="31"/>
  <c r="W50" i="31"/>
  <c r="V50" i="31"/>
  <c r="T50" i="31"/>
  <c r="S50" i="31"/>
  <c r="R50" i="31"/>
  <c r="Q50" i="31"/>
  <c r="P50" i="31"/>
  <c r="O50" i="31"/>
  <c r="M50" i="31"/>
  <c r="J50" i="31"/>
  <c r="H50" i="31"/>
  <c r="C50" i="31"/>
  <c r="AB49" i="31"/>
  <c r="Z49" i="31"/>
  <c r="W49" i="31"/>
  <c r="W3" i="31" s="1"/>
  <c r="V49" i="31"/>
  <c r="T49" i="31"/>
  <c r="S49" i="31"/>
  <c r="R49" i="31"/>
  <c r="Q49" i="31"/>
  <c r="P49" i="31"/>
  <c r="O49" i="31"/>
  <c r="M49" i="31"/>
  <c r="J49" i="31"/>
  <c r="H49" i="31"/>
  <c r="C49" i="31"/>
  <c r="AE3" i="31"/>
  <c r="V3" i="31"/>
  <c r="U3" i="31"/>
  <c r="O3" i="31"/>
  <c r="G3" i="31"/>
  <c r="F3" i="31"/>
  <c r="H3" i="31" s="1"/>
  <c r="D3" i="31"/>
  <c r="C3" i="31"/>
  <c r="B3" i="31"/>
  <c r="A2" i="31"/>
  <c r="A1" i="31"/>
  <c r="AB56" i="30"/>
  <c r="Z56" i="30"/>
  <c r="W56" i="30"/>
  <c r="V56" i="30"/>
  <c r="T56" i="30"/>
  <c r="S56" i="30"/>
  <c r="R56" i="30"/>
  <c r="Q56" i="30"/>
  <c r="P56" i="30"/>
  <c r="O56" i="30"/>
  <c r="M56" i="30"/>
  <c r="J56" i="30"/>
  <c r="H56" i="30"/>
  <c r="C56" i="30"/>
  <c r="AB55" i="30"/>
  <c r="J55" i="30" s="1"/>
  <c r="Z55" i="30"/>
  <c r="W55" i="30"/>
  <c r="V55" i="30"/>
  <c r="Q55" i="30"/>
  <c r="P55" i="30"/>
  <c r="O55" i="30"/>
  <c r="M55" i="30"/>
  <c r="H55" i="30"/>
  <c r="C55" i="30"/>
  <c r="AB54" i="30"/>
  <c r="J54" i="30" s="1"/>
  <c r="Z54" i="30"/>
  <c r="W54" i="30"/>
  <c r="W3" i="30" s="1"/>
  <c r="V54" i="30"/>
  <c r="T54" i="30"/>
  <c r="S54" i="30"/>
  <c r="R54" i="30"/>
  <c r="Q54" i="30"/>
  <c r="P54" i="30"/>
  <c r="O54" i="30"/>
  <c r="M54" i="30"/>
  <c r="H54" i="30"/>
  <c r="C54" i="30"/>
  <c r="AE3" i="30"/>
  <c r="V3" i="30"/>
  <c r="U3" i="30"/>
  <c r="O3" i="30"/>
  <c r="G3" i="30"/>
  <c r="F3" i="30"/>
  <c r="H3" i="30" s="1"/>
  <c r="D3" i="30"/>
  <c r="C3" i="30"/>
  <c r="B3" i="30"/>
  <c r="A2" i="30"/>
  <c r="A1" i="30"/>
  <c r="AB56" i="29"/>
  <c r="J56" i="29" s="1"/>
  <c r="Z56" i="29"/>
  <c r="W56" i="29"/>
  <c r="V56" i="29"/>
  <c r="T56" i="29"/>
  <c r="S56" i="29"/>
  <c r="R56" i="29"/>
  <c r="Q56" i="29"/>
  <c r="P56" i="29"/>
  <c r="O56" i="29"/>
  <c r="M56" i="29"/>
  <c r="H56" i="29"/>
  <c r="C56" i="29"/>
  <c r="AB55" i="29"/>
  <c r="J55" i="29" s="1"/>
  <c r="Z55" i="29"/>
  <c r="W55" i="29"/>
  <c r="V55" i="29"/>
  <c r="P55" i="29"/>
  <c r="O55" i="29"/>
  <c r="Q55" i="29" s="1"/>
  <c r="M55" i="29"/>
  <c r="H55" i="29"/>
  <c r="C55" i="29"/>
  <c r="AB54" i="29"/>
  <c r="J54" i="29" s="1"/>
  <c r="Z54" i="29"/>
  <c r="W54" i="29"/>
  <c r="V54" i="29"/>
  <c r="T54" i="29"/>
  <c r="S54" i="29"/>
  <c r="R54" i="29"/>
  <c r="P54" i="29"/>
  <c r="O54" i="29"/>
  <c r="Q54" i="29" s="1"/>
  <c r="M54" i="29"/>
  <c r="H54" i="29"/>
  <c r="C54" i="29"/>
  <c r="AB53" i="29"/>
  <c r="J53" i="29" s="1"/>
  <c r="K53" i="29" s="1"/>
  <c r="Z53" i="29"/>
  <c r="W53" i="29"/>
  <c r="V53" i="29"/>
  <c r="T53" i="29"/>
  <c r="S53" i="29"/>
  <c r="R53" i="29"/>
  <c r="P53" i="29"/>
  <c r="O53" i="29"/>
  <c r="Q53" i="29" s="1"/>
  <c r="M53" i="29"/>
  <c r="I53" i="29"/>
  <c r="H53" i="29"/>
  <c r="C53" i="29"/>
  <c r="AB52" i="29"/>
  <c r="J52" i="29" s="1"/>
  <c r="K52" i="29" s="1"/>
  <c r="Z52" i="29"/>
  <c r="W52" i="29"/>
  <c r="V52" i="29"/>
  <c r="T52" i="29"/>
  <c r="S52" i="29"/>
  <c r="R52" i="29"/>
  <c r="P52" i="29"/>
  <c r="O52" i="29"/>
  <c r="Q52" i="29" s="1"/>
  <c r="M52" i="29"/>
  <c r="H52" i="29"/>
  <c r="C52" i="29"/>
  <c r="AB51" i="29"/>
  <c r="J51" i="29" s="1"/>
  <c r="K51" i="29" s="1"/>
  <c r="Z51" i="29"/>
  <c r="W51" i="29"/>
  <c r="V51" i="29"/>
  <c r="T51" i="29"/>
  <c r="S51" i="29"/>
  <c r="R51" i="29"/>
  <c r="P51" i="29"/>
  <c r="O51" i="29"/>
  <c r="Q51" i="29" s="1"/>
  <c r="M51" i="29"/>
  <c r="H51" i="29"/>
  <c r="C51" i="29"/>
  <c r="AB50" i="29"/>
  <c r="J50" i="29" s="1"/>
  <c r="Z50" i="29"/>
  <c r="W50" i="29"/>
  <c r="V50" i="29"/>
  <c r="T50" i="29"/>
  <c r="S50" i="29"/>
  <c r="R50" i="29"/>
  <c r="P50" i="29"/>
  <c r="O50" i="29"/>
  <c r="Q50" i="29" s="1"/>
  <c r="M50" i="29"/>
  <c r="I50" i="29"/>
  <c r="H50" i="29"/>
  <c r="C50" i="29"/>
  <c r="AE3" i="29"/>
  <c r="V3" i="29"/>
  <c r="U3" i="29"/>
  <c r="O3" i="29"/>
  <c r="G3" i="29"/>
  <c r="F3" i="29"/>
  <c r="H3" i="29" s="1"/>
  <c r="D3" i="29"/>
  <c r="C3" i="29"/>
  <c r="B3" i="29"/>
  <c r="A2" i="29"/>
  <c r="A1" i="29"/>
  <c r="AB56" i="28"/>
  <c r="J56" i="28" s="1"/>
  <c r="K56" i="28" s="1"/>
  <c r="Z56" i="28"/>
  <c r="W56" i="28"/>
  <c r="V56" i="28"/>
  <c r="T56" i="28"/>
  <c r="S56" i="28"/>
  <c r="R56" i="28"/>
  <c r="P56" i="28"/>
  <c r="O56" i="28"/>
  <c r="Q56" i="28" s="1"/>
  <c r="M56" i="28"/>
  <c r="I56" i="28"/>
  <c r="H56" i="28"/>
  <c r="C56" i="28"/>
  <c r="AB55" i="28"/>
  <c r="J55" i="28" s="1"/>
  <c r="Z55" i="28"/>
  <c r="W55" i="28"/>
  <c r="V55" i="28"/>
  <c r="V3" i="28" s="1"/>
  <c r="P55" i="28"/>
  <c r="O55" i="28"/>
  <c r="M55" i="28"/>
  <c r="H55" i="28"/>
  <c r="C55" i="28"/>
  <c r="AE3" i="28"/>
  <c r="U3" i="28"/>
  <c r="O3" i="28"/>
  <c r="G3" i="28"/>
  <c r="H3" i="28" s="1"/>
  <c r="F3" i="28"/>
  <c r="D3" i="28"/>
  <c r="C3" i="28"/>
  <c r="B3" i="28"/>
  <c r="A2" i="28"/>
  <c r="A1" i="28"/>
  <c r="AB56" i="27"/>
  <c r="J56" i="27" s="1"/>
  <c r="Z56" i="27"/>
  <c r="W56" i="27"/>
  <c r="V56" i="27"/>
  <c r="T56" i="27"/>
  <c r="S56" i="27"/>
  <c r="R56" i="27"/>
  <c r="P56" i="27"/>
  <c r="O56" i="27"/>
  <c r="Q56" i="27" s="1"/>
  <c r="M56" i="27"/>
  <c r="H56" i="27"/>
  <c r="C56" i="27"/>
  <c r="AB55" i="27"/>
  <c r="J55" i="27" s="1"/>
  <c r="I55" i="27" s="1"/>
  <c r="Z55" i="27"/>
  <c r="W55" i="27"/>
  <c r="V55" i="27"/>
  <c r="P55" i="27"/>
  <c r="O55" i="27"/>
  <c r="Q55" i="27" s="1"/>
  <c r="M55" i="27"/>
  <c r="H55" i="27"/>
  <c r="C55" i="27"/>
  <c r="AB54" i="27"/>
  <c r="J54" i="27" s="1"/>
  <c r="I54" i="27" s="1"/>
  <c r="Z54" i="27"/>
  <c r="W54" i="27"/>
  <c r="V54" i="27"/>
  <c r="T54" i="27"/>
  <c r="S54" i="27"/>
  <c r="R54" i="27"/>
  <c r="P54" i="27"/>
  <c r="O54" i="27"/>
  <c r="M54" i="27"/>
  <c r="H54" i="27"/>
  <c r="C54" i="27"/>
  <c r="AB53" i="27"/>
  <c r="J53" i="27" s="1"/>
  <c r="I53" i="27" s="1"/>
  <c r="Z53" i="27"/>
  <c r="W53" i="27"/>
  <c r="V53" i="27"/>
  <c r="T53" i="27"/>
  <c r="S53" i="27"/>
  <c r="R53" i="27"/>
  <c r="P53" i="27"/>
  <c r="O53" i="27"/>
  <c r="Q53" i="27" s="1"/>
  <c r="M53" i="27"/>
  <c r="K53" i="27"/>
  <c r="H53" i="27"/>
  <c r="C53" i="27"/>
  <c r="AB52" i="27"/>
  <c r="J52" i="27" s="1"/>
  <c r="I52" i="27" s="1"/>
  <c r="Z52" i="27"/>
  <c r="W52" i="27"/>
  <c r="V52" i="27"/>
  <c r="T52" i="27"/>
  <c r="S52" i="27"/>
  <c r="R52" i="27"/>
  <c r="P52" i="27"/>
  <c r="O52" i="27"/>
  <c r="M52" i="27"/>
  <c r="K52" i="27"/>
  <c r="H52" i="27"/>
  <c r="C52" i="27"/>
  <c r="AB51" i="27"/>
  <c r="J51" i="27" s="1"/>
  <c r="I51" i="27" s="1"/>
  <c r="Z51" i="27"/>
  <c r="W51" i="27"/>
  <c r="V51" i="27"/>
  <c r="T51" i="27"/>
  <c r="S51" i="27"/>
  <c r="R51" i="27"/>
  <c r="P51" i="27"/>
  <c r="O51" i="27"/>
  <c r="Q51" i="27" s="1"/>
  <c r="M51" i="27"/>
  <c r="H51" i="27"/>
  <c r="C51" i="27"/>
  <c r="AB50" i="27"/>
  <c r="J50" i="27" s="1"/>
  <c r="Z50" i="27"/>
  <c r="W50" i="27"/>
  <c r="V50" i="27"/>
  <c r="V3" i="27" s="1"/>
  <c r="T50" i="27"/>
  <c r="S50" i="27"/>
  <c r="R50" i="27"/>
  <c r="P50" i="27"/>
  <c r="O50" i="27"/>
  <c r="M50" i="27"/>
  <c r="K50" i="27"/>
  <c r="H50" i="27"/>
  <c r="C50" i="27"/>
  <c r="AE3" i="27"/>
  <c r="W3" i="27"/>
  <c r="U3" i="27"/>
  <c r="O3" i="27"/>
  <c r="H3" i="27"/>
  <c r="G3" i="27"/>
  <c r="F3" i="27"/>
  <c r="D3" i="27"/>
  <c r="C3" i="27"/>
  <c r="B3" i="27"/>
  <c r="A2" i="27"/>
  <c r="A1" i="27"/>
  <c r="AB56" i="26"/>
  <c r="J56" i="26" s="1"/>
  <c r="I56" i="26" s="1"/>
  <c r="Z56" i="26"/>
  <c r="W56" i="26"/>
  <c r="V56" i="26"/>
  <c r="T56" i="26"/>
  <c r="S56" i="26"/>
  <c r="R56" i="26"/>
  <c r="P56" i="26"/>
  <c r="O56" i="26"/>
  <c r="Q56" i="26" s="1"/>
  <c r="M56" i="26"/>
  <c r="K56" i="26"/>
  <c r="H56" i="26"/>
  <c r="C56" i="26"/>
  <c r="AB55" i="26"/>
  <c r="J55" i="26" s="1"/>
  <c r="I55" i="26" s="1"/>
  <c r="Z55" i="26"/>
  <c r="W55" i="26"/>
  <c r="V55" i="26"/>
  <c r="P55" i="26"/>
  <c r="O55" i="26"/>
  <c r="Q55" i="26" s="1"/>
  <c r="M55" i="26"/>
  <c r="K55" i="26"/>
  <c r="H55" i="26"/>
  <c r="C55" i="26"/>
  <c r="Z54" i="26"/>
  <c r="AB54" i="26" s="1"/>
  <c r="J54" i="26" s="1"/>
  <c r="I54" i="26" s="1"/>
  <c r="W54" i="26"/>
  <c r="V54" i="26"/>
  <c r="T54" i="26"/>
  <c r="S54" i="26"/>
  <c r="R54" i="26"/>
  <c r="P54" i="26"/>
  <c r="O54" i="26"/>
  <c r="Q54" i="26" s="1"/>
  <c r="M54" i="26"/>
  <c r="K54" i="26"/>
  <c r="H54" i="26"/>
  <c r="C54" i="26"/>
  <c r="Z53" i="26"/>
  <c r="AB53" i="26" s="1"/>
  <c r="J53" i="26" s="1"/>
  <c r="I53" i="26" s="1"/>
  <c r="W53" i="26"/>
  <c r="V53" i="26"/>
  <c r="T53" i="26"/>
  <c r="S53" i="26"/>
  <c r="R53" i="26"/>
  <c r="P53" i="26"/>
  <c r="O53" i="26"/>
  <c r="Q53" i="26" s="1"/>
  <c r="M53" i="26"/>
  <c r="K53" i="26"/>
  <c r="H53" i="26"/>
  <c r="C53" i="26"/>
  <c r="Z52" i="26"/>
  <c r="AB52" i="26" s="1"/>
  <c r="J52" i="26" s="1"/>
  <c r="I52" i="26" s="1"/>
  <c r="W52" i="26"/>
  <c r="V52" i="26"/>
  <c r="T52" i="26"/>
  <c r="S52" i="26"/>
  <c r="R52" i="26"/>
  <c r="P52" i="26"/>
  <c r="O52" i="26"/>
  <c r="Q52" i="26" s="1"/>
  <c r="M52" i="26"/>
  <c r="K52" i="26"/>
  <c r="H52" i="26"/>
  <c r="C52" i="26"/>
  <c r="Z51" i="26"/>
  <c r="AB51" i="26" s="1"/>
  <c r="J51" i="26" s="1"/>
  <c r="I51" i="26" s="1"/>
  <c r="W51" i="26"/>
  <c r="V51" i="26"/>
  <c r="T51" i="26"/>
  <c r="S51" i="26"/>
  <c r="R51" i="26"/>
  <c r="P51" i="26"/>
  <c r="O51" i="26"/>
  <c r="Q51" i="26" s="1"/>
  <c r="M51" i="26"/>
  <c r="K51" i="26"/>
  <c r="H51" i="26"/>
  <c r="C51" i="26"/>
  <c r="Z50" i="26"/>
  <c r="AB50" i="26" s="1"/>
  <c r="J50" i="26" s="1"/>
  <c r="I50" i="26" s="1"/>
  <c r="W50" i="26"/>
  <c r="V50" i="26"/>
  <c r="T50" i="26"/>
  <c r="S50" i="26"/>
  <c r="R50" i="26"/>
  <c r="P50" i="26"/>
  <c r="O50" i="26"/>
  <c r="Q50" i="26" s="1"/>
  <c r="M50" i="26"/>
  <c r="K50" i="26"/>
  <c r="H50" i="26"/>
  <c r="C50" i="26"/>
  <c r="Z49" i="26"/>
  <c r="AB49" i="26" s="1"/>
  <c r="J49" i="26" s="1"/>
  <c r="I49" i="26" s="1"/>
  <c r="W49" i="26"/>
  <c r="V49" i="26"/>
  <c r="T49" i="26"/>
  <c r="S49" i="26"/>
  <c r="R49" i="26"/>
  <c r="P49" i="26"/>
  <c r="O49" i="26"/>
  <c r="Q49" i="26" s="1"/>
  <c r="M49" i="26"/>
  <c r="K49" i="26"/>
  <c r="H49" i="26"/>
  <c r="C49" i="26"/>
  <c r="AE3" i="26"/>
  <c r="W3" i="26"/>
  <c r="U3" i="26"/>
  <c r="O3" i="26"/>
  <c r="J3" i="26"/>
  <c r="G3" i="26"/>
  <c r="H3" i="26" s="1"/>
  <c r="F3" i="26"/>
  <c r="D3" i="26"/>
  <c r="C3" i="26"/>
  <c r="B3" i="26"/>
  <c r="A2" i="26"/>
  <c r="A1" i="26"/>
  <c r="Z56" i="25"/>
  <c r="AB56" i="25" s="1"/>
  <c r="J56" i="25" s="1"/>
  <c r="I56" i="25" s="1"/>
  <c r="W56" i="25"/>
  <c r="V56" i="25"/>
  <c r="T56" i="25"/>
  <c r="S56" i="25"/>
  <c r="R56" i="25"/>
  <c r="P56" i="25"/>
  <c r="O56" i="25"/>
  <c r="Q56" i="25" s="1"/>
  <c r="M56" i="25"/>
  <c r="K56" i="25"/>
  <c r="H56" i="25"/>
  <c r="C56" i="25"/>
  <c r="Z55" i="25"/>
  <c r="AB55" i="25" s="1"/>
  <c r="J55" i="25" s="1"/>
  <c r="W55" i="25"/>
  <c r="V55" i="25"/>
  <c r="V3" i="25" s="1"/>
  <c r="P55" i="25"/>
  <c r="O55" i="25"/>
  <c r="Q55" i="25" s="1"/>
  <c r="M55" i="25"/>
  <c r="H55" i="25"/>
  <c r="C55" i="25"/>
  <c r="AE3" i="25"/>
  <c r="W3" i="25"/>
  <c r="U3" i="25"/>
  <c r="O3" i="25"/>
  <c r="J3" i="25"/>
  <c r="G3" i="25"/>
  <c r="F3" i="25"/>
  <c r="D3" i="25"/>
  <c r="C3" i="25"/>
  <c r="B3" i="25"/>
  <c r="A2" i="25"/>
  <c r="A1" i="25"/>
  <c r="Z56" i="24"/>
  <c r="AB56" i="24" s="1"/>
  <c r="J56" i="24" s="1"/>
  <c r="W56" i="24"/>
  <c r="V56" i="24"/>
  <c r="T56" i="24"/>
  <c r="S56" i="24"/>
  <c r="R56" i="24"/>
  <c r="P56" i="24"/>
  <c r="O56" i="24"/>
  <c r="Q56" i="24" s="1"/>
  <c r="M56" i="24"/>
  <c r="H56" i="24"/>
  <c r="C56" i="24"/>
  <c r="Z55" i="24"/>
  <c r="AB55" i="24" s="1"/>
  <c r="W55" i="24"/>
  <c r="V55" i="24"/>
  <c r="P55" i="24"/>
  <c r="O55" i="24"/>
  <c r="Q55" i="24" s="1"/>
  <c r="M55" i="24"/>
  <c r="J55" i="24"/>
  <c r="H55" i="24"/>
  <c r="C55" i="24"/>
  <c r="Z54" i="24"/>
  <c r="AB54" i="24" s="1"/>
  <c r="W54" i="24"/>
  <c r="V54" i="24"/>
  <c r="T54" i="24"/>
  <c r="S54" i="24"/>
  <c r="R54" i="24"/>
  <c r="P54" i="24"/>
  <c r="O54" i="24"/>
  <c r="Q54" i="24" s="1"/>
  <c r="M54" i="24"/>
  <c r="J54" i="24"/>
  <c r="H54" i="24"/>
  <c r="C54" i="24"/>
  <c r="Z53" i="24"/>
  <c r="AB53" i="24" s="1"/>
  <c r="W53" i="24"/>
  <c r="V53" i="24"/>
  <c r="T53" i="24"/>
  <c r="S53" i="24"/>
  <c r="R53" i="24"/>
  <c r="P53" i="24"/>
  <c r="O53" i="24"/>
  <c r="Q53" i="24" s="1"/>
  <c r="M53" i="24"/>
  <c r="J53" i="24"/>
  <c r="H53" i="24"/>
  <c r="C53" i="24"/>
  <c r="Z52" i="24"/>
  <c r="AB52" i="24" s="1"/>
  <c r="W52" i="24"/>
  <c r="V52" i="24"/>
  <c r="T52" i="24"/>
  <c r="S52" i="24"/>
  <c r="R52" i="24"/>
  <c r="P52" i="24"/>
  <c r="O52" i="24"/>
  <c r="Q52" i="24" s="1"/>
  <c r="M52" i="24"/>
  <c r="J52" i="24"/>
  <c r="H52" i="24"/>
  <c r="C52" i="24"/>
  <c r="Z51" i="24"/>
  <c r="AB51" i="24" s="1"/>
  <c r="W51" i="24"/>
  <c r="V51" i="24"/>
  <c r="T51" i="24"/>
  <c r="S51" i="24"/>
  <c r="R51" i="24"/>
  <c r="P51" i="24"/>
  <c r="O51" i="24"/>
  <c r="Q51" i="24" s="1"/>
  <c r="M51" i="24"/>
  <c r="J51" i="24"/>
  <c r="H51" i="24"/>
  <c r="C51" i="24"/>
  <c r="Z50" i="24"/>
  <c r="AB50" i="24" s="1"/>
  <c r="W50" i="24"/>
  <c r="V50" i="24"/>
  <c r="T50" i="24"/>
  <c r="S50" i="24"/>
  <c r="R50" i="24"/>
  <c r="P50" i="24"/>
  <c r="O50" i="24"/>
  <c r="Q50" i="24" s="1"/>
  <c r="M50" i="24"/>
  <c r="J50" i="24"/>
  <c r="H50" i="24"/>
  <c r="C50" i="24"/>
  <c r="Z49" i="24"/>
  <c r="AB49" i="24" s="1"/>
  <c r="W49" i="24"/>
  <c r="V49" i="24"/>
  <c r="T49" i="24"/>
  <c r="S49" i="24"/>
  <c r="R49" i="24"/>
  <c r="P49" i="24"/>
  <c r="O49" i="24"/>
  <c r="Q49" i="24" s="1"/>
  <c r="M49" i="24"/>
  <c r="J49" i="24"/>
  <c r="H49" i="24"/>
  <c r="C49" i="24"/>
  <c r="Z48" i="24"/>
  <c r="AB48" i="24" s="1"/>
  <c r="W48" i="24"/>
  <c r="V48" i="24"/>
  <c r="T48" i="24"/>
  <c r="S48" i="24"/>
  <c r="R48" i="24"/>
  <c r="P48" i="24"/>
  <c r="O48" i="24"/>
  <c r="Q48" i="24" s="1"/>
  <c r="M48" i="24"/>
  <c r="J48" i="24"/>
  <c r="H48" i="24"/>
  <c r="C48" i="24"/>
  <c r="Z47" i="24"/>
  <c r="AB47" i="24" s="1"/>
  <c r="W47" i="24"/>
  <c r="V47" i="24"/>
  <c r="Q47" i="24"/>
  <c r="P47" i="24"/>
  <c r="O47" i="24"/>
  <c r="M47" i="24"/>
  <c r="J47" i="24"/>
  <c r="H47" i="24"/>
  <c r="C47" i="24"/>
  <c r="AB46" i="24"/>
  <c r="J46" i="24" s="1"/>
  <c r="Z46" i="24"/>
  <c r="W46" i="24"/>
  <c r="V46" i="24"/>
  <c r="Q46" i="24"/>
  <c r="P46" i="24"/>
  <c r="O46" i="24"/>
  <c r="M46" i="24"/>
  <c r="H46" i="24"/>
  <c r="C46" i="24"/>
  <c r="AB45" i="24"/>
  <c r="J45" i="24" s="1"/>
  <c r="K45" i="24" s="1"/>
  <c r="Z45" i="24"/>
  <c r="W45" i="24"/>
  <c r="V45" i="24"/>
  <c r="P45" i="24"/>
  <c r="O45" i="24"/>
  <c r="Q45" i="24" s="1"/>
  <c r="M45" i="24"/>
  <c r="I45" i="24"/>
  <c r="H45" i="24"/>
  <c r="C45" i="24"/>
  <c r="AB44" i="24"/>
  <c r="J44" i="24" s="1"/>
  <c r="K44" i="24" s="1"/>
  <c r="Z44" i="24"/>
  <c r="W44" i="24"/>
  <c r="V44" i="24"/>
  <c r="P44" i="24"/>
  <c r="O44" i="24"/>
  <c r="Q44" i="24" s="1"/>
  <c r="M44" i="24"/>
  <c r="H44" i="24"/>
  <c r="C44" i="24"/>
  <c r="AB43" i="24"/>
  <c r="J43" i="24" s="1"/>
  <c r="I43" i="24" s="1"/>
  <c r="Z43" i="24"/>
  <c r="W43" i="24"/>
  <c r="V43" i="24"/>
  <c r="P43" i="24"/>
  <c r="O43" i="24"/>
  <c r="Q43" i="24" s="1"/>
  <c r="M43" i="24"/>
  <c r="K43" i="24"/>
  <c r="H43" i="24"/>
  <c r="C43" i="24"/>
  <c r="AB42" i="24"/>
  <c r="J42" i="24" s="1"/>
  <c r="I42" i="24" s="1"/>
  <c r="Z42" i="24"/>
  <c r="W42" i="24"/>
  <c r="V42" i="24"/>
  <c r="T42" i="24"/>
  <c r="S42" i="24"/>
  <c r="R42" i="24"/>
  <c r="P42" i="24"/>
  <c r="O42" i="24"/>
  <c r="M42" i="24"/>
  <c r="K42" i="24"/>
  <c r="H42" i="24"/>
  <c r="C42" i="24"/>
  <c r="AB41" i="24"/>
  <c r="J41" i="24" s="1"/>
  <c r="Z41" i="24"/>
  <c r="W41" i="24"/>
  <c r="V41" i="24"/>
  <c r="P41" i="24"/>
  <c r="O41" i="24"/>
  <c r="Q41" i="24" s="1"/>
  <c r="M41" i="24"/>
  <c r="H41" i="24"/>
  <c r="C41" i="24"/>
  <c r="Z39" i="24"/>
  <c r="AB39" i="24" s="1"/>
  <c r="J39" i="24" s="1"/>
  <c r="W39" i="24"/>
  <c r="V39" i="24"/>
  <c r="P39" i="24"/>
  <c r="O39" i="24"/>
  <c r="Q39" i="24" s="1"/>
  <c r="M39" i="24"/>
  <c r="H39" i="24"/>
  <c r="C39" i="24"/>
  <c r="Z38" i="24"/>
  <c r="AB38" i="24" s="1"/>
  <c r="J38" i="24" s="1"/>
  <c r="W38" i="24"/>
  <c r="V38" i="24"/>
  <c r="P38" i="24"/>
  <c r="O38" i="24"/>
  <c r="Q38" i="24" s="1"/>
  <c r="M38" i="24"/>
  <c r="H38" i="24"/>
  <c r="C38" i="24"/>
  <c r="Z37" i="24"/>
  <c r="AB37" i="24" s="1"/>
  <c r="W37" i="24"/>
  <c r="V37" i="24"/>
  <c r="Q37" i="24"/>
  <c r="P37" i="24"/>
  <c r="O37" i="24"/>
  <c r="M37" i="24"/>
  <c r="J37" i="24"/>
  <c r="H37" i="24"/>
  <c r="C37" i="24"/>
  <c r="AB36" i="24"/>
  <c r="J36" i="24" s="1"/>
  <c r="Z36" i="24"/>
  <c r="W36" i="24"/>
  <c r="V36" i="24"/>
  <c r="Q36" i="24"/>
  <c r="P36" i="24"/>
  <c r="O36" i="24"/>
  <c r="M36" i="24"/>
  <c r="H36" i="24"/>
  <c r="C36" i="24"/>
  <c r="AB35" i="24"/>
  <c r="J35" i="24" s="1"/>
  <c r="K35" i="24" s="1"/>
  <c r="Z35" i="24"/>
  <c r="W35" i="24"/>
  <c r="V35" i="24"/>
  <c r="P35" i="24"/>
  <c r="O35" i="24"/>
  <c r="Q35" i="24" s="1"/>
  <c r="M35" i="24"/>
  <c r="H35" i="24"/>
  <c r="C35" i="24"/>
  <c r="AB34" i="24"/>
  <c r="J34" i="24" s="1"/>
  <c r="K34" i="24" s="1"/>
  <c r="Z34" i="24"/>
  <c r="W34" i="24"/>
  <c r="V34" i="24"/>
  <c r="P34" i="24"/>
  <c r="O34" i="24"/>
  <c r="Q34" i="24" s="1"/>
  <c r="M34" i="24"/>
  <c r="I34" i="24"/>
  <c r="H34" i="24"/>
  <c r="C34" i="24"/>
  <c r="AB33" i="24"/>
  <c r="J33" i="24" s="1"/>
  <c r="I33" i="24" s="1"/>
  <c r="Z33" i="24"/>
  <c r="W33" i="24"/>
  <c r="V33" i="24"/>
  <c r="P33" i="24"/>
  <c r="O33" i="24"/>
  <c r="Q33" i="24" s="1"/>
  <c r="M33" i="24"/>
  <c r="K33" i="24"/>
  <c r="H33" i="24"/>
  <c r="C33" i="24"/>
  <c r="AB32" i="24"/>
  <c r="J32" i="24" s="1"/>
  <c r="I32" i="24" s="1"/>
  <c r="Z32" i="24"/>
  <c r="W32" i="24"/>
  <c r="V32" i="24"/>
  <c r="P32" i="24"/>
  <c r="O32" i="24"/>
  <c r="Q32" i="24" s="1"/>
  <c r="M32" i="24"/>
  <c r="K32" i="24"/>
  <c r="H32" i="24"/>
  <c r="C32" i="24"/>
  <c r="Z31" i="24"/>
  <c r="AB31" i="24" s="1"/>
  <c r="J31" i="24" s="1"/>
  <c r="W31" i="24"/>
  <c r="V31" i="24"/>
  <c r="P31" i="24"/>
  <c r="O31" i="24"/>
  <c r="Q31" i="24" s="1"/>
  <c r="M31" i="24"/>
  <c r="H31" i="24"/>
  <c r="C31" i="24"/>
  <c r="Z30" i="24"/>
  <c r="AB30" i="24" s="1"/>
  <c r="J30" i="24" s="1"/>
  <c r="W30" i="24"/>
  <c r="V30" i="24"/>
  <c r="P30" i="24"/>
  <c r="O30" i="24"/>
  <c r="Q30" i="24" s="1"/>
  <c r="M30" i="24"/>
  <c r="H30" i="24"/>
  <c r="C30" i="24"/>
  <c r="Z29" i="24"/>
  <c r="AB29" i="24" s="1"/>
  <c r="J29" i="24" s="1"/>
  <c r="W29" i="24"/>
  <c r="V29" i="24"/>
  <c r="Q29" i="24"/>
  <c r="P29" i="24"/>
  <c r="O29" i="24"/>
  <c r="M29" i="24"/>
  <c r="H29" i="24"/>
  <c r="C29" i="24"/>
  <c r="AB28" i="24"/>
  <c r="J28" i="24" s="1"/>
  <c r="Z28" i="24"/>
  <c r="W28" i="24"/>
  <c r="V28" i="24"/>
  <c r="Q28" i="24"/>
  <c r="P28" i="24"/>
  <c r="O28" i="24"/>
  <c r="M28" i="24"/>
  <c r="H28" i="24"/>
  <c r="C28" i="24"/>
  <c r="AB27" i="24"/>
  <c r="J27" i="24" s="1"/>
  <c r="K27" i="24" s="1"/>
  <c r="Z27" i="24"/>
  <c r="W27" i="24"/>
  <c r="V27" i="24"/>
  <c r="P27" i="24"/>
  <c r="O27" i="24"/>
  <c r="Q27" i="24" s="1"/>
  <c r="M27" i="24"/>
  <c r="H27" i="24"/>
  <c r="C27" i="24"/>
  <c r="AB26" i="24"/>
  <c r="J26" i="24" s="1"/>
  <c r="K26" i="24" s="1"/>
  <c r="Z26" i="24"/>
  <c r="W26" i="24"/>
  <c r="W3" i="24" s="1"/>
  <c r="V26" i="24"/>
  <c r="P26" i="24"/>
  <c r="O26" i="24"/>
  <c r="M26" i="24"/>
  <c r="H26" i="24"/>
  <c r="C26" i="24"/>
  <c r="AB25" i="24"/>
  <c r="J25" i="24" s="1"/>
  <c r="Z25" i="24"/>
  <c r="W25" i="24"/>
  <c r="V25" i="24"/>
  <c r="P25" i="24"/>
  <c r="Q25" i="24" s="1"/>
  <c r="O25" i="24"/>
  <c r="M25" i="24"/>
  <c r="H25" i="24"/>
  <c r="Z24" i="24"/>
  <c r="AB24" i="24" s="1"/>
  <c r="W24" i="24"/>
  <c r="V24" i="24"/>
  <c r="Q24" i="24"/>
  <c r="P24" i="24"/>
  <c r="O24" i="24"/>
  <c r="M24" i="24"/>
  <c r="J24" i="24"/>
  <c r="H24" i="24"/>
  <c r="AB23" i="24"/>
  <c r="J23" i="24" s="1"/>
  <c r="Z23" i="24"/>
  <c r="W23" i="24"/>
  <c r="V23" i="24"/>
  <c r="P23" i="24"/>
  <c r="O23" i="24"/>
  <c r="Q23" i="24" s="1"/>
  <c r="M23" i="24"/>
  <c r="H23" i="24"/>
  <c r="Z22" i="24"/>
  <c r="AB22" i="24" s="1"/>
  <c r="W22" i="24"/>
  <c r="V22" i="24"/>
  <c r="Q22" i="24"/>
  <c r="P22" i="24"/>
  <c r="O22" i="24"/>
  <c r="M22" i="24"/>
  <c r="J22" i="24"/>
  <c r="H22" i="24"/>
  <c r="AB21" i="24"/>
  <c r="J21" i="24" s="1"/>
  <c r="I21" i="24" s="1"/>
  <c r="Z21" i="24"/>
  <c r="W21" i="24"/>
  <c r="V21" i="24"/>
  <c r="P21" i="24"/>
  <c r="O21" i="24"/>
  <c r="M21" i="24"/>
  <c r="H21" i="24"/>
  <c r="Z20" i="24"/>
  <c r="AB20" i="24" s="1"/>
  <c r="W20" i="24"/>
  <c r="V20" i="24"/>
  <c r="Q20" i="24"/>
  <c r="P20" i="24"/>
  <c r="O20" i="24"/>
  <c r="M20" i="24"/>
  <c r="J20" i="24"/>
  <c r="H20" i="24"/>
  <c r="AB19" i="24"/>
  <c r="J19" i="24" s="1"/>
  <c r="I19" i="24" s="1"/>
  <c r="Z19" i="24"/>
  <c r="W19" i="24"/>
  <c r="V19" i="24"/>
  <c r="P19" i="24"/>
  <c r="O19" i="24"/>
  <c r="M19" i="24"/>
  <c r="H19" i="24"/>
  <c r="Z18" i="24"/>
  <c r="AB18" i="24" s="1"/>
  <c r="J18" i="24" s="1"/>
  <c r="W18" i="24"/>
  <c r="V18" i="24"/>
  <c r="Q18" i="24"/>
  <c r="P18" i="24"/>
  <c r="O18" i="24"/>
  <c r="M18" i="24"/>
  <c r="H18" i="24"/>
  <c r="AB17" i="24"/>
  <c r="J17" i="24" s="1"/>
  <c r="Z17" i="24"/>
  <c r="W17" i="24"/>
  <c r="V17" i="24"/>
  <c r="P17" i="24"/>
  <c r="O17" i="24"/>
  <c r="M17" i="24"/>
  <c r="H17" i="24"/>
  <c r="Z16" i="24"/>
  <c r="AB16" i="24" s="1"/>
  <c r="W16" i="24"/>
  <c r="V16" i="24"/>
  <c r="Q16" i="24"/>
  <c r="P16" i="24"/>
  <c r="O16" i="24"/>
  <c r="M16" i="24"/>
  <c r="J16" i="24"/>
  <c r="H16" i="24"/>
  <c r="AB15" i="24"/>
  <c r="J15" i="24" s="1"/>
  <c r="Z15" i="24"/>
  <c r="W15" i="24"/>
  <c r="V15" i="24"/>
  <c r="P15" i="24"/>
  <c r="O15" i="24"/>
  <c r="Q15" i="24" s="1"/>
  <c r="M15" i="24"/>
  <c r="H15" i="24"/>
  <c r="Z14" i="24"/>
  <c r="AB14" i="24" s="1"/>
  <c r="W14" i="24"/>
  <c r="V14" i="24"/>
  <c r="Q14" i="24"/>
  <c r="P14" i="24"/>
  <c r="O14" i="24"/>
  <c r="M14" i="24"/>
  <c r="J14" i="24"/>
  <c r="H14" i="24"/>
  <c r="AB13" i="24"/>
  <c r="J13" i="24" s="1"/>
  <c r="I13" i="24" s="1"/>
  <c r="Z13" i="24"/>
  <c r="W13" i="24"/>
  <c r="V13" i="24"/>
  <c r="P13" i="24"/>
  <c r="O13" i="24"/>
  <c r="M13" i="24"/>
  <c r="H13" i="24"/>
  <c r="Z12" i="24"/>
  <c r="AB12" i="24" s="1"/>
  <c r="W12" i="24"/>
  <c r="V12" i="24"/>
  <c r="Q12" i="24"/>
  <c r="P12" i="24"/>
  <c r="O12" i="24"/>
  <c r="M12" i="24"/>
  <c r="J12" i="24"/>
  <c r="H12" i="24"/>
  <c r="AB11" i="24"/>
  <c r="J11" i="24" s="1"/>
  <c r="I11" i="24" s="1"/>
  <c r="Z11" i="24"/>
  <c r="W11" i="24"/>
  <c r="V11" i="24"/>
  <c r="P11" i="24"/>
  <c r="O11" i="24"/>
  <c r="M11" i="24"/>
  <c r="H11" i="24"/>
  <c r="Z10" i="24"/>
  <c r="AB10" i="24" s="1"/>
  <c r="J10" i="24" s="1"/>
  <c r="W10" i="24"/>
  <c r="V10" i="24"/>
  <c r="Q10" i="24"/>
  <c r="P10" i="24"/>
  <c r="O10" i="24"/>
  <c r="M10" i="24"/>
  <c r="H10" i="24"/>
  <c r="AB9" i="24"/>
  <c r="J9" i="24" s="1"/>
  <c r="Z9" i="24"/>
  <c r="W9" i="24"/>
  <c r="V9" i="24"/>
  <c r="P9" i="24"/>
  <c r="O9" i="24"/>
  <c r="M9" i="24"/>
  <c r="H9" i="24"/>
  <c r="Z8" i="24"/>
  <c r="AB8" i="24" s="1"/>
  <c r="W8" i="24"/>
  <c r="V8" i="24"/>
  <c r="Q8" i="24"/>
  <c r="P8" i="24"/>
  <c r="O8" i="24"/>
  <c r="M8" i="24"/>
  <c r="J8" i="24"/>
  <c r="H8" i="24"/>
  <c r="AB7" i="24"/>
  <c r="J7" i="24" s="1"/>
  <c r="Z7" i="24"/>
  <c r="W7" i="24"/>
  <c r="V7" i="24"/>
  <c r="P7" i="24"/>
  <c r="O7" i="24"/>
  <c r="Q7" i="24" s="1"/>
  <c r="M7" i="24"/>
  <c r="H7" i="24"/>
  <c r="Z6" i="24"/>
  <c r="AB6" i="24" s="1"/>
  <c r="W6" i="24"/>
  <c r="V6" i="24"/>
  <c r="Q6" i="24"/>
  <c r="P6" i="24"/>
  <c r="O6" i="24"/>
  <c r="M6" i="24"/>
  <c r="J6" i="24"/>
  <c r="H6" i="24"/>
  <c r="AB5" i="24"/>
  <c r="J5" i="24" s="1"/>
  <c r="I5" i="24" s="1"/>
  <c r="Z5" i="24"/>
  <c r="W5" i="24"/>
  <c r="V5" i="24"/>
  <c r="P5" i="24"/>
  <c r="O5" i="24"/>
  <c r="M5" i="24"/>
  <c r="H5" i="24"/>
  <c r="Z4" i="24"/>
  <c r="AB4" i="24" s="1"/>
  <c r="W4" i="24"/>
  <c r="V4" i="24"/>
  <c r="Q4" i="24"/>
  <c r="P4" i="24"/>
  <c r="O4" i="24"/>
  <c r="M4" i="24"/>
  <c r="J4" i="24"/>
  <c r="H4" i="24"/>
  <c r="AE3" i="24"/>
  <c r="U3" i="24"/>
  <c r="O3" i="24"/>
  <c r="H3" i="24"/>
  <c r="G3" i="24"/>
  <c r="F3" i="24"/>
  <c r="D3" i="24"/>
  <c r="C3" i="24"/>
  <c r="B3" i="24"/>
  <c r="A2" i="24"/>
  <c r="A1" i="24"/>
  <c r="AB56" i="23"/>
  <c r="J56" i="23" s="1"/>
  <c r="Z56" i="23"/>
  <c r="W56" i="23"/>
  <c r="V56" i="23"/>
  <c r="T56" i="23"/>
  <c r="S56" i="23"/>
  <c r="R56" i="23"/>
  <c r="P56" i="23"/>
  <c r="O56" i="23"/>
  <c r="Q56" i="23" s="1"/>
  <c r="M56" i="23"/>
  <c r="H56" i="23"/>
  <c r="C56" i="23"/>
  <c r="AB55" i="23"/>
  <c r="J55" i="23" s="1"/>
  <c r="I55" i="23" s="1"/>
  <c r="Z55" i="23"/>
  <c r="W55" i="23"/>
  <c r="V55" i="23"/>
  <c r="P55" i="23"/>
  <c r="O55" i="23"/>
  <c r="Q55" i="23" s="1"/>
  <c r="M55" i="23"/>
  <c r="H55" i="23"/>
  <c r="C55" i="23"/>
  <c r="AB54" i="23"/>
  <c r="J54" i="23" s="1"/>
  <c r="I54" i="23" s="1"/>
  <c r="Z54" i="23"/>
  <c r="W54" i="23"/>
  <c r="V54" i="23"/>
  <c r="T54" i="23"/>
  <c r="S54" i="23"/>
  <c r="R54" i="23"/>
  <c r="P54" i="23"/>
  <c r="O54" i="23"/>
  <c r="M54" i="23"/>
  <c r="H54" i="23"/>
  <c r="C54" i="23"/>
  <c r="AB53" i="23"/>
  <c r="J53" i="23" s="1"/>
  <c r="I53" i="23" s="1"/>
  <c r="Z53" i="23"/>
  <c r="W53" i="23"/>
  <c r="V53" i="23"/>
  <c r="T53" i="23"/>
  <c r="S53" i="23"/>
  <c r="R53" i="23"/>
  <c r="P53" i="23"/>
  <c r="O53" i="23"/>
  <c r="Q53" i="23" s="1"/>
  <c r="M53" i="23"/>
  <c r="K53" i="23"/>
  <c r="H53" i="23"/>
  <c r="C53" i="23"/>
  <c r="AB52" i="23"/>
  <c r="J52" i="23" s="1"/>
  <c r="I52" i="23" s="1"/>
  <c r="Z52" i="23"/>
  <c r="W52" i="23"/>
  <c r="V52" i="23"/>
  <c r="T52" i="23"/>
  <c r="S52" i="23"/>
  <c r="R52" i="23"/>
  <c r="P52" i="23"/>
  <c r="O52" i="23"/>
  <c r="M52" i="23"/>
  <c r="K52" i="23"/>
  <c r="H52" i="23"/>
  <c r="C52" i="23"/>
  <c r="AB51" i="23"/>
  <c r="J51" i="23" s="1"/>
  <c r="I51" i="23" s="1"/>
  <c r="Z51" i="23"/>
  <c r="W51" i="23"/>
  <c r="V51" i="23"/>
  <c r="T51" i="23"/>
  <c r="S51" i="23"/>
  <c r="R51" i="23"/>
  <c r="P51" i="23"/>
  <c r="O51" i="23"/>
  <c r="Q51" i="23" s="1"/>
  <c r="M51" i="23"/>
  <c r="H51" i="23"/>
  <c r="C51" i="23"/>
  <c r="AB50" i="23"/>
  <c r="J50" i="23" s="1"/>
  <c r="I50" i="23" s="1"/>
  <c r="Z50" i="23"/>
  <c r="W50" i="23"/>
  <c r="V50" i="23"/>
  <c r="T50" i="23"/>
  <c r="S50" i="23"/>
  <c r="R50" i="23"/>
  <c r="P50" i="23"/>
  <c r="O50" i="23"/>
  <c r="M50" i="23"/>
  <c r="K50" i="23"/>
  <c r="H50" i="23"/>
  <c r="C50" i="23"/>
  <c r="AB49" i="23"/>
  <c r="J49" i="23" s="1"/>
  <c r="Z49" i="23"/>
  <c r="W49" i="23"/>
  <c r="V49" i="23"/>
  <c r="T49" i="23"/>
  <c r="S49" i="23"/>
  <c r="R49" i="23"/>
  <c r="P49" i="23"/>
  <c r="O49" i="23"/>
  <c r="Q49" i="23" s="1"/>
  <c r="M49" i="23"/>
  <c r="H49" i="23"/>
  <c r="C49" i="23"/>
  <c r="AB48" i="23"/>
  <c r="J48" i="23" s="1"/>
  <c r="I48" i="23" s="1"/>
  <c r="Z48" i="23"/>
  <c r="W48" i="23"/>
  <c r="V48" i="23"/>
  <c r="T48" i="23"/>
  <c r="S48" i="23"/>
  <c r="R48" i="23"/>
  <c r="P48" i="23"/>
  <c r="O48" i="23"/>
  <c r="Q48" i="23" s="1"/>
  <c r="M48" i="23"/>
  <c r="K48" i="23"/>
  <c r="H48" i="23"/>
  <c r="C48" i="23"/>
  <c r="AB47" i="23"/>
  <c r="J47" i="23" s="1"/>
  <c r="I47" i="23" s="1"/>
  <c r="Z47" i="23"/>
  <c r="W47" i="23"/>
  <c r="V47" i="23"/>
  <c r="Q47" i="23"/>
  <c r="P47" i="23"/>
  <c r="O47" i="23"/>
  <c r="M47" i="23"/>
  <c r="K47" i="23"/>
  <c r="H47" i="23"/>
  <c r="C47" i="23"/>
  <c r="Z46" i="23"/>
  <c r="AB46" i="23" s="1"/>
  <c r="J46" i="23" s="1"/>
  <c r="W46" i="23"/>
  <c r="V46" i="23"/>
  <c r="P46" i="23"/>
  <c r="O46" i="23"/>
  <c r="Q46" i="23" s="1"/>
  <c r="M46" i="23"/>
  <c r="H46" i="23"/>
  <c r="C46" i="23"/>
  <c r="Z45" i="23"/>
  <c r="AB45" i="23" s="1"/>
  <c r="J45" i="23" s="1"/>
  <c r="W45" i="23"/>
  <c r="V45" i="23"/>
  <c r="P45" i="23"/>
  <c r="O45" i="23"/>
  <c r="Q45" i="23" s="1"/>
  <c r="M45" i="23"/>
  <c r="H45" i="23"/>
  <c r="C45" i="23"/>
  <c r="Z44" i="23"/>
  <c r="AB44" i="23" s="1"/>
  <c r="J44" i="23" s="1"/>
  <c r="W44" i="23"/>
  <c r="V44" i="23"/>
  <c r="Q44" i="23"/>
  <c r="P44" i="23"/>
  <c r="O44" i="23"/>
  <c r="M44" i="23"/>
  <c r="H44" i="23"/>
  <c r="C44" i="23"/>
  <c r="AB43" i="23"/>
  <c r="J43" i="23" s="1"/>
  <c r="Z43" i="23"/>
  <c r="W43" i="23"/>
  <c r="V43" i="23"/>
  <c r="Q43" i="23"/>
  <c r="P43" i="23"/>
  <c r="O43" i="23"/>
  <c r="M43" i="23"/>
  <c r="H43" i="23"/>
  <c r="C43" i="23"/>
  <c r="AB42" i="23"/>
  <c r="Z42" i="23"/>
  <c r="W42" i="23"/>
  <c r="V42" i="23"/>
  <c r="T42" i="23"/>
  <c r="S42" i="23"/>
  <c r="R42" i="23"/>
  <c r="Q42" i="23"/>
  <c r="P42" i="23"/>
  <c r="O42" i="23"/>
  <c r="M42" i="23"/>
  <c r="K42" i="23"/>
  <c r="J42" i="23"/>
  <c r="I42" i="23"/>
  <c r="H42" i="23"/>
  <c r="C42" i="23"/>
  <c r="AB41" i="23"/>
  <c r="J41" i="23" s="1"/>
  <c r="K41" i="23" s="1"/>
  <c r="Z41" i="23"/>
  <c r="W41" i="23"/>
  <c r="V41" i="23"/>
  <c r="P41" i="23"/>
  <c r="Q41" i="23" s="1"/>
  <c r="O41" i="23"/>
  <c r="M41" i="23"/>
  <c r="H41" i="23"/>
  <c r="C41" i="23"/>
  <c r="AB39" i="23"/>
  <c r="J39" i="23" s="1"/>
  <c r="K39" i="23" s="1"/>
  <c r="Z39" i="23"/>
  <c r="W39" i="23"/>
  <c r="V39" i="23"/>
  <c r="P39" i="23"/>
  <c r="O39" i="23"/>
  <c r="M39" i="23"/>
  <c r="H39" i="23"/>
  <c r="C39" i="23"/>
  <c r="AB38" i="23"/>
  <c r="J38" i="23" s="1"/>
  <c r="Z38" i="23"/>
  <c r="W38" i="23"/>
  <c r="V38" i="23"/>
  <c r="P38" i="23"/>
  <c r="O38" i="23"/>
  <c r="M38" i="23"/>
  <c r="H38" i="23"/>
  <c r="C38" i="23"/>
  <c r="AB37" i="23"/>
  <c r="J37" i="23" s="1"/>
  <c r="I37" i="23" s="1"/>
  <c r="Z37" i="23"/>
  <c r="W37" i="23"/>
  <c r="V37" i="23"/>
  <c r="Q37" i="23"/>
  <c r="P37" i="23"/>
  <c r="O37" i="23"/>
  <c r="M37" i="23"/>
  <c r="K37" i="23"/>
  <c r="H37" i="23"/>
  <c r="C37" i="23"/>
  <c r="Z36" i="23"/>
  <c r="AB36" i="23" s="1"/>
  <c r="J36" i="23" s="1"/>
  <c r="W36" i="23"/>
  <c r="V36" i="23"/>
  <c r="P36" i="23"/>
  <c r="O36" i="23"/>
  <c r="Q36" i="23" s="1"/>
  <c r="M36" i="23"/>
  <c r="H36" i="23"/>
  <c r="C36" i="23"/>
  <c r="Z35" i="23"/>
  <c r="AB35" i="23" s="1"/>
  <c r="J35" i="23" s="1"/>
  <c r="W35" i="23"/>
  <c r="V35" i="23"/>
  <c r="P35" i="23"/>
  <c r="O35" i="23"/>
  <c r="Q35" i="23" s="1"/>
  <c r="M35" i="23"/>
  <c r="H35" i="23"/>
  <c r="C35" i="23"/>
  <c r="Z34" i="23"/>
  <c r="AB34" i="23" s="1"/>
  <c r="J34" i="23" s="1"/>
  <c r="W34" i="23"/>
  <c r="V34" i="23"/>
  <c r="Q34" i="23"/>
  <c r="P34" i="23"/>
  <c r="O34" i="23"/>
  <c r="M34" i="23"/>
  <c r="H34" i="23"/>
  <c r="C34" i="23"/>
  <c r="AB33" i="23"/>
  <c r="J33" i="23" s="1"/>
  <c r="Z33" i="23"/>
  <c r="W33" i="23"/>
  <c r="V33" i="23"/>
  <c r="Q33" i="23"/>
  <c r="P33" i="23"/>
  <c r="O33" i="23"/>
  <c r="M33" i="23"/>
  <c r="H33" i="23"/>
  <c r="C33" i="23"/>
  <c r="Z32" i="23"/>
  <c r="AB32" i="23" s="1"/>
  <c r="J32" i="23" s="1"/>
  <c r="K32" i="23" s="1"/>
  <c r="W32" i="23"/>
  <c r="V32" i="23"/>
  <c r="P32" i="23"/>
  <c r="Q32" i="23" s="1"/>
  <c r="O32" i="23"/>
  <c r="M32" i="23"/>
  <c r="I32" i="23"/>
  <c r="H32" i="23"/>
  <c r="C32" i="23"/>
  <c r="AB31" i="23"/>
  <c r="J31" i="23" s="1"/>
  <c r="K31" i="23" s="1"/>
  <c r="Z31" i="23"/>
  <c r="W31" i="23"/>
  <c r="V31" i="23"/>
  <c r="P31" i="23"/>
  <c r="O31" i="23"/>
  <c r="Q31" i="23" s="1"/>
  <c r="M31" i="23"/>
  <c r="I31" i="23"/>
  <c r="H31" i="23"/>
  <c r="C31" i="23"/>
  <c r="AB30" i="23"/>
  <c r="J30" i="23" s="1"/>
  <c r="I30" i="23" s="1"/>
  <c r="Z30" i="23"/>
  <c r="W30" i="23"/>
  <c r="V30" i="23"/>
  <c r="P30" i="23"/>
  <c r="O30" i="23"/>
  <c r="Q30" i="23" s="1"/>
  <c r="M30" i="23"/>
  <c r="K30" i="23"/>
  <c r="H30" i="23"/>
  <c r="C30" i="23"/>
  <c r="AB29" i="23"/>
  <c r="J29" i="23" s="1"/>
  <c r="I29" i="23" s="1"/>
  <c r="Z29" i="23"/>
  <c r="W29" i="23"/>
  <c r="V29" i="23"/>
  <c r="Q29" i="23"/>
  <c r="P29" i="23"/>
  <c r="O29" i="23"/>
  <c r="M29" i="23"/>
  <c r="K29" i="23"/>
  <c r="H29" i="23"/>
  <c r="C29" i="23"/>
  <c r="Z28" i="23"/>
  <c r="AB28" i="23" s="1"/>
  <c r="J28" i="23" s="1"/>
  <c r="W28" i="23"/>
  <c r="V28" i="23"/>
  <c r="P28" i="23"/>
  <c r="O28" i="23"/>
  <c r="Q28" i="23" s="1"/>
  <c r="M28" i="23"/>
  <c r="H28" i="23"/>
  <c r="C28" i="23"/>
  <c r="Z27" i="23"/>
  <c r="AB27" i="23" s="1"/>
  <c r="W27" i="23"/>
  <c r="V27" i="23"/>
  <c r="P27" i="23"/>
  <c r="O27" i="23"/>
  <c r="Q27" i="23" s="1"/>
  <c r="M27" i="23"/>
  <c r="J27" i="23"/>
  <c r="H27" i="23"/>
  <c r="C27" i="23"/>
  <c r="Z26" i="23"/>
  <c r="AB26" i="23" s="1"/>
  <c r="J26" i="23" s="1"/>
  <c r="W26" i="23"/>
  <c r="V26" i="23"/>
  <c r="P26" i="23"/>
  <c r="Q26" i="23" s="1"/>
  <c r="O26" i="23"/>
  <c r="M26" i="23"/>
  <c r="H26" i="23"/>
  <c r="C26" i="23"/>
  <c r="AB25" i="23"/>
  <c r="J25" i="23" s="1"/>
  <c r="I25" i="23" s="1"/>
  <c r="Z25" i="23"/>
  <c r="W25" i="23"/>
  <c r="V25" i="23"/>
  <c r="Q25" i="23"/>
  <c r="P25" i="23"/>
  <c r="O25" i="23"/>
  <c r="M25" i="23"/>
  <c r="K25" i="23"/>
  <c r="H25" i="23"/>
  <c r="AB24" i="23"/>
  <c r="J24" i="23" s="1"/>
  <c r="I24" i="23" s="1"/>
  <c r="Z24" i="23"/>
  <c r="W24" i="23"/>
  <c r="V24" i="23"/>
  <c r="Q24" i="23"/>
  <c r="P24" i="23"/>
  <c r="O24" i="23"/>
  <c r="M24" i="23"/>
  <c r="K24" i="23"/>
  <c r="H24" i="23"/>
  <c r="AB23" i="23"/>
  <c r="J23" i="23" s="1"/>
  <c r="I23" i="23" s="1"/>
  <c r="Z23" i="23"/>
  <c r="W23" i="23"/>
  <c r="V23" i="23"/>
  <c r="Q23" i="23"/>
  <c r="P23" i="23"/>
  <c r="O23" i="23"/>
  <c r="M23" i="23"/>
  <c r="K23" i="23"/>
  <c r="H23" i="23"/>
  <c r="AB22" i="23"/>
  <c r="J22" i="23" s="1"/>
  <c r="I22" i="23" s="1"/>
  <c r="Z22" i="23"/>
  <c r="W22" i="23"/>
  <c r="V22" i="23"/>
  <c r="Q22" i="23"/>
  <c r="P22" i="23"/>
  <c r="O22" i="23"/>
  <c r="M22" i="23"/>
  <c r="K22" i="23"/>
  <c r="H22" i="23"/>
  <c r="AB21" i="23"/>
  <c r="J21" i="23" s="1"/>
  <c r="Z21" i="23"/>
  <c r="W21" i="23"/>
  <c r="V21" i="23"/>
  <c r="Q21" i="23"/>
  <c r="P21" i="23"/>
  <c r="O21" i="23"/>
  <c r="M21" i="23"/>
  <c r="K21" i="23"/>
  <c r="I21" i="23"/>
  <c r="H21" i="23"/>
  <c r="AB20" i="23"/>
  <c r="J20" i="23" s="1"/>
  <c r="I20" i="23" s="1"/>
  <c r="Z20" i="23"/>
  <c r="W20" i="23"/>
  <c r="V20" i="23"/>
  <c r="P20" i="23"/>
  <c r="O20" i="23"/>
  <c r="Q20" i="23" s="1"/>
  <c r="M20" i="23"/>
  <c r="K20" i="23"/>
  <c r="H20" i="23"/>
  <c r="AB19" i="23"/>
  <c r="J19" i="23" s="1"/>
  <c r="I19" i="23" s="1"/>
  <c r="Z19" i="23"/>
  <c r="W19" i="23"/>
  <c r="V19" i="23"/>
  <c r="Q19" i="23"/>
  <c r="P19" i="23"/>
  <c r="O19" i="23"/>
  <c r="M19" i="23"/>
  <c r="K19" i="23"/>
  <c r="H19" i="23"/>
  <c r="AB18" i="23"/>
  <c r="J18" i="23" s="1"/>
  <c r="I18" i="23" s="1"/>
  <c r="Z18" i="23"/>
  <c r="W18" i="23"/>
  <c r="V18" i="23"/>
  <c r="P18" i="23"/>
  <c r="O18" i="23"/>
  <c r="Q18" i="23" s="1"/>
  <c r="M18" i="23"/>
  <c r="K18" i="23"/>
  <c r="H18" i="23"/>
  <c r="AB17" i="23"/>
  <c r="J17" i="23" s="1"/>
  <c r="Z17" i="23"/>
  <c r="W17" i="23"/>
  <c r="V17" i="23"/>
  <c r="Q17" i="23"/>
  <c r="P17" i="23"/>
  <c r="O17" i="23"/>
  <c r="M17" i="23"/>
  <c r="K17" i="23"/>
  <c r="I17" i="23"/>
  <c r="H17" i="23"/>
  <c r="AB16" i="23"/>
  <c r="J16" i="23" s="1"/>
  <c r="I16" i="23" s="1"/>
  <c r="Z16" i="23"/>
  <c r="W16" i="23"/>
  <c r="V16" i="23"/>
  <c r="P16" i="23"/>
  <c r="O16" i="23"/>
  <c r="Q16" i="23" s="1"/>
  <c r="M16" i="23"/>
  <c r="K16" i="23"/>
  <c r="H16" i="23"/>
  <c r="AB15" i="23"/>
  <c r="J15" i="23" s="1"/>
  <c r="Z15" i="23"/>
  <c r="W15" i="23"/>
  <c r="V15" i="23"/>
  <c r="Q15" i="23"/>
  <c r="P15" i="23"/>
  <c r="O15" i="23"/>
  <c r="M15" i="23"/>
  <c r="K15" i="23"/>
  <c r="I15" i="23"/>
  <c r="H15" i="23"/>
  <c r="AB14" i="23"/>
  <c r="J14" i="23" s="1"/>
  <c r="I14" i="23" s="1"/>
  <c r="Z14" i="23"/>
  <c r="W14" i="23"/>
  <c r="V14" i="23"/>
  <c r="P14" i="23"/>
  <c r="O14" i="23"/>
  <c r="Q14" i="23" s="1"/>
  <c r="M14" i="23"/>
  <c r="K14" i="23"/>
  <c r="H14" i="23"/>
  <c r="AB13" i="23"/>
  <c r="J13" i="23" s="1"/>
  <c r="Z13" i="23"/>
  <c r="W13" i="23"/>
  <c r="V13" i="23"/>
  <c r="Q13" i="23"/>
  <c r="P13" i="23"/>
  <c r="O13" i="23"/>
  <c r="M13" i="23"/>
  <c r="K13" i="23"/>
  <c r="I13" i="23"/>
  <c r="H13" i="23"/>
  <c r="AB12" i="23"/>
  <c r="J12" i="23" s="1"/>
  <c r="I12" i="23" s="1"/>
  <c r="Z12" i="23"/>
  <c r="W12" i="23"/>
  <c r="V12" i="23"/>
  <c r="Q12" i="23"/>
  <c r="P12" i="23"/>
  <c r="O12" i="23"/>
  <c r="M12" i="23"/>
  <c r="K12" i="23"/>
  <c r="H12" i="23"/>
  <c r="AB11" i="23"/>
  <c r="J11" i="23" s="1"/>
  <c r="I11" i="23" s="1"/>
  <c r="Z11" i="23"/>
  <c r="W11" i="23"/>
  <c r="V11" i="23"/>
  <c r="Q11" i="23"/>
  <c r="P11" i="23"/>
  <c r="O11" i="23"/>
  <c r="M11" i="23"/>
  <c r="K11" i="23"/>
  <c r="H11" i="23"/>
  <c r="AB10" i="23"/>
  <c r="J10" i="23" s="1"/>
  <c r="I10" i="23" s="1"/>
  <c r="Z10" i="23"/>
  <c r="W10" i="23"/>
  <c r="V10" i="23"/>
  <c r="P10" i="23"/>
  <c r="O10" i="23"/>
  <c r="Q10" i="23" s="1"/>
  <c r="M10" i="23"/>
  <c r="K10" i="23"/>
  <c r="H10" i="23"/>
  <c r="AB9" i="23"/>
  <c r="J9" i="23" s="1"/>
  <c r="Z9" i="23"/>
  <c r="W9" i="23"/>
  <c r="V9" i="23"/>
  <c r="Q9" i="23"/>
  <c r="P9" i="23"/>
  <c r="O9" i="23"/>
  <c r="M9" i="23"/>
  <c r="K9" i="23"/>
  <c r="I9" i="23"/>
  <c r="H9" i="23"/>
  <c r="AB8" i="23"/>
  <c r="J8" i="23" s="1"/>
  <c r="I8" i="23" s="1"/>
  <c r="Z8" i="23"/>
  <c r="W8" i="23"/>
  <c r="V8" i="23"/>
  <c r="Q8" i="23"/>
  <c r="P8" i="23"/>
  <c r="O8" i="23"/>
  <c r="M8" i="23"/>
  <c r="K8" i="23"/>
  <c r="H8" i="23"/>
  <c r="AB7" i="23"/>
  <c r="J7" i="23" s="1"/>
  <c r="I7" i="23" s="1"/>
  <c r="Z7" i="23"/>
  <c r="W7" i="23"/>
  <c r="V7" i="23"/>
  <c r="Q7" i="23"/>
  <c r="P7" i="23"/>
  <c r="O7" i="23"/>
  <c r="M7" i="23"/>
  <c r="K7" i="23"/>
  <c r="H7" i="23"/>
  <c r="AB6" i="23"/>
  <c r="J6" i="23" s="1"/>
  <c r="I6" i="23" s="1"/>
  <c r="Z6" i="23"/>
  <c r="W6" i="23"/>
  <c r="V6" i="23"/>
  <c r="V3" i="23" s="1"/>
  <c r="Q6" i="23"/>
  <c r="P6" i="23"/>
  <c r="O6" i="23"/>
  <c r="M6" i="23"/>
  <c r="K6" i="23"/>
  <c r="H6" i="23"/>
  <c r="AB5" i="23"/>
  <c r="J5" i="23" s="1"/>
  <c r="Z5" i="23"/>
  <c r="W5" i="23"/>
  <c r="V5" i="23"/>
  <c r="Q5" i="23"/>
  <c r="P5" i="23"/>
  <c r="O5" i="23"/>
  <c r="M5" i="23"/>
  <c r="K5" i="23"/>
  <c r="I5" i="23"/>
  <c r="H5" i="23"/>
  <c r="AB4" i="23"/>
  <c r="J4" i="23" s="1"/>
  <c r="Z4" i="23"/>
  <c r="W4" i="23"/>
  <c r="V4" i="23"/>
  <c r="P4" i="23"/>
  <c r="O4" i="23"/>
  <c r="Q4" i="23" s="1"/>
  <c r="M4" i="23"/>
  <c r="H4" i="23"/>
  <c r="AE3" i="23"/>
  <c r="U3" i="23"/>
  <c r="O3" i="23"/>
  <c r="H3" i="23"/>
  <c r="G3" i="23"/>
  <c r="F3" i="23"/>
  <c r="D3" i="23"/>
  <c r="C3" i="23"/>
  <c r="B3" i="23"/>
  <c r="A2" i="23"/>
  <c r="A1" i="23"/>
  <c r="AB56" i="22"/>
  <c r="J56" i="22" s="1"/>
  <c r="Z56" i="22"/>
  <c r="W56" i="22"/>
  <c r="V56" i="22"/>
  <c r="T56" i="22"/>
  <c r="S56" i="22"/>
  <c r="R56" i="22"/>
  <c r="Q56" i="22"/>
  <c r="P56" i="22"/>
  <c r="O56" i="22"/>
  <c r="M56" i="22"/>
  <c r="H56" i="22"/>
  <c r="C56" i="22"/>
  <c r="AB55" i="22"/>
  <c r="J55" i="22" s="1"/>
  <c r="Z55" i="22"/>
  <c r="W55" i="22"/>
  <c r="W3" i="22" s="1"/>
  <c r="V55" i="22"/>
  <c r="Q55" i="22"/>
  <c r="P55" i="22"/>
  <c r="O55" i="22"/>
  <c r="M55" i="22"/>
  <c r="K55" i="22"/>
  <c r="I55" i="22"/>
  <c r="H55" i="22"/>
  <c r="C55" i="22"/>
  <c r="AE3" i="22"/>
  <c r="V3" i="22"/>
  <c r="U3" i="22"/>
  <c r="O3" i="22"/>
  <c r="G3" i="22"/>
  <c r="F3" i="22"/>
  <c r="D3" i="22"/>
  <c r="C3" i="22"/>
  <c r="B3" i="22"/>
  <c r="A2" i="22"/>
  <c r="A1" i="22"/>
  <c r="Z56" i="21"/>
  <c r="AB56" i="21" s="1"/>
  <c r="J56" i="21" s="1"/>
  <c r="I56" i="21" s="1"/>
  <c r="W56" i="21"/>
  <c r="V56" i="21"/>
  <c r="T56" i="21"/>
  <c r="S56" i="21"/>
  <c r="R56" i="21"/>
  <c r="Q56" i="21"/>
  <c r="P56" i="21"/>
  <c r="O56" i="21"/>
  <c r="M56" i="21"/>
  <c r="K56" i="21"/>
  <c r="H56" i="21"/>
  <c r="C56" i="21"/>
  <c r="Z55" i="21"/>
  <c r="AB55" i="21" s="1"/>
  <c r="J55" i="21" s="1"/>
  <c r="K55" i="21" s="1"/>
  <c r="W55" i="21"/>
  <c r="V55" i="21"/>
  <c r="P55" i="21"/>
  <c r="Q55" i="21" s="1"/>
  <c r="O55" i="21"/>
  <c r="M55" i="21"/>
  <c r="I55" i="21"/>
  <c r="H55" i="21"/>
  <c r="C55" i="21"/>
  <c r="AB54" i="21"/>
  <c r="J54" i="21" s="1"/>
  <c r="K54" i="21" s="1"/>
  <c r="Z54" i="21"/>
  <c r="W54" i="21"/>
  <c r="V54" i="21"/>
  <c r="T54" i="21"/>
  <c r="S54" i="21"/>
  <c r="R54" i="21"/>
  <c r="P54" i="21"/>
  <c r="Q54" i="21" s="1"/>
  <c r="O54" i="21"/>
  <c r="M54" i="21"/>
  <c r="I54" i="21"/>
  <c r="H54" i="21"/>
  <c r="C54" i="21"/>
  <c r="AB53" i="21"/>
  <c r="J53" i="21" s="1"/>
  <c r="K53" i="21" s="1"/>
  <c r="Z53" i="21"/>
  <c r="W53" i="21"/>
  <c r="V53" i="21"/>
  <c r="T53" i="21"/>
  <c r="S53" i="21"/>
  <c r="R53" i="21"/>
  <c r="P53" i="21"/>
  <c r="Q53" i="21" s="1"/>
  <c r="O53" i="21"/>
  <c r="M53" i="21"/>
  <c r="H53" i="21"/>
  <c r="C53" i="21"/>
  <c r="AB52" i="21"/>
  <c r="J52" i="21" s="1"/>
  <c r="K52" i="21" s="1"/>
  <c r="Z52" i="21"/>
  <c r="W52" i="21"/>
  <c r="V52" i="21"/>
  <c r="T52" i="21"/>
  <c r="S52" i="21"/>
  <c r="R52" i="21"/>
  <c r="P52" i="21"/>
  <c r="Q52" i="21" s="1"/>
  <c r="O52" i="21"/>
  <c r="M52" i="21"/>
  <c r="H52" i="21"/>
  <c r="C52" i="21"/>
  <c r="AB51" i="21"/>
  <c r="J51" i="21" s="1"/>
  <c r="K51" i="21" s="1"/>
  <c r="Z51" i="21"/>
  <c r="W51" i="21"/>
  <c r="V51" i="21"/>
  <c r="T51" i="21"/>
  <c r="S51" i="21"/>
  <c r="R51" i="21"/>
  <c r="P51" i="21"/>
  <c r="O51" i="21"/>
  <c r="Q51" i="21" s="1"/>
  <c r="M51" i="21"/>
  <c r="I51" i="21"/>
  <c r="H51" i="21"/>
  <c r="C51" i="21"/>
  <c r="AB50" i="21"/>
  <c r="J50" i="21" s="1"/>
  <c r="K50" i="21" s="1"/>
  <c r="Z50" i="21"/>
  <c r="W50" i="21"/>
  <c r="V50" i="21"/>
  <c r="T50" i="21"/>
  <c r="S50" i="21"/>
  <c r="R50" i="21"/>
  <c r="P50" i="21"/>
  <c r="O50" i="21"/>
  <c r="M50" i="21"/>
  <c r="H50" i="21"/>
  <c r="C50" i="21"/>
  <c r="AB49" i="21"/>
  <c r="J49" i="21" s="1"/>
  <c r="Z49" i="21"/>
  <c r="W49" i="21"/>
  <c r="V49" i="21"/>
  <c r="T49" i="21"/>
  <c r="S49" i="21"/>
  <c r="R49" i="21"/>
  <c r="P49" i="21"/>
  <c r="O49" i="21"/>
  <c r="Q49" i="21" s="1"/>
  <c r="M49" i="21"/>
  <c r="H49" i="21"/>
  <c r="C49" i="21"/>
  <c r="AB48" i="21"/>
  <c r="Z48" i="21"/>
  <c r="W48" i="21"/>
  <c r="V48" i="21"/>
  <c r="T48" i="21"/>
  <c r="S48" i="21"/>
  <c r="R48" i="21"/>
  <c r="P48" i="21"/>
  <c r="O48" i="21"/>
  <c r="M48" i="21"/>
  <c r="J48" i="21"/>
  <c r="K48" i="21" s="1"/>
  <c r="I48" i="21"/>
  <c r="H48" i="21"/>
  <c r="C48" i="21"/>
  <c r="AB47" i="21"/>
  <c r="J47" i="21" s="1"/>
  <c r="Z47" i="21"/>
  <c r="W47" i="21"/>
  <c r="V47" i="21"/>
  <c r="P47" i="21"/>
  <c r="O47" i="21"/>
  <c r="Q47" i="21" s="1"/>
  <c r="M47" i="21"/>
  <c r="K47" i="21"/>
  <c r="I47" i="21"/>
  <c r="H47" i="21"/>
  <c r="C47" i="21"/>
  <c r="Z46" i="21"/>
  <c r="AB46" i="21" s="1"/>
  <c r="J46" i="21" s="1"/>
  <c r="W46" i="21"/>
  <c r="V46" i="21"/>
  <c r="P46" i="21"/>
  <c r="Q46" i="21" s="1"/>
  <c r="O46" i="21"/>
  <c r="M46" i="21"/>
  <c r="H46" i="21"/>
  <c r="C46" i="21"/>
  <c r="AB45" i="21"/>
  <c r="J45" i="21" s="1"/>
  <c r="I45" i="21" s="1"/>
  <c r="Z45" i="21"/>
  <c r="W45" i="21"/>
  <c r="V45" i="21"/>
  <c r="Q45" i="21"/>
  <c r="P45" i="21"/>
  <c r="O45" i="21"/>
  <c r="M45" i="21"/>
  <c r="K45" i="21"/>
  <c r="H45" i="21"/>
  <c r="C45" i="21"/>
  <c r="AB44" i="21"/>
  <c r="J44" i="21" s="1"/>
  <c r="Z44" i="21"/>
  <c r="W44" i="21"/>
  <c r="V44" i="21"/>
  <c r="Q44" i="21"/>
  <c r="P44" i="21"/>
  <c r="O44" i="21"/>
  <c r="M44" i="21"/>
  <c r="K44" i="21"/>
  <c r="I44" i="21"/>
  <c r="H44" i="21"/>
  <c r="C44" i="21"/>
  <c r="Z43" i="21"/>
  <c r="AB43" i="21" s="1"/>
  <c r="J43" i="21" s="1"/>
  <c r="W43" i="21"/>
  <c r="V43" i="21"/>
  <c r="P43" i="21"/>
  <c r="Q43" i="21" s="1"/>
  <c r="O43" i="21"/>
  <c r="M43" i="21"/>
  <c r="H43" i="21"/>
  <c r="C43" i="21"/>
  <c r="AB42" i="21"/>
  <c r="J42" i="21" s="1"/>
  <c r="Z42" i="21"/>
  <c r="W42" i="21"/>
  <c r="V42" i="21"/>
  <c r="T42" i="21"/>
  <c r="S42" i="21"/>
  <c r="R42" i="21"/>
  <c r="P42" i="21"/>
  <c r="Q42" i="21" s="1"/>
  <c r="O42" i="21"/>
  <c r="M42" i="21"/>
  <c r="H42" i="21"/>
  <c r="C42" i="21"/>
  <c r="AB41" i="21"/>
  <c r="J41" i="21" s="1"/>
  <c r="I41" i="21" s="1"/>
  <c r="Z41" i="21"/>
  <c r="W41" i="21"/>
  <c r="V41" i="21"/>
  <c r="P41" i="21"/>
  <c r="O41" i="21"/>
  <c r="Q41" i="21" s="1"/>
  <c r="M41" i="21"/>
  <c r="H41" i="21"/>
  <c r="C41" i="21"/>
  <c r="Z39" i="21"/>
  <c r="AB39" i="21" s="1"/>
  <c r="W39" i="21"/>
  <c r="V39" i="21"/>
  <c r="P39" i="21"/>
  <c r="Q39" i="21" s="1"/>
  <c r="O39" i="21"/>
  <c r="M39" i="21"/>
  <c r="J39" i="21"/>
  <c r="H39" i="21"/>
  <c r="C39" i="21"/>
  <c r="AB38" i="21"/>
  <c r="J38" i="21" s="1"/>
  <c r="Z38" i="21"/>
  <c r="W38" i="21"/>
  <c r="V38" i="21"/>
  <c r="P38" i="21"/>
  <c r="O38" i="21"/>
  <c r="Q38" i="21" s="1"/>
  <c r="M38" i="21"/>
  <c r="H38" i="21"/>
  <c r="C38" i="21"/>
  <c r="Z37" i="21"/>
  <c r="AB37" i="21" s="1"/>
  <c r="J37" i="21" s="1"/>
  <c r="W37" i="21"/>
  <c r="V37" i="21"/>
  <c r="P37" i="21"/>
  <c r="O37" i="21"/>
  <c r="Q37" i="21" s="1"/>
  <c r="M37" i="21"/>
  <c r="H37" i="21"/>
  <c r="C37" i="21"/>
  <c r="Z36" i="21"/>
  <c r="AB36" i="21" s="1"/>
  <c r="J36" i="21" s="1"/>
  <c r="K36" i="21" s="1"/>
  <c r="W36" i="21"/>
  <c r="V36" i="21"/>
  <c r="Q36" i="21"/>
  <c r="P36" i="21"/>
  <c r="O36" i="21"/>
  <c r="M36" i="21"/>
  <c r="I36" i="21"/>
  <c r="H36" i="21"/>
  <c r="C36" i="21"/>
  <c r="Z35" i="21"/>
  <c r="AB35" i="21" s="1"/>
  <c r="J35" i="21" s="1"/>
  <c r="W35" i="21"/>
  <c r="V35" i="21"/>
  <c r="P35" i="21"/>
  <c r="O35" i="21"/>
  <c r="Q35" i="21" s="1"/>
  <c r="M35" i="21"/>
  <c r="H35" i="21"/>
  <c r="C35" i="21"/>
  <c r="AB34" i="21"/>
  <c r="J34" i="21" s="1"/>
  <c r="Z34" i="21"/>
  <c r="W34" i="21"/>
  <c r="V34" i="21"/>
  <c r="Q34" i="21"/>
  <c r="P34" i="21"/>
  <c r="O34" i="21"/>
  <c r="M34" i="21"/>
  <c r="K34" i="21"/>
  <c r="I34" i="21"/>
  <c r="H34" i="21"/>
  <c r="C34" i="21"/>
  <c r="Z33" i="21"/>
  <c r="AB33" i="21" s="1"/>
  <c r="J33" i="21" s="1"/>
  <c r="W33" i="21"/>
  <c r="V33" i="21"/>
  <c r="P33" i="21"/>
  <c r="Q33" i="21" s="1"/>
  <c r="O33" i="21"/>
  <c r="M33" i="21"/>
  <c r="H33" i="21"/>
  <c r="C33" i="21"/>
  <c r="AB32" i="21"/>
  <c r="J32" i="21" s="1"/>
  <c r="I32" i="21" s="1"/>
  <c r="Z32" i="21"/>
  <c r="W32" i="21"/>
  <c r="V32" i="21"/>
  <c r="P32" i="21"/>
  <c r="O32" i="21"/>
  <c r="Q32" i="21" s="1"/>
  <c r="M32" i="21"/>
  <c r="H32" i="21"/>
  <c r="C32" i="21"/>
  <c r="Z31" i="21"/>
  <c r="AB31" i="21" s="1"/>
  <c r="J31" i="21" s="1"/>
  <c r="W31" i="21"/>
  <c r="V31" i="21"/>
  <c r="P31" i="21"/>
  <c r="Q31" i="21" s="1"/>
  <c r="O31" i="21"/>
  <c r="M31" i="21"/>
  <c r="H31" i="21"/>
  <c r="C31" i="21"/>
  <c r="AB30" i="21"/>
  <c r="J30" i="21" s="1"/>
  <c r="Z30" i="21"/>
  <c r="W30" i="21"/>
  <c r="V30" i="21"/>
  <c r="P30" i="21"/>
  <c r="O30" i="21"/>
  <c r="Q30" i="21" s="1"/>
  <c r="M30" i="21"/>
  <c r="H30" i="21"/>
  <c r="C30" i="21"/>
  <c r="Z29" i="21"/>
  <c r="AB29" i="21" s="1"/>
  <c r="J29" i="21" s="1"/>
  <c r="W29" i="21"/>
  <c r="V29" i="21"/>
  <c r="P29" i="21"/>
  <c r="O29" i="21"/>
  <c r="Q29" i="21" s="1"/>
  <c r="M29" i="21"/>
  <c r="H29" i="21"/>
  <c r="C29" i="21"/>
  <c r="Z28" i="21"/>
  <c r="AB28" i="21" s="1"/>
  <c r="J28" i="21" s="1"/>
  <c r="K28" i="21" s="1"/>
  <c r="W28" i="21"/>
  <c r="V28" i="21"/>
  <c r="Q28" i="21"/>
  <c r="P28" i="21"/>
  <c r="O28" i="21"/>
  <c r="M28" i="21"/>
  <c r="I28" i="21"/>
  <c r="H28" i="21"/>
  <c r="C28" i="21"/>
  <c r="Z27" i="21"/>
  <c r="AB27" i="21" s="1"/>
  <c r="J27" i="21" s="1"/>
  <c r="W27" i="21"/>
  <c r="V27" i="21"/>
  <c r="P27" i="21"/>
  <c r="O27" i="21"/>
  <c r="M27" i="21"/>
  <c r="H27" i="21"/>
  <c r="C27" i="21"/>
  <c r="AB26" i="21"/>
  <c r="J26" i="21" s="1"/>
  <c r="Z26" i="21"/>
  <c r="W26" i="21"/>
  <c r="V26" i="21"/>
  <c r="Q26" i="21"/>
  <c r="P26" i="21"/>
  <c r="O26" i="21"/>
  <c r="M26" i="21"/>
  <c r="K26" i="21"/>
  <c r="I26" i="21"/>
  <c r="H26" i="21"/>
  <c r="C26" i="21"/>
  <c r="Z25" i="21"/>
  <c r="AB25" i="21" s="1"/>
  <c r="J25" i="21" s="1"/>
  <c r="W25" i="21"/>
  <c r="V25" i="21"/>
  <c r="P25" i="21"/>
  <c r="Q25" i="21" s="1"/>
  <c r="O25" i="21"/>
  <c r="M25" i="21"/>
  <c r="H25" i="21"/>
  <c r="Z24" i="21"/>
  <c r="AB24" i="21" s="1"/>
  <c r="W24" i="21"/>
  <c r="V24" i="21"/>
  <c r="P24" i="21"/>
  <c r="O24" i="21"/>
  <c r="Q24" i="21" s="1"/>
  <c r="M24" i="21"/>
  <c r="J24" i="21"/>
  <c r="H24" i="21"/>
  <c r="Z23" i="21"/>
  <c r="AB23" i="21" s="1"/>
  <c r="J23" i="21" s="1"/>
  <c r="W23" i="21"/>
  <c r="V23" i="21"/>
  <c r="P23" i="21"/>
  <c r="Q23" i="21" s="1"/>
  <c r="O23" i="21"/>
  <c r="M23" i="21"/>
  <c r="H23" i="21"/>
  <c r="Z22" i="21"/>
  <c r="AB22" i="21" s="1"/>
  <c r="J22" i="21" s="1"/>
  <c r="W22" i="21"/>
  <c r="V22" i="21"/>
  <c r="P22" i="21"/>
  <c r="O22" i="21"/>
  <c r="Q22" i="21" s="1"/>
  <c r="M22" i="21"/>
  <c r="H22" i="21"/>
  <c r="Z21" i="21"/>
  <c r="AB21" i="21" s="1"/>
  <c r="J21" i="21" s="1"/>
  <c r="W21" i="21"/>
  <c r="V21" i="21"/>
  <c r="P21" i="21"/>
  <c r="Q21" i="21" s="1"/>
  <c r="O21" i="21"/>
  <c r="M21" i="21"/>
  <c r="H21" i="21"/>
  <c r="Z20" i="21"/>
  <c r="AB20" i="21" s="1"/>
  <c r="J20" i="21" s="1"/>
  <c r="W20" i="21"/>
  <c r="V20" i="21"/>
  <c r="P20" i="21"/>
  <c r="O20" i="21"/>
  <c r="Q20" i="21" s="1"/>
  <c r="M20" i="21"/>
  <c r="H20" i="21"/>
  <c r="Z19" i="21"/>
  <c r="AB19" i="21" s="1"/>
  <c r="J19" i="21" s="1"/>
  <c r="W19" i="21"/>
  <c r="V19" i="21"/>
  <c r="P19" i="21"/>
  <c r="Q19" i="21" s="1"/>
  <c r="O19" i="21"/>
  <c r="M19" i="21"/>
  <c r="H19" i="21"/>
  <c r="Z18" i="21"/>
  <c r="AB18" i="21" s="1"/>
  <c r="J18" i="21" s="1"/>
  <c r="W18" i="21"/>
  <c r="V18" i="21"/>
  <c r="P18" i="21"/>
  <c r="O18" i="21"/>
  <c r="Q18" i="21" s="1"/>
  <c r="M18" i="21"/>
  <c r="H18" i="21"/>
  <c r="Z17" i="21"/>
  <c r="AB17" i="21" s="1"/>
  <c r="J17" i="21" s="1"/>
  <c r="W17" i="21"/>
  <c r="V17" i="21"/>
  <c r="P17" i="21"/>
  <c r="Q17" i="21" s="1"/>
  <c r="O17" i="21"/>
  <c r="M17" i="21"/>
  <c r="H17" i="21"/>
  <c r="Z16" i="21"/>
  <c r="AB16" i="21" s="1"/>
  <c r="W16" i="21"/>
  <c r="V16" i="21"/>
  <c r="P16" i="21"/>
  <c r="O16" i="21"/>
  <c r="Q16" i="21" s="1"/>
  <c r="M16" i="21"/>
  <c r="J16" i="21"/>
  <c r="H16" i="21"/>
  <c r="Z15" i="21"/>
  <c r="AB15" i="21" s="1"/>
  <c r="J15" i="21" s="1"/>
  <c r="W15" i="21"/>
  <c r="V15" i="21"/>
  <c r="P15" i="21"/>
  <c r="Q15" i="21" s="1"/>
  <c r="O15" i="21"/>
  <c r="M15" i="21"/>
  <c r="H15" i="21"/>
  <c r="Z14" i="21"/>
  <c r="AB14" i="21" s="1"/>
  <c r="W14" i="21"/>
  <c r="V14" i="21"/>
  <c r="P14" i="21"/>
  <c r="O14" i="21"/>
  <c r="Q14" i="21" s="1"/>
  <c r="M14" i="21"/>
  <c r="J14" i="21"/>
  <c r="H14" i="21"/>
  <c r="Z13" i="21"/>
  <c r="AB13" i="21" s="1"/>
  <c r="J13" i="21" s="1"/>
  <c r="W13" i="21"/>
  <c r="V13" i="21"/>
  <c r="P13" i="21"/>
  <c r="Q13" i="21" s="1"/>
  <c r="O13" i="21"/>
  <c r="M13" i="21"/>
  <c r="H13" i="21"/>
  <c r="Z12" i="21"/>
  <c r="AB12" i="21" s="1"/>
  <c r="J12" i="21" s="1"/>
  <c r="W12" i="21"/>
  <c r="V12" i="21"/>
  <c r="P12" i="21"/>
  <c r="O12" i="21"/>
  <c r="Q12" i="21" s="1"/>
  <c r="M12" i="21"/>
  <c r="H12" i="21"/>
  <c r="Z11" i="21"/>
  <c r="AB11" i="21" s="1"/>
  <c r="J11" i="21" s="1"/>
  <c r="W11" i="21"/>
  <c r="V11" i="21"/>
  <c r="P11" i="21"/>
  <c r="Q11" i="21" s="1"/>
  <c r="O11" i="21"/>
  <c r="M11" i="21"/>
  <c r="H11" i="21"/>
  <c r="Z10" i="21"/>
  <c r="AB10" i="21" s="1"/>
  <c r="W10" i="21"/>
  <c r="V10" i="21"/>
  <c r="P10" i="21"/>
  <c r="O10" i="21"/>
  <c r="Q10" i="21" s="1"/>
  <c r="M10" i="21"/>
  <c r="J10" i="21"/>
  <c r="H10" i="21"/>
  <c r="Z9" i="21"/>
  <c r="AB9" i="21" s="1"/>
  <c r="J9" i="21" s="1"/>
  <c r="W9" i="21"/>
  <c r="V9" i="21"/>
  <c r="P9" i="21"/>
  <c r="Q9" i="21" s="1"/>
  <c r="O9" i="21"/>
  <c r="M9" i="21"/>
  <c r="H9" i="21"/>
  <c r="Z8" i="21"/>
  <c r="AB8" i="21" s="1"/>
  <c r="W8" i="21"/>
  <c r="V8" i="21"/>
  <c r="P8" i="21"/>
  <c r="O8" i="21"/>
  <c r="Q8" i="21" s="1"/>
  <c r="M8" i="21"/>
  <c r="J8" i="21"/>
  <c r="H8" i="21"/>
  <c r="Z7" i="21"/>
  <c r="AB7" i="21" s="1"/>
  <c r="J7" i="21" s="1"/>
  <c r="W7" i="21"/>
  <c r="V7" i="21"/>
  <c r="P7" i="21"/>
  <c r="Q7" i="21" s="1"/>
  <c r="O7" i="21"/>
  <c r="M7" i="21"/>
  <c r="H7" i="21"/>
  <c r="Z6" i="21"/>
  <c r="AB6" i="21" s="1"/>
  <c r="J6" i="21" s="1"/>
  <c r="W6" i="21"/>
  <c r="V6" i="21"/>
  <c r="P6" i="21"/>
  <c r="O6" i="21"/>
  <c r="Q6" i="21" s="1"/>
  <c r="M6" i="21"/>
  <c r="H6" i="21"/>
  <c r="Z5" i="21"/>
  <c r="AB5" i="21" s="1"/>
  <c r="J5" i="21" s="1"/>
  <c r="W5" i="21"/>
  <c r="V5" i="21"/>
  <c r="P5" i="21"/>
  <c r="Q5" i="21" s="1"/>
  <c r="O5" i="21"/>
  <c r="M5" i="21"/>
  <c r="H5" i="21"/>
  <c r="Z4" i="21"/>
  <c r="AB4" i="21" s="1"/>
  <c r="J4" i="21" s="1"/>
  <c r="W4" i="21"/>
  <c r="V4" i="21"/>
  <c r="P4" i="21"/>
  <c r="O4" i="21"/>
  <c r="Q4" i="21" s="1"/>
  <c r="M4" i="21"/>
  <c r="H4" i="21"/>
  <c r="AE3" i="21"/>
  <c r="U3" i="21"/>
  <c r="O3" i="21"/>
  <c r="G3" i="21"/>
  <c r="H3" i="21" s="1"/>
  <c r="F3" i="21"/>
  <c r="D3" i="21"/>
  <c r="C3" i="21"/>
  <c r="A2" i="21"/>
  <c r="A1" i="21"/>
  <c r="AB56" i="20"/>
  <c r="Z56" i="20"/>
  <c r="W56" i="20"/>
  <c r="V56" i="20"/>
  <c r="T56" i="20"/>
  <c r="S56" i="20"/>
  <c r="R56" i="20"/>
  <c r="Q56" i="20"/>
  <c r="P56" i="20"/>
  <c r="O56" i="20"/>
  <c r="M56" i="20"/>
  <c r="J56" i="20"/>
  <c r="H56" i="20"/>
  <c r="C56" i="20"/>
  <c r="AB55" i="20"/>
  <c r="Z55" i="20"/>
  <c r="W55" i="20"/>
  <c r="V55" i="20"/>
  <c r="Q55" i="20"/>
  <c r="P55" i="20"/>
  <c r="O55" i="20"/>
  <c r="M55" i="20"/>
  <c r="J55" i="20"/>
  <c r="K55" i="20" s="1"/>
  <c r="I55" i="20"/>
  <c r="H55" i="20"/>
  <c r="C55" i="20"/>
  <c r="Z54" i="20"/>
  <c r="AB54" i="20" s="1"/>
  <c r="J54" i="20" s="1"/>
  <c r="W54" i="20"/>
  <c r="V54" i="20"/>
  <c r="T54" i="20"/>
  <c r="S54" i="20"/>
  <c r="R54" i="20"/>
  <c r="P54" i="20"/>
  <c r="O54" i="20"/>
  <c r="Q54" i="20" s="1"/>
  <c r="M54" i="20"/>
  <c r="H54" i="20"/>
  <c r="C54" i="20"/>
  <c r="Z53" i="20"/>
  <c r="AB53" i="20" s="1"/>
  <c r="J53" i="20" s="1"/>
  <c r="W53" i="20"/>
  <c r="V53" i="20"/>
  <c r="T53" i="20"/>
  <c r="S53" i="20"/>
  <c r="R53" i="20"/>
  <c r="P53" i="20"/>
  <c r="O53" i="20"/>
  <c r="Q53" i="20" s="1"/>
  <c r="M53" i="20"/>
  <c r="H53" i="20"/>
  <c r="C53" i="20"/>
  <c r="Z52" i="20"/>
  <c r="AB52" i="20" s="1"/>
  <c r="J52" i="20" s="1"/>
  <c r="W52" i="20"/>
  <c r="V52" i="20"/>
  <c r="T52" i="20"/>
  <c r="S52" i="20"/>
  <c r="R52" i="20"/>
  <c r="P52" i="20"/>
  <c r="O52" i="20"/>
  <c r="Q52" i="20" s="1"/>
  <c r="M52" i="20"/>
  <c r="H52" i="20"/>
  <c r="C52" i="20"/>
  <c r="Z51" i="20"/>
  <c r="AB51" i="20" s="1"/>
  <c r="J51" i="20" s="1"/>
  <c r="W51" i="20"/>
  <c r="V51" i="20"/>
  <c r="T51" i="20"/>
  <c r="S51" i="20"/>
  <c r="R51" i="20"/>
  <c r="P51" i="20"/>
  <c r="O51" i="20"/>
  <c r="Q51" i="20" s="1"/>
  <c r="M51" i="20"/>
  <c r="H51" i="20"/>
  <c r="C51" i="20"/>
  <c r="Z50" i="20"/>
  <c r="AB50" i="20" s="1"/>
  <c r="J50" i="20" s="1"/>
  <c r="W50" i="20"/>
  <c r="V50" i="20"/>
  <c r="T50" i="20"/>
  <c r="S50" i="20"/>
  <c r="R50" i="20"/>
  <c r="P50" i="20"/>
  <c r="O50" i="20"/>
  <c r="Q50" i="20" s="1"/>
  <c r="M50" i="20"/>
  <c r="H50" i="20"/>
  <c r="C50" i="20"/>
  <c r="Z49" i="20"/>
  <c r="AB49" i="20" s="1"/>
  <c r="J49" i="20" s="1"/>
  <c r="W49" i="20"/>
  <c r="V49" i="20"/>
  <c r="T49" i="20"/>
  <c r="S49" i="20"/>
  <c r="R49" i="20"/>
  <c r="P49" i="20"/>
  <c r="O49" i="20"/>
  <c r="Q49" i="20" s="1"/>
  <c r="M49" i="20"/>
  <c r="H49" i="20"/>
  <c r="C49" i="20"/>
  <c r="Z48" i="20"/>
  <c r="AB48" i="20" s="1"/>
  <c r="J48" i="20" s="1"/>
  <c r="W48" i="20"/>
  <c r="V48" i="20"/>
  <c r="T48" i="20"/>
  <c r="S48" i="20"/>
  <c r="R48" i="20"/>
  <c r="P48" i="20"/>
  <c r="O48" i="20"/>
  <c r="Q48" i="20" s="1"/>
  <c r="M48" i="20"/>
  <c r="H48" i="20"/>
  <c r="C48" i="20"/>
  <c r="Z47" i="20"/>
  <c r="AB47" i="20" s="1"/>
  <c r="J47" i="20" s="1"/>
  <c r="W47" i="20"/>
  <c r="V47" i="20"/>
  <c r="P47" i="20"/>
  <c r="O47" i="20"/>
  <c r="Q47" i="20" s="1"/>
  <c r="M47" i="20"/>
  <c r="H47" i="20"/>
  <c r="C47" i="20"/>
  <c r="Z46" i="20"/>
  <c r="AB46" i="20" s="1"/>
  <c r="J46" i="20" s="1"/>
  <c r="K46" i="20" s="1"/>
  <c r="W46" i="20"/>
  <c r="V46" i="20"/>
  <c r="Q46" i="20"/>
  <c r="P46" i="20"/>
  <c r="O46" i="20"/>
  <c r="M46" i="20"/>
  <c r="I46" i="20"/>
  <c r="H46" i="20"/>
  <c r="C46" i="20"/>
  <c r="AB45" i="20"/>
  <c r="J45" i="20" s="1"/>
  <c r="Z45" i="20"/>
  <c r="W45" i="20"/>
  <c r="V45" i="20"/>
  <c r="P45" i="20"/>
  <c r="O45" i="20"/>
  <c r="Q45" i="20" s="1"/>
  <c r="M45" i="20"/>
  <c r="H45" i="20"/>
  <c r="C45" i="20"/>
  <c r="AB44" i="20"/>
  <c r="J44" i="20" s="1"/>
  <c r="K44" i="20" s="1"/>
  <c r="Z44" i="20"/>
  <c r="W44" i="20"/>
  <c r="V44" i="20"/>
  <c r="P44" i="20"/>
  <c r="O44" i="20"/>
  <c r="Q44" i="20" s="1"/>
  <c r="M44" i="20"/>
  <c r="I44" i="20"/>
  <c r="H44" i="20"/>
  <c r="C44" i="20"/>
  <c r="Z43" i="20"/>
  <c r="AB43" i="20" s="1"/>
  <c r="J43" i="20" s="1"/>
  <c r="W43" i="20"/>
  <c r="V43" i="20"/>
  <c r="P43" i="20"/>
  <c r="Q43" i="20" s="1"/>
  <c r="O43" i="20"/>
  <c r="M43" i="20"/>
  <c r="H43" i="20"/>
  <c r="C43" i="20"/>
  <c r="AB42" i="20"/>
  <c r="J42" i="20" s="1"/>
  <c r="Z42" i="20"/>
  <c r="W42" i="20"/>
  <c r="V42" i="20"/>
  <c r="T42" i="20"/>
  <c r="S42" i="20"/>
  <c r="R42" i="20"/>
  <c r="P42" i="20"/>
  <c r="Q42" i="20" s="1"/>
  <c r="O42" i="20"/>
  <c r="M42" i="20"/>
  <c r="H42" i="20"/>
  <c r="C42" i="20"/>
  <c r="AB41" i="20"/>
  <c r="J41" i="20" s="1"/>
  <c r="I41" i="20" s="1"/>
  <c r="Z41" i="20"/>
  <c r="W41" i="20"/>
  <c r="V41" i="20"/>
  <c r="P41" i="20"/>
  <c r="O41" i="20"/>
  <c r="Q41" i="20" s="1"/>
  <c r="M41" i="20"/>
  <c r="H41" i="20"/>
  <c r="C41" i="20"/>
  <c r="Z39" i="20"/>
  <c r="AB39" i="20" s="1"/>
  <c r="W39" i="20"/>
  <c r="V39" i="20"/>
  <c r="Q39" i="20"/>
  <c r="P39" i="20"/>
  <c r="O39" i="20"/>
  <c r="M39" i="20"/>
  <c r="J39" i="20"/>
  <c r="H39" i="20"/>
  <c r="C39" i="20"/>
  <c r="Z38" i="20"/>
  <c r="AB38" i="20" s="1"/>
  <c r="J38" i="20" s="1"/>
  <c r="W38" i="20"/>
  <c r="V38" i="20"/>
  <c r="P38" i="20"/>
  <c r="O38" i="20"/>
  <c r="Q38" i="20" s="1"/>
  <c r="M38" i="20"/>
  <c r="H38" i="20"/>
  <c r="C38" i="20"/>
  <c r="Z37" i="20"/>
  <c r="AB37" i="20" s="1"/>
  <c r="J37" i="20" s="1"/>
  <c r="W37" i="20"/>
  <c r="V37" i="20"/>
  <c r="P37" i="20"/>
  <c r="O37" i="20"/>
  <c r="Q37" i="20" s="1"/>
  <c r="M37" i="20"/>
  <c r="H37" i="20"/>
  <c r="C37" i="20"/>
  <c r="Z36" i="20"/>
  <c r="AB36" i="20" s="1"/>
  <c r="J36" i="20" s="1"/>
  <c r="K36" i="20" s="1"/>
  <c r="W36" i="20"/>
  <c r="V36" i="20"/>
  <c r="Q36" i="20"/>
  <c r="P36" i="20"/>
  <c r="O36" i="20"/>
  <c r="M36" i="20"/>
  <c r="I36" i="20"/>
  <c r="H36" i="20"/>
  <c r="C36" i="20"/>
  <c r="AB35" i="20"/>
  <c r="J35" i="20" s="1"/>
  <c r="Z35" i="20"/>
  <c r="W35" i="20"/>
  <c r="V35" i="20"/>
  <c r="P35" i="20"/>
  <c r="O35" i="20"/>
  <c r="Q35" i="20" s="1"/>
  <c r="M35" i="20"/>
  <c r="H35" i="20"/>
  <c r="C35" i="20"/>
  <c r="AB34" i="20"/>
  <c r="J34" i="20" s="1"/>
  <c r="K34" i="20" s="1"/>
  <c r="Z34" i="20"/>
  <c r="W34" i="20"/>
  <c r="V34" i="20"/>
  <c r="P34" i="20"/>
  <c r="O34" i="20"/>
  <c r="Q34" i="20" s="1"/>
  <c r="M34" i="20"/>
  <c r="I34" i="20"/>
  <c r="H34" i="20"/>
  <c r="C34" i="20"/>
  <c r="Z33" i="20"/>
  <c r="AB33" i="20" s="1"/>
  <c r="J33" i="20" s="1"/>
  <c r="W33" i="20"/>
  <c r="V33" i="20"/>
  <c r="P33" i="20"/>
  <c r="Q33" i="20" s="1"/>
  <c r="O33" i="20"/>
  <c r="M33" i="20"/>
  <c r="H33" i="20"/>
  <c r="C33" i="20"/>
  <c r="AB32" i="20"/>
  <c r="J32" i="20" s="1"/>
  <c r="I32" i="20" s="1"/>
  <c r="Z32" i="20"/>
  <c r="W32" i="20"/>
  <c r="V32" i="20"/>
  <c r="P32" i="20"/>
  <c r="O32" i="20"/>
  <c r="Q32" i="20" s="1"/>
  <c r="M32" i="20"/>
  <c r="H32" i="20"/>
  <c r="C32" i="20"/>
  <c r="Z31" i="20"/>
  <c r="AB31" i="20" s="1"/>
  <c r="J31" i="20" s="1"/>
  <c r="W31" i="20"/>
  <c r="V31" i="20"/>
  <c r="Q31" i="20"/>
  <c r="P31" i="20"/>
  <c r="O31" i="20"/>
  <c r="M31" i="20"/>
  <c r="H31" i="20"/>
  <c r="C31" i="20"/>
  <c r="Z30" i="20"/>
  <c r="AB30" i="20" s="1"/>
  <c r="J30" i="20" s="1"/>
  <c r="W30" i="20"/>
  <c r="V30" i="20"/>
  <c r="P30" i="20"/>
  <c r="O30" i="20"/>
  <c r="Q30" i="20" s="1"/>
  <c r="M30" i="20"/>
  <c r="H30" i="20"/>
  <c r="C30" i="20"/>
  <c r="Z29" i="20"/>
  <c r="AB29" i="20" s="1"/>
  <c r="J29" i="20" s="1"/>
  <c r="W29" i="20"/>
  <c r="V29" i="20"/>
  <c r="P29" i="20"/>
  <c r="O29" i="20"/>
  <c r="Q29" i="20" s="1"/>
  <c r="M29" i="20"/>
  <c r="H29" i="20"/>
  <c r="C29" i="20"/>
  <c r="Z28" i="20"/>
  <c r="AB28" i="20" s="1"/>
  <c r="J28" i="20" s="1"/>
  <c r="K28" i="20" s="1"/>
  <c r="W28" i="20"/>
  <c r="W3" i="20" s="1"/>
  <c r="V28" i="20"/>
  <c r="Q28" i="20"/>
  <c r="P28" i="20"/>
  <c r="O28" i="20"/>
  <c r="M28" i="20"/>
  <c r="I28" i="20"/>
  <c r="H28" i="20"/>
  <c r="C28" i="20"/>
  <c r="AB27" i="20"/>
  <c r="J27" i="20" s="1"/>
  <c r="Z27" i="20"/>
  <c r="W27" i="20"/>
  <c r="V27" i="20"/>
  <c r="P27" i="20"/>
  <c r="O27" i="20"/>
  <c r="Q27" i="20" s="1"/>
  <c r="M27" i="20"/>
  <c r="H27" i="20"/>
  <c r="C27" i="20"/>
  <c r="AB26" i="20"/>
  <c r="J26" i="20" s="1"/>
  <c r="I26" i="20" s="1"/>
  <c r="Z26" i="20"/>
  <c r="W26" i="20"/>
  <c r="V26" i="20"/>
  <c r="Q26" i="20"/>
  <c r="P26" i="20"/>
  <c r="O26" i="20"/>
  <c r="M26" i="20"/>
  <c r="K26" i="20"/>
  <c r="H26" i="20"/>
  <c r="C26" i="20"/>
  <c r="Z25" i="20"/>
  <c r="AB25" i="20" s="1"/>
  <c r="J25" i="20" s="1"/>
  <c r="W25" i="20"/>
  <c r="V25" i="20"/>
  <c r="P25" i="20"/>
  <c r="Q25" i="20" s="1"/>
  <c r="O25" i="20"/>
  <c r="M25" i="20"/>
  <c r="H25" i="20"/>
  <c r="Z24" i="20"/>
  <c r="AB24" i="20" s="1"/>
  <c r="W24" i="20"/>
  <c r="V24" i="20"/>
  <c r="P24" i="20"/>
  <c r="O24" i="20"/>
  <c r="Q24" i="20" s="1"/>
  <c r="M24" i="20"/>
  <c r="J24" i="20"/>
  <c r="H24" i="20"/>
  <c r="Z23" i="20"/>
  <c r="AB23" i="20" s="1"/>
  <c r="J23" i="20" s="1"/>
  <c r="W23" i="20"/>
  <c r="V23" i="20"/>
  <c r="P23" i="20"/>
  <c r="Q23" i="20" s="1"/>
  <c r="O23" i="20"/>
  <c r="M23" i="20"/>
  <c r="H23" i="20"/>
  <c r="Z22" i="20"/>
  <c r="AB22" i="20" s="1"/>
  <c r="W22" i="20"/>
  <c r="V22" i="20"/>
  <c r="P22" i="20"/>
  <c r="O22" i="20"/>
  <c r="Q22" i="20" s="1"/>
  <c r="M22" i="20"/>
  <c r="J22" i="20"/>
  <c r="H22" i="20"/>
  <c r="Z21" i="20"/>
  <c r="AB21" i="20" s="1"/>
  <c r="J21" i="20" s="1"/>
  <c r="W21" i="20"/>
  <c r="V21" i="20"/>
  <c r="P21" i="20"/>
  <c r="Q21" i="20" s="1"/>
  <c r="O21" i="20"/>
  <c r="M21" i="20"/>
  <c r="H21" i="20"/>
  <c r="Z20" i="20"/>
  <c r="AB20" i="20" s="1"/>
  <c r="J20" i="20" s="1"/>
  <c r="W20" i="20"/>
  <c r="V20" i="20"/>
  <c r="P20" i="20"/>
  <c r="O20" i="20"/>
  <c r="Q20" i="20" s="1"/>
  <c r="M20" i="20"/>
  <c r="H20" i="20"/>
  <c r="Z19" i="20"/>
  <c r="AB19" i="20" s="1"/>
  <c r="J19" i="20" s="1"/>
  <c r="W19" i="20"/>
  <c r="V19" i="20"/>
  <c r="P19" i="20"/>
  <c r="Q19" i="20" s="1"/>
  <c r="O19" i="20"/>
  <c r="M19" i="20"/>
  <c r="H19" i="20"/>
  <c r="Z18" i="20"/>
  <c r="AB18" i="20" s="1"/>
  <c r="J18" i="20" s="1"/>
  <c r="W18" i="20"/>
  <c r="V18" i="20"/>
  <c r="P18" i="20"/>
  <c r="O18" i="20"/>
  <c r="Q18" i="20" s="1"/>
  <c r="M18" i="20"/>
  <c r="H18" i="20"/>
  <c r="Z17" i="20"/>
  <c r="AB17" i="20" s="1"/>
  <c r="J17" i="20" s="1"/>
  <c r="W17" i="20"/>
  <c r="V17" i="20"/>
  <c r="P17" i="20"/>
  <c r="Q17" i="20" s="1"/>
  <c r="O17" i="20"/>
  <c r="M17" i="20"/>
  <c r="H17" i="20"/>
  <c r="Z16" i="20"/>
  <c r="AB16" i="20" s="1"/>
  <c r="J16" i="20" s="1"/>
  <c r="W16" i="20"/>
  <c r="V16" i="20"/>
  <c r="P16" i="20"/>
  <c r="O16" i="20"/>
  <c r="Q16" i="20" s="1"/>
  <c r="M16" i="20"/>
  <c r="H16" i="20"/>
  <c r="Z15" i="20"/>
  <c r="AB15" i="20" s="1"/>
  <c r="J15" i="20" s="1"/>
  <c r="W15" i="20"/>
  <c r="V15" i="20"/>
  <c r="P15" i="20"/>
  <c r="Q15" i="20" s="1"/>
  <c r="O15" i="20"/>
  <c r="M15" i="20"/>
  <c r="H15" i="20"/>
  <c r="P14" i="20"/>
  <c r="Q14" i="20" s="1"/>
  <c r="P13" i="20"/>
  <c r="Q13" i="20" s="1"/>
  <c r="P12" i="20"/>
  <c r="Q12" i="20" s="1"/>
  <c r="P11" i="20"/>
  <c r="Q11" i="20" s="1"/>
  <c r="P10" i="20"/>
  <c r="Q10" i="20" s="1"/>
  <c r="P9" i="20"/>
  <c r="Q9" i="20" s="1"/>
  <c r="P8" i="20"/>
  <c r="Q8" i="20" s="1"/>
  <c r="P7" i="20"/>
  <c r="Q7" i="20" s="1"/>
  <c r="P6" i="20"/>
  <c r="Q6" i="20" s="1"/>
  <c r="P5" i="20"/>
  <c r="Q5" i="20" s="1"/>
  <c r="P4" i="20"/>
  <c r="Q4" i="20" s="1"/>
  <c r="AE3" i="20"/>
  <c r="U3" i="20"/>
  <c r="O3" i="20"/>
  <c r="G3" i="20"/>
  <c r="H3" i="20" s="1"/>
  <c r="F3" i="20"/>
  <c r="D3" i="20"/>
  <c r="C3" i="20"/>
  <c r="B3" i="20"/>
  <c r="A2" i="20"/>
  <c r="A1" i="20"/>
  <c r="Z56" i="19"/>
  <c r="AB56" i="19" s="1"/>
  <c r="J56" i="19" s="1"/>
  <c r="I56" i="19" s="1"/>
  <c r="W56" i="19"/>
  <c r="V56" i="19"/>
  <c r="T56" i="19"/>
  <c r="S56" i="19"/>
  <c r="R56" i="19"/>
  <c r="P56" i="19"/>
  <c r="O56" i="19"/>
  <c r="Q56" i="19" s="1"/>
  <c r="M56" i="19"/>
  <c r="H56" i="19"/>
  <c r="C56" i="19"/>
  <c r="Z55" i="19"/>
  <c r="AB55" i="19" s="1"/>
  <c r="J55" i="19" s="1"/>
  <c r="W55" i="19"/>
  <c r="V55" i="19"/>
  <c r="P55" i="19"/>
  <c r="Q55" i="19" s="1"/>
  <c r="O55" i="19"/>
  <c r="M55" i="19"/>
  <c r="H55" i="19"/>
  <c r="C55" i="19"/>
  <c r="AB54" i="19"/>
  <c r="Z54" i="19"/>
  <c r="W54" i="19"/>
  <c r="V54" i="19"/>
  <c r="T54" i="19"/>
  <c r="S54" i="19"/>
  <c r="R54" i="19"/>
  <c r="P54" i="19"/>
  <c r="Q54" i="19" s="1"/>
  <c r="O54" i="19"/>
  <c r="M54" i="19"/>
  <c r="J54" i="19"/>
  <c r="K54" i="19" s="1"/>
  <c r="H54" i="19"/>
  <c r="C54" i="19"/>
  <c r="AB53" i="19"/>
  <c r="Z53" i="19"/>
  <c r="W53" i="19"/>
  <c r="V53" i="19"/>
  <c r="T53" i="19"/>
  <c r="S53" i="19"/>
  <c r="R53" i="19"/>
  <c r="P53" i="19"/>
  <c r="Q53" i="19" s="1"/>
  <c r="O53" i="19"/>
  <c r="M53" i="19"/>
  <c r="J53" i="19"/>
  <c r="K53" i="19" s="1"/>
  <c r="I53" i="19"/>
  <c r="H53" i="19"/>
  <c r="C53" i="19"/>
  <c r="AB52" i="19"/>
  <c r="Z52" i="19"/>
  <c r="W52" i="19"/>
  <c r="V52" i="19"/>
  <c r="T52" i="19"/>
  <c r="S52" i="19"/>
  <c r="R52" i="19"/>
  <c r="P52" i="19"/>
  <c r="Q52" i="19" s="1"/>
  <c r="O52" i="19"/>
  <c r="M52" i="19"/>
  <c r="J52" i="19"/>
  <c r="K52" i="19" s="1"/>
  <c r="H52" i="19"/>
  <c r="C52" i="19"/>
  <c r="AB51" i="19"/>
  <c r="Z51" i="19"/>
  <c r="W51" i="19"/>
  <c r="V51" i="19"/>
  <c r="T51" i="19"/>
  <c r="S51" i="19"/>
  <c r="R51" i="19"/>
  <c r="P51" i="19"/>
  <c r="Q51" i="19" s="1"/>
  <c r="O51" i="19"/>
  <c r="M51" i="19"/>
  <c r="J51" i="19"/>
  <c r="K51" i="19" s="1"/>
  <c r="I51" i="19"/>
  <c r="H51" i="19"/>
  <c r="C51" i="19"/>
  <c r="AB50" i="19"/>
  <c r="Z50" i="19"/>
  <c r="W50" i="19"/>
  <c r="V50" i="19"/>
  <c r="T50" i="19"/>
  <c r="S50" i="19"/>
  <c r="R50" i="19"/>
  <c r="P50" i="19"/>
  <c r="Q50" i="19" s="1"/>
  <c r="O50" i="19"/>
  <c r="M50" i="19"/>
  <c r="J50" i="19"/>
  <c r="K50" i="19" s="1"/>
  <c r="H50" i="19"/>
  <c r="C50" i="19"/>
  <c r="AB49" i="19"/>
  <c r="Z49" i="19"/>
  <c r="W49" i="19"/>
  <c r="V49" i="19"/>
  <c r="T49" i="19"/>
  <c r="S49" i="19"/>
  <c r="R49" i="19"/>
  <c r="P49" i="19"/>
  <c r="Q49" i="19" s="1"/>
  <c r="O49" i="19"/>
  <c r="M49" i="19"/>
  <c r="J49" i="19"/>
  <c r="K49" i="19" s="1"/>
  <c r="I49" i="19"/>
  <c r="H49" i="19"/>
  <c r="C49" i="19"/>
  <c r="AB48" i="19"/>
  <c r="Z48" i="19"/>
  <c r="W48" i="19"/>
  <c r="V48" i="19"/>
  <c r="T48" i="19"/>
  <c r="S48" i="19"/>
  <c r="R48" i="19"/>
  <c r="P48" i="19"/>
  <c r="Q48" i="19" s="1"/>
  <c r="O48" i="19"/>
  <c r="M48" i="19"/>
  <c r="J48" i="19"/>
  <c r="K48" i="19" s="1"/>
  <c r="I48" i="19"/>
  <c r="H48" i="19"/>
  <c r="C48" i="19"/>
  <c r="AB47" i="19"/>
  <c r="J47" i="19" s="1"/>
  <c r="Z47" i="19"/>
  <c r="W47" i="19"/>
  <c r="V47" i="19"/>
  <c r="P47" i="19"/>
  <c r="Q47" i="19" s="1"/>
  <c r="O47" i="19"/>
  <c r="M47" i="19"/>
  <c r="H47" i="19"/>
  <c r="C47" i="19"/>
  <c r="Z46" i="19"/>
  <c r="AB46" i="19" s="1"/>
  <c r="J46" i="19" s="1"/>
  <c r="W46" i="19"/>
  <c r="V46" i="19"/>
  <c r="P46" i="19"/>
  <c r="O46" i="19"/>
  <c r="Q46" i="19" s="1"/>
  <c r="M46" i="19"/>
  <c r="H46" i="19"/>
  <c r="C46" i="19"/>
  <c r="Z45" i="19"/>
  <c r="AB45" i="19" s="1"/>
  <c r="J45" i="19" s="1"/>
  <c r="K45" i="19" s="1"/>
  <c r="W45" i="19"/>
  <c r="V45" i="19"/>
  <c r="Q45" i="19"/>
  <c r="P45" i="19"/>
  <c r="O45" i="19"/>
  <c r="M45" i="19"/>
  <c r="I45" i="19"/>
  <c r="H45" i="19"/>
  <c r="C45" i="19"/>
  <c r="Z44" i="19"/>
  <c r="AB44" i="19" s="1"/>
  <c r="J44" i="19" s="1"/>
  <c r="W44" i="19"/>
  <c r="V44" i="19"/>
  <c r="P44" i="19"/>
  <c r="O44" i="19"/>
  <c r="Q44" i="19" s="1"/>
  <c r="M44" i="19"/>
  <c r="H44" i="19"/>
  <c r="C44" i="19"/>
  <c r="Z43" i="19"/>
  <c r="AB43" i="19" s="1"/>
  <c r="J43" i="19" s="1"/>
  <c r="W43" i="19"/>
  <c r="V43" i="19"/>
  <c r="Q43" i="19"/>
  <c r="P43" i="19"/>
  <c r="O43" i="19"/>
  <c r="M43" i="19"/>
  <c r="H43" i="19"/>
  <c r="C43" i="19"/>
  <c r="Z42" i="19"/>
  <c r="AB42" i="19" s="1"/>
  <c r="J42" i="19" s="1"/>
  <c r="W42" i="19"/>
  <c r="V42" i="19"/>
  <c r="T42" i="19"/>
  <c r="S42" i="19"/>
  <c r="R42" i="19"/>
  <c r="Q42" i="19"/>
  <c r="P42" i="19"/>
  <c r="O42" i="19"/>
  <c r="M42" i="19"/>
  <c r="H42" i="19"/>
  <c r="C42" i="19"/>
  <c r="Z41" i="19"/>
  <c r="AB41" i="19" s="1"/>
  <c r="J41" i="19" s="1"/>
  <c r="W41" i="19"/>
  <c r="V41" i="19"/>
  <c r="P41" i="19"/>
  <c r="Q41" i="19" s="1"/>
  <c r="O41" i="19"/>
  <c r="M41" i="19"/>
  <c r="H41" i="19"/>
  <c r="C41" i="19"/>
  <c r="AB39" i="19"/>
  <c r="J39" i="19" s="1"/>
  <c r="Z39" i="19"/>
  <c r="W39" i="19"/>
  <c r="V39" i="19"/>
  <c r="P39" i="19"/>
  <c r="O39" i="19"/>
  <c r="Q39" i="19" s="1"/>
  <c r="M39" i="19"/>
  <c r="H39" i="19"/>
  <c r="C39" i="19"/>
  <c r="Z38" i="19"/>
  <c r="AB38" i="19" s="1"/>
  <c r="W38" i="19"/>
  <c r="V38" i="19"/>
  <c r="P38" i="19"/>
  <c r="Q38" i="19" s="1"/>
  <c r="O38" i="19"/>
  <c r="M38" i="19"/>
  <c r="J38" i="19"/>
  <c r="K38" i="19" s="1"/>
  <c r="H38" i="19"/>
  <c r="C38" i="19"/>
  <c r="AB37" i="19"/>
  <c r="J37" i="19" s="1"/>
  <c r="Z37" i="19"/>
  <c r="W37" i="19"/>
  <c r="V37" i="19"/>
  <c r="Q37" i="19"/>
  <c r="P37" i="19"/>
  <c r="O37" i="19"/>
  <c r="M37" i="19"/>
  <c r="H37" i="19"/>
  <c r="C37" i="19"/>
  <c r="Z36" i="19"/>
  <c r="AB36" i="19" s="1"/>
  <c r="J36" i="19" s="1"/>
  <c r="W36" i="19"/>
  <c r="V36" i="19"/>
  <c r="P36" i="19"/>
  <c r="O36" i="19"/>
  <c r="Q36" i="19" s="1"/>
  <c r="M36" i="19"/>
  <c r="H36" i="19"/>
  <c r="C36" i="19"/>
  <c r="Z35" i="19"/>
  <c r="AB35" i="19" s="1"/>
  <c r="J35" i="19" s="1"/>
  <c r="K35" i="19" s="1"/>
  <c r="W35" i="19"/>
  <c r="V35" i="19"/>
  <c r="Q35" i="19"/>
  <c r="P35" i="19"/>
  <c r="O35" i="19"/>
  <c r="M35" i="19"/>
  <c r="I35" i="19"/>
  <c r="H35" i="19"/>
  <c r="C35" i="19"/>
  <c r="Z34" i="19"/>
  <c r="AB34" i="19" s="1"/>
  <c r="J34" i="19" s="1"/>
  <c r="W34" i="19"/>
  <c r="V34" i="19"/>
  <c r="P34" i="19"/>
  <c r="O34" i="19"/>
  <c r="Q34" i="19" s="1"/>
  <c r="M34" i="19"/>
  <c r="H34" i="19"/>
  <c r="C34" i="19"/>
  <c r="Z33" i="19"/>
  <c r="AB33" i="19" s="1"/>
  <c r="J33" i="19" s="1"/>
  <c r="W33" i="19"/>
  <c r="V33" i="19"/>
  <c r="Q33" i="19"/>
  <c r="P33" i="19"/>
  <c r="O33" i="19"/>
  <c r="M33" i="19"/>
  <c r="H33" i="19"/>
  <c r="C33" i="19"/>
  <c r="Z32" i="19"/>
  <c r="AB32" i="19" s="1"/>
  <c r="J32" i="19" s="1"/>
  <c r="W32" i="19"/>
  <c r="V32" i="19"/>
  <c r="P32" i="19"/>
  <c r="Q32" i="19" s="1"/>
  <c r="O32" i="19"/>
  <c r="M32" i="19"/>
  <c r="H32" i="19"/>
  <c r="C32" i="19"/>
  <c r="AB31" i="19"/>
  <c r="J31" i="19" s="1"/>
  <c r="I31" i="19" s="1"/>
  <c r="Z31" i="19"/>
  <c r="W31" i="19"/>
  <c r="V31" i="19"/>
  <c r="P31" i="19"/>
  <c r="O31" i="19"/>
  <c r="Q31" i="19" s="1"/>
  <c r="M31" i="19"/>
  <c r="K31" i="19"/>
  <c r="H31" i="19"/>
  <c r="C31" i="19"/>
  <c r="Z30" i="19"/>
  <c r="AB30" i="19" s="1"/>
  <c r="W30" i="19"/>
  <c r="V30" i="19"/>
  <c r="P30" i="19"/>
  <c r="Q30" i="19" s="1"/>
  <c r="O30" i="19"/>
  <c r="M30" i="19"/>
  <c r="J30" i="19"/>
  <c r="H30" i="19"/>
  <c r="C30" i="19"/>
  <c r="AB29" i="19"/>
  <c r="J29" i="19" s="1"/>
  <c r="Z29" i="19"/>
  <c r="W29" i="19"/>
  <c r="V29" i="19"/>
  <c r="Q29" i="19"/>
  <c r="P29" i="19"/>
  <c r="O29" i="19"/>
  <c r="M29" i="19"/>
  <c r="H29" i="19"/>
  <c r="C29" i="19"/>
  <c r="Z28" i="19"/>
  <c r="AB28" i="19" s="1"/>
  <c r="J28" i="19" s="1"/>
  <c r="W28" i="19"/>
  <c r="V28" i="19"/>
  <c r="P28" i="19"/>
  <c r="O28" i="19"/>
  <c r="Q28" i="19" s="1"/>
  <c r="M28" i="19"/>
  <c r="H28" i="19"/>
  <c r="C28" i="19"/>
  <c r="Z27" i="19"/>
  <c r="AB27" i="19" s="1"/>
  <c r="J27" i="19" s="1"/>
  <c r="K27" i="19" s="1"/>
  <c r="W27" i="19"/>
  <c r="V27" i="19"/>
  <c r="V3" i="19" s="1"/>
  <c r="Q27" i="19"/>
  <c r="P27" i="19"/>
  <c r="O27" i="19"/>
  <c r="M27" i="19"/>
  <c r="I27" i="19"/>
  <c r="H27" i="19"/>
  <c r="C27" i="19"/>
  <c r="Z26" i="19"/>
  <c r="AB26" i="19" s="1"/>
  <c r="J26" i="19" s="1"/>
  <c r="W26" i="19"/>
  <c r="V26" i="19"/>
  <c r="P26" i="19"/>
  <c r="O26" i="19"/>
  <c r="Q26" i="19" s="1"/>
  <c r="M26" i="19"/>
  <c r="H26" i="19"/>
  <c r="C26" i="19"/>
  <c r="AB25" i="19"/>
  <c r="J25" i="19" s="1"/>
  <c r="Z25" i="19"/>
  <c r="W25" i="19"/>
  <c r="V25" i="19"/>
  <c r="Q25" i="19"/>
  <c r="P25" i="19"/>
  <c r="O25" i="19"/>
  <c r="M25" i="19"/>
  <c r="H25" i="19"/>
  <c r="AB24" i="19"/>
  <c r="J24" i="19" s="1"/>
  <c r="Z24" i="19"/>
  <c r="W24" i="19"/>
  <c r="V24" i="19"/>
  <c r="Q24" i="19"/>
  <c r="P24" i="19"/>
  <c r="O24" i="19"/>
  <c r="M24" i="19"/>
  <c r="H24" i="19"/>
  <c r="AB23" i="19"/>
  <c r="J23" i="19" s="1"/>
  <c r="I23" i="19" s="1"/>
  <c r="Z23" i="19"/>
  <c r="W23" i="19"/>
  <c r="V23" i="19"/>
  <c r="Q23" i="19"/>
  <c r="P23" i="19"/>
  <c r="O23" i="19"/>
  <c r="M23" i="19"/>
  <c r="K23" i="19"/>
  <c r="H23" i="19"/>
  <c r="AB22" i="19"/>
  <c r="J22" i="19" s="1"/>
  <c r="Z22" i="19"/>
  <c r="W22" i="19"/>
  <c r="V22" i="19"/>
  <c r="Q22" i="19"/>
  <c r="P22" i="19"/>
  <c r="O22" i="19"/>
  <c r="M22" i="19"/>
  <c r="H22" i="19"/>
  <c r="Z21" i="19"/>
  <c r="AB21" i="19" s="1"/>
  <c r="J21" i="19" s="1"/>
  <c r="K21" i="19" s="1"/>
  <c r="W21" i="19"/>
  <c r="V21" i="19"/>
  <c r="Q21" i="19"/>
  <c r="P21" i="19"/>
  <c r="O21" i="19"/>
  <c r="M21" i="19"/>
  <c r="H21" i="19"/>
  <c r="AB20" i="19"/>
  <c r="J20" i="19" s="1"/>
  <c r="Z20" i="19"/>
  <c r="W20" i="19"/>
  <c r="V20" i="19"/>
  <c r="P20" i="19"/>
  <c r="O20" i="19"/>
  <c r="Q20" i="19" s="1"/>
  <c r="M20" i="19"/>
  <c r="H20" i="19"/>
  <c r="Z19" i="19"/>
  <c r="AB19" i="19" s="1"/>
  <c r="J19" i="19" s="1"/>
  <c r="W19" i="19"/>
  <c r="V19" i="19"/>
  <c r="Q19" i="19"/>
  <c r="P19" i="19"/>
  <c r="O19" i="19"/>
  <c r="M19" i="19"/>
  <c r="H19" i="19"/>
  <c r="AB18" i="19"/>
  <c r="J18" i="19" s="1"/>
  <c r="Z18" i="19"/>
  <c r="W18" i="19"/>
  <c r="V18" i="19"/>
  <c r="P18" i="19"/>
  <c r="Q18" i="19" s="1"/>
  <c r="O18" i="19"/>
  <c r="M18" i="19"/>
  <c r="H18" i="19"/>
  <c r="AB17" i="19"/>
  <c r="J17" i="19" s="1"/>
  <c r="Z17" i="19"/>
  <c r="W17" i="19"/>
  <c r="V17" i="19"/>
  <c r="Q17" i="19"/>
  <c r="P17" i="19"/>
  <c r="O17" i="19"/>
  <c r="M17" i="19"/>
  <c r="H17" i="19"/>
  <c r="AB16" i="19"/>
  <c r="J16" i="19" s="1"/>
  <c r="Z16" i="19"/>
  <c r="W16" i="19"/>
  <c r="V16" i="19"/>
  <c r="Q16" i="19"/>
  <c r="P16" i="19"/>
  <c r="O16" i="19"/>
  <c r="M16" i="19"/>
  <c r="H16" i="19"/>
  <c r="Z15" i="19"/>
  <c r="AB15" i="19" s="1"/>
  <c r="J15" i="19" s="1"/>
  <c r="W15" i="19"/>
  <c r="V15" i="19"/>
  <c r="Q15" i="19"/>
  <c r="P15" i="19"/>
  <c r="O15" i="19"/>
  <c r="M15" i="19"/>
  <c r="H15" i="19"/>
  <c r="AB14" i="19"/>
  <c r="J14" i="19" s="1"/>
  <c r="Z14" i="19"/>
  <c r="W14" i="19"/>
  <c r="V14" i="19"/>
  <c r="P14" i="19"/>
  <c r="O14" i="19"/>
  <c r="Q14" i="19" s="1"/>
  <c r="M14" i="19"/>
  <c r="H14" i="19"/>
  <c r="Z13" i="19"/>
  <c r="AB13" i="19" s="1"/>
  <c r="J13" i="19" s="1"/>
  <c r="W13" i="19"/>
  <c r="V13" i="19"/>
  <c r="Q13" i="19"/>
  <c r="P13" i="19"/>
  <c r="O13" i="19"/>
  <c r="M13" i="19"/>
  <c r="H13" i="19"/>
  <c r="AB12" i="19"/>
  <c r="J12" i="19" s="1"/>
  <c r="Z12" i="19"/>
  <c r="W12" i="19"/>
  <c r="V12" i="19"/>
  <c r="P12" i="19"/>
  <c r="O12" i="19"/>
  <c r="Q12" i="19" s="1"/>
  <c r="M12" i="19"/>
  <c r="H12" i="19"/>
  <c r="Z11" i="19"/>
  <c r="AB11" i="19" s="1"/>
  <c r="W11" i="19"/>
  <c r="V11" i="19"/>
  <c r="Q11" i="19"/>
  <c r="P11" i="19"/>
  <c r="O11" i="19"/>
  <c r="M11" i="19"/>
  <c r="J11" i="19"/>
  <c r="K11" i="19" s="1"/>
  <c r="H11" i="19"/>
  <c r="AB10" i="19"/>
  <c r="J10" i="19" s="1"/>
  <c r="Z10" i="19"/>
  <c r="W10" i="19"/>
  <c r="V10" i="19"/>
  <c r="P10" i="19"/>
  <c r="O10" i="19"/>
  <c r="M10" i="19"/>
  <c r="H10" i="19"/>
  <c r="AB9" i="19"/>
  <c r="J9" i="19" s="1"/>
  <c r="Z9" i="19"/>
  <c r="W9" i="19"/>
  <c r="V9" i="19"/>
  <c r="Q9" i="19"/>
  <c r="P9" i="19"/>
  <c r="O9" i="19"/>
  <c r="M9" i="19"/>
  <c r="H9" i="19"/>
  <c r="AB8" i="19"/>
  <c r="J8" i="19" s="1"/>
  <c r="Z8" i="19"/>
  <c r="W8" i="19"/>
  <c r="V8" i="19"/>
  <c r="Q8" i="19"/>
  <c r="P8" i="19"/>
  <c r="O8" i="19"/>
  <c r="M8" i="19"/>
  <c r="H8" i="19"/>
  <c r="AB7" i="19"/>
  <c r="J7" i="19" s="1"/>
  <c r="I7" i="19" s="1"/>
  <c r="Z7" i="19"/>
  <c r="W7" i="19"/>
  <c r="V7" i="19"/>
  <c r="Q7" i="19"/>
  <c r="P7" i="19"/>
  <c r="O7" i="19"/>
  <c r="M7" i="19"/>
  <c r="K7" i="19"/>
  <c r="H7" i="19"/>
  <c r="AB6" i="19"/>
  <c r="J6" i="19" s="1"/>
  <c r="Z6" i="19"/>
  <c r="W6" i="19"/>
  <c r="V6" i="19"/>
  <c r="Q6" i="19"/>
  <c r="P6" i="19"/>
  <c r="O6" i="19"/>
  <c r="M6" i="19"/>
  <c r="H6" i="19"/>
  <c r="Z5" i="19"/>
  <c r="AB5" i="19" s="1"/>
  <c r="J5" i="19" s="1"/>
  <c r="K5" i="19" s="1"/>
  <c r="W5" i="19"/>
  <c r="V5" i="19"/>
  <c r="Q5" i="19"/>
  <c r="P5" i="19"/>
  <c r="O5" i="19"/>
  <c r="M5" i="19"/>
  <c r="I5" i="19"/>
  <c r="H5" i="19"/>
  <c r="AB4" i="19"/>
  <c r="J4" i="19" s="1"/>
  <c r="Z4" i="19"/>
  <c r="W4" i="19"/>
  <c r="V4" i="19"/>
  <c r="P4" i="19"/>
  <c r="O4" i="19"/>
  <c r="Q4" i="19" s="1"/>
  <c r="M4" i="19"/>
  <c r="H4" i="19"/>
  <c r="AE3" i="19"/>
  <c r="U3" i="19"/>
  <c r="O3" i="19"/>
  <c r="H3" i="19"/>
  <c r="G3" i="19"/>
  <c r="F3" i="19"/>
  <c r="D3" i="19"/>
  <c r="C3" i="19"/>
  <c r="B3" i="19"/>
  <c r="A2" i="19"/>
  <c r="A1" i="19"/>
  <c r="AB56" i="18"/>
  <c r="J56" i="18" s="1"/>
  <c r="Z56" i="18"/>
  <c r="W56" i="18"/>
  <c r="V56" i="18"/>
  <c r="T56" i="18"/>
  <c r="S56" i="18"/>
  <c r="R56" i="18"/>
  <c r="P56" i="18"/>
  <c r="O56" i="18"/>
  <c r="Q56" i="18" s="1"/>
  <c r="M56" i="18"/>
  <c r="H56" i="18"/>
  <c r="C56" i="18"/>
  <c r="AB55" i="18"/>
  <c r="J55" i="18" s="1"/>
  <c r="Z55" i="18"/>
  <c r="W55" i="18"/>
  <c r="V55" i="18"/>
  <c r="Q55" i="18"/>
  <c r="P55" i="18"/>
  <c r="O55" i="18"/>
  <c r="M55" i="18"/>
  <c r="H55" i="18"/>
  <c r="C55" i="18"/>
  <c r="AB54" i="18"/>
  <c r="Z54" i="18"/>
  <c r="W54" i="18"/>
  <c r="V54" i="18"/>
  <c r="T54" i="18"/>
  <c r="S54" i="18"/>
  <c r="R54" i="18"/>
  <c r="Q54" i="18"/>
  <c r="P54" i="18"/>
  <c r="O54" i="18"/>
  <c r="M54" i="18"/>
  <c r="K54" i="18"/>
  <c r="J54" i="18"/>
  <c r="I54" i="18"/>
  <c r="H54" i="18"/>
  <c r="C54" i="18"/>
  <c r="AB53" i="18"/>
  <c r="Z53" i="18"/>
  <c r="W53" i="18"/>
  <c r="V53" i="18"/>
  <c r="T53" i="18"/>
  <c r="S53" i="18"/>
  <c r="R53" i="18"/>
  <c r="Q53" i="18"/>
  <c r="P53" i="18"/>
  <c r="O53" i="18"/>
  <c r="M53" i="18"/>
  <c r="K53" i="18"/>
  <c r="J53" i="18"/>
  <c r="I53" i="18"/>
  <c r="H53" i="18"/>
  <c r="C53" i="18"/>
  <c r="AB52" i="18"/>
  <c r="Z52" i="18"/>
  <c r="W52" i="18"/>
  <c r="V52" i="18"/>
  <c r="T52" i="18"/>
  <c r="S52" i="18"/>
  <c r="R52" i="18"/>
  <c r="Q52" i="18"/>
  <c r="P52" i="18"/>
  <c r="O52" i="18"/>
  <c r="M52" i="18"/>
  <c r="K52" i="18"/>
  <c r="J52" i="18"/>
  <c r="I52" i="18"/>
  <c r="H52" i="18"/>
  <c r="C52" i="18"/>
  <c r="AB51" i="18"/>
  <c r="Z51" i="18"/>
  <c r="W51" i="18"/>
  <c r="V51" i="18"/>
  <c r="T51" i="18"/>
  <c r="S51" i="18"/>
  <c r="R51" i="18"/>
  <c r="Q51" i="18"/>
  <c r="P51" i="18"/>
  <c r="O51" i="18"/>
  <c r="M51" i="18"/>
  <c r="K51" i="18"/>
  <c r="J51" i="18"/>
  <c r="I51" i="18"/>
  <c r="H51" i="18"/>
  <c r="C51" i="18"/>
  <c r="AB50" i="18"/>
  <c r="Z50" i="18"/>
  <c r="W50" i="18"/>
  <c r="V50" i="18"/>
  <c r="T50" i="18"/>
  <c r="S50" i="18"/>
  <c r="R50" i="18"/>
  <c r="Q50" i="18"/>
  <c r="P50" i="18"/>
  <c r="O50" i="18"/>
  <c r="M50" i="18"/>
  <c r="K50" i="18"/>
  <c r="J50" i="18"/>
  <c r="I50" i="18"/>
  <c r="H50" i="18"/>
  <c r="C50" i="18"/>
  <c r="AB49" i="18"/>
  <c r="Z49" i="18"/>
  <c r="W49" i="18"/>
  <c r="V49" i="18"/>
  <c r="T49" i="18"/>
  <c r="S49" i="18"/>
  <c r="R49" i="18"/>
  <c r="Q49" i="18"/>
  <c r="P49" i="18"/>
  <c r="O49" i="18"/>
  <c r="M49" i="18"/>
  <c r="K49" i="18"/>
  <c r="J49" i="18"/>
  <c r="I49" i="18"/>
  <c r="H49" i="18"/>
  <c r="C49" i="18"/>
  <c r="Z48" i="18"/>
  <c r="AB48" i="18" s="1"/>
  <c r="J48" i="18" s="1"/>
  <c r="W48" i="18"/>
  <c r="V48" i="18"/>
  <c r="T48" i="18"/>
  <c r="S48" i="18"/>
  <c r="R48" i="18"/>
  <c r="Q48" i="18"/>
  <c r="P48" i="18"/>
  <c r="O48" i="18"/>
  <c r="M48" i="18"/>
  <c r="H48" i="18"/>
  <c r="C48" i="18"/>
  <c r="Z47" i="18"/>
  <c r="AB47" i="18" s="1"/>
  <c r="J47" i="18" s="1"/>
  <c r="W47" i="18"/>
  <c r="V47" i="18"/>
  <c r="P47" i="18"/>
  <c r="Q47" i="18" s="1"/>
  <c r="O47" i="18"/>
  <c r="M47" i="18"/>
  <c r="H47" i="18"/>
  <c r="C47" i="18"/>
  <c r="AB46" i="18"/>
  <c r="J46" i="18" s="1"/>
  <c r="I46" i="18" s="1"/>
  <c r="Z46" i="18"/>
  <c r="W46" i="18"/>
  <c r="V46" i="18"/>
  <c r="P46" i="18"/>
  <c r="O46" i="18"/>
  <c r="Q46" i="18" s="1"/>
  <c r="M46" i="18"/>
  <c r="K46" i="18"/>
  <c r="H46" i="18"/>
  <c r="C46" i="18"/>
  <c r="Z45" i="18"/>
  <c r="AB45" i="18" s="1"/>
  <c r="W45" i="18"/>
  <c r="V45" i="18"/>
  <c r="P45" i="18"/>
  <c r="O45" i="18"/>
  <c r="Q45" i="18" s="1"/>
  <c r="M45" i="18"/>
  <c r="J45" i="18"/>
  <c r="H45" i="18"/>
  <c r="C45" i="18"/>
  <c r="AB44" i="18"/>
  <c r="J44" i="18" s="1"/>
  <c r="Z44" i="18"/>
  <c r="W44" i="18"/>
  <c r="V44" i="18"/>
  <c r="Q44" i="18"/>
  <c r="P44" i="18"/>
  <c r="O44" i="18"/>
  <c r="M44" i="18"/>
  <c r="H44" i="18"/>
  <c r="C44" i="18"/>
  <c r="Z43" i="18"/>
  <c r="AB43" i="18" s="1"/>
  <c r="J43" i="18" s="1"/>
  <c r="W43" i="18"/>
  <c r="V43" i="18"/>
  <c r="P43" i="18"/>
  <c r="O43" i="18"/>
  <c r="Q43" i="18" s="1"/>
  <c r="M43" i="18"/>
  <c r="H43" i="18"/>
  <c r="C43" i="18"/>
  <c r="Z42" i="18"/>
  <c r="AB42" i="18" s="1"/>
  <c r="W42" i="18"/>
  <c r="V42" i="18"/>
  <c r="T42" i="18"/>
  <c r="S42" i="18"/>
  <c r="R42" i="18"/>
  <c r="P42" i="18"/>
  <c r="O42" i="18"/>
  <c r="Q42" i="18" s="1"/>
  <c r="M42" i="18"/>
  <c r="J42" i="18"/>
  <c r="I42" i="18" s="1"/>
  <c r="H42" i="18"/>
  <c r="C42" i="18"/>
  <c r="Z41" i="18"/>
  <c r="AB41" i="18" s="1"/>
  <c r="J41" i="18" s="1"/>
  <c r="K41" i="18" s="1"/>
  <c r="W41" i="18"/>
  <c r="V41" i="18"/>
  <c r="Q41" i="18"/>
  <c r="P41" i="18"/>
  <c r="O41" i="18"/>
  <c r="M41" i="18"/>
  <c r="H41" i="18"/>
  <c r="C41" i="18"/>
  <c r="Z39" i="18"/>
  <c r="AB39" i="18" s="1"/>
  <c r="J39" i="18" s="1"/>
  <c r="W39" i="18"/>
  <c r="V39" i="18"/>
  <c r="P39" i="18"/>
  <c r="O39" i="18"/>
  <c r="M39" i="18"/>
  <c r="H39" i="18"/>
  <c r="C39" i="18"/>
  <c r="AB38" i="18"/>
  <c r="J38" i="18" s="1"/>
  <c r="I38" i="18" s="1"/>
  <c r="Z38" i="18"/>
  <c r="W38" i="18"/>
  <c r="V38" i="18"/>
  <c r="Q38" i="18"/>
  <c r="P38" i="18"/>
  <c r="O38" i="18"/>
  <c r="M38" i="18"/>
  <c r="K38" i="18"/>
  <c r="H38" i="18"/>
  <c r="C38" i="18"/>
  <c r="Z37" i="18"/>
  <c r="AB37" i="18" s="1"/>
  <c r="J37" i="18" s="1"/>
  <c r="W37" i="18"/>
  <c r="V37" i="18"/>
  <c r="Q37" i="18"/>
  <c r="P37" i="18"/>
  <c r="O37" i="18"/>
  <c r="M37" i="18"/>
  <c r="H37" i="18"/>
  <c r="C37" i="18"/>
  <c r="AB36" i="18"/>
  <c r="J36" i="18" s="1"/>
  <c r="I36" i="18" s="1"/>
  <c r="Z36" i="18"/>
  <c r="W36" i="18"/>
  <c r="V36" i="18"/>
  <c r="P36" i="18"/>
  <c r="O36" i="18"/>
  <c r="Q36" i="18" s="1"/>
  <c r="M36" i="18"/>
  <c r="H36" i="18"/>
  <c r="C36" i="18"/>
  <c r="Z35" i="18"/>
  <c r="AB35" i="18" s="1"/>
  <c r="J35" i="18" s="1"/>
  <c r="K35" i="18" s="1"/>
  <c r="W35" i="18"/>
  <c r="V35" i="18"/>
  <c r="P35" i="18"/>
  <c r="O35" i="18"/>
  <c r="Q35" i="18" s="1"/>
  <c r="M35" i="18"/>
  <c r="H35" i="18"/>
  <c r="C35" i="18"/>
  <c r="AB34" i="18"/>
  <c r="J34" i="18" s="1"/>
  <c r="Z34" i="18"/>
  <c r="W34" i="18"/>
  <c r="V34" i="18"/>
  <c r="P34" i="18"/>
  <c r="O34" i="18"/>
  <c r="Q34" i="18" s="1"/>
  <c r="M34" i="18"/>
  <c r="H34" i="18"/>
  <c r="C34" i="18"/>
  <c r="Z33" i="18"/>
  <c r="AB33" i="18" s="1"/>
  <c r="J33" i="18" s="1"/>
  <c r="W33" i="18"/>
  <c r="V33" i="18"/>
  <c r="P33" i="18"/>
  <c r="O33" i="18"/>
  <c r="Q33" i="18" s="1"/>
  <c r="M33" i="18"/>
  <c r="H33" i="18"/>
  <c r="C33" i="18"/>
  <c r="Z32" i="18"/>
  <c r="AB32" i="18" s="1"/>
  <c r="J32" i="18" s="1"/>
  <c r="W32" i="18"/>
  <c r="V32" i="18"/>
  <c r="Q32" i="18"/>
  <c r="P32" i="18"/>
  <c r="O32" i="18"/>
  <c r="M32" i="18"/>
  <c r="H32" i="18"/>
  <c r="C32" i="18"/>
  <c r="Z31" i="18"/>
  <c r="AB31" i="18" s="1"/>
  <c r="J31" i="18" s="1"/>
  <c r="W31" i="18"/>
  <c r="V31" i="18"/>
  <c r="P31" i="18"/>
  <c r="O31" i="18"/>
  <c r="Q31" i="18" s="1"/>
  <c r="M31" i="18"/>
  <c r="H31" i="18"/>
  <c r="C31" i="18"/>
  <c r="AB30" i="18"/>
  <c r="J30" i="18" s="1"/>
  <c r="Z30" i="18"/>
  <c r="W30" i="18"/>
  <c r="V30" i="18"/>
  <c r="Q30" i="18"/>
  <c r="P30" i="18"/>
  <c r="O30" i="18"/>
  <c r="M30" i="18"/>
  <c r="H30" i="18"/>
  <c r="C30" i="18"/>
  <c r="Z29" i="18"/>
  <c r="AB29" i="18" s="1"/>
  <c r="J29" i="18" s="1"/>
  <c r="W29" i="18"/>
  <c r="V29" i="18"/>
  <c r="Q29" i="18"/>
  <c r="P29" i="18"/>
  <c r="O29" i="18"/>
  <c r="M29" i="18"/>
  <c r="H29" i="18"/>
  <c r="C29" i="18"/>
  <c r="AB28" i="18"/>
  <c r="J28" i="18" s="1"/>
  <c r="Z28" i="18"/>
  <c r="W28" i="18"/>
  <c r="V28" i="18"/>
  <c r="P28" i="18"/>
  <c r="O28" i="18"/>
  <c r="Q28" i="18" s="1"/>
  <c r="M28" i="18"/>
  <c r="H28" i="18"/>
  <c r="C28" i="18"/>
  <c r="Z27" i="18"/>
  <c r="AB27" i="18" s="1"/>
  <c r="W27" i="18"/>
  <c r="V27" i="18"/>
  <c r="P27" i="18"/>
  <c r="O27" i="18"/>
  <c r="Q27" i="18" s="1"/>
  <c r="M27" i="18"/>
  <c r="J27" i="18"/>
  <c r="K27" i="18" s="1"/>
  <c r="I27" i="18"/>
  <c r="H27" i="18"/>
  <c r="C27" i="18"/>
  <c r="AB26" i="18"/>
  <c r="J26" i="18" s="1"/>
  <c r="Z26" i="18"/>
  <c r="W26" i="18"/>
  <c r="V26" i="18"/>
  <c r="P26" i="18"/>
  <c r="Q26" i="18" s="1"/>
  <c r="O26" i="18"/>
  <c r="M26" i="18"/>
  <c r="H26" i="18"/>
  <c r="C26" i="18"/>
  <c r="Z25" i="18"/>
  <c r="AB25" i="18" s="1"/>
  <c r="J25" i="18" s="1"/>
  <c r="W25" i="18"/>
  <c r="V25" i="18"/>
  <c r="P25" i="18"/>
  <c r="O25" i="18"/>
  <c r="Q25" i="18" s="1"/>
  <c r="M25" i="18"/>
  <c r="H25" i="18"/>
  <c r="Z24" i="18"/>
  <c r="AB24" i="18" s="1"/>
  <c r="J24" i="18" s="1"/>
  <c r="W24" i="18"/>
  <c r="V24" i="18"/>
  <c r="P24" i="18"/>
  <c r="Q24" i="18" s="1"/>
  <c r="O24" i="18"/>
  <c r="M24" i="18"/>
  <c r="H24" i="18"/>
  <c r="Z23" i="18"/>
  <c r="AB23" i="18" s="1"/>
  <c r="J23" i="18" s="1"/>
  <c r="W23" i="18"/>
  <c r="V23" i="18"/>
  <c r="P23" i="18"/>
  <c r="O23" i="18"/>
  <c r="Q23" i="18" s="1"/>
  <c r="M23" i="18"/>
  <c r="H23" i="18"/>
  <c r="Z22" i="18"/>
  <c r="AB22" i="18" s="1"/>
  <c r="J22" i="18" s="1"/>
  <c r="W22" i="18"/>
  <c r="V22" i="18"/>
  <c r="P22" i="18"/>
  <c r="Q22" i="18" s="1"/>
  <c r="O22" i="18"/>
  <c r="M22" i="18"/>
  <c r="H22" i="18"/>
  <c r="AB21" i="18"/>
  <c r="Z21" i="18"/>
  <c r="W21" i="18"/>
  <c r="V21" i="18"/>
  <c r="P21" i="18"/>
  <c r="O21" i="18"/>
  <c r="Q21" i="18" s="1"/>
  <c r="M21" i="18"/>
  <c r="K21" i="18"/>
  <c r="J21" i="18"/>
  <c r="I21" i="18" s="1"/>
  <c r="H21" i="18"/>
  <c r="Z20" i="18"/>
  <c r="AB20" i="18" s="1"/>
  <c r="J20" i="18" s="1"/>
  <c r="W20" i="18"/>
  <c r="V20" i="18"/>
  <c r="P20" i="18"/>
  <c r="Q20" i="18" s="1"/>
  <c r="O20" i="18"/>
  <c r="M20" i="18"/>
  <c r="H20" i="18"/>
  <c r="AB19" i="18"/>
  <c r="Z19" i="18"/>
  <c r="W19" i="18"/>
  <c r="V19" i="18"/>
  <c r="P19" i="18"/>
  <c r="O19" i="18"/>
  <c r="Q19" i="18" s="1"/>
  <c r="M19" i="18"/>
  <c r="J19" i="18"/>
  <c r="I19" i="18" s="1"/>
  <c r="H19" i="18"/>
  <c r="Z18" i="18"/>
  <c r="AB18" i="18" s="1"/>
  <c r="J18" i="18" s="1"/>
  <c r="W18" i="18"/>
  <c r="V18" i="18"/>
  <c r="Q18" i="18"/>
  <c r="P18" i="18"/>
  <c r="O18" i="18"/>
  <c r="M18" i="18"/>
  <c r="H18" i="18"/>
  <c r="Z17" i="18"/>
  <c r="AB17" i="18" s="1"/>
  <c r="J17" i="18" s="1"/>
  <c r="W17" i="18"/>
  <c r="V17" i="18"/>
  <c r="P17" i="18"/>
  <c r="O17" i="18"/>
  <c r="Q17" i="18" s="1"/>
  <c r="M17" i="18"/>
  <c r="H17" i="18"/>
  <c r="Z16" i="18"/>
  <c r="AB16" i="18" s="1"/>
  <c r="J16" i="18" s="1"/>
  <c r="W16" i="18"/>
  <c r="V16" i="18"/>
  <c r="P16" i="18"/>
  <c r="Q16" i="18" s="1"/>
  <c r="O16" i="18"/>
  <c r="M16" i="18"/>
  <c r="H16" i="18"/>
  <c r="Z15" i="18"/>
  <c r="AB15" i="18" s="1"/>
  <c r="J15" i="18" s="1"/>
  <c r="W15" i="18"/>
  <c r="V15" i="18"/>
  <c r="P15" i="18"/>
  <c r="O15" i="18"/>
  <c r="Q15" i="18" s="1"/>
  <c r="M15" i="18"/>
  <c r="H15" i="18"/>
  <c r="Z14" i="18"/>
  <c r="AB14" i="18" s="1"/>
  <c r="J14" i="18" s="1"/>
  <c r="W14" i="18"/>
  <c r="V14" i="18"/>
  <c r="P14" i="18"/>
  <c r="Q14" i="18" s="1"/>
  <c r="O14" i="18"/>
  <c r="M14" i="18"/>
  <c r="H14" i="18"/>
  <c r="AB13" i="18"/>
  <c r="Z13" i="18"/>
  <c r="W13" i="18"/>
  <c r="V13" i="18"/>
  <c r="P13" i="18"/>
  <c r="O13" i="18"/>
  <c r="Q13" i="18" s="1"/>
  <c r="M13" i="18"/>
  <c r="K13" i="18"/>
  <c r="J13" i="18"/>
  <c r="I13" i="18" s="1"/>
  <c r="H13" i="18"/>
  <c r="Z12" i="18"/>
  <c r="AB12" i="18" s="1"/>
  <c r="J12" i="18" s="1"/>
  <c r="W12" i="18"/>
  <c r="V12" i="18"/>
  <c r="P12" i="18"/>
  <c r="Q12" i="18" s="1"/>
  <c r="O12" i="18"/>
  <c r="M12" i="18"/>
  <c r="H12" i="18"/>
  <c r="AB11" i="18"/>
  <c r="Z11" i="18"/>
  <c r="W11" i="18"/>
  <c r="V11" i="18"/>
  <c r="P11" i="18"/>
  <c r="O11" i="18"/>
  <c r="Q11" i="18" s="1"/>
  <c r="M11" i="18"/>
  <c r="J11" i="18"/>
  <c r="I11" i="18" s="1"/>
  <c r="H11" i="18"/>
  <c r="Z10" i="18"/>
  <c r="AB10" i="18" s="1"/>
  <c r="J10" i="18" s="1"/>
  <c r="W10" i="18"/>
  <c r="V10" i="18"/>
  <c r="Q10" i="18"/>
  <c r="P10" i="18"/>
  <c r="O10" i="18"/>
  <c r="M10" i="18"/>
  <c r="H10" i="18"/>
  <c r="Z9" i="18"/>
  <c r="AB9" i="18" s="1"/>
  <c r="J9" i="18" s="1"/>
  <c r="W9" i="18"/>
  <c r="V9" i="18"/>
  <c r="P9" i="18"/>
  <c r="O9" i="18"/>
  <c r="Q9" i="18" s="1"/>
  <c r="M9" i="18"/>
  <c r="H9" i="18"/>
  <c r="Z8" i="18"/>
  <c r="AB8" i="18" s="1"/>
  <c r="J8" i="18" s="1"/>
  <c r="W8" i="18"/>
  <c r="V8" i="18"/>
  <c r="P8" i="18"/>
  <c r="Q8" i="18" s="1"/>
  <c r="O8" i="18"/>
  <c r="M8" i="18"/>
  <c r="H8" i="18"/>
  <c r="Z7" i="18"/>
  <c r="AB7" i="18" s="1"/>
  <c r="J7" i="18" s="1"/>
  <c r="W7" i="18"/>
  <c r="V7" i="18"/>
  <c r="P7" i="18"/>
  <c r="O7" i="18"/>
  <c r="Q7" i="18" s="1"/>
  <c r="M7" i="18"/>
  <c r="H7" i="18"/>
  <c r="Z6" i="18"/>
  <c r="AB6" i="18" s="1"/>
  <c r="J6" i="18" s="1"/>
  <c r="W6" i="18"/>
  <c r="V6" i="18"/>
  <c r="P6" i="18"/>
  <c r="Q6" i="18" s="1"/>
  <c r="O6" i="18"/>
  <c r="M6" i="18"/>
  <c r="H6" i="18"/>
  <c r="AB5" i="18"/>
  <c r="Z5" i="18"/>
  <c r="W5" i="18"/>
  <c r="V5" i="18"/>
  <c r="P5" i="18"/>
  <c r="O5" i="18"/>
  <c r="Q5" i="18" s="1"/>
  <c r="M5" i="18"/>
  <c r="K5" i="18"/>
  <c r="J5" i="18"/>
  <c r="I5" i="18" s="1"/>
  <c r="H5" i="18"/>
  <c r="Z4" i="18"/>
  <c r="AB4" i="18" s="1"/>
  <c r="J4" i="18" s="1"/>
  <c r="W4" i="18"/>
  <c r="V4" i="18"/>
  <c r="P4" i="18"/>
  <c r="Q4" i="18" s="1"/>
  <c r="O4" i="18"/>
  <c r="M4" i="18"/>
  <c r="H4" i="18"/>
  <c r="AE3" i="18"/>
  <c r="U3" i="18"/>
  <c r="O3" i="18"/>
  <c r="H3" i="18"/>
  <c r="G3" i="18"/>
  <c r="F3" i="18"/>
  <c r="D3" i="18"/>
  <c r="C3" i="18"/>
  <c r="B3" i="18"/>
  <c r="A2" i="18"/>
  <c r="A1" i="18"/>
  <c r="AB56" i="17"/>
  <c r="J56" i="17" s="1"/>
  <c r="Z56" i="17"/>
  <c r="W56" i="17"/>
  <c r="V56" i="17"/>
  <c r="T56" i="17"/>
  <c r="S56" i="17"/>
  <c r="R56" i="17"/>
  <c r="P56" i="17"/>
  <c r="Q56" i="17" s="1"/>
  <c r="O56" i="17"/>
  <c r="M56" i="17"/>
  <c r="H56" i="17"/>
  <c r="C56" i="17"/>
  <c r="Z55" i="17"/>
  <c r="AB55" i="17" s="1"/>
  <c r="J55" i="17" s="1"/>
  <c r="W55" i="17"/>
  <c r="V55" i="17"/>
  <c r="P55" i="17"/>
  <c r="O55" i="17"/>
  <c r="Q55" i="17" s="1"/>
  <c r="M55" i="17"/>
  <c r="H55" i="17"/>
  <c r="C55" i="17"/>
  <c r="AB54" i="17"/>
  <c r="Z54" i="17"/>
  <c r="W54" i="17"/>
  <c r="V54" i="17"/>
  <c r="T54" i="17"/>
  <c r="S54" i="17"/>
  <c r="R54" i="17"/>
  <c r="P54" i="17"/>
  <c r="O54" i="17"/>
  <c r="Q54" i="17" s="1"/>
  <c r="M54" i="17"/>
  <c r="J54" i="17"/>
  <c r="I54" i="17" s="1"/>
  <c r="H54" i="17"/>
  <c r="C54" i="17"/>
  <c r="AB53" i="17"/>
  <c r="Z53" i="17"/>
  <c r="W53" i="17"/>
  <c r="V53" i="17"/>
  <c r="T53" i="17"/>
  <c r="S53" i="17"/>
  <c r="R53" i="17"/>
  <c r="P53" i="17"/>
  <c r="O53" i="17"/>
  <c r="Q53" i="17" s="1"/>
  <c r="M53" i="17"/>
  <c r="K53" i="17"/>
  <c r="J53" i="17"/>
  <c r="I53" i="17" s="1"/>
  <c r="H53" i="17"/>
  <c r="C53" i="17"/>
  <c r="AB52" i="17"/>
  <c r="Z52" i="17"/>
  <c r="W52" i="17"/>
  <c r="V52" i="17"/>
  <c r="T52" i="17"/>
  <c r="S52" i="17"/>
  <c r="R52" i="17"/>
  <c r="P52" i="17"/>
  <c r="O52" i="17"/>
  <c r="Q52" i="17" s="1"/>
  <c r="M52" i="17"/>
  <c r="J52" i="17"/>
  <c r="H52" i="17"/>
  <c r="C52" i="17"/>
  <c r="AB51" i="17"/>
  <c r="Z51" i="17"/>
  <c r="W51" i="17"/>
  <c r="V51" i="17"/>
  <c r="T51" i="17"/>
  <c r="S51" i="17"/>
  <c r="R51" i="17"/>
  <c r="P51" i="17"/>
  <c r="O51" i="17"/>
  <c r="Q51" i="17" s="1"/>
  <c r="M51" i="17"/>
  <c r="J51" i="17"/>
  <c r="I51" i="17" s="1"/>
  <c r="H51" i="17"/>
  <c r="C51" i="17"/>
  <c r="AB50" i="17"/>
  <c r="Z50" i="17"/>
  <c r="W50" i="17"/>
  <c r="V50" i="17"/>
  <c r="T50" i="17"/>
  <c r="S50" i="17"/>
  <c r="R50" i="17"/>
  <c r="P50" i="17"/>
  <c r="O50" i="17"/>
  <c r="Q50" i="17" s="1"/>
  <c r="M50" i="17"/>
  <c r="J50" i="17"/>
  <c r="I50" i="17" s="1"/>
  <c r="H50" i="17"/>
  <c r="C50" i="17"/>
  <c r="AB49" i="17"/>
  <c r="Z49" i="17"/>
  <c r="W49" i="17"/>
  <c r="V49" i="17"/>
  <c r="T49" i="17"/>
  <c r="S49" i="17"/>
  <c r="R49" i="17"/>
  <c r="P49" i="17"/>
  <c r="O49" i="17"/>
  <c r="Q49" i="17" s="1"/>
  <c r="M49" i="17"/>
  <c r="K49" i="17"/>
  <c r="J49" i="17"/>
  <c r="I49" i="17" s="1"/>
  <c r="H49" i="17"/>
  <c r="C49" i="17"/>
  <c r="Z48" i="17"/>
  <c r="AB48" i="17" s="1"/>
  <c r="W48" i="17"/>
  <c r="V48" i="17"/>
  <c r="T48" i="17"/>
  <c r="S48" i="17"/>
  <c r="R48" i="17"/>
  <c r="P48" i="17"/>
  <c r="O48" i="17"/>
  <c r="Q48" i="17" s="1"/>
  <c r="M48" i="17"/>
  <c r="J48" i="17"/>
  <c r="I48" i="17" s="1"/>
  <c r="H48" i="17"/>
  <c r="C48" i="17"/>
  <c r="Z47" i="17"/>
  <c r="AB47" i="17" s="1"/>
  <c r="J47" i="17" s="1"/>
  <c r="K47" i="17" s="1"/>
  <c r="W47" i="17"/>
  <c r="V47" i="17"/>
  <c r="Q47" i="17"/>
  <c r="P47" i="17"/>
  <c r="O47" i="17"/>
  <c r="M47" i="17"/>
  <c r="I47" i="17"/>
  <c r="H47" i="17"/>
  <c r="C47" i="17"/>
  <c r="Z46" i="17"/>
  <c r="AB46" i="17" s="1"/>
  <c r="J46" i="17" s="1"/>
  <c r="W46" i="17"/>
  <c r="V46" i="17"/>
  <c r="P46" i="17"/>
  <c r="O46" i="17"/>
  <c r="Q46" i="17" s="1"/>
  <c r="M46" i="17"/>
  <c r="H46" i="17"/>
  <c r="C46" i="17"/>
  <c r="AB45" i="17"/>
  <c r="J45" i="17" s="1"/>
  <c r="Z45" i="17"/>
  <c r="W45" i="17"/>
  <c r="V45" i="17"/>
  <c r="Q45" i="17"/>
  <c r="P45" i="17"/>
  <c r="O45" i="17"/>
  <c r="M45" i="17"/>
  <c r="H45" i="17"/>
  <c r="C45" i="17"/>
  <c r="Z44" i="17"/>
  <c r="AB44" i="17" s="1"/>
  <c r="J44" i="17" s="1"/>
  <c r="W44" i="17"/>
  <c r="V44" i="17"/>
  <c r="Q44" i="17"/>
  <c r="P44" i="17"/>
  <c r="O44" i="17"/>
  <c r="M44" i="17"/>
  <c r="H44" i="17"/>
  <c r="C44" i="17"/>
  <c r="AB43" i="17"/>
  <c r="J43" i="17" s="1"/>
  <c r="I43" i="17" s="1"/>
  <c r="Z43" i="17"/>
  <c r="W43" i="17"/>
  <c r="V43" i="17"/>
  <c r="P43" i="17"/>
  <c r="O43" i="17"/>
  <c r="Q43" i="17" s="1"/>
  <c r="M43" i="17"/>
  <c r="K43" i="17"/>
  <c r="H43" i="17"/>
  <c r="C43" i="17"/>
  <c r="Z42" i="17"/>
  <c r="AB42" i="17" s="1"/>
  <c r="J42" i="17" s="1"/>
  <c r="I42" i="17" s="1"/>
  <c r="W42" i="17"/>
  <c r="V42" i="17"/>
  <c r="T42" i="17"/>
  <c r="S42" i="17"/>
  <c r="R42" i="17"/>
  <c r="P42" i="17"/>
  <c r="O42" i="17"/>
  <c r="Q42" i="17" s="1"/>
  <c r="M42" i="17"/>
  <c r="H42" i="17"/>
  <c r="C42" i="17"/>
  <c r="Z41" i="17"/>
  <c r="AB41" i="17" s="1"/>
  <c r="J41" i="17" s="1"/>
  <c r="W41" i="17"/>
  <c r="V41" i="17"/>
  <c r="P41" i="17"/>
  <c r="Q41" i="17" s="1"/>
  <c r="O41" i="17"/>
  <c r="M41" i="17"/>
  <c r="H41" i="17"/>
  <c r="C41" i="17"/>
  <c r="AB39" i="17"/>
  <c r="J39" i="17" s="1"/>
  <c r="Z39" i="17"/>
  <c r="W39" i="17"/>
  <c r="V39" i="17"/>
  <c r="P39" i="17"/>
  <c r="O39" i="17"/>
  <c r="Q39" i="17" s="1"/>
  <c r="M39" i="17"/>
  <c r="H39" i="17"/>
  <c r="C39" i="17"/>
  <c r="AB38" i="17"/>
  <c r="Z38" i="17"/>
  <c r="W38" i="17"/>
  <c r="V38" i="17"/>
  <c r="P38" i="17"/>
  <c r="O38" i="17"/>
  <c r="Q38" i="17" s="1"/>
  <c r="M38" i="17"/>
  <c r="J38" i="17"/>
  <c r="I38" i="17" s="1"/>
  <c r="H38" i="17"/>
  <c r="C38" i="17"/>
  <c r="Z37" i="17"/>
  <c r="AB37" i="17" s="1"/>
  <c r="J37" i="17" s="1"/>
  <c r="K37" i="17" s="1"/>
  <c r="W37" i="17"/>
  <c r="V37" i="17"/>
  <c r="Q37" i="17"/>
  <c r="P37" i="17"/>
  <c r="O37" i="17"/>
  <c r="M37" i="17"/>
  <c r="H37" i="17"/>
  <c r="C37" i="17"/>
  <c r="Z36" i="17"/>
  <c r="AB36" i="17" s="1"/>
  <c r="J36" i="17" s="1"/>
  <c r="W36" i="17"/>
  <c r="V36" i="17"/>
  <c r="P36" i="17"/>
  <c r="O36" i="17"/>
  <c r="M36" i="17"/>
  <c r="H36" i="17"/>
  <c r="C36" i="17"/>
  <c r="AB35" i="17"/>
  <c r="J35" i="17" s="1"/>
  <c r="I35" i="17" s="1"/>
  <c r="Z35" i="17"/>
  <c r="W35" i="17"/>
  <c r="V35" i="17"/>
  <c r="Q35" i="17"/>
  <c r="P35" i="17"/>
  <c r="O35" i="17"/>
  <c r="M35" i="17"/>
  <c r="K35" i="17"/>
  <c r="H35" i="17"/>
  <c r="C35" i="17"/>
  <c r="Z34" i="17"/>
  <c r="AB34" i="17" s="1"/>
  <c r="J34" i="17" s="1"/>
  <c r="W34" i="17"/>
  <c r="V34" i="17"/>
  <c r="Q34" i="17"/>
  <c r="P34" i="17"/>
  <c r="O34" i="17"/>
  <c r="M34" i="17"/>
  <c r="H34" i="17"/>
  <c r="C34" i="17"/>
  <c r="AB33" i="17"/>
  <c r="J33" i="17" s="1"/>
  <c r="I33" i="17" s="1"/>
  <c r="Z33" i="17"/>
  <c r="W33" i="17"/>
  <c r="V33" i="17"/>
  <c r="P33" i="17"/>
  <c r="O33" i="17"/>
  <c r="Q33" i="17" s="1"/>
  <c r="M33" i="17"/>
  <c r="H33" i="17"/>
  <c r="C33" i="17"/>
  <c r="Z32" i="17"/>
  <c r="AB32" i="17" s="1"/>
  <c r="J32" i="17" s="1"/>
  <c r="K32" i="17" s="1"/>
  <c r="W32" i="17"/>
  <c r="V32" i="17"/>
  <c r="P32" i="17"/>
  <c r="Q32" i="17" s="1"/>
  <c r="O32" i="17"/>
  <c r="M32" i="17"/>
  <c r="H32" i="17"/>
  <c r="C32" i="17"/>
  <c r="AB31" i="17"/>
  <c r="J31" i="17" s="1"/>
  <c r="Z31" i="17"/>
  <c r="W31" i="17"/>
  <c r="V31" i="17"/>
  <c r="P31" i="17"/>
  <c r="O31" i="17"/>
  <c r="M31" i="17"/>
  <c r="H31" i="17"/>
  <c r="C31" i="17"/>
  <c r="Z30" i="17"/>
  <c r="AB30" i="17" s="1"/>
  <c r="J30" i="17" s="1"/>
  <c r="W30" i="17"/>
  <c r="V30" i="17"/>
  <c r="P30" i="17"/>
  <c r="O30" i="17"/>
  <c r="Q30" i="17" s="1"/>
  <c r="M30" i="17"/>
  <c r="H30" i="17"/>
  <c r="C30" i="17"/>
  <c r="Z29" i="17"/>
  <c r="AB29" i="17" s="1"/>
  <c r="J29" i="17" s="1"/>
  <c r="W29" i="17"/>
  <c r="V29" i="17"/>
  <c r="Q29" i="17"/>
  <c r="P29" i="17"/>
  <c r="O29" i="17"/>
  <c r="M29" i="17"/>
  <c r="H29" i="17"/>
  <c r="C29" i="17"/>
  <c r="Z28" i="17"/>
  <c r="AB28" i="17" s="1"/>
  <c r="J28" i="17" s="1"/>
  <c r="W28" i="17"/>
  <c r="V28" i="17"/>
  <c r="P28" i="17"/>
  <c r="O28" i="17"/>
  <c r="M28" i="17"/>
  <c r="H28" i="17"/>
  <c r="C28" i="17"/>
  <c r="AB27" i="17"/>
  <c r="J27" i="17" s="1"/>
  <c r="Z27" i="17"/>
  <c r="W27" i="17"/>
  <c r="V27" i="17"/>
  <c r="Q27" i="17"/>
  <c r="P27" i="17"/>
  <c r="O27" i="17"/>
  <c r="M27" i="17"/>
  <c r="H27" i="17"/>
  <c r="C27" i="17"/>
  <c r="Z26" i="17"/>
  <c r="AB26" i="17" s="1"/>
  <c r="J26" i="17" s="1"/>
  <c r="W26" i="17"/>
  <c r="V26" i="17"/>
  <c r="Q26" i="17"/>
  <c r="P26" i="17"/>
  <c r="O26" i="17"/>
  <c r="M26" i="17"/>
  <c r="H26" i="17"/>
  <c r="C26" i="17"/>
  <c r="AB25" i="17"/>
  <c r="J25" i="17" s="1"/>
  <c r="Z25" i="17"/>
  <c r="W25" i="17"/>
  <c r="V25" i="17"/>
  <c r="P25" i="17"/>
  <c r="O25" i="17"/>
  <c r="Q25" i="17" s="1"/>
  <c r="M25" i="17"/>
  <c r="H25" i="17"/>
  <c r="Z24" i="17"/>
  <c r="AB24" i="17" s="1"/>
  <c r="J24" i="17" s="1"/>
  <c r="K24" i="17" s="1"/>
  <c r="W24" i="17"/>
  <c r="V24" i="17"/>
  <c r="Q24" i="17"/>
  <c r="P24" i="17"/>
  <c r="O24" i="17"/>
  <c r="M24" i="17"/>
  <c r="I24" i="17"/>
  <c r="H24" i="17"/>
  <c r="AB23" i="17"/>
  <c r="J23" i="17" s="1"/>
  <c r="I23" i="17" s="1"/>
  <c r="Z23" i="17"/>
  <c r="W23" i="17"/>
  <c r="V23" i="17"/>
  <c r="P23" i="17"/>
  <c r="O23" i="17"/>
  <c r="Q23" i="17" s="1"/>
  <c r="M23" i="17"/>
  <c r="K23" i="17"/>
  <c r="H23" i="17"/>
  <c r="Z22" i="17"/>
  <c r="AB22" i="17" s="1"/>
  <c r="J22" i="17" s="1"/>
  <c r="K22" i="17" s="1"/>
  <c r="W22" i="17"/>
  <c r="V22" i="17"/>
  <c r="Q22" i="17"/>
  <c r="P22" i="17"/>
  <c r="O22" i="17"/>
  <c r="M22" i="17"/>
  <c r="I22" i="17"/>
  <c r="H22" i="17"/>
  <c r="AB21" i="17"/>
  <c r="J21" i="17" s="1"/>
  <c r="I21" i="17" s="1"/>
  <c r="Z21" i="17"/>
  <c r="W21" i="17"/>
  <c r="V21" i="17"/>
  <c r="P21" i="17"/>
  <c r="O21" i="17"/>
  <c r="Q21" i="17" s="1"/>
  <c r="M21" i="17"/>
  <c r="H21" i="17"/>
  <c r="Z20" i="17"/>
  <c r="AB20" i="17" s="1"/>
  <c r="J20" i="17" s="1"/>
  <c r="K20" i="17" s="1"/>
  <c r="W20" i="17"/>
  <c r="V20" i="17"/>
  <c r="Q20" i="17"/>
  <c r="P20" i="17"/>
  <c r="O20" i="17"/>
  <c r="M20" i="17"/>
  <c r="I20" i="17"/>
  <c r="H20" i="17"/>
  <c r="AB19" i="17"/>
  <c r="Z19" i="17"/>
  <c r="W19" i="17"/>
  <c r="V19" i="17"/>
  <c r="P19" i="17"/>
  <c r="O19" i="17"/>
  <c r="Q19" i="17" s="1"/>
  <c r="M19" i="17"/>
  <c r="K19" i="17"/>
  <c r="J19" i="17"/>
  <c r="I19" i="17" s="1"/>
  <c r="H19" i="17"/>
  <c r="Z18" i="17"/>
  <c r="AB18" i="17" s="1"/>
  <c r="J18" i="17" s="1"/>
  <c r="W18" i="17"/>
  <c r="V18" i="17"/>
  <c r="P18" i="17"/>
  <c r="Q18" i="17" s="1"/>
  <c r="O18" i="17"/>
  <c r="M18" i="17"/>
  <c r="H18" i="17"/>
  <c r="AB17" i="17"/>
  <c r="Z17" i="17"/>
  <c r="W17" i="17"/>
  <c r="V17" i="17"/>
  <c r="P17" i="17"/>
  <c r="O17" i="17"/>
  <c r="Q17" i="17" s="1"/>
  <c r="M17" i="17"/>
  <c r="J17" i="17"/>
  <c r="I17" i="17" s="1"/>
  <c r="H17" i="17"/>
  <c r="Z16" i="17"/>
  <c r="AB16" i="17" s="1"/>
  <c r="J16" i="17" s="1"/>
  <c r="K16" i="17" s="1"/>
  <c r="W16" i="17"/>
  <c r="V16" i="17"/>
  <c r="P16" i="17"/>
  <c r="O16" i="17"/>
  <c r="M16" i="17"/>
  <c r="H16" i="17"/>
  <c r="AB15" i="17"/>
  <c r="Z15" i="17"/>
  <c r="W15" i="17"/>
  <c r="V15" i="17"/>
  <c r="P15" i="17"/>
  <c r="O15" i="17"/>
  <c r="Q15" i="17" s="1"/>
  <c r="M15" i="17"/>
  <c r="K15" i="17"/>
  <c r="J15" i="17"/>
  <c r="I15" i="17" s="1"/>
  <c r="H15" i="17"/>
  <c r="Z14" i="17"/>
  <c r="AB14" i="17" s="1"/>
  <c r="J14" i="17" s="1"/>
  <c r="K14" i="17" s="1"/>
  <c r="W14" i="17"/>
  <c r="V14" i="17"/>
  <c r="P14" i="17"/>
  <c r="O14" i="17"/>
  <c r="Q14" i="17" s="1"/>
  <c r="M14" i="17"/>
  <c r="H14" i="17"/>
  <c r="AB13" i="17"/>
  <c r="Z13" i="17"/>
  <c r="W13" i="17"/>
  <c r="V13" i="17"/>
  <c r="P13" i="17"/>
  <c r="O13" i="17"/>
  <c r="Q13" i="17" s="1"/>
  <c r="M13" i="17"/>
  <c r="K13" i="17"/>
  <c r="J13" i="17"/>
  <c r="I13" i="17" s="1"/>
  <c r="H13" i="17"/>
  <c r="Z12" i="17"/>
  <c r="AB12" i="17" s="1"/>
  <c r="W12" i="17"/>
  <c r="V12" i="17"/>
  <c r="P12" i="17"/>
  <c r="Q12" i="17" s="1"/>
  <c r="O12" i="17"/>
  <c r="M12" i="17"/>
  <c r="J12" i="17"/>
  <c r="K12" i="17" s="1"/>
  <c r="H12" i="17"/>
  <c r="Z11" i="17"/>
  <c r="AB11" i="17" s="1"/>
  <c r="J11" i="17" s="1"/>
  <c r="K11" i="17" s="1"/>
  <c r="W11" i="17"/>
  <c r="V11" i="17"/>
  <c r="P11" i="17"/>
  <c r="O11" i="17"/>
  <c r="Q11" i="17" s="1"/>
  <c r="M11" i="17"/>
  <c r="I11" i="17"/>
  <c r="H11" i="17"/>
  <c r="Z10" i="17"/>
  <c r="AB10" i="17" s="1"/>
  <c r="W10" i="17"/>
  <c r="V10" i="17"/>
  <c r="Q10" i="17"/>
  <c r="P10" i="17"/>
  <c r="O10" i="17"/>
  <c r="M10" i="17"/>
  <c r="J10" i="17"/>
  <c r="H10" i="17"/>
  <c r="AB9" i="17"/>
  <c r="Z9" i="17"/>
  <c r="W9" i="17"/>
  <c r="V9" i="17"/>
  <c r="P9" i="17"/>
  <c r="O9" i="17"/>
  <c r="M9" i="17"/>
  <c r="J9" i="17"/>
  <c r="K9" i="17" s="1"/>
  <c r="H9" i="17"/>
  <c r="Z8" i="17"/>
  <c r="AB8" i="17" s="1"/>
  <c r="J8" i="17" s="1"/>
  <c r="W8" i="17"/>
  <c r="V8" i="17"/>
  <c r="V3" i="17" s="1"/>
  <c r="P8" i="17"/>
  <c r="O8" i="17"/>
  <c r="Q8" i="17" s="1"/>
  <c r="M8" i="17"/>
  <c r="H8" i="17"/>
  <c r="AB7" i="17"/>
  <c r="Z7" i="17"/>
  <c r="W7" i="17"/>
  <c r="V7" i="17"/>
  <c r="P7" i="17"/>
  <c r="O7" i="17"/>
  <c r="M7" i="17"/>
  <c r="K7" i="17"/>
  <c r="J7" i="17"/>
  <c r="I7" i="17" s="1"/>
  <c r="H7" i="17"/>
  <c r="Z6" i="17"/>
  <c r="AB6" i="17" s="1"/>
  <c r="J6" i="17" s="1"/>
  <c r="W6" i="17"/>
  <c r="V6" i="17"/>
  <c r="P6" i="17"/>
  <c r="O6" i="17"/>
  <c r="Q6" i="17" s="1"/>
  <c r="M6" i="17"/>
  <c r="H6" i="17"/>
  <c r="Z5" i="17"/>
  <c r="AB5" i="17" s="1"/>
  <c r="J5" i="17" s="1"/>
  <c r="K5" i="17" s="1"/>
  <c r="W5" i="17"/>
  <c r="V5" i="17"/>
  <c r="P5" i="17"/>
  <c r="O5" i="17"/>
  <c r="Q5" i="17" s="1"/>
  <c r="M5" i="17"/>
  <c r="I5" i="17"/>
  <c r="H5" i="17"/>
  <c r="AB4" i="17"/>
  <c r="J4" i="17" s="1"/>
  <c r="Z4" i="17"/>
  <c r="W4" i="17"/>
  <c r="V4" i="17"/>
  <c r="P4" i="17"/>
  <c r="O4" i="17"/>
  <c r="Q4" i="17" s="1"/>
  <c r="M4" i="17"/>
  <c r="H4" i="17"/>
  <c r="AE3" i="17"/>
  <c r="U3" i="17"/>
  <c r="O3" i="17"/>
  <c r="G3" i="17"/>
  <c r="F3" i="17"/>
  <c r="D3" i="17"/>
  <c r="C3" i="17"/>
  <c r="B3" i="17"/>
  <c r="A2" i="17"/>
  <c r="A1" i="17"/>
  <c r="Z56" i="16"/>
  <c r="AB56" i="16" s="1"/>
  <c r="J56" i="16" s="1"/>
  <c r="I56" i="16" s="1"/>
  <c r="W56" i="16"/>
  <c r="V56" i="16"/>
  <c r="T56" i="16"/>
  <c r="S56" i="16"/>
  <c r="R56" i="16"/>
  <c r="P56" i="16"/>
  <c r="O56" i="16"/>
  <c r="Q56" i="16" s="1"/>
  <c r="M56" i="16"/>
  <c r="H56" i="16"/>
  <c r="C56" i="16"/>
  <c r="Z55" i="16"/>
  <c r="AB55" i="16" s="1"/>
  <c r="J55" i="16" s="1"/>
  <c r="K55" i="16" s="1"/>
  <c r="W55" i="16"/>
  <c r="V55" i="16"/>
  <c r="P55" i="16"/>
  <c r="O55" i="16"/>
  <c r="Q55" i="16" s="1"/>
  <c r="M55" i="16"/>
  <c r="I55" i="16"/>
  <c r="H55" i="16"/>
  <c r="C55" i="16"/>
  <c r="Z54" i="16"/>
  <c r="AB54" i="16" s="1"/>
  <c r="J54" i="16" s="1"/>
  <c r="K54" i="16" s="1"/>
  <c r="W54" i="16"/>
  <c r="V54" i="16"/>
  <c r="T54" i="16"/>
  <c r="S54" i="16"/>
  <c r="R54" i="16"/>
  <c r="P54" i="16"/>
  <c r="O54" i="16"/>
  <c r="Q54" i="16" s="1"/>
  <c r="M54" i="16"/>
  <c r="I54" i="16"/>
  <c r="H54" i="16"/>
  <c r="C54" i="16"/>
  <c r="Z53" i="16"/>
  <c r="AB53" i="16" s="1"/>
  <c r="J53" i="16" s="1"/>
  <c r="K53" i="16" s="1"/>
  <c r="W53" i="16"/>
  <c r="V53" i="16"/>
  <c r="T53" i="16"/>
  <c r="S53" i="16"/>
  <c r="R53" i="16"/>
  <c r="P53" i="16"/>
  <c r="O53" i="16"/>
  <c r="Q53" i="16" s="1"/>
  <c r="M53" i="16"/>
  <c r="I53" i="16"/>
  <c r="H53" i="16"/>
  <c r="C53" i="16"/>
  <c r="Z52" i="16"/>
  <c r="AB52" i="16" s="1"/>
  <c r="J52" i="16" s="1"/>
  <c r="K52" i="16" s="1"/>
  <c r="W52" i="16"/>
  <c r="V52" i="16"/>
  <c r="T52" i="16"/>
  <c r="S52" i="16"/>
  <c r="R52" i="16"/>
  <c r="P52" i="16"/>
  <c r="O52" i="16"/>
  <c r="Q52" i="16" s="1"/>
  <c r="M52" i="16"/>
  <c r="I52" i="16"/>
  <c r="H52" i="16"/>
  <c r="C52" i="16"/>
  <c r="Z51" i="16"/>
  <c r="AB51" i="16" s="1"/>
  <c r="J51" i="16" s="1"/>
  <c r="K51" i="16" s="1"/>
  <c r="W51" i="16"/>
  <c r="V51" i="16"/>
  <c r="T51" i="16"/>
  <c r="S51" i="16"/>
  <c r="R51" i="16"/>
  <c r="P51" i="16"/>
  <c r="O51" i="16"/>
  <c r="Q51" i="16" s="1"/>
  <c r="M51" i="16"/>
  <c r="I51" i="16"/>
  <c r="H51" i="16"/>
  <c r="C51" i="16"/>
  <c r="Z50" i="16"/>
  <c r="AB50" i="16" s="1"/>
  <c r="J50" i="16" s="1"/>
  <c r="K50" i="16" s="1"/>
  <c r="W50" i="16"/>
  <c r="V50" i="16"/>
  <c r="T50" i="16"/>
  <c r="S50" i="16"/>
  <c r="R50" i="16"/>
  <c r="P50" i="16"/>
  <c r="O50" i="16"/>
  <c r="Q50" i="16" s="1"/>
  <c r="M50" i="16"/>
  <c r="I50" i="16"/>
  <c r="H50" i="16"/>
  <c r="C50" i="16"/>
  <c r="Z49" i="16"/>
  <c r="AB49" i="16" s="1"/>
  <c r="J49" i="16" s="1"/>
  <c r="K49" i="16" s="1"/>
  <c r="W49" i="16"/>
  <c r="V49" i="16"/>
  <c r="T49" i="16"/>
  <c r="S49" i="16"/>
  <c r="R49" i="16"/>
  <c r="P49" i="16"/>
  <c r="O49" i="16"/>
  <c r="Q49" i="16" s="1"/>
  <c r="M49" i="16"/>
  <c r="I49" i="16"/>
  <c r="H49" i="16"/>
  <c r="C49" i="16"/>
  <c r="Z48" i="16"/>
  <c r="AB48" i="16" s="1"/>
  <c r="J48" i="16" s="1"/>
  <c r="K48" i="16" s="1"/>
  <c r="W48" i="16"/>
  <c r="V48" i="16"/>
  <c r="T48" i="16"/>
  <c r="S48" i="16"/>
  <c r="R48" i="16"/>
  <c r="P48" i="16"/>
  <c r="O48" i="16"/>
  <c r="Q48" i="16" s="1"/>
  <c r="M48" i="16"/>
  <c r="I48" i="16"/>
  <c r="H48" i="16"/>
  <c r="C48" i="16"/>
  <c r="Z47" i="16"/>
  <c r="AB47" i="16" s="1"/>
  <c r="J47" i="16" s="1"/>
  <c r="W47" i="16"/>
  <c r="V47" i="16"/>
  <c r="P47" i="16"/>
  <c r="O47" i="16"/>
  <c r="Q47" i="16" s="1"/>
  <c r="M47" i="16"/>
  <c r="H47" i="16"/>
  <c r="C47" i="16"/>
  <c r="Z46" i="16"/>
  <c r="AB46" i="16" s="1"/>
  <c r="J46" i="16" s="1"/>
  <c r="W46" i="16"/>
  <c r="V46" i="16"/>
  <c r="Q46" i="16"/>
  <c r="P46" i="16"/>
  <c r="O46" i="16"/>
  <c r="M46" i="16"/>
  <c r="H46" i="16"/>
  <c r="C46" i="16"/>
  <c r="AB45" i="16"/>
  <c r="J45" i="16" s="1"/>
  <c r="Z45" i="16"/>
  <c r="W45" i="16"/>
  <c r="V45" i="16"/>
  <c r="Q45" i="16"/>
  <c r="P45" i="16"/>
  <c r="O45" i="16"/>
  <c r="M45" i="16"/>
  <c r="H45" i="16"/>
  <c r="C45" i="16"/>
  <c r="AB44" i="16"/>
  <c r="J44" i="16" s="1"/>
  <c r="Z44" i="16"/>
  <c r="W44" i="16"/>
  <c r="V44" i="16"/>
  <c r="P44" i="16"/>
  <c r="O44" i="16"/>
  <c r="Q44" i="16" s="1"/>
  <c r="M44" i="16"/>
  <c r="H44" i="16"/>
  <c r="C44" i="16"/>
  <c r="Z43" i="16"/>
  <c r="AB43" i="16" s="1"/>
  <c r="J43" i="16" s="1"/>
  <c r="W43" i="16"/>
  <c r="V43" i="16"/>
  <c r="P43" i="16"/>
  <c r="O43" i="16"/>
  <c r="Q43" i="16" s="1"/>
  <c r="M43" i="16"/>
  <c r="H43" i="16"/>
  <c r="C43" i="16"/>
  <c r="AB42" i="16"/>
  <c r="Z42" i="16"/>
  <c r="W42" i="16"/>
  <c r="V42" i="16"/>
  <c r="T42" i="16"/>
  <c r="S42" i="16"/>
  <c r="R42" i="16"/>
  <c r="P42" i="16"/>
  <c r="O42" i="16"/>
  <c r="Q42" i="16" s="1"/>
  <c r="M42" i="16"/>
  <c r="J42" i="16"/>
  <c r="K42" i="16" s="1"/>
  <c r="I42" i="16"/>
  <c r="H42" i="16"/>
  <c r="C42" i="16"/>
  <c r="AB41" i="16"/>
  <c r="J41" i="16" s="1"/>
  <c r="Z41" i="16"/>
  <c r="W41" i="16"/>
  <c r="V41" i="16"/>
  <c r="P41" i="16"/>
  <c r="Q41" i="16" s="1"/>
  <c r="O41" i="16"/>
  <c r="M41" i="16"/>
  <c r="H41" i="16"/>
  <c r="C41" i="16"/>
  <c r="AB39" i="16"/>
  <c r="J39" i="16" s="1"/>
  <c r="I39" i="16" s="1"/>
  <c r="Z39" i="16"/>
  <c r="W39" i="16"/>
  <c r="V39" i="16"/>
  <c r="P39" i="16"/>
  <c r="O39" i="16"/>
  <c r="Q39" i="16" s="1"/>
  <c r="M39" i="16"/>
  <c r="H39" i="16"/>
  <c r="C39" i="16"/>
  <c r="Z38" i="16"/>
  <c r="AB38" i="16" s="1"/>
  <c r="J38" i="16" s="1"/>
  <c r="K38" i="16" s="1"/>
  <c r="W38" i="16"/>
  <c r="V38" i="16"/>
  <c r="P38" i="16"/>
  <c r="O38" i="16"/>
  <c r="Q38" i="16" s="1"/>
  <c r="M38" i="16"/>
  <c r="I38" i="16"/>
  <c r="H38" i="16"/>
  <c r="C38" i="16"/>
  <c r="Z37" i="16"/>
  <c r="AB37" i="16" s="1"/>
  <c r="J37" i="16" s="1"/>
  <c r="W37" i="16"/>
  <c r="V37" i="16"/>
  <c r="P37" i="16"/>
  <c r="O37" i="16"/>
  <c r="M37" i="16"/>
  <c r="H37" i="16"/>
  <c r="C37" i="16"/>
  <c r="Z36" i="16"/>
  <c r="AB36" i="16" s="1"/>
  <c r="J36" i="16" s="1"/>
  <c r="W36" i="16"/>
  <c r="V36" i="16"/>
  <c r="Q36" i="16"/>
  <c r="P36" i="16"/>
  <c r="O36" i="16"/>
  <c r="M36" i="16"/>
  <c r="H36" i="16"/>
  <c r="C36" i="16"/>
  <c r="AB35" i="16"/>
  <c r="J35" i="16" s="1"/>
  <c r="Z35" i="16"/>
  <c r="W35" i="16"/>
  <c r="V35" i="16"/>
  <c r="Q35" i="16"/>
  <c r="P35" i="16"/>
  <c r="O35" i="16"/>
  <c r="M35" i="16"/>
  <c r="H35" i="16"/>
  <c r="C35" i="16"/>
  <c r="AB34" i="16"/>
  <c r="J34" i="16" s="1"/>
  <c r="Z34" i="16"/>
  <c r="W34" i="16"/>
  <c r="V34" i="16"/>
  <c r="P34" i="16"/>
  <c r="O34" i="16"/>
  <c r="Q34" i="16" s="1"/>
  <c r="M34" i="16"/>
  <c r="H34" i="16"/>
  <c r="C34" i="16"/>
  <c r="Z33" i="16"/>
  <c r="AB33" i="16" s="1"/>
  <c r="W33" i="16"/>
  <c r="V33" i="16"/>
  <c r="P33" i="16"/>
  <c r="O33" i="16"/>
  <c r="Q33" i="16" s="1"/>
  <c r="M33" i="16"/>
  <c r="J33" i="16"/>
  <c r="K33" i="16" s="1"/>
  <c r="H33" i="16"/>
  <c r="C33" i="16"/>
  <c r="AB32" i="16"/>
  <c r="J32" i="16" s="1"/>
  <c r="Z32" i="16"/>
  <c r="W32" i="16"/>
  <c r="V32" i="16"/>
  <c r="Q32" i="16"/>
  <c r="P32" i="16"/>
  <c r="O32" i="16"/>
  <c r="M32" i="16"/>
  <c r="H32" i="16"/>
  <c r="C32" i="16"/>
  <c r="AB31" i="16"/>
  <c r="J31" i="16" s="1"/>
  <c r="I31" i="16" s="1"/>
  <c r="Z31" i="16"/>
  <c r="W31" i="16"/>
  <c r="V31" i="16"/>
  <c r="P31" i="16"/>
  <c r="O31" i="16"/>
  <c r="Q31" i="16" s="1"/>
  <c r="M31" i="16"/>
  <c r="K31" i="16"/>
  <c r="H31" i="16"/>
  <c r="C31" i="16"/>
  <c r="Z30" i="16"/>
  <c r="AB30" i="16" s="1"/>
  <c r="J30" i="16" s="1"/>
  <c r="K30" i="16" s="1"/>
  <c r="W30" i="16"/>
  <c r="V30" i="16"/>
  <c r="P30" i="16"/>
  <c r="O30" i="16"/>
  <c r="Q30" i="16" s="1"/>
  <c r="M30" i="16"/>
  <c r="H30" i="16"/>
  <c r="C30" i="16"/>
  <c r="Z29" i="16"/>
  <c r="AB29" i="16" s="1"/>
  <c r="J29" i="16" s="1"/>
  <c r="W29" i="16"/>
  <c r="V29" i="16"/>
  <c r="P29" i="16"/>
  <c r="O29" i="16"/>
  <c r="Q29" i="16" s="1"/>
  <c r="M29" i="16"/>
  <c r="H29" i="16"/>
  <c r="C29" i="16"/>
  <c r="AB28" i="16"/>
  <c r="J28" i="16" s="1"/>
  <c r="Z28" i="16"/>
  <c r="W28" i="16"/>
  <c r="V28" i="16"/>
  <c r="Q28" i="16"/>
  <c r="P28" i="16"/>
  <c r="O28" i="16"/>
  <c r="M28" i="16"/>
  <c r="H28" i="16"/>
  <c r="C28" i="16"/>
  <c r="AB27" i="16"/>
  <c r="J27" i="16" s="1"/>
  <c r="Z27" i="16"/>
  <c r="W27" i="16"/>
  <c r="V27" i="16"/>
  <c r="V3" i="16" s="1"/>
  <c r="Q27" i="16"/>
  <c r="P27" i="16"/>
  <c r="O27" i="16"/>
  <c r="M27" i="16"/>
  <c r="H27" i="16"/>
  <c r="C27" i="16"/>
  <c r="AB26" i="16"/>
  <c r="J26" i="16" s="1"/>
  <c r="Z26" i="16"/>
  <c r="W26" i="16"/>
  <c r="V26" i="16"/>
  <c r="P26" i="16"/>
  <c r="O26" i="16"/>
  <c r="Q26" i="16" s="1"/>
  <c r="M26" i="16"/>
  <c r="H26" i="16"/>
  <c r="C26" i="16"/>
  <c r="Z25" i="16"/>
  <c r="AB25" i="16" s="1"/>
  <c r="J25" i="16" s="1"/>
  <c r="W25" i="16"/>
  <c r="V25" i="16"/>
  <c r="P25" i="16"/>
  <c r="O25" i="16"/>
  <c r="Q25" i="16" s="1"/>
  <c r="M25" i="16"/>
  <c r="H25" i="16"/>
  <c r="Z24" i="16"/>
  <c r="AB24" i="16" s="1"/>
  <c r="J24" i="16" s="1"/>
  <c r="W24" i="16"/>
  <c r="V24" i="16"/>
  <c r="P24" i="16"/>
  <c r="O24" i="16"/>
  <c r="Q24" i="16" s="1"/>
  <c r="M24" i="16"/>
  <c r="H24" i="16"/>
  <c r="Z23" i="16"/>
  <c r="AB23" i="16" s="1"/>
  <c r="J23" i="16" s="1"/>
  <c r="W23" i="16"/>
  <c r="V23" i="16"/>
  <c r="P23" i="16"/>
  <c r="O23" i="16"/>
  <c r="Q23" i="16" s="1"/>
  <c r="M23" i="16"/>
  <c r="H23" i="16"/>
  <c r="Z22" i="16"/>
  <c r="AB22" i="16" s="1"/>
  <c r="J22" i="16" s="1"/>
  <c r="W22" i="16"/>
  <c r="V22" i="16"/>
  <c r="P22" i="16"/>
  <c r="O22" i="16"/>
  <c r="Q22" i="16" s="1"/>
  <c r="M22" i="16"/>
  <c r="H22" i="16"/>
  <c r="Z21" i="16"/>
  <c r="AB21" i="16" s="1"/>
  <c r="J21" i="16" s="1"/>
  <c r="W21" i="16"/>
  <c r="V21" i="16"/>
  <c r="P21" i="16"/>
  <c r="O21" i="16"/>
  <c r="Q21" i="16" s="1"/>
  <c r="M21" i="16"/>
  <c r="H21" i="16"/>
  <c r="Z20" i="16"/>
  <c r="AB20" i="16" s="1"/>
  <c r="J20" i="16" s="1"/>
  <c r="W20" i="16"/>
  <c r="V20" i="16"/>
  <c r="P20" i="16"/>
  <c r="O20" i="16"/>
  <c r="Q20" i="16" s="1"/>
  <c r="M20" i="16"/>
  <c r="H20" i="16"/>
  <c r="Z19" i="16"/>
  <c r="AB19" i="16" s="1"/>
  <c r="J19" i="16" s="1"/>
  <c r="W19" i="16"/>
  <c r="V19" i="16"/>
  <c r="P19" i="16"/>
  <c r="O19" i="16"/>
  <c r="Q19" i="16" s="1"/>
  <c r="M19" i="16"/>
  <c r="H19" i="16"/>
  <c r="Z18" i="16"/>
  <c r="AB18" i="16" s="1"/>
  <c r="J18" i="16" s="1"/>
  <c r="W18" i="16"/>
  <c r="V18" i="16"/>
  <c r="P18" i="16"/>
  <c r="O18" i="16"/>
  <c r="Q18" i="16" s="1"/>
  <c r="M18" i="16"/>
  <c r="H18" i="16"/>
  <c r="Z17" i="16"/>
  <c r="AB17" i="16" s="1"/>
  <c r="J17" i="16" s="1"/>
  <c r="W17" i="16"/>
  <c r="V17" i="16"/>
  <c r="P17" i="16"/>
  <c r="O17" i="16"/>
  <c r="Q17" i="16" s="1"/>
  <c r="M17" i="16"/>
  <c r="H17" i="16"/>
  <c r="Z16" i="16"/>
  <c r="AB16" i="16" s="1"/>
  <c r="J16" i="16" s="1"/>
  <c r="W16" i="16"/>
  <c r="V16" i="16"/>
  <c r="P16" i="16"/>
  <c r="O16" i="16"/>
  <c r="Q16" i="16" s="1"/>
  <c r="M16" i="16"/>
  <c r="H16" i="16"/>
  <c r="Z15" i="16"/>
  <c r="AB15" i="16" s="1"/>
  <c r="J15" i="16" s="1"/>
  <c r="W15" i="16"/>
  <c r="V15" i="16"/>
  <c r="P15" i="16"/>
  <c r="O15" i="16"/>
  <c r="Q15" i="16" s="1"/>
  <c r="M15" i="16"/>
  <c r="H15" i="16"/>
  <c r="Z14" i="16"/>
  <c r="AB14" i="16" s="1"/>
  <c r="J14" i="16" s="1"/>
  <c r="W14" i="16"/>
  <c r="V14" i="16"/>
  <c r="P14" i="16"/>
  <c r="O14" i="16"/>
  <c r="Q14" i="16" s="1"/>
  <c r="M14" i="16"/>
  <c r="H14" i="16"/>
  <c r="Z13" i="16"/>
  <c r="AB13" i="16" s="1"/>
  <c r="J13" i="16" s="1"/>
  <c r="W13" i="16"/>
  <c r="V13" i="16"/>
  <c r="P13" i="16"/>
  <c r="O13" i="16"/>
  <c r="Q13" i="16" s="1"/>
  <c r="M13" i="16"/>
  <c r="H13" i="16"/>
  <c r="Z12" i="16"/>
  <c r="AB12" i="16" s="1"/>
  <c r="J12" i="16" s="1"/>
  <c r="W12" i="16"/>
  <c r="V12" i="16"/>
  <c r="P12" i="16"/>
  <c r="O12" i="16"/>
  <c r="Q12" i="16" s="1"/>
  <c r="M12" i="16"/>
  <c r="H12" i="16"/>
  <c r="Z11" i="16"/>
  <c r="AB11" i="16" s="1"/>
  <c r="J11" i="16" s="1"/>
  <c r="W11" i="16"/>
  <c r="V11" i="16"/>
  <c r="P11" i="16"/>
  <c r="O11" i="16"/>
  <c r="Q11" i="16" s="1"/>
  <c r="M11" i="16"/>
  <c r="H11" i="16"/>
  <c r="Z10" i="16"/>
  <c r="AB10" i="16" s="1"/>
  <c r="J10" i="16" s="1"/>
  <c r="W10" i="16"/>
  <c r="V10" i="16"/>
  <c r="P10" i="16"/>
  <c r="O10" i="16"/>
  <c r="Q10" i="16" s="1"/>
  <c r="M10" i="16"/>
  <c r="H10" i="16"/>
  <c r="Z9" i="16"/>
  <c r="AB9" i="16" s="1"/>
  <c r="J9" i="16" s="1"/>
  <c r="W9" i="16"/>
  <c r="V9" i="16"/>
  <c r="P9" i="16"/>
  <c r="O9" i="16"/>
  <c r="Q9" i="16" s="1"/>
  <c r="M9" i="16"/>
  <c r="H9" i="16"/>
  <c r="Z8" i="16"/>
  <c r="AB8" i="16" s="1"/>
  <c r="J8" i="16" s="1"/>
  <c r="W8" i="16"/>
  <c r="V8" i="16"/>
  <c r="P8" i="16"/>
  <c r="O8" i="16"/>
  <c r="Q8" i="16" s="1"/>
  <c r="M8" i="16"/>
  <c r="H8" i="16"/>
  <c r="Z7" i="16"/>
  <c r="AB7" i="16" s="1"/>
  <c r="J7" i="16" s="1"/>
  <c r="W7" i="16"/>
  <c r="V7" i="16"/>
  <c r="P7" i="16"/>
  <c r="O7" i="16"/>
  <c r="Q7" i="16" s="1"/>
  <c r="M7" i="16"/>
  <c r="H7" i="16"/>
  <c r="Z6" i="16"/>
  <c r="AB6" i="16" s="1"/>
  <c r="J6" i="16" s="1"/>
  <c r="W6" i="16"/>
  <c r="V6" i="16"/>
  <c r="P6" i="16"/>
  <c r="O6" i="16"/>
  <c r="Q6" i="16" s="1"/>
  <c r="M6" i="16"/>
  <c r="H6" i="16"/>
  <c r="Z5" i="16"/>
  <c r="AB5" i="16" s="1"/>
  <c r="J5" i="16" s="1"/>
  <c r="W5" i="16"/>
  <c r="V5" i="16"/>
  <c r="P5" i="16"/>
  <c r="O5" i="16"/>
  <c r="Q5" i="16" s="1"/>
  <c r="M5" i="16"/>
  <c r="H5" i="16"/>
  <c r="Z4" i="16"/>
  <c r="AB4" i="16" s="1"/>
  <c r="J4" i="16" s="1"/>
  <c r="W4" i="16"/>
  <c r="V4" i="16"/>
  <c r="P4" i="16"/>
  <c r="O4" i="16"/>
  <c r="Q4" i="16" s="1"/>
  <c r="M4" i="16"/>
  <c r="H4" i="16"/>
  <c r="AE3" i="16"/>
  <c r="W3" i="16"/>
  <c r="U3" i="16"/>
  <c r="O3" i="16"/>
  <c r="G3" i="16"/>
  <c r="H3" i="16" s="1"/>
  <c r="F3" i="16"/>
  <c r="D3" i="16"/>
  <c r="C3" i="16"/>
  <c r="B3" i="16"/>
  <c r="A2" i="16"/>
  <c r="A1" i="16"/>
  <c r="Z56" i="15"/>
  <c r="AB56" i="15" s="1"/>
  <c r="J56" i="15" s="1"/>
  <c r="W56" i="15"/>
  <c r="V56" i="15"/>
  <c r="T56" i="15"/>
  <c r="S56" i="15"/>
  <c r="R56" i="15"/>
  <c r="P56" i="15"/>
  <c r="O56" i="15"/>
  <c r="Q56" i="15" s="1"/>
  <c r="M56" i="15"/>
  <c r="H56" i="15"/>
  <c r="C56" i="15"/>
  <c r="Z55" i="15"/>
  <c r="AB55" i="15" s="1"/>
  <c r="W55" i="15"/>
  <c r="V55" i="15"/>
  <c r="P55" i="15"/>
  <c r="O55" i="15"/>
  <c r="Q55" i="15" s="1"/>
  <c r="M55" i="15"/>
  <c r="J55" i="15"/>
  <c r="K55" i="15" s="1"/>
  <c r="H55" i="15"/>
  <c r="C55" i="15"/>
  <c r="AB54" i="15"/>
  <c r="Z54" i="15"/>
  <c r="W54" i="15"/>
  <c r="V54" i="15"/>
  <c r="T54" i="15"/>
  <c r="S54" i="15"/>
  <c r="R54" i="15"/>
  <c r="P54" i="15"/>
  <c r="O54" i="15"/>
  <c r="Q54" i="15" s="1"/>
  <c r="M54" i="15"/>
  <c r="J54" i="15"/>
  <c r="K54" i="15" s="1"/>
  <c r="I54" i="15"/>
  <c r="H54" i="15"/>
  <c r="C54" i="15"/>
  <c r="AB53" i="15"/>
  <c r="Z53" i="15"/>
  <c r="W53" i="15"/>
  <c r="V53" i="15"/>
  <c r="T53" i="15"/>
  <c r="S53" i="15"/>
  <c r="R53" i="15"/>
  <c r="P53" i="15"/>
  <c r="O53" i="15"/>
  <c r="Q53" i="15" s="1"/>
  <c r="M53" i="15"/>
  <c r="J53" i="15"/>
  <c r="K53" i="15" s="1"/>
  <c r="H53" i="15"/>
  <c r="C53" i="15"/>
  <c r="AB52" i="15"/>
  <c r="Z52" i="15"/>
  <c r="W52" i="15"/>
  <c r="V52" i="15"/>
  <c r="T52" i="15"/>
  <c r="S52" i="15"/>
  <c r="R52" i="15"/>
  <c r="P52" i="15"/>
  <c r="O52" i="15"/>
  <c r="Q52" i="15" s="1"/>
  <c r="M52" i="15"/>
  <c r="J52" i="15"/>
  <c r="K52" i="15" s="1"/>
  <c r="I52" i="15"/>
  <c r="H52" i="15"/>
  <c r="C52" i="15"/>
  <c r="AB51" i="15"/>
  <c r="Z51" i="15"/>
  <c r="W51" i="15"/>
  <c r="V51" i="15"/>
  <c r="T51" i="15"/>
  <c r="S51" i="15"/>
  <c r="R51" i="15"/>
  <c r="P51" i="15"/>
  <c r="O51" i="15"/>
  <c r="Q51" i="15" s="1"/>
  <c r="M51" i="15"/>
  <c r="J51" i="15"/>
  <c r="K51" i="15" s="1"/>
  <c r="H51" i="15"/>
  <c r="C51" i="15"/>
  <c r="AB50" i="15"/>
  <c r="Z50" i="15"/>
  <c r="W50" i="15"/>
  <c r="V50" i="15"/>
  <c r="T50" i="15"/>
  <c r="S50" i="15"/>
  <c r="R50" i="15"/>
  <c r="P50" i="15"/>
  <c r="O50" i="15"/>
  <c r="Q50" i="15" s="1"/>
  <c r="M50" i="15"/>
  <c r="J50" i="15"/>
  <c r="K50" i="15" s="1"/>
  <c r="I50" i="15"/>
  <c r="H50" i="15"/>
  <c r="C50" i="15"/>
  <c r="AB49" i="15"/>
  <c r="Z49" i="15"/>
  <c r="W49" i="15"/>
  <c r="V49" i="15"/>
  <c r="T49" i="15"/>
  <c r="S49" i="15"/>
  <c r="R49" i="15"/>
  <c r="P49" i="15"/>
  <c r="O49" i="15"/>
  <c r="Q49" i="15" s="1"/>
  <c r="M49" i="15"/>
  <c r="J49" i="15"/>
  <c r="K49" i="15" s="1"/>
  <c r="H49" i="15"/>
  <c r="C49" i="15"/>
  <c r="AB48" i="15"/>
  <c r="Z48" i="15"/>
  <c r="W48" i="15"/>
  <c r="V48" i="15"/>
  <c r="T48" i="15"/>
  <c r="S48" i="15"/>
  <c r="R48" i="15"/>
  <c r="P48" i="15"/>
  <c r="O48" i="15"/>
  <c r="Q48" i="15" s="1"/>
  <c r="M48" i="15"/>
  <c r="J48" i="15"/>
  <c r="K48" i="15" s="1"/>
  <c r="I48" i="15"/>
  <c r="H48" i="15"/>
  <c r="C48" i="15"/>
  <c r="AB47" i="15"/>
  <c r="J47" i="15" s="1"/>
  <c r="Z47" i="15"/>
  <c r="W47" i="15"/>
  <c r="V47" i="15"/>
  <c r="P47" i="15"/>
  <c r="Q47" i="15" s="1"/>
  <c r="O47" i="15"/>
  <c r="M47" i="15"/>
  <c r="H47" i="15"/>
  <c r="C47" i="15"/>
  <c r="AB46" i="15"/>
  <c r="J46" i="15" s="1"/>
  <c r="I46" i="15" s="1"/>
  <c r="Z46" i="15"/>
  <c r="W46" i="15"/>
  <c r="V46" i="15"/>
  <c r="Q46" i="15"/>
  <c r="P46" i="15"/>
  <c r="O46" i="15"/>
  <c r="M46" i="15"/>
  <c r="K46" i="15"/>
  <c r="H46" i="15"/>
  <c r="C46" i="15"/>
  <c r="Z45" i="15"/>
  <c r="AB45" i="15" s="1"/>
  <c r="J45" i="15" s="1"/>
  <c r="K45" i="15" s="1"/>
  <c r="W45" i="15"/>
  <c r="V45" i="15"/>
  <c r="P45" i="15"/>
  <c r="O45" i="15"/>
  <c r="Q45" i="15" s="1"/>
  <c r="M45" i="15"/>
  <c r="H45" i="15"/>
  <c r="C45" i="15"/>
  <c r="Z44" i="15"/>
  <c r="AB44" i="15" s="1"/>
  <c r="J44" i="15" s="1"/>
  <c r="W44" i="15"/>
  <c r="V44" i="15"/>
  <c r="P44" i="15"/>
  <c r="O44" i="15"/>
  <c r="Q44" i="15" s="1"/>
  <c r="M44" i="15"/>
  <c r="H44" i="15"/>
  <c r="C44" i="15"/>
  <c r="AB43" i="15"/>
  <c r="J43" i="15" s="1"/>
  <c r="Z43" i="15"/>
  <c r="W43" i="15"/>
  <c r="V43" i="15"/>
  <c r="Q43" i="15"/>
  <c r="P43" i="15"/>
  <c r="O43" i="15"/>
  <c r="M43" i="15"/>
  <c r="H43" i="15"/>
  <c r="C43" i="15"/>
  <c r="AB42" i="15"/>
  <c r="Z42" i="15"/>
  <c r="W42" i="15"/>
  <c r="V42" i="15"/>
  <c r="T42" i="15"/>
  <c r="S42" i="15"/>
  <c r="R42" i="15"/>
  <c r="Q42" i="15"/>
  <c r="P42" i="15"/>
  <c r="O42" i="15"/>
  <c r="M42" i="15"/>
  <c r="K42" i="15"/>
  <c r="J42" i="15"/>
  <c r="I42" i="15" s="1"/>
  <c r="H42" i="15"/>
  <c r="C42" i="15"/>
  <c r="AB41" i="15"/>
  <c r="J41" i="15" s="1"/>
  <c r="Z41" i="15"/>
  <c r="W41" i="15"/>
  <c r="V41" i="15"/>
  <c r="Q41" i="15"/>
  <c r="P41" i="15"/>
  <c r="O41" i="15"/>
  <c r="M41" i="15"/>
  <c r="H41" i="15"/>
  <c r="C41" i="15"/>
  <c r="AB39" i="15"/>
  <c r="J39" i="15" s="1"/>
  <c r="Z39" i="15"/>
  <c r="W39" i="15"/>
  <c r="V39" i="15"/>
  <c r="P39" i="15"/>
  <c r="O39" i="15"/>
  <c r="Q39" i="15" s="1"/>
  <c r="M39" i="15"/>
  <c r="H39" i="15"/>
  <c r="C39" i="15"/>
  <c r="Z38" i="15"/>
  <c r="AB38" i="15" s="1"/>
  <c r="W38" i="15"/>
  <c r="V38" i="15"/>
  <c r="P38" i="15"/>
  <c r="O38" i="15"/>
  <c r="Q38" i="15" s="1"/>
  <c r="M38" i="15"/>
  <c r="J38" i="15"/>
  <c r="K38" i="15" s="1"/>
  <c r="H38" i="15"/>
  <c r="C38" i="15"/>
  <c r="AB37" i="15"/>
  <c r="J37" i="15" s="1"/>
  <c r="Z37" i="15"/>
  <c r="W37" i="15"/>
  <c r="V37" i="15"/>
  <c r="Q37" i="15"/>
  <c r="P37" i="15"/>
  <c r="O37" i="15"/>
  <c r="M37" i="15"/>
  <c r="H37" i="15"/>
  <c r="C37" i="15"/>
  <c r="AB36" i="15"/>
  <c r="J36" i="15" s="1"/>
  <c r="I36" i="15" s="1"/>
  <c r="Z36" i="15"/>
  <c r="W36" i="15"/>
  <c r="V36" i="15"/>
  <c r="Q36" i="15"/>
  <c r="P36" i="15"/>
  <c r="O36" i="15"/>
  <c r="M36" i="15"/>
  <c r="K36" i="15"/>
  <c r="H36" i="15"/>
  <c r="C36" i="15"/>
  <c r="Z35" i="15"/>
  <c r="AB35" i="15" s="1"/>
  <c r="J35" i="15" s="1"/>
  <c r="K35" i="15" s="1"/>
  <c r="W35" i="15"/>
  <c r="V35" i="15"/>
  <c r="P35" i="15"/>
  <c r="O35" i="15"/>
  <c r="Q35" i="15" s="1"/>
  <c r="M35" i="15"/>
  <c r="H35" i="15"/>
  <c r="C35" i="15"/>
  <c r="Z34" i="15"/>
  <c r="AB34" i="15" s="1"/>
  <c r="J34" i="15" s="1"/>
  <c r="W34" i="15"/>
  <c r="V34" i="15"/>
  <c r="P34" i="15"/>
  <c r="O34" i="15"/>
  <c r="Q34" i="15" s="1"/>
  <c r="M34" i="15"/>
  <c r="H34" i="15"/>
  <c r="C34" i="15"/>
  <c r="Z33" i="15"/>
  <c r="AB33" i="15" s="1"/>
  <c r="J33" i="15" s="1"/>
  <c r="W33" i="15"/>
  <c r="V33" i="15"/>
  <c r="Q33" i="15"/>
  <c r="P33" i="15"/>
  <c r="O33" i="15"/>
  <c r="M33" i="15"/>
  <c r="H33" i="15"/>
  <c r="C33" i="15"/>
  <c r="AB32" i="15"/>
  <c r="J32" i="15" s="1"/>
  <c r="Z32" i="15"/>
  <c r="W32" i="15"/>
  <c r="V32" i="15"/>
  <c r="Q32" i="15"/>
  <c r="P32" i="15"/>
  <c r="O32" i="15"/>
  <c r="M32" i="15"/>
  <c r="H32" i="15"/>
  <c r="C32" i="15"/>
  <c r="Z31" i="15"/>
  <c r="AB31" i="15" s="1"/>
  <c r="J31" i="15" s="1"/>
  <c r="W31" i="15"/>
  <c r="V31" i="15"/>
  <c r="P31" i="15"/>
  <c r="O31" i="15"/>
  <c r="Q31" i="15" s="1"/>
  <c r="M31" i="15"/>
  <c r="H31" i="15"/>
  <c r="C31" i="15"/>
  <c r="Z30" i="15"/>
  <c r="AB30" i="15" s="1"/>
  <c r="J30" i="15" s="1"/>
  <c r="W30" i="15"/>
  <c r="V30" i="15"/>
  <c r="P30" i="15"/>
  <c r="Q30" i="15" s="1"/>
  <c r="O30" i="15"/>
  <c r="M30" i="15"/>
  <c r="H30" i="15"/>
  <c r="C30" i="15"/>
  <c r="AB29" i="15"/>
  <c r="J29" i="15" s="1"/>
  <c r="Z29" i="15"/>
  <c r="W29" i="15"/>
  <c r="V29" i="15"/>
  <c r="P29" i="15"/>
  <c r="Q29" i="15" s="1"/>
  <c r="O29" i="15"/>
  <c r="M29" i="15"/>
  <c r="H29" i="15"/>
  <c r="C29" i="15"/>
  <c r="AB28" i="15"/>
  <c r="J28" i="15" s="1"/>
  <c r="I28" i="15" s="1"/>
  <c r="Z28" i="15"/>
  <c r="W28" i="15"/>
  <c r="V28" i="15"/>
  <c r="Q28" i="15"/>
  <c r="P28" i="15"/>
  <c r="O28" i="15"/>
  <c r="M28" i="15"/>
  <c r="K28" i="15"/>
  <c r="H28" i="15"/>
  <c r="C28" i="15"/>
  <c r="Z27" i="15"/>
  <c r="AB27" i="15" s="1"/>
  <c r="J27" i="15" s="1"/>
  <c r="K27" i="15" s="1"/>
  <c r="W27" i="15"/>
  <c r="W3" i="15" s="1"/>
  <c r="V27" i="15"/>
  <c r="P27" i="15"/>
  <c r="O27" i="15"/>
  <c r="Q27" i="15" s="1"/>
  <c r="M27" i="15"/>
  <c r="H27" i="15"/>
  <c r="C27" i="15"/>
  <c r="Z26" i="15"/>
  <c r="AB26" i="15" s="1"/>
  <c r="J26" i="15" s="1"/>
  <c r="W26" i="15"/>
  <c r="V26" i="15"/>
  <c r="P26" i="15"/>
  <c r="O26" i="15"/>
  <c r="M26" i="15"/>
  <c r="H26" i="15"/>
  <c r="C26" i="15"/>
  <c r="AB25" i="15"/>
  <c r="J25" i="15" s="1"/>
  <c r="Z25" i="15"/>
  <c r="W25" i="15"/>
  <c r="V25" i="15"/>
  <c r="Q25" i="15"/>
  <c r="P25" i="15"/>
  <c r="O25" i="15"/>
  <c r="M25" i="15"/>
  <c r="H25" i="15"/>
  <c r="AB24" i="15"/>
  <c r="J24" i="15" s="1"/>
  <c r="Z24" i="15"/>
  <c r="W24" i="15"/>
  <c r="V24" i="15"/>
  <c r="P24" i="15"/>
  <c r="Q24" i="15" s="1"/>
  <c r="O24" i="15"/>
  <c r="M24" i="15"/>
  <c r="H24" i="15"/>
  <c r="AB23" i="15"/>
  <c r="J23" i="15" s="1"/>
  <c r="Z23" i="15"/>
  <c r="W23" i="15"/>
  <c r="V23" i="15"/>
  <c r="Q23" i="15"/>
  <c r="P23" i="15"/>
  <c r="O23" i="15"/>
  <c r="M23" i="15"/>
  <c r="H23" i="15"/>
  <c r="AB22" i="15"/>
  <c r="J22" i="15" s="1"/>
  <c r="Z22" i="15"/>
  <c r="W22" i="15"/>
  <c r="V22" i="15"/>
  <c r="Q22" i="15"/>
  <c r="P22" i="15"/>
  <c r="O22" i="15"/>
  <c r="M22" i="15"/>
  <c r="H22" i="15"/>
  <c r="AB21" i="15"/>
  <c r="J21" i="15" s="1"/>
  <c r="Z21" i="15"/>
  <c r="W21" i="15"/>
  <c r="V21" i="15"/>
  <c r="Q21" i="15"/>
  <c r="P21" i="15"/>
  <c r="O21" i="15"/>
  <c r="M21" i="15"/>
  <c r="H21" i="15"/>
  <c r="AB20" i="15"/>
  <c r="J20" i="15" s="1"/>
  <c r="Z20" i="15"/>
  <c r="W20" i="15"/>
  <c r="V20" i="15"/>
  <c r="P20" i="15"/>
  <c r="Q20" i="15" s="1"/>
  <c r="O20" i="15"/>
  <c r="M20" i="15"/>
  <c r="H20" i="15"/>
  <c r="AB19" i="15"/>
  <c r="J19" i="15" s="1"/>
  <c r="Z19" i="15"/>
  <c r="W19" i="15"/>
  <c r="V19" i="15"/>
  <c r="Q19" i="15"/>
  <c r="P19" i="15"/>
  <c r="O19" i="15"/>
  <c r="M19" i="15"/>
  <c r="H19" i="15"/>
  <c r="AB18" i="15"/>
  <c r="J18" i="15" s="1"/>
  <c r="Z18" i="15"/>
  <c r="W18" i="15"/>
  <c r="V18" i="15"/>
  <c r="Q18" i="15"/>
  <c r="P18" i="15"/>
  <c r="O18" i="15"/>
  <c r="M18" i="15"/>
  <c r="H18" i="15"/>
  <c r="AB17" i="15"/>
  <c r="J17" i="15" s="1"/>
  <c r="Z17" i="15"/>
  <c r="W17" i="15"/>
  <c r="V17" i="15"/>
  <c r="Q17" i="15"/>
  <c r="P17" i="15"/>
  <c r="O17" i="15"/>
  <c r="M17" i="15"/>
  <c r="H17" i="15"/>
  <c r="AB16" i="15"/>
  <c r="J16" i="15" s="1"/>
  <c r="Z16" i="15"/>
  <c r="W16" i="15"/>
  <c r="V16" i="15"/>
  <c r="P16" i="15"/>
  <c r="Q16" i="15" s="1"/>
  <c r="O16" i="15"/>
  <c r="M16" i="15"/>
  <c r="H16" i="15"/>
  <c r="AB15" i="15"/>
  <c r="J15" i="15" s="1"/>
  <c r="Z15" i="15"/>
  <c r="W15" i="15"/>
  <c r="V15" i="15"/>
  <c r="Q15" i="15"/>
  <c r="P15" i="15"/>
  <c r="O15" i="15"/>
  <c r="M15" i="15"/>
  <c r="H15" i="15"/>
  <c r="AB14" i="15"/>
  <c r="J14" i="15" s="1"/>
  <c r="Z14" i="15"/>
  <c r="W14" i="15"/>
  <c r="V14" i="15"/>
  <c r="Q14" i="15"/>
  <c r="P14" i="15"/>
  <c r="O14" i="15"/>
  <c r="M14" i="15"/>
  <c r="H14" i="15"/>
  <c r="AB13" i="15"/>
  <c r="J13" i="15" s="1"/>
  <c r="Z13" i="15"/>
  <c r="W13" i="15"/>
  <c r="V13" i="15"/>
  <c r="Q13" i="15"/>
  <c r="P13" i="15"/>
  <c r="O13" i="15"/>
  <c r="M13" i="15"/>
  <c r="H13" i="15"/>
  <c r="AB12" i="15"/>
  <c r="J12" i="15" s="1"/>
  <c r="Z12" i="15"/>
  <c r="W12" i="15"/>
  <c r="V12" i="15"/>
  <c r="P12" i="15"/>
  <c r="Q12" i="15" s="1"/>
  <c r="O12" i="15"/>
  <c r="M12" i="15"/>
  <c r="H12" i="15"/>
  <c r="AB11" i="15"/>
  <c r="J11" i="15" s="1"/>
  <c r="Z11" i="15"/>
  <c r="W11" i="15"/>
  <c r="V11" i="15"/>
  <c r="Q11" i="15"/>
  <c r="P11" i="15"/>
  <c r="O11" i="15"/>
  <c r="M11" i="15"/>
  <c r="H11" i="15"/>
  <c r="AB10" i="15"/>
  <c r="J10" i="15" s="1"/>
  <c r="Z10" i="15"/>
  <c r="W10" i="15"/>
  <c r="V10" i="15"/>
  <c r="Q10" i="15"/>
  <c r="P10" i="15"/>
  <c r="O10" i="15"/>
  <c r="M10" i="15"/>
  <c r="H10" i="15"/>
  <c r="AB9" i="15"/>
  <c r="J9" i="15" s="1"/>
  <c r="Z9" i="15"/>
  <c r="W9" i="15"/>
  <c r="V9" i="15"/>
  <c r="Q9" i="15"/>
  <c r="P9" i="15"/>
  <c r="O9" i="15"/>
  <c r="M9" i="15"/>
  <c r="H9" i="15"/>
  <c r="AB8" i="15"/>
  <c r="J8" i="15" s="1"/>
  <c r="Z8" i="15"/>
  <c r="W8" i="15"/>
  <c r="V8" i="15"/>
  <c r="P8" i="15"/>
  <c r="Q8" i="15" s="1"/>
  <c r="O8" i="15"/>
  <c r="M8" i="15"/>
  <c r="H8" i="15"/>
  <c r="AB7" i="15"/>
  <c r="J7" i="15" s="1"/>
  <c r="Z7" i="15"/>
  <c r="W7" i="15"/>
  <c r="V7" i="15"/>
  <c r="Q7" i="15"/>
  <c r="P7" i="15"/>
  <c r="O7" i="15"/>
  <c r="M7" i="15"/>
  <c r="H7" i="15"/>
  <c r="AB6" i="15"/>
  <c r="J6" i="15" s="1"/>
  <c r="Z6" i="15"/>
  <c r="W6" i="15"/>
  <c r="V6" i="15"/>
  <c r="Q6" i="15"/>
  <c r="P6" i="15"/>
  <c r="O6" i="15"/>
  <c r="M6" i="15"/>
  <c r="H6" i="15"/>
  <c r="AB5" i="15"/>
  <c r="J5" i="15" s="1"/>
  <c r="Z5" i="15"/>
  <c r="W5" i="15"/>
  <c r="V5" i="15"/>
  <c r="Q5" i="15"/>
  <c r="P5" i="15"/>
  <c r="O5" i="15"/>
  <c r="M5" i="15"/>
  <c r="H5" i="15"/>
  <c r="AB4" i="15"/>
  <c r="J4" i="15" s="1"/>
  <c r="Z4" i="15"/>
  <c r="W4" i="15"/>
  <c r="V4" i="15"/>
  <c r="P4" i="15"/>
  <c r="Q4" i="15" s="1"/>
  <c r="O4" i="15"/>
  <c r="M4" i="15"/>
  <c r="H4" i="15"/>
  <c r="AE3" i="15"/>
  <c r="U3" i="15"/>
  <c r="O3" i="15"/>
  <c r="H3" i="15"/>
  <c r="G3" i="15"/>
  <c r="F3" i="15"/>
  <c r="D3" i="15"/>
  <c r="C3" i="15"/>
  <c r="B3" i="15"/>
  <c r="A2" i="15"/>
  <c r="A1" i="15"/>
  <c r="AB56" i="14"/>
  <c r="J56" i="14" s="1"/>
  <c r="Z56" i="14"/>
  <c r="W56" i="14"/>
  <c r="V56" i="14"/>
  <c r="T56" i="14"/>
  <c r="S56" i="14"/>
  <c r="R56" i="14"/>
  <c r="P56" i="14"/>
  <c r="O56" i="14"/>
  <c r="Q56" i="14" s="1"/>
  <c r="M56" i="14"/>
  <c r="H56" i="14"/>
  <c r="C56" i="14"/>
  <c r="AB55" i="14"/>
  <c r="J55" i="14" s="1"/>
  <c r="Z55" i="14"/>
  <c r="W55" i="14"/>
  <c r="V55" i="14"/>
  <c r="Q55" i="14"/>
  <c r="P55" i="14"/>
  <c r="O55" i="14"/>
  <c r="M55" i="14"/>
  <c r="H55" i="14"/>
  <c r="C55" i="14"/>
  <c r="AB54" i="14"/>
  <c r="Z54" i="14"/>
  <c r="W54" i="14"/>
  <c r="V54" i="14"/>
  <c r="T54" i="14"/>
  <c r="S54" i="14"/>
  <c r="R54" i="14"/>
  <c r="Q54" i="14"/>
  <c r="P54" i="14"/>
  <c r="O54" i="14"/>
  <c r="M54" i="14"/>
  <c r="K54" i="14"/>
  <c r="J54" i="14"/>
  <c r="I54" i="14" s="1"/>
  <c r="H54" i="14"/>
  <c r="C54" i="14"/>
  <c r="AB53" i="14"/>
  <c r="Z53" i="14"/>
  <c r="W53" i="14"/>
  <c r="V53" i="14"/>
  <c r="T53" i="14"/>
  <c r="S53" i="14"/>
  <c r="R53" i="14"/>
  <c r="Q53" i="14"/>
  <c r="P53" i="14"/>
  <c r="O53" i="14"/>
  <c r="M53" i="14"/>
  <c r="J53" i="14"/>
  <c r="I53" i="14" s="1"/>
  <c r="H53" i="14"/>
  <c r="C53" i="14"/>
  <c r="AB52" i="14"/>
  <c r="Z52" i="14"/>
  <c r="W52" i="14"/>
  <c r="V52" i="14"/>
  <c r="T52" i="14"/>
  <c r="S52" i="14"/>
  <c r="R52" i="14"/>
  <c r="Q52" i="14"/>
  <c r="P52" i="14"/>
  <c r="O52" i="14"/>
  <c r="M52" i="14"/>
  <c r="K52" i="14"/>
  <c r="J52" i="14"/>
  <c r="I52" i="14" s="1"/>
  <c r="H52" i="14"/>
  <c r="C52" i="14"/>
  <c r="AB51" i="14"/>
  <c r="Z51" i="14"/>
  <c r="W51" i="14"/>
  <c r="V51" i="14"/>
  <c r="T51" i="14"/>
  <c r="S51" i="14"/>
  <c r="R51" i="14"/>
  <c r="Q51" i="14"/>
  <c r="P51" i="14"/>
  <c r="O51" i="14"/>
  <c r="M51" i="14"/>
  <c r="K51" i="14"/>
  <c r="J51" i="14"/>
  <c r="I51" i="14" s="1"/>
  <c r="H51" i="14"/>
  <c r="C51" i="14"/>
  <c r="AB50" i="14"/>
  <c r="Z50" i="14"/>
  <c r="W50" i="14"/>
  <c r="V50" i="14"/>
  <c r="T50" i="14"/>
  <c r="S50" i="14"/>
  <c r="R50" i="14"/>
  <c r="Q50" i="14"/>
  <c r="P50" i="14"/>
  <c r="O50" i="14"/>
  <c r="M50" i="14"/>
  <c r="J50" i="14"/>
  <c r="I50" i="14" s="1"/>
  <c r="H50" i="14"/>
  <c r="C50" i="14"/>
  <c r="AB49" i="14"/>
  <c r="Z49" i="14"/>
  <c r="W49" i="14"/>
  <c r="V49" i="14"/>
  <c r="T49" i="14"/>
  <c r="S49" i="14"/>
  <c r="R49" i="14"/>
  <c r="Q49" i="14"/>
  <c r="P49" i="14"/>
  <c r="O49" i="14"/>
  <c r="M49" i="14"/>
  <c r="J49" i="14"/>
  <c r="I49" i="14" s="1"/>
  <c r="H49" i="14"/>
  <c r="C49" i="14"/>
  <c r="AB48" i="14"/>
  <c r="Z48" i="14"/>
  <c r="W48" i="14"/>
  <c r="V48" i="14"/>
  <c r="T48" i="14"/>
  <c r="S48" i="14"/>
  <c r="R48" i="14"/>
  <c r="Q48" i="14"/>
  <c r="P48" i="14"/>
  <c r="O48" i="14"/>
  <c r="M48" i="14"/>
  <c r="K48" i="14"/>
  <c r="J48" i="14"/>
  <c r="I48" i="14" s="1"/>
  <c r="H48" i="14"/>
  <c r="C48" i="14"/>
  <c r="AB47" i="14"/>
  <c r="J47" i="14" s="1"/>
  <c r="Z47" i="14"/>
  <c r="W47" i="14"/>
  <c r="V47" i="14"/>
  <c r="Q47" i="14"/>
  <c r="P47" i="14"/>
  <c r="O47" i="14"/>
  <c r="M47" i="14"/>
  <c r="H47" i="14"/>
  <c r="C47" i="14"/>
  <c r="Z46" i="14"/>
  <c r="AB46" i="14" s="1"/>
  <c r="J46" i="14" s="1"/>
  <c r="W46" i="14"/>
  <c r="V46" i="14"/>
  <c r="P46" i="14"/>
  <c r="O46" i="14"/>
  <c r="Q46" i="14" s="1"/>
  <c r="M46" i="14"/>
  <c r="H46" i="14"/>
  <c r="C46" i="14"/>
  <c r="Z45" i="14"/>
  <c r="AB45" i="14" s="1"/>
  <c r="J45" i="14" s="1"/>
  <c r="W45" i="14"/>
  <c r="V45" i="14"/>
  <c r="P45" i="14"/>
  <c r="Q45" i="14" s="1"/>
  <c r="O45" i="14"/>
  <c r="M45" i="14"/>
  <c r="H45" i="14"/>
  <c r="C45" i="14"/>
  <c r="AB44" i="14"/>
  <c r="J44" i="14" s="1"/>
  <c r="Z44" i="14"/>
  <c r="W44" i="14"/>
  <c r="V44" i="14"/>
  <c r="Q44" i="14"/>
  <c r="P44" i="14"/>
  <c r="O44" i="14"/>
  <c r="M44" i="14"/>
  <c r="H44" i="14"/>
  <c r="C44" i="14"/>
  <c r="AB43" i="14"/>
  <c r="J43" i="14" s="1"/>
  <c r="I43" i="14" s="1"/>
  <c r="Z43" i="14"/>
  <c r="W43" i="14"/>
  <c r="V43" i="14"/>
  <c r="Q43" i="14"/>
  <c r="P43" i="14"/>
  <c r="O43" i="14"/>
  <c r="M43" i="14"/>
  <c r="K43" i="14"/>
  <c r="H43" i="14"/>
  <c r="C43" i="14"/>
  <c r="AB42" i="14"/>
  <c r="Z42" i="14"/>
  <c r="W42" i="14"/>
  <c r="V42" i="14"/>
  <c r="T42" i="14"/>
  <c r="S42" i="14"/>
  <c r="R42" i="14"/>
  <c r="Q42" i="14"/>
  <c r="P42" i="14"/>
  <c r="O42" i="14"/>
  <c r="M42" i="14"/>
  <c r="K42" i="14"/>
  <c r="J42" i="14"/>
  <c r="I42" i="14"/>
  <c r="H42" i="14"/>
  <c r="C42" i="14"/>
  <c r="AB41" i="14"/>
  <c r="J41" i="14" s="1"/>
  <c r="K41" i="14" s="1"/>
  <c r="Z41" i="14"/>
  <c r="W41" i="14"/>
  <c r="V41" i="14"/>
  <c r="P41" i="14"/>
  <c r="O41" i="14"/>
  <c r="Q41" i="14" s="1"/>
  <c r="M41" i="14"/>
  <c r="I41" i="14"/>
  <c r="H41" i="14"/>
  <c r="C41" i="14"/>
  <c r="Z39" i="14"/>
  <c r="AB39" i="14" s="1"/>
  <c r="J39" i="14" s="1"/>
  <c r="W39" i="14"/>
  <c r="V39" i="14"/>
  <c r="P39" i="14"/>
  <c r="O39" i="14"/>
  <c r="Q39" i="14" s="1"/>
  <c r="M39" i="14"/>
  <c r="H39" i="14"/>
  <c r="C39" i="14"/>
  <c r="AB38" i="14"/>
  <c r="J38" i="14" s="1"/>
  <c r="Z38" i="14"/>
  <c r="W38" i="14"/>
  <c r="V38" i="14"/>
  <c r="Q38" i="14"/>
  <c r="P38" i="14"/>
  <c r="O38" i="14"/>
  <c r="M38" i="14"/>
  <c r="H38" i="14"/>
  <c r="C38" i="14"/>
  <c r="AB37" i="14"/>
  <c r="J37" i="14" s="1"/>
  <c r="Z37" i="14"/>
  <c r="W37" i="14"/>
  <c r="V37" i="14"/>
  <c r="Q37" i="14"/>
  <c r="P37" i="14"/>
  <c r="O37" i="14"/>
  <c r="M37" i="14"/>
  <c r="H37" i="14"/>
  <c r="C37" i="14"/>
  <c r="Z36" i="14"/>
  <c r="AB36" i="14" s="1"/>
  <c r="J36" i="14" s="1"/>
  <c r="W36" i="14"/>
  <c r="V36" i="14"/>
  <c r="P36" i="14"/>
  <c r="O36" i="14"/>
  <c r="Q36" i="14" s="1"/>
  <c r="M36" i="14"/>
  <c r="H36" i="14"/>
  <c r="C36" i="14"/>
  <c r="Z35" i="14"/>
  <c r="AB35" i="14" s="1"/>
  <c r="W35" i="14"/>
  <c r="V35" i="14"/>
  <c r="P35" i="14"/>
  <c r="Q35" i="14" s="1"/>
  <c r="O35" i="14"/>
  <c r="M35" i="14"/>
  <c r="J35" i="14"/>
  <c r="K35" i="14" s="1"/>
  <c r="H35" i="14"/>
  <c r="C35" i="14"/>
  <c r="AB34" i="14"/>
  <c r="J34" i="14" s="1"/>
  <c r="Z34" i="14"/>
  <c r="W34" i="14"/>
  <c r="V34" i="14"/>
  <c r="Q34" i="14"/>
  <c r="P34" i="14"/>
  <c r="O34" i="14"/>
  <c r="M34" i="14"/>
  <c r="H34" i="14"/>
  <c r="C34" i="14"/>
  <c r="AB33" i="14"/>
  <c r="J33" i="14" s="1"/>
  <c r="I33" i="14" s="1"/>
  <c r="Z33" i="14"/>
  <c r="W33" i="14"/>
  <c r="V33" i="14"/>
  <c r="Q33" i="14"/>
  <c r="P33" i="14"/>
  <c r="O33" i="14"/>
  <c r="M33" i="14"/>
  <c r="K33" i="14"/>
  <c r="H33" i="14"/>
  <c r="C33" i="14"/>
  <c r="AB32" i="14"/>
  <c r="J32" i="14" s="1"/>
  <c r="K32" i="14" s="1"/>
  <c r="Z32" i="14"/>
  <c r="W32" i="14"/>
  <c r="V32" i="14"/>
  <c r="P32" i="14"/>
  <c r="O32" i="14"/>
  <c r="Q32" i="14" s="1"/>
  <c r="M32" i="14"/>
  <c r="I32" i="14"/>
  <c r="H32" i="14"/>
  <c r="C32" i="14"/>
  <c r="Z31" i="14"/>
  <c r="AB31" i="14" s="1"/>
  <c r="J31" i="14" s="1"/>
  <c r="W31" i="14"/>
  <c r="V31" i="14"/>
  <c r="P31" i="14"/>
  <c r="O31" i="14"/>
  <c r="Q31" i="14" s="1"/>
  <c r="M31" i="14"/>
  <c r="H31" i="14"/>
  <c r="C31" i="14"/>
  <c r="AB30" i="14"/>
  <c r="J30" i="14" s="1"/>
  <c r="Z30" i="14"/>
  <c r="W30" i="14"/>
  <c r="V30" i="14"/>
  <c r="Q30" i="14"/>
  <c r="P30" i="14"/>
  <c r="O30" i="14"/>
  <c r="M30" i="14"/>
  <c r="H30" i="14"/>
  <c r="C30" i="14"/>
  <c r="AB29" i="14"/>
  <c r="J29" i="14" s="1"/>
  <c r="Z29" i="14"/>
  <c r="W29" i="14"/>
  <c r="V29" i="14"/>
  <c r="Q29" i="14"/>
  <c r="P29" i="14"/>
  <c r="O29" i="14"/>
  <c r="M29" i="14"/>
  <c r="H29" i="14"/>
  <c r="C29" i="14"/>
  <c r="Z28" i="14"/>
  <c r="AB28" i="14" s="1"/>
  <c r="J28" i="14" s="1"/>
  <c r="W28" i="14"/>
  <c r="V28" i="14"/>
  <c r="P28" i="14"/>
  <c r="O28" i="14"/>
  <c r="Q28" i="14" s="1"/>
  <c r="M28" i="14"/>
  <c r="H28" i="14"/>
  <c r="C28" i="14"/>
  <c r="Z27" i="14"/>
  <c r="AB27" i="14" s="1"/>
  <c r="J27" i="14" s="1"/>
  <c r="W27" i="14"/>
  <c r="V27" i="14"/>
  <c r="P27" i="14"/>
  <c r="Q27" i="14" s="1"/>
  <c r="O27" i="14"/>
  <c r="M27" i="14"/>
  <c r="H27" i="14"/>
  <c r="C27" i="14"/>
  <c r="AB26" i="14"/>
  <c r="J26" i="14" s="1"/>
  <c r="Z26" i="14"/>
  <c r="W26" i="14"/>
  <c r="V26" i="14"/>
  <c r="P26" i="14"/>
  <c r="Q26" i="14" s="1"/>
  <c r="O26" i="14"/>
  <c r="M26" i="14"/>
  <c r="H26" i="14"/>
  <c r="C26" i="14"/>
  <c r="AB25" i="14"/>
  <c r="J25" i="14" s="1"/>
  <c r="I25" i="14" s="1"/>
  <c r="Z25" i="14"/>
  <c r="W25" i="14"/>
  <c r="V25" i="14"/>
  <c r="Q25" i="14"/>
  <c r="P25" i="14"/>
  <c r="O25" i="14"/>
  <c r="M25" i="14"/>
  <c r="K25" i="14"/>
  <c r="H25" i="14"/>
  <c r="AB24" i="14"/>
  <c r="J24" i="14" s="1"/>
  <c r="Z24" i="14"/>
  <c r="W24" i="14"/>
  <c r="V24" i="14"/>
  <c r="Q24" i="14"/>
  <c r="P24" i="14"/>
  <c r="O24" i="14"/>
  <c r="M24" i="14"/>
  <c r="H24" i="14"/>
  <c r="AB23" i="14"/>
  <c r="J23" i="14" s="1"/>
  <c r="I23" i="14" s="1"/>
  <c r="Z23" i="14"/>
  <c r="W23" i="14"/>
  <c r="V23" i="14"/>
  <c r="Q23" i="14"/>
  <c r="P23" i="14"/>
  <c r="O23" i="14"/>
  <c r="M23" i="14"/>
  <c r="K23" i="14"/>
  <c r="H23" i="14"/>
  <c r="AB22" i="14"/>
  <c r="J22" i="14" s="1"/>
  <c r="Z22" i="14"/>
  <c r="W22" i="14"/>
  <c r="V22" i="14"/>
  <c r="Q22" i="14"/>
  <c r="P22" i="14"/>
  <c r="O22" i="14"/>
  <c r="M22" i="14"/>
  <c r="H22" i="14"/>
  <c r="AB21" i="14"/>
  <c r="J21" i="14" s="1"/>
  <c r="I21" i="14" s="1"/>
  <c r="Z21" i="14"/>
  <c r="W21" i="14"/>
  <c r="V21" i="14"/>
  <c r="Q21" i="14"/>
  <c r="P21" i="14"/>
  <c r="O21" i="14"/>
  <c r="M21" i="14"/>
  <c r="H21" i="14"/>
  <c r="AB20" i="14"/>
  <c r="J20" i="14" s="1"/>
  <c r="Z20" i="14"/>
  <c r="W20" i="14"/>
  <c r="V20" i="14"/>
  <c r="Q20" i="14"/>
  <c r="P20" i="14"/>
  <c r="O20" i="14"/>
  <c r="M20" i="14"/>
  <c r="H20" i="14"/>
  <c r="AB19" i="14"/>
  <c r="J19" i="14" s="1"/>
  <c r="I19" i="14" s="1"/>
  <c r="Z19" i="14"/>
  <c r="W19" i="14"/>
  <c r="V19" i="14"/>
  <c r="Q19" i="14"/>
  <c r="P19" i="14"/>
  <c r="O19" i="14"/>
  <c r="M19" i="14"/>
  <c r="K19" i="14"/>
  <c r="H19" i="14"/>
  <c r="AB18" i="14"/>
  <c r="J18" i="14" s="1"/>
  <c r="Z18" i="14"/>
  <c r="W18" i="14"/>
  <c r="V18" i="14"/>
  <c r="Q18" i="14"/>
  <c r="P18" i="14"/>
  <c r="O18" i="14"/>
  <c r="M18" i="14"/>
  <c r="H18" i="14"/>
  <c r="AB17" i="14"/>
  <c r="Z17" i="14"/>
  <c r="W17" i="14"/>
  <c r="V17" i="14"/>
  <c r="Q17" i="14"/>
  <c r="P17" i="14"/>
  <c r="O17" i="14"/>
  <c r="M17" i="14"/>
  <c r="K17" i="14"/>
  <c r="I17" i="14"/>
  <c r="H17" i="14"/>
  <c r="AB16" i="14"/>
  <c r="Z16" i="14"/>
  <c r="W16" i="14"/>
  <c r="V16" i="14"/>
  <c r="Q16" i="14"/>
  <c r="P16" i="14"/>
  <c r="O16" i="14"/>
  <c r="M16" i="14"/>
  <c r="K16" i="14"/>
  <c r="I16" i="14"/>
  <c r="H16" i="14"/>
  <c r="Z15" i="14"/>
  <c r="AB15" i="14" s="1"/>
  <c r="W15" i="14"/>
  <c r="V15" i="14"/>
  <c r="P15" i="14"/>
  <c r="Q15" i="14" s="1"/>
  <c r="O15" i="14"/>
  <c r="M15" i="14"/>
  <c r="K15" i="14"/>
  <c r="I15" i="14"/>
  <c r="H15" i="14"/>
  <c r="Z14" i="14"/>
  <c r="AB14" i="14" s="1"/>
  <c r="W14" i="14"/>
  <c r="V14" i="14"/>
  <c r="P14" i="14"/>
  <c r="O14" i="14"/>
  <c r="Q14" i="14" s="1"/>
  <c r="M14" i="14"/>
  <c r="K14" i="14"/>
  <c r="I14" i="14"/>
  <c r="H14" i="14"/>
  <c r="AB13" i="14"/>
  <c r="Z13" i="14"/>
  <c r="W13" i="14"/>
  <c r="V13" i="14"/>
  <c r="Q13" i="14"/>
  <c r="P13" i="14"/>
  <c r="O13" i="14"/>
  <c r="M13" i="14"/>
  <c r="K13" i="14"/>
  <c r="I13" i="14"/>
  <c r="H13" i="14"/>
  <c r="AB12" i="14"/>
  <c r="Z12" i="14"/>
  <c r="W12" i="14"/>
  <c r="V12" i="14"/>
  <c r="Q12" i="14"/>
  <c r="P12" i="14"/>
  <c r="O12" i="14"/>
  <c r="M12" i="14"/>
  <c r="K12" i="14"/>
  <c r="I12" i="14"/>
  <c r="H12" i="14"/>
  <c r="Z11" i="14"/>
  <c r="AB11" i="14" s="1"/>
  <c r="W11" i="14"/>
  <c r="V11" i="14"/>
  <c r="P11" i="14"/>
  <c r="O11" i="14"/>
  <c r="Q11" i="14" s="1"/>
  <c r="M11" i="14"/>
  <c r="K11" i="14"/>
  <c r="I11" i="14"/>
  <c r="H11" i="14"/>
  <c r="AB10" i="14"/>
  <c r="Z10" i="14"/>
  <c r="W10" i="14"/>
  <c r="V10" i="14"/>
  <c r="P10" i="14"/>
  <c r="O10" i="14"/>
  <c r="Q10" i="14" s="1"/>
  <c r="M10" i="14"/>
  <c r="K10" i="14"/>
  <c r="I10" i="14"/>
  <c r="H10" i="14"/>
  <c r="AB9" i="14"/>
  <c r="J9" i="14" s="1"/>
  <c r="I9" i="14" s="1"/>
  <c r="Z9" i="14"/>
  <c r="W9" i="14"/>
  <c r="V9" i="14"/>
  <c r="Q9" i="14"/>
  <c r="P9" i="14"/>
  <c r="O9" i="14"/>
  <c r="M9" i="14"/>
  <c r="K9" i="14"/>
  <c r="H9" i="14"/>
  <c r="AB8" i="14"/>
  <c r="J8" i="14" s="1"/>
  <c r="Z8" i="14"/>
  <c r="W8" i="14"/>
  <c r="V8" i="14"/>
  <c r="Q8" i="14"/>
  <c r="P8" i="14"/>
  <c r="O8" i="14"/>
  <c r="M8" i="14"/>
  <c r="H8" i="14"/>
  <c r="AB7" i="14"/>
  <c r="J7" i="14" s="1"/>
  <c r="I7" i="14" s="1"/>
  <c r="Z7" i="14"/>
  <c r="W7" i="14"/>
  <c r="V7" i="14"/>
  <c r="Q7" i="14"/>
  <c r="P7" i="14"/>
  <c r="O7" i="14"/>
  <c r="M7" i="14"/>
  <c r="K7" i="14"/>
  <c r="H7" i="14"/>
  <c r="AB6" i="14"/>
  <c r="J6" i="14" s="1"/>
  <c r="Z6" i="14"/>
  <c r="W6" i="14"/>
  <c r="V6" i="14"/>
  <c r="Q6" i="14"/>
  <c r="P6" i="14"/>
  <c r="O6" i="14"/>
  <c r="M6" i="14"/>
  <c r="H6" i="14"/>
  <c r="AB5" i="14"/>
  <c r="J5" i="14" s="1"/>
  <c r="I5" i="14" s="1"/>
  <c r="Z5" i="14"/>
  <c r="W5" i="14"/>
  <c r="V5" i="14"/>
  <c r="Q5" i="14"/>
  <c r="P5" i="14"/>
  <c r="O5" i="14"/>
  <c r="M5" i="14"/>
  <c r="K5" i="14"/>
  <c r="H5" i="14"/>
  <c r="AB4" i="14"/>
  <c r="J4" i="14" s="1"/>
  <c r="Z4" i="14"/>
  <c r="W4" i="14"/>
  <c r="V4" i="14"/>
  <c r="Q4" i="14"/>
  <c r="P4" i="14"/>
  <c r="O4" i="14"/>
  <c r="M4" i="14"/>
  <c r="H4" i="14"/>
  <c r="AE3" i="14"/>
  <c r="U3" i="14"/>
  <c r="O3" i="14"/>
  <c r="H3" i="14"/>
  <c r="G3" i="14"/>
  <c r="F3" i="14"/>
  <c r="D3" i="14"/>
  <c r="C3" i="14"/>
  <c r="B3" i="14"/>
  <c r="A2" i="14"/>
  <c r="A1" i="14"/>
  <c r="AB56" i="13"/>
  <c r="J56" i="13" s="1"/>
  <c r="Z56" i="13"/>
  <c r="W56" i="13"/>
  <c r="V56" i="13"/>
  <c r="T56" i="13"/>
  <c r="S56" i="13"/>
  <c r="R56" i="13"/>
  <c r="P56" i="13"/>
  <c r="Q56" i="13" s="1"/>
  <c r="O56" i="13"/>
  <c r="M56" i="13"/>
  <c r="H56" i="13"/>
  <c r="C56" i="13"/>
  <c r="AB55" i="13"/>
  <c r="J55" i="13" s="1"/>
  <c r="I55" i="13" s="1"/>
  <c r="Z55" i="13"/>
  <c r="W55" i="13"/>
  <c r="V55" i="13"/>
  <c r="Q55" i="13"/>
  <c r="P55" i="13"/>
  <c r="O55" i="13"/>
  <c r="M55" i="13"/>
  <c r="K55" i="13"/>
  <c r="H55" i="13"/>
  <c r="C55" i="13"/>
  <c r="AB54" i="13"/>
  <c r="Z54" i="13"/>
  <c r="W54" i="13"/>
  <c r="V54" i="13"/>
  <c r="T54" i="13"/>
  <c r="S54" i="13"/>
  <c r="R54" i="13"/>
  <c r="Q54" i="13"/>
  <c r="P54" i="13"/>
  <c r="O54" i="13"/>
  <c r="M54" i="13"/>
  <c r="K54" i="13"/>
  <c r="J54" i="13"/>
  <c r="I54" i="13"/>
  <c r="H54" i="13"/>
  <c r="C54" i="13"/>
  <c r="AB53" i="13"/>
  <c r="Z53" i="13"/>
  <c r="W53" i="13"/>
  <c r="V53" i="13"/>
  <c r="T53" i="13"/>
  <c r="S53" i="13"/>
  <c r="R53" i="13"/>
  <c r="Q53" i="13"/>
  <c r="P53" i="13"/>
  <c r="O53" i="13"/>
  <c r="M53" i="13"/>
  <c r="K53" i="13"/>
  <c r="J53" i="13"/>
  <c r="I53" i="13"/>
  <c r="H53" i="13"/>
  <c r="C53" i="13"/>
  <c r="AB52" i="13"/>
  <c r="Z52" i="13"/>
  <c r="W52" i="13"/>
  <c r="V52" i="13"/>
  <c r="T52" i="13"/>
  <c r="S52" i="13"/>
  <c r="R52" i="13"/>
  <c r="Q52" i="13"/>
  <c r="P52" i="13"/>
  <c r="O52" i="13"/>
  <c r="M52" i="13"/>
  <c r="K52" i="13"/>
  <c r="J52" i="13"/>
  <c r="I52" i="13"/>
  <c r="H52" i="13"/>
  <c r="C52" i="13"/>
  <c r="AB51" i="13"/>
  <c r="Z51" i="13"/>
  <c r="W51" i="13"/>
  <c r="V51" i="13"/>
  <c r="T51" i="13"/>
  <c r="S51" i="13"/>
  <c r="R51" i="13"/>
  <c r="Q51" i="13"/>
  <c r="P51" i="13"/>
  <c r="O51" i="13"/>
  <c r="M51" i="13"/>
  <c r="K51" i="13"/>
  <c r="J51" i="13"/>
  <c r="I51" i="13"/>
  <c r="H51" i="13"/>
  <c r="C51" i="13"/>
  <c r="AB50" i="13"/>
  <c r="Z50" i="13"/>
  <c r="W50" i="13"/>
  <c r="V50" i="13"/>
  <c r="T50" i="13"/>
  <c r="S50" i="13"/>
  <c r="R50" i="13"/>
  <c r="Q50" i="13"/>
  <c r="P50" i="13"/>
  <c r="O50" i="13"/>
  <c r="M50" i="13"/>
  <c r="K50" i="13"/>
  <c r="J50" i="13"/>
  <c r="I50" i="13"/>
  <c r="H50" i="13"/>
  <c r="C50" i="13"/>
  <c r="AB49" i="13"/>
  <c r="Z49" i="13"/>
  <c r="W49" i="13"/>
  <c r="V49" i="13"/>
  <c r="T49" i="13"/>
  <c r="S49" i="13"/>
  <c r="R49" i="13"/>
  <c r="Q49" i="13"/>
  <c r="P49" i="13"/>
  <c r="O49" i="13"/>
  <c r="M49" i="13"/>
  <c r="K49" i="13"/>
  <c r="J49" i="13"/>
  <c r="I49" i="13"/>
  <c r="H49" i="13"/>
  <c r="C49" i="13"/>
  <c r="AB48" i="13"/>
  <c r="Z48" i="13"/>
  <c r="W48" i="13"/>
  <c r="V48" i="13"/>
  <c r="T48" i="13"/>
  <c r="S48" i="13"/>
  <c r="R48" i="13"/>
  <c r="Q48" i="13"/>
  <c r="P48" i="13"/>
  <c r="O48" i="13"/>
  <c r="M48" i="13"/>
  <c r="K48" i="13"/>
  <c r="J48" i="13"/>
  <c r="I48" i="13"/>
  <c r="H48" i="13"/>
  <c r="C48" i="13"/>
  <c r="Z47" i="13"/>
  <c r="AB47" i="13" s="1"/>
  <c r="J47" i="13" s="1"/>
  <c r="K47" i="13" s="1"/>
  <c r="W47" i="13"/>
  <c r="V47" i="13"/>
  <c r="P47" i="13"/>
  <c r="O47" i="13"/>
  <c r="Q47" i="13" s="1"/>
  <c r="M47" i="13"/>
  <c r="H47" i="13"/>
  <c r="C47" i="13"/>
  <c r="Z46" i="13"/>
  <c r="AB46" i="13" s="1"/>
  <c r="J46" i="13" s="1"/>
  <c r="W46" i="13"/>
  <c r="V46" i="13"/>
  <c r="P46" i="13"/>
  <c r="O46" i="13"/>
  <c r="M46" i="13"/>
  <c r="H46" i="13"/>
  <c r="C46" i="13"/>
  <c r="AB45" i="13"/>
  <c r="J45" i="13" s="1"/>
  <c r="Z45" i="13"/>
  <c r="W45" i="13"/>
  <c r="V45" i="13"/>
  <c r="Q45" i="13"/>
  <c r="P45" i="13"/>
  <c r="O45" i="13"/>
  <c r="M45" i="13"/>
  <c r="H45" i="13"/>
  <c r="C45" i="13"/>
  <c r="AB44" i="13"/>
  <c r="J44" i="13" s="1"/>
  <c r="Z44" i="13"/>
  <c r="W44" i="13"/>
  <c r="V44" i="13"/>
  <c r="Q44" i="13"/>
  <c r="P44" i="13"/>
  <c r="O44" i="13"/>
  <c r="M44" i="13"/>
  <c r="H44" i="13"/>
  <c r="C44" i="13"/>
  <c r="Z43" i="13"/>
  <c r="AB43" i="13" s="1"/>
  <c r="J43" i="13" s="1"/>
  <c r="W43" i="13"/>
  <c r="V43" i="13"/>
  <c r="P43" i="13"/>
  <c r="O43" i="13"/>
  <c r="Q43" i="13" s="1"/>
  <c r="M43" i="13"/>
  <c r="H43" i="13"/>
  <c r="C43" i="13"/>
  <c r="Z42" i="13"/>
  <c r="AB42" i="13" s="1"/>
  <c r="J42" i="13" s="1"/>
  <c r="W42" i="13"/>
  <c r="V42" i="13"/>
  <c r="T42" i="13"/>
  <c r="S42" i="13"/>
  <c r="R42" i="13"/>
  <c r="P42" i="13"/>
  <c r="O42" i="13"/>
  <c r="Q42" i="13" s="1"/>
  <c r="M42" i="13"/>
  <c r="H42" i="13"/>
  <c r="C42" i="13"/>
  <c r="Z41" i="13"/>
  <c r="AB41" i="13" s="1"/>
  <c r="J41" i="13" s="1"/>
  <c r="W41" i="13"/>
  <c r="V41" i="13"/>
  <c r="P41" i="13"/>
  <c r="Q41" i="13" s="1"/>
  <c r="O41" i="13"/>
  <c r="M41" i="13"/>
  <c r="H41" i="13"/>
  <c r="C41" i="13"/>
  <c r="AB39" i="13"/>
  <c r="J39" i="13" s="1"/>
  <c r="Z39" i="13"/>
  <c r="W39" i="13"/>
  <c r="V39" i="13"/>
  <c r="P39" i="13"/>
  <c r="Q39" i="13" s="1"/>
  <c r="O39" i="13"/>
  <c r="M39" i="13"/>
  <c r="H39" i="13"/>
  <c r="C39" i="13"/>
  <c r="AB38" i="13"/>
  <c r="J38" i="13" s="1"/>
  <c r="I38" i="13" s="1"/>
  <c r="Z38" i="13"/>
  <c r="W38" i="13"/>
  <c r="V38" i="13"/>
  <c r="Q38" i="13"/>
  <c r="P38" i="13"/>
  <c r="O38" i="13"/>
  <c r="M38" i="13"/>
  <c r="K38" i="13"/>
  <c r="H38" i="13"/>
  <c r="C38" i="13"/>
  <c r="Z37" i="13"/>
  <c r="AB37" i="13" s="1"/>
  <c r="J37" i="13" s="1"/>
  <c r="K37" i="13" s="1"/>
  <c r="W37" i="13"/>
  <c r="V37" i="13"/>
  <c r="P37" i="13"/>
  <c r="O37" i="13"/>
  <c r="Q37" i="13" s="1"/>
  <c r="M37" i="13"/>
  <c r="H37" i="13"/>
  <c r="C37" i="13"/>
  <c r="Z36" i="13"/>
  <c r="AB36" i="13" s="1"/>
  <c r="J36" i="13" s="1"/>
  <c r="W36" i="13"/>
  <c r="V36" i="13"/>
  <c r="P36" i="13"/>
  <c r="O36" i="13"/>
  <c r="M36" i="13"/>
  <c r="H36" i="13"/>
  <c r="C36" i="13"/>
  <c r="AB35" i="13"/>
  <c r="J35" i="13" s="1"/>
  <c r="Z35" i="13"/>
  <c r="W35" i="13"/>
  <c r="V35" i="13"/>
  <c r="Q35" i="13"/>
  <c r="P35" i="13"/>
  <c r="O35" i="13"/>
  <c r="M35" i="13"/>
  <c r="H35" i="13"/>
  <c r="C35" i="13"/>
  <c r="AB34" i="13"/>
  <c r="J34" i="13" s="1"/>
  <c r="Z34" i="13"/>
  <c r="W34" i="13"/>
  <c r="V34" i="13"/>
  <c r="Q34" i="13"/>
  <c r="P34" i="13"/>
  <c r="O34" i="13"/>
  <c r="M34" i="13"/>
  <c r="H34" i="13"/>
  <c r="C34" i="13"/>
  <c r="Z33" i="13"/>
  <c r="AB33" i="13" s="1"/>
  <c r="J33" i="13" s="1"/>
  <c r="W33" i="13"/>
  <c r="V33" i="13"/>
  <c r="P33" i="13"/>
  <c r="O33" i="13"/>
  <c r="Q33" i="13" s="1"/>
  <c r="M33" i="13"/>
  <c r="H33" i="13"/>
  <c r="C33" i="13"/>
  <c r="Z32" i="13"/>
  <c r="AB32" i="13" s="1"/>
  <c r="J32" i="13" s="1"/>
  <c r="W32" i="13"/>
  <c r="V32" i="13"/>
  <c r="P32" i="13"/>
  <c r="Q32" i="13" s="1"/>
  <c r="O32" i="13"/>
  <c r="M32" i="13"/>
  <c r="H32" i="13"/>
  <c r="C32" i="13"/>
  <c r="AB31" i="13"/>
  <c r="J31" i="13" s="1"/>
  <c r="Z31" i="13"/>
  <c r="W31" i="13"/>
  <c r="V31" i="13"/>
  <c r="Q31" i="13"/>
  <c r="P31" i="13"/>
  <c r="O31" i="13"/>
  <c r="M31" i="13"/>
  <c r="H31" i="13"/>
  <c r="C31" i="13"/>
  <c r="AB30" i="13"/>
  <c r="J30" i="13" s="1"/>
  <c r="I30" i="13" s="1"/>
  <c r="Z30" i="13"/>
  <c r="W30" i="13"/>
  <c r="V30" i="13"/>
  <c r="Q30" i="13"/>
  <c r="P30" i="13"/>
  <c r="O30" i="13"/>
  <c r="M30" i="13"/>
  <c r="H30" i="13"/>
  <c r="C30" i="13"/>
  <c r="Z29" i="13"/>
  <c r="AB29" i="13" s="1"/>
  <c r="J29" i="13" s="1"/>
  <c r="K29" i="13" s="1"/>
  <c r="W29" i="13"/>
  <c r="V29" i="13"/>
  <c r="P29" i="13"/>
  <c r="O29" i="13"/>
  <c r="Q29" i="13" s="1"/>
  <c r="M29" i="13"/>
  <c r="I29" i="13"/>
  <c r="H29" i="13"/>
  <c r="C29" i="13"/>
  <c r="Z28" i="13"/>
  <c r="AB28" i="13" s="1"/>
  <c r="J28" i="13" s="1"/>
  <c r="W28" i="13"/>
  <c r="V28" i="13"/>
  <c r="P28" i="13"/>
  <c r="O28" i="13"/>
  <c r="Q28" i="13" s="1"/>
  <c r="M28" i="13"/>
  <c r="H28" i="13"/>
  <c r="C28" i="13"/>
  <c r="Z27" i="13"/>
  <c r="AB27" i="13" s="1"/>
  <c r="J27" i="13" s="1"/>
  <c r="W27" i="13"/>
  <c r="V27" i="13"/>
  <c r="Q27" i="13"/>
  <c r="P27" i="13"/>
  <c r="O27" i="13"/>
  <c r="M27" i="13"/>
  <c r="H27" i="13"/>
  <c r="C27" i="13"/>
  <c r="Z26" i="13"/>
  <c r="AB26" i="13" s="1"/>
  <c r="J26" i="13" s="1"/>
  <c r="W26" i="13"/>
  <c r="V26" i="13"/>
  <c r="Q26" i="13"/>
  <c r="P26" i="13"/>
  <c r="O26" i="13"/>
  <c r="M26" i="13"/>
  <c r="H26" i="13"/>
  <c r="C26" i="13"/>
  <c r="Z25" i="13"/>
  <c r="AB25" i="13" s="1"/>
  <c r="J25" i="13" s="1"/>
  <c r="W25" i="13"/>
  <c r="V25" i="13"/>
  <c r="P25" i="13"/>
  <c r="O25" i="13"/>
  <c r="Q25" i="13" s="1"/>
  <c r="M25" i="13"/>
  <c r="H25" i="13"/>
  <c r="Z24" i="13"/>
  <c r="AB24" i="13" s="1"/>
  <c r="J24" i="13" s="1"/>
  <c r="K24" i="13" s="1"/>
  <c r="W24" i="13"/>
  <c r="V24" i="13"/>
  <c r="P24" i="13"/>
  <c r="O24" i="13"/>
  <c r="Q24" i="13" s="1"/>
  <c r="M24" i="13"/>
  <c r="H24" i="13"/>
  <c r="Z23" i="13"/>
  <c r="AB23" i="13" s="1"/>
  <c r="J23" i="13" s="1"/>
  <c r="W23" i="13"/>
  <c r="V23" i="13"/>
  <c r="P23" i="13"/>
  <c r="O23" i="13"/>
  <c r="Q23" i="13" s="1"/>
  <c r="M23" i="13"/>
  <c r="H23" i="13"/>
  <c r="Z22" i="13"/>
  <c r="AB22" i="13" s="1"/>
  <c r="J22" i="13" s="1"/>
  <c r="K22" i="13" s="1"/>
  <c r="W22" i="13"/>
  <c r="V22" i="13"/>
  <c r="P22" i="13"/>
  <c r="O22" i="13"/>
  <c r="Q22" i="13" s="1"/>
  <c r="M22" i="13"/>
  <c r="I22" i="13"/>
  <c r="H22" i="13"/>
  <c r="Z21" i="13"/>
  <c r="AB21" i="13" s="1"/>
  <c r="J21" i="13" s="1"/>
  <c r="W21" i="13"/>
  <c r="V21" i="13"/>
  <c r="P21" i="13"/>
  <c r="O21" i="13"/>
  <c r="Q21" i="13" s="1"/>
  <c r="M21" i="13"/>
  <c r="H21" i="13"/>
  <c r="Z20" i="13"/>
  <c r="AB20" i="13" s="1"/>
  <c r="J20" i="13" s="1"/>
  <c r="K20" i="13" s="1"/>
  <c r="W20" i="13"/>
  <c r="V20" i="13"/>
  <c r="P20" i="13"/>
  <c r="O20" i="13"/>
  <c r="Q20" i="13" s="1"/>
  <c r="M20" i="13"/>
  <c r="H20" i="13"/>
  <c r="Z19" i="13"/>
  <c r="AB19" i="13" s="1"/>
  <c r="J19" i="13" s="1"/>
  <c r="W19" i="13"/>
  <c r="V19" i="13"/>
  <c r="P19" i="13"/>
  <c r="O19" i="13"/>
  <c r="Q19" i="13" s="1"/>
  <c r="M19" i="13"/>
  <c r="H19" i="13"/>
  <c r="Z18" i="13"/>
  <c r="AB18" i="13" s="1"/>
  <c r="J18" i="13" s="1"/>
  <c r="K18" i="13" s="1"/>
  <c r="W18" i="13"/>
  <c r="V18" i="13"/>
  <c r="P18" i="13"/>
  <c r="O18" i="13"/>
  <c r="Q18" i="13" s="1"/>
  <c r="M18" i="13"/>
  <c r="H18" i="13"/>
  <c r="Z17" i="13"/>
  <c r="AB17" i="13" s="1"/>
  <c r="J17" i="13" s="1"/>
  <c r="W17" i="13"/>
  <c r="V17" i="13"/>
  <c r="P17" i="13"/>
  <c r="O17" i="13"/>
  <c r="Q17" i="13" s="1"/>
  <c r="M17" i="13"/>
  <c r="H17" i="13"/>
  <c r="Z16" i="13"/>
  <c r="AB16" i="13" s="1"/>
  <c r="J16" i="13" s="1"/>
  <c r="K16" i="13" s="1"/>
  <c r="W16" i="13"/>
  <c r="V16" i="13"/>
  <c r="P16" i="13"/>
  <c r="O16" i="13"/>
  <c r="Q16" i="13" s="1"/>
  <c r="M16" i="13"/>
  <c r="H16" i="13"/>
  <c r="Z15" i="13"/>
  <c r="AB15" i="13" s="1"/>
  <c r="J15" i="13" s="1"/>
  <c r="W15" i="13"/>
  <c r="V15" i="13"/>
  <c r="P15" i="13"/>
  <c r="O15" i="13"/>
  <c r="Q15" i="13" s="1"/>
  <c r="M15" i="13"/>
  <c r="H15" i="13"/>
  <c r="Z14" i="13"/>
  <c r="AB14" i="13" s="1"/>
  <c r="J14" i="13" s="1"/>
  <c r="K14" i="13" s="1"/>
  <c r="W14" i="13"/>
  <c r="V14" i="13"/>
  <c r="P14" i="13"/>
  <c r="O14" i="13"/>
  <c r="Q14" i="13" s="1"/>
  <c r="M14" i="13"/>
  <c r="I14" i="13"/>
  <c r="H14" i="13"/>
  <c r="Z13" i="13"/>
  <c r="AB13" i="13" s="1"/>
  <c r="J13" i="13" s="1"/>
  <c r="W13" i="13"/>
  <c r="V13" i="13"/>
  <c r="P13" i="13"/>
  <c r="O13" i="13"/>
  <c r="Q13" i="13" s="1"/>
  <c r="M13" i="13"/>
  <c r="H13" i="13"/>
  <c r="Z12" i="13"/>
  <c r="AB12" i="13" s="1"/>
  <c r="J12" i="13" s="1"/>
  <c r="K12" i="13" s="1"/>
  <c r="W12" i="13"/>
  <c r="V12" i="13"/>
  <c r="P12" i="13"/>
  <c r="O12" i="13"/>
  <c r="Q12" i="13" s="1"/>
  <c r="M12" i="13"/>
  <c r="I12" i="13"/>
  <c r="H12" i="13"/>
  <c r="Z11" i="13"/>
  <c r="AB11" i="13" s="1"/>
  <c r="J11" i="13" s="1"/>
  <c r="W11" i="13"/>
  <c r="V11" i="13"/>
  <c r="P11" i="13"/>
  <c r="O11" i="13"/>
  <c r="Q11" i="13" s="1"/>
  <c r="M11" i="13"/>
  <c r="H11" i="13"/>
  <c r="Z10" i="13"/>
  <c r="AB10" i="13" s="1"/>
  <c r="J10" i="13" s="1"/>
  <c r="K10" i="13" s="1"/>
  <c r="W10" i="13"/>
  <c r="V10" i="13"/>
  <c r="P10" i="13"/>
  <c r="O10" i="13"/>
  <c r="Q10" i="13" s="1"/>
  <c r="M10" i="13"/>
  <c r="H10" i="13"/>
  <c r="Z9" i="13"/>
  <c r="AB9" i="13" s="1"/>
  <c r="J9" i="13" s="1"/>
  <c r="W9" i="13"/>
  <c r="V9" i="13"/>
  <c r="P9" i="13"/>
  <c r="O9" i="13"/>
  <c r="Q9" i="13" s="1"/>
  <c r="M9" i="13"/>
  <c r="H9" i="13"/>
  <c r="Z8" i="13"/>
  <c r="AB8" i="13" s="1"/>
  <c r="J8" i="13" s="1"/>
  <c r="K8" i="13" s="1"/>
  <c r="W8" i="13"/>
  <c r="V8" i="13"/>
  <c r="P8" i="13"/>
  <c r="O8" i="13"/>
  <c r="Q8" i="13" s="1"/>
  <c r="M8" i="13"/>
  <c r="H8" i="13"/>
  <c r="Z7" i="13"/>
  <c r="AB7" i="13" s="1"/>
  <c r="J7" i="13" s="1"/>
  <c r="W7" i="13"/>
  <c r="V7" i="13"/>
  <c r="P7" i="13"/>
  <c r="O7" i="13"/>
  <c r="Q7" i="13" s="1"/>
  <c r="M7" i="13"/>
  <c r="H7" i="13"/>
  <c r="Z6" i="13"/>
  <c r="AB6" i="13" s="1"/>
  <c r="J6" i="13" s="1"/>
  <c r="K6" i="13" s="1"/>
  <c r="W6" i="13"/>
  <c r="V6" i="13"/>
  <c r="P6" i="13"/>
  <c r="O6" i="13"/>
  <c r="Q6" i="13" s="1"/>
  <c r="M6" i="13"/>
  <c r="I6" i="13"/>
  <c r="H6" i="13"/>
  <c r="Z5" i="13"/>
  <c r="AB5" i="13" s="1"/>
  <c r="J5" i="13" s="1"/>
  <c r="W5" i="13"/>
  <c r="V5" i="13"/>
  <c r="P5" i="13"/>
  <c r="O5" i="13"/>
  <c r="Q5" i="13" s="1"/>
  <c r="M5" i="13"/>
  <c r="H5" i="13"/>
  <c r="Z4" i="13"/>
  <c r="AB4" i="13" s="1"/>
  <c r="J4" i="13" s="1"/>
  <c r="K4" i="13" s="1"/>
  <c r="W4" i="13"/>
  <c r="V4" i="13"/>
  <c r="V3" i="13" s="1"/>
  <c r="P4" i="13"/>
  <c r="O4" i="13"/>
  <c r="Q4" i="13" s="1"/>
  <c r="M4" i="13"/>
  <c r="H4" i="13"/>
  <c r="AE3" i="13"/>
  <c r="U3" i="13"/>
  <c r="O3" i="13"/>
  <c r="G3" i="13"/>
  <c r="H3" i="13" s="1"/>
  <c r="F3" i="13"/>
  <c r="D3" i="13"/>
  <c r="C3" i="13"/>
  <c r="B3" i="13"/>
  <c r="A2" i="13"/>
  <c r="A1" i="13"/>
  <c r="Z56" i="12"/>
  <c r="AB56" i="12" s="1"/>
  <c r="J56" i="12" s="1"/>
  <c r="W56" i="12"/>
  <c r="V56" i="12"/>
  <c r="T56" i="12"/>
  <c r="S56" i="12"/>
  <c r="R56" i="12"/>
  <c r="Q56" i="12"/>
  <c r="P56" i="12"/>
  <c r="O56" i="12"/>
  <c r="M56" i="12"/>
  <c r="H56" i="12"/>
  <c r="C56" i="12"/>
  <c r="Z55" i="12"/>
  <c r="AB55" i="12" s="1"/>
  <c r="J55" i="12" s="1"/>
  <c r="W55" i="12"/>
  <c r="V55" i="12"/>
  <c r="P55" i="12"/>
  <c r="O55" i="12"/>
  <c r="Q55" i="12" s="1"/>
  <c r="M55" i="12"/>
  <c r="H55" i="12"/>
  <c r="C55" i="12"/>
  <c r="Z54" i="12"/>
  <c r="AB54" i="12" s="1"/>
  <c r="J54" i="12" s="1"/>
  <c r="W54" i="12"/>
  <c r="V54" i="12"/>
  <c r="T54" i="12"/>
  <c r="S54" i="12"/>
  <c r="R54" i="12"/>
  <c r="P54" i="12"/>
  <c r="O54" i="12"/>
  <c r="Q54" i="12" s="1"/>
  <c r="M54" i="12"/>
  <c r="H54" i="12"/>
  <c r="C54" i="12"/>
  <c r="Z53" i="12"/>
  <c r="AB53" i="12" s="1"/>
  <c r="J53" i="12" s="1"/>
  <c r="W53" i="12"/>
  <c r="V53" i="12"/>
  <c r="T53" i="12"/>
  <c r="S53" i="12"/>
  <c r="R53" i="12"/>
  <c r="P53" i="12"/>
  <c r="O53" i="12"/>
  <c r="Q53" i="12" s="1"/>
  <c r="M53" i="12"/>
  <c r="H53" i="12"/>
  <c r="C53" i="12"/>
  <c r="Z52" i="12"/>
  <c r="AB52" i="12" s="1"/>
  <c r="J52" i="12" s="1"/>
  <c r="W52" i="12"/>
  <c r="V52" i="12"/>
  <c r="T52" i="12"/>
  <c r="S52" i="12"/>
  <c r="R52" i="12"/>
  <c r="P52" i="12"/>
  <c r="O52" i="12"/>
  <c r="Q52" i="12" s="1"/>
  <c r="M52" i="12"/>
  <c r="H52" i="12"/>
  <c r="C52" i="12"/>
  <c r="Z51" i="12"/>
  <c r="AB51" i="12" s="1"/>
  <c r="J51" i="12" s="1"/>
  <c r="W51" i="12"/>
  <c r="V51" i="12"/>
  <c r="T51" i="12"/>
  <c r="S51" i="12"/>
  <c r="R51" i="12"/>
  <c r="P51" i="12"/>
  <c r="O51" i="12"/>
  <c r="Q51" i="12" s="1"/>
  <c r="M51" i="12"/>
  <c r="H51" i="12"/>
  <c r="C51" i="12"/>
  <c r="Z50" i="12"/>
  <c r="AB50" i="12" s="1"/>
  <c r="J50" i="12" s="1"/>
  <c r="W50" i="12"/>
  <c r="V50" i="12"/>
  <c r="T50" i="12"/>
  <c r="S50" i="12"/>
  <c r="R50" i="12"/>
  <c r="P50" i="12"/>
  <c r="O50" i="12"/>
  <c r="Q50" i="12" s="1"/>
  <c r="M50" i="12"/>
  <c r="H50" i="12"/>
  <c r="C50" i="12"/>
  <c r="Z49" i="12"/>
  <c r="AB49" i="12" s="1"/>
  <c r="J49" i="12" s="1"/>
  <c r="W49" i="12"/>
  <c r="V49" i="12"/>
  <c r="T49" i="12"/>
  <c r="S49" i="12"/>
  <c r="R49" i="12"/>
  <c r="P49" i="12"/>
  <c r="O49" i="12"/>
  <c r="Q49" i="12" s="1"/>
  <c r="M49" i="12"/>
  <c r="H49" i="12"/>
  <c r="C49" i="12"/>
  <c r="Z48" i="12"/>
  <c r="AB48" i="12" s="1"/>
  <c r="J48" i="12" s="1"/>
  <c r="W48" i="12"/>
  <c r="V48" i="12"/>
  <c r="T48" i="12"/>
  <c r="S48" i="12"/>
  <c r="R48" i="12"/>
  <c r="P48" i="12"/>
  <c r="O48" i="12"/>
  <c r="Q48" i="12" s="1"/>
  <c r="M48" i="12"/>
  <c r="H48" i="12"/>
  <c r="C48" i="12"/>
  <c r="Z47" i="12"/>
  <c r="AB47" i="12" s="1"/>
  <c r="W47" i="12"/>
  <c r="V47" i="12"/>
  <c r="P47" i="12"/>
  <c r="Q47" i="12" s="1"/>
  <c r="O47" i="12"/>
  <c r="M47" i="12"/>
  <c r="J47" i="12"/>
  <c r="K47" i="12" s="1"/>
  <c r="H47" i="12"/>
  <c r="C47" i="12"/>
  <c r="AB46" i="12"/>
  <c r="J46" i="12" s="1"/>
  <c r="Z46" i="12"/>
  <c r="W46" i="12"/>
  <c r="V46" i="12"/>
  <c r="Q46" i="12"/>
  <c r="P46" i="12"/>
  <c r="O46" i="12"/>
  <c r="M46" i="12"/>
  <c r="H46" i="12"/>
  <c r="C46" i="12"/>
  <c r="AB45" i="12"/>
  <c r="J45" i="12" s="1"/>
  <c r="I45" i="12" s="1"/>
  <c r="Z45" i="12"/>
  <c r="W45" i="12"/>
  <c r="V45" i="12"/>
  <c r="Q45" i="12"/>
  <c r="P45" i="12"/>
  <c r="O45" i="12"/>
  <c r="M45" i="12"/>
  <c r="K45" i="12"/>
  <c r="H45" i="12"/>
  <c r="C45" i="12"/>
  <c r="Z44" i="12"/>
  <c r="AB44" i="12" s="1"/>
  <c r="J44" i="12" s="1"/>
  <c r="K44" i="12" s="1"/>
  <c r="W44" i="12"/>
  <c r="V44" i="12"/>
  <c r="P44" i="12"/>
  <c r="O44" i="12"/>
  <c r="Q44" i="12" s="1"/>
  <c r="M44" i="12"/>
  <c r="I44" i="12"/>
  <c r="H44" i="12"/>
  <c r="C44" i="12"/>
  <c r="Z43" i="12"/>
  <c r="AB43" i="12" s="1"/>
  <c r="J43" i="12" s="1"/>
  <c r="W43" i="12"/>
  <c r="V43" i="12"/>
  <c r="P43" i="12"/>
  <c r="O43" i="12"/>
  <c r="M43" i="12"/>
  <c r="H43" i="12"/>
  <c r="C43" i="12"/>
  <c r="Z42" i="12"/>
  <c r="AB42" i="12" s="1"/>
  <c r="J42" i="12" s="1"/>
  <c r="W42" i="12"/>
  <c r="V42" i="12"/>
  <c r="T42" i="12"/>
  <c r="S42" i="12"/>
  <c r="R42" i="12"/>
  <c r="P42" i="12"/>
  <c r="O42" i="12"/>
  <c r="Q42" i="12" s="1"/>
  <c r="M42" i="12"/>
  <c r="H42" i="12"/>
  <c r="C42" i="12"/>
  <c r="Z41" i="12"/>
  <c r="AB41" i="12" s="1"/>
  <c r="J41" i="12" s="1"/>
  <c r="W41" i="12"/>
  <c r="V41" i="12"/>
  <c r="Q41" i="12"/>
  <c r="P41" i="12"/>
  <c r="O41" i="12"/>
  <c r="M41" i="12"/>
  <c r="H41" i="12"/>
  <c r="C41" i="12"/>
  <c r="AB39" i="12"/>
  <c r="J39" i="12" s="1"/>
  <c r="Z39" i="12"/>
  <c r="W39" i="12"/>
  <c r="V39" i="12"/>
  <c r="Q39" i="12"/>
  <c r="P39" i="12"/>
  <c r="O39" i="12"/>
  <c r="M39" i="12"/>
  <c r="H39" i="12"/>
  <c r="C39" i="12"/>
  <c r="Z38" i="12"/>
  <c r="AB38" i="12" s="1"/>
  <c r="J38" i="12" s="1"/>
  <c r="W38" i="12"/>
  <c r="V38" i="12"/>
  <c r="P38" i="12"/>
  <c r="O38" i="12"/>
  <c r="Q38" i="12" s="1"/>
  <c r="M38" i="12"/>
  <c r="H38" i="12"/>
  <c r="C38" i="12"/>
  <c r="Z37" i="12"/>
  <c r="AB37" i="12" s="1"/>
  <c r="J37" i="12" s="1"/>
  <c r="W37" i="12"/>
  <c r="V37" i="12"/>
  <c r="P37" i="12"/>
  <c r="Q37" i="12" s="1"/>
  <c r="O37" i="12"/>
  <c r="M37" i="12"/>
  <c r="H37" i="12"/>
  <c r="C37" i="12"/>
  <c r="AB36" i="12"/>
  <c r="J36" i="12" s="1"/>
  <c r="Z36" i="12"/>
  <c r="W36" i="12"/>
  <c r="V36" i="12"/>
  <c r="P36" i="12"/>
  <c r="Q36" i="12" s="1"/>
  <c r="O36" i="12"/>
  <c r="M36" i="12"/>
  <c r="H36" i="12"/>
  <c r="C36" i="12"/>
  <c r="AB35" i="12"/>
  <c r="J35" i="12" s="1"/>
  <c r="I35" i="12" s="1"/>
  <c r="Z35" i="12"/>
  <c r="W35" i="12"/>
  <c r="V35" i="12"/>
  <c r="Q35" i="12"/>
  <c r="P35" i="12"/>
  <c r="O35" i="12"/>
  <c r="M35" i="12"/>
  <c r="K35" i="12"/>
  <c r="H35" i="12"/>
  <c r="C35" i="12"/>
  <c r="Z34" i="12"/>
  <c r="AB34" i="12" s="1"/>
  <c r="J34" i="12" s="1"/>
  <c r="K34" i="12" s="1"/>
  <c r="W34" i="12"/>
  <c r="V34" i="12"/>
  <c r="P34" i="12"/>
  <c r="O34" i="12"/>
  <c r="Q34" i="12" s="1"/>
  <c r="M34" i="12"/>
  <c r="H34" i="12"/>
  <c r="C34" i="12"/>
  <c r="Z33" i="12"/>
  <c r="AB33" i="12" s="1"/>
  <c r="J33" i="12" s="1"/>
  <c r="W33" i="12"/>
  <c r="V33" i="12"/>
  <c r="P33" i="12"/>
  <c r="O33" i="12"/>
  <c r="M33" i="12"/>
  <c r="H33" i="12"/>
  <c r="C33" i="12"/>
  <c r="AB32" i="12"/>
  <c r="J32" i="12" s="1"/>
  <c r="Z32" i="12"/>
  <c r="W32" i="12"/>
  <c r="V32" i="12"/>
  <c r="Q32" i="12"/>
  <c r="P32" i="12"/>
  <c r="O32" i="12"/>
  <c r="M32" i="12"/>
  <c r="H32" i="12"/>
  <c r="C32" i="12"/>
  <c r="AB31" i="12"/>
  <c r="J31" i="12" s="1"/>
  <c r="Z31" i="12"/>
  <c r="W31" i="12"/>
  <c r="V31" i="12"/>
  <c r="Q31" i="12"/>
  <c r="P31" i="12"/>
  <c r="O31" i="12"/>
  <c r="M31" i="12"/>
  <c r="H31" i="12"/>
  <c r="C31" i="12"/>
  <c r="Z30" i="12"/>
  <c r="AB30" i="12" s="1"/>
  <c r="J30" i="12" s="1"/>
  <c r="W30" i="12"/>
  <c r="V30" i="12"/>
  <c r="P30" i="12"/>
  <c r="O30" i="12"/>
  <c r="Q30" i="12" s="1"/>
  <c r="M30" i="12"/>
  <c r="H30" i="12"/>
  <c r="C30" i="12"/>
  <c r="Z29" i="12"/>
  <c r="AB29" i="12" s="1"/>
  <c r="W29" i="12"/>
  <c r="V29" i="12"/>
  <c r="P29" i="12"/>
  <c r="Q29" i="12" s="1"/>
  <c r="O29" i="12"/>
  <c r="M29" i="12"/>
  <c r="J29" i="12"/>
  <c r="K29" i="12" s="1"/>
  <c r="H29" i="12"/>
  <c r="C29" i="12"/>
  <c r="AB28" i="12"/>
  <c r="J28" i="12" s="1"/>
  <c r="Z28" i="12"/>
  <c r="W28" i="12"/>
  <c r="V28" i="12"/>
  <c r="Q28" i="12"/>
  <c r="P28" i="12"/>
  <c r="O28" i="12"/>
  <c r="M28" i="12"/>
  <c r="H28" i="12"/>
  <c r="C28" i="12"/>
  <c r="AB27" i="12"/>
  <c r="J27" i="12" s="1"/>
  <c r="I27" i="12" s="1"/>
  <c r="Z27" i="12"/>
  <c r="W27" i="12"/>
  <c r="V27" i="12"/>
  <c r="Q27" i="12"/>
  <c r="P27" i="12"/>
  <c r="O27" i="12"/>
  <c r="M27" i="12"/>
  <c r="K27" i="12"/>
  <c r="H27" i="12"/>
  <c r="C27" i="12"/>
  <c r="Z26" i="12"/>
  <c r="AB26" i="12" s="1"/>
  <c r="J26" i="12" s="1"/>
  <c r="K26" i="12" s="1"/>
  <c r="W26" i="12"/>
  <c r="V26" i="12"/>
  <c r="P26" i="12"/>
  <c r="O26" i="12"/>
  <c r="Q26" i="12" s="1"/>
  <c r="M26" i="12"/>
  <c r="I26" i="12"/>
  <c r="H26" i="12"/>
  <c r="C26" i="12"/>
  <c r="Z25" i="12"/>
  <c r="AB25" i="12" s="1"/>
  <c r="J25" i="12" s="1"/>
  <c r="W25" i="12"/>
  <c r="V25" i="12"/>
  <c r="P25" i="12"/>
  <c r="O25" i="12"/>
  <c r="Q25" i="12" s="1"/>
  <c r="M25" i="12"/>
  <c r="H25" i="12"/>
  <c r="Z24" i="12"/>
  <c r="AB24" i="12" s="1"/>
  <c r="W24" i="12"/>
  <c r="V24" i="12"/>
  <c r="P24" i="12"/>
  <c r="Q24" i="12" s="1"/>
  <c r="O24" i="12"/>
  <c r="M24" i="12"/>
  <c r="J24" i="12"/>
  <c r="K24" i="12" s="1"/>
  <c r="H24" i="12"/>
  <c r="Z23" i="12"/>
  <c r="AB23" i="12" s="1"/>
  <c r="J23" i="12" s="1"/>
  <c r="W23" i="12"/>
  <c r="V23" i="12"/>
  <c r="P23" i="12"/>
  <c r="O23" i="12"/>
  <c r="Q23" i="12" s="1"/>
  <c r="M23" i="12"/>
  <c r="H23" i="12"/>
  <c r="Z22" i="12"/>
  <c r="AB22" i="12" s="1"/>
  <c r="W22" i="12"/>
  <c r="V22" i="12"/>
  <c r="P22" i="12"/>
  <c r="Q22" i="12" s="1"/>
  <c r="O22" i="12"/>
  <c r="M22" i="12"/>
  <c r="J22" i="12"/>
  <c r="K22" i="12" s="1"/>
  <c r="H22" i="12"/>
  <c r="Z21" i="12"/>
  <c r="AB21" i="12" s="1"/>
  <c r="J21" i="12" s="1"/>
  <c r="W21" i="12"/>
  <c r="V21" i="12"/>
  <c r="P21" i="12"/>
  <c r="O21" i="12"/>
  <c r="Q21" i="12" s="1"/>
  <c r="M21" i="12"/>
  <c r="H21" i="12"/>
  <c r="Z20" i="12"/>
  <c r="AB20" i="12" s="1"/>
  <c r="W20" i="12"/>
  <c r="V20" i="12"/>
  <c r="P20" i="12"/>
  <c r="Q20" i="12" s="1"/>
  <c r="O20" i="12"/>
  <c r="M20" i="12"/>
  <c r="J20" i="12"/>
  <c r="K20" i="12" s="1"/>
  <c r="H20" i="12"/>
  <c r="Z19" i="12"/>
  <c r="AB19" i="12" s="1"/>
  <c r="J19" i="12" s="1"/>
  <c r="W19" i="12"/>
  <c r="V19" i="12"/>
  <c r="P19" i="12"/>
  <c r="O19" i="12"/>
  <c r="Q19" i="12" s="1"/>
  <c r="M19" i="12"/>
  <c r="H19" i="12"/>
  <c r="Z18" i="12"/>
  <c r="AB18" i="12" s="1"/>
  <c r="W18" i="12"/>
  <c r="V18" i="12"/>
  <c r="P18" i="12"/>
  <c r="Q18" i="12" s="1"/>
  <c r="O18" i="12"/>
  <c r="M18" i="12"/>
  <c r="J18" i="12"/>
  <c r="K18" i="12" s="1"/>
  <c r="H18" i="12"/>
  <c r="Z17" i="12"/>
  <c r="AB17" i="12" s="1"/>
  <c r="J17" i="12" s="1"/>
  <c r="W17" i="12"/>
  <c r="V17" i="12"/>
  <c r="P17" i="12"/>
  <c r="O17" i="12"/>
  <c r="Q17" i="12" s="1"/>
  <c r="M17" i="12"/>
  <c r="H17" i="12"/>
  <c r="Z16" i="12"/>
  <c r="AB16" i="12" s="1"/>
  <c r="W16" i="12"/>
  <c r="V16" i="12"/>
  <c r="P16" i="12"/>
  <c r="Q16" i="12" s="1"/>
  <c r="O16" i="12"/>
  <c r="M16" i="12"/>
  <c r="J16" i="12"/>
  <c r="K16" i="12" s="1"/>
  <c r="H16" i="12"/>
  <c r="Z15" i="12"/>
  <c r="AB15" i="12" s="1"/>
  <c r="J15" i="12" s="1"/>
  <c r="W15" i="12"/>
  <c r="V15" i="12"/>
  <c r="P15" i="12"/>
  <c r="O15" i="12"/>
  <c r="Q15" i="12" s="1"/>
  <c r="M15" i="12"/>
  <c r="H15" i="12"/>
  <c r="Z14" i="12"/>
  <c r="AB14" i="12" s="1"/>
  <c r="W14" i="12"/>
  <c r="V14" i="12"/>
  <c r="P14" i="12"/>
  <c r="Q14" i="12" s="1"/>
  <c r="O14" i="12"/>
  <c r="M14" i="12"/>
  <c r="J14" i="12"/>
  <c r="K14" i="12" s="1"/>
  <c r="H14" i="12"/>
  <c r="Z13" i="12"/>
  <c r="AB13" i="12" s="1"/>
  <c r="J13" i="12" s="1"/>
  <c r="W13" i="12"/>
  <c r="V13" i="12"/>
  <c r="P13" i="12"/>
  <c r="O13" i="12"/>
  <c r="Q13" i="12" s="1"/>
  <c r="M13" i="12"/>
  <c r="H13" i="12"/>
  <c r="Z12" i="12"/>
  <c r="AB12" i="12" s="1"/>
  <c r="W12" i="12"/>
  <c r="V12" i="12"/>
  <c r="P12" i="12"/>
  <c r="Q12" i="12" s="1"/>
  <c r="O12" i="12"/>
  <c r="M12" i="12"/>
  <c r="J12" i="12"/>
  <c r="K12" i="12" s="1"/>
  <c r="H12" i="12"/>
  <c r="Z11" i="12"/>
  <c r="AB11" i="12" s="1"/>
  <c r="J11" i="12" s="1"/>
  <c r="W11" i="12"/>
  <c r="V11" i="12"/>
  <c r="P11" i="12"/>
  <c r="O11" i="12"/>
  <c r="Q11" i="12" s="1"/>
  <c r="M11" i="12"/>
  <c r="H11" i="12"/>
  <c r="Z10" i="12"/>
  <c r="AB10" i="12" s="1"/>
  <c r="W10" i="12"/>
  <c r="V10" i="12"/>
  <c r="P10" i="12"/>
  <c r="Q10" i="12" s="1"/>
  <c r="O10" i="12"/>
  <c r="M10" i="12"/>
  <c r="J10" i="12"/>
  <c r="K10" i="12" s="1"/>
  <c r="H10" i="12"/>
  <c r="Z9" i="12"/>
  <c r="AB9" i="12" s="1"/>
  <c r="J9" i="12" s="1"/>
  <c r="W9" i="12"/>
  <c r="V9" i="12"/>
  <c r="P9" i="12"/>
  <c r="O9" i="12"/>
  <c r="Q9" i="12" s="1"/>
  <c r="M9" i="12"/>
  <c r="H9" i="12"/>
  <c r="Z8" i="12"/>
  <c r="AB8" i="12" s="1"/>
  <c r="W8" i="12"/>
  <c r="V8" i="12"/>
  <c r="P8" i="12"/>
  <c r="Q8" i="12" s="1"/>
  <c r="O8" i="12"/>
  <c r="M8" i="12"/>
  <c r="J8" i="12"/>
  <c r="K8" i="12" s="1"/>
  <c r="H8" i="12"/>
  <c r="Z7" i="12"/>
  <c r="AB7" i="12" s="1"/>
  <c r="J7" i="12" s="1"/>
  <c r="W7" i="12"/>
  <c r="V7" i="12"/>
  <c r="P7" i="12"/>
  <c r="O7" i="12"/>
  <c r="Q7" i="12" s="1"/>
  <c r="M7" i="12"/>
  <c r="H7" i="12"/>
  <c r="Z6" i="12"/>
  <c r="AB6" i="12" s="1"/>
  <c r="W6" i="12"/>
  <c r="V6" i="12"/>
  <c r="P6" i="12"/>
  <c r="Q6" i="12" s="1"/>
  <c r="O6" i="12"/>
  <c r="M6" i="12"/>
  <c r="J6" i="12"/>
  <c r="K6" i="12" s="1"/>
  <c r="H6" i="12"/>
  <c r="Z5" i="12"/>
  <c r="AB5" i="12" s="1"/>
  <c r="J5" i="12" s="1"/>
  <c r="W5" i="12"/>
  <c r="V5" i="12"/>
  <c r="P5" i="12"/>
  <c r="O5" i="12"/>
  <c r="Q5" i="12" s="1"/>
  <c r="M5" i="12"/>
  <c r="H5" i="12"/>
  <c r="Z4" i="12"/>
  <c r="AB4" i="12" s="1"/>
  <c r="W4" i="12"/>
  <c r="V4" i="12"/>
  <c r="P4" i="12"/>
  <c r="Q4" i="12" s="1"/>
  <c r="O4" i="12"/>
  <c r="M4" i="12"/>
  <c r="J4" i="12"/>
  <c r="K4" i="12" s="1"/>
  <c r="H4" i="12"/>
  <c r="AE3" i="12"/>
  <c r="U3" i="12"/>
  <c r="O3" i="12"/>
  <c r="G3" i="12"/>
  <c r="H3" i="12" s="1"/>
  <c r="F3" i="12"/>
  <c r="D3" i="12"/>
  <c r="C3" i="12"/>
  <c r="B3" i="12"/>
  <c r="A2" i="12"/>
  <c r="A1" i="12"/>
  <c r="Z56" i="11"/>
  <c r="AB56" i="11" s="1"/>
  <c r="J56" i="11" s="1"/>
  <c r="K56" i="11" s="1"/>
  <c r="W56" i="11"/>
  <c r="V56" i="11"/>
  <c r="T56" i="11"/>
  <c r="S56" i="11"/>
  <c r="R56" i="11"/>
  <c r="P56" i="11"/>
  <c r="O56" i="11"/>
  <c r="Q56" i="11" s="1"/>
  <c r="M56" i="11"/>
  <c r="I56" i="11"/>
  <c r="H56" i="11"/>
  <c r="C56" i="11"/>
  <c r="Z55" i="11"/>
  <c r="AB55" i="11" s="1"/>
  <c r="J55" i="11" s="1"/>
  <c r="W55" i="11"/>
  <c r="V55" i="11"/>
  <c r="P55" i="11"/>
  <c r="O55" i="11"/>
  <c r="Q55" i="11" s="1"/>
  <c r="M55" i="11"/>
  <c r="H55" i="11"/>
  <c r="C55" i="11"/>
  <c r="Z54" i="11"/>
  <c r="AB54" i="11" s="1"/>
  <c r="J54" i="11" s="1"/>
  <c r="W54" i="11"/>
  <c r="V54" i="11"/>
  <c r="T54" i="11"/>
  <c r="S54" i="11"/>
  <c r="R54" i="11"/>
  <c r="P54" i="11"/>
  <c r="O54" i="11"/>
  <c r="Q54" i="11" s="1"/>
  <c r="M54" i="11"/>
  <c r="H54" i="11"/>
  <c r="C54" i="11"/>
  <c r="Z53" i="11"/>
  <c r="AB53" i="11" s="1"/>
  <c r="J53" i="11" s="1"/>
  <c r="W53" i="11"/>
  <c r="V53" i="11"/>
  <c r="T53" i="11"/>
  <c r="S53" i="11"/>
  <c r="R53" i="11"/>
  <c r="P53" i="11"/>
  <c r="O53" i="11"/>
  <c r="Q53" i="11" s="1"/>
  <c r="M53" i="11"/>
  <c r="H53" i="11"/>
  <c r="C53" i="11"/>
  <c r="Z52" i="11"/>
  <c r="AB52" i="11" s="1"/>
  <c r="J52" i="11" s="1"/>
  <c r="W52" i="11"/>
  <c r="V52" i="11"/>
  <c r="T52" i="11"/>
  <c r="S52" i="11"/>
  <c r="R52" i="11"/>
  <c r="P52" i="11"/>
  <c r="O52" i="11"/>
  <c r="Q52" i="11" s="1"/>
  <c r="M52" i="11"/>
  <c r="H52" i="11"/>
  <c r="C52" i="11"/>
  <c r="Z51" i="11"/>
  <c r="AB51" i="11" s="1"/>
  <c r="J51" i="11" s="1"/>
  <c r="W51" i="11"/>
  <c r="V51" i="11"/>
  <c r="T51" i="11"/>
  <c r="S51" i="11"/>
  <c r="R51" i="11"/>
  <c r="P51" i="11"/>
  <c r="O51" i="11"/>
  <c r="Q51" i="11" s="1"/>
  <c r="M51" i="11"/>
  <c r="H51" i="11"/>
  <c r="C51" i="11"/>
  <c r="Z50" i="11"/>
  <c r="AB50" i="11" s="1"/>
  <c r="J50" i="11" s="1"/>
  <c r="W50" i="11"/>
  <c r="V50" i="11"/>
  <c r="T50" i="11"/>
  <c r="S50" i="11"/>
  <c r="R50" i="11"/>
  <c r="P50" i="11"/>
  <c r="O50" i="11"/>
  <c r="Q50" i="11" s="1"/>
  <c r="M50" i="11"/>
  <c r="H50" i="11"/>
  <c r="C50" i="11"/>
  <c r="Z49" i="11"/>
  <c r="AB49" i="11" s="1"/>
  <c r="J49" i="11" s="1"/>
  <c r="W49" i="11"/>
  <c r="V49" i="11"/>
  <c r="T49" i="11"/>
  <c r="S49" i="11"/>
  <c r="R49" i="11"/>
  <c r="P49" i="11"/>
  <c r="O49" i="11"/>
  <c r="Q49" i="11" s="1"/>
  <c r="M49" i="11"/>
  <c r="H49" i="11"/>
  <c r="C49" i="11"/>
  <c r="Z48" i="11"/>
  <c r="AB48" i="11" s="1"/>
  <c r="J48" i="11" s="1"/>
  <c r="W48" i="11"/>
  <c r="V48" i="11"/>
  <c r="T48" i="11"/>
  <c r="S48" i="11"/>
  <c r="R48" i="11"/>
  <c r="P48" i="11"/>
  <c r="O48" i="11"/>
  <c r="Q48" i="11" s="1"/>
  <c r="M48" i="11"/>
  <c r="H48" i="11"/>
  <c r="C48" i="11"/>
  <c r="Z47" i="11"/>
  <c r="AB47" i="11" s="1"/>
  <c r="J47" i="11" s="1"/>
  <c r="W47" i="11"/>
  <c r="V47" i="11"/>
  <c r="Q47" i="11"/>
  <c r="P47" i="11"/>
  <c r="O47" i="11"/>
  <c r="M47" i="11"/>
  <c r="H47" i="11"/>
  <c r="C47" i="11"/>
  <c r="Z46" i="11"/>
  <c r="AB46" i="11" s="1"/>
  <c r="J46" i="11" s="1"/>
  <c r="W46" i="11"/>
  <c r="V46" i="11"/>
  <c r="Q46" i="11"/>
  <c r="P46" i="11"/>
  <c r="O46" i="11"/>
  <c r="M46" i="11"/>
  <c r="H46" i="11"/>
  <c r="C46" i="11"/>
  <c r="Z45" i="11"/>
  <c r="AB45" i="11" s="1"/>
  <c r="J45" i="11" s="1"/>
  <c r="W45" i="11"/>
  <c r="V45" i="11"/>
  <c r="P45" i="11"/>
  <c r="O45" i="11"/>
  <c r="Q45" i="11" s="1"/>
  <c r="M45" i="11"/>
  <c r="H45" i="11"/>
  <c r="C45" i="11"/>
  <c r="Z44" i="11"/>
  <c r="AB44" i="11" s="1"/>
  <c r="J44" i="11" s="1"/>
  <c r="W44" i="11"/>
  <c r="V44" i="11"/>
  <c r="P44" i="11"/>
  <c r="O44" i="11"/>
  <c r="Q44" i="11" s="1"/>
  <c r="M44" i="11"/>
  <c r="H44" i="11"/>
  <c r="C44" i="11"/>
  <c r="AB43" i="11"/>
  <c r="J43" i="11" s="1"/>
  <c r="Z43" i="11"/>
  <c r="W43" i="11"/>
  <c r="V43" i="11"/>
  <c r="P43" i="11"/>
  <c r="Q43" i="11" s="1"/>
  <c r="O43" i="11"/>
  <c r="M43" i="11"/>
  <c r="H43" i="11"/>
  <c r="C43" i="11"/>
  <c r="AB42" i="11"/>
  <c r="J42" i="11" s="1"/>
  <c r="Z42" i="11"/>
  <c r="W42" i="11"/>
  <c r="V42" i="11"/>
  <c r="T42" i="11"/>
  <c r="S42" i="11"/>
  <c r="R42" i="11"/>
  <c r="P42" i="11"/>
  <c r="Q42" i="11" s="1"/>
  <c r="O42" i="11"/>
  <c r="M42" i="11"/>
  <c r="H42" i="11"/>
  <c r="C42" i="11"/>
  <c r="AB41" i="11"/>
  <c r="J41" i="11" s="1"/>
  <c r="I41" i="11" s="1"/>
  <c r="Z41" i="11"/>
  <c r="W41" i="11"/>
  <c r="V41" i="11"/>
  <c r="Q41" i="11"/>
  <c r="P41" i="11"/>
  <c r="O41" i="11"/>
  <c r="M41" i="11"/>
  <c r="K41" i="11"/>
  <c r="H41" i="11"/>
  <c r="C41" i="11"/>
  <c r="AB39" i="11"/>
  <c r="J39" i="11" s="1"/>
  <c r="K39" i="11" s="1"/>
  <c r="Z39" i="11"/>
  <c r="W39" i="11"/>
  <c r="V39" i="11"/>
  <c r="P39" i="11"/>
  <c r="O39" i="11"/>
  <c r="Q39" i="11" s="1"/>
  <c r="M39" i="11"/>
  <c r="H39" i="11"/>
  <c r="C39" i="11"/>
  <c r="Z38" i="11"/>
  <c r="AB38" i="11" s="1"/>
  <c r="J38" i="11" s="1"/>
  <c r="W38" i="11"/>
  <c r="V38" i="11"/>
  <c r="P38" i="11"/>
  <c r="O38" i="11"/>
  <c r="M38" i="11"/>
  <c r="H38" i="11"/>
  <c r="C38" i="11"/>
  <c r="Z37" i="11"/>
  <c r="AB37" i="11" s="1"/>
  <c r="J37" i="11" s="1"/>
  <c r="W37" i="11"/>
  <c r="V37" i="11"/>
  <c r="Q37" i="11"/>
  <c r="P37" i="11"/>
  <c r="O37" i="11"/>
  <c r="M37" i="11"/>
  <c r="H37" i="11"/>
  <c r="C37" i="11"/>
  <c r="Z36" i="11"/>
  <c r="AB36" i="11" s="1"/>
  <c r="J36" i="11" s="1"/>
  <c r="W36" i="11"/>
  <c r="V36" i="11"/>
  <c r="Q36" i="11"/>
  <c r="P36" i="11"/>
  <c r="O36" i="11"/>
  <c r="M36" i="11"/>
  <c r="H36" i="11"/>
  <c r="C36" i="11"/>
  <c r="Z35" i="11"/>
  <c r="AB35" i="11" s="1"/>
  <c r="J35" i="11" s="1"/>
  <c r="W35" i="11"/>
  <c r="V35" i="11"/>
  <c r="P35" i="11"/>
  <c r="O35" i="11"/>
  <c r="Q35" i="11" s="1"/>
  <c r="M35" i="11"/>
  <c r="H35" i="11"/>
  <c r="C35" i="11"/>
  <c r="Z34" i="11"/>
  <c r="AB34" i="11" s="1"/>
  <c r="J34" i="11" s="1"/>
  <c r="W34" i="11"/>
  <c r="V34" i="11"/>
  <c r="P34" i="11"/>
  <c r="O34" i="11"/>
  <c r="Q34" i="11" s="1"/>
  <c r="M34" i="11"/>
  <c r="H34" i="11"/>
  <c r="C34" i="11"/>
  <c r="AB33" i="11"/>
  <c r="J33" i="11" s="1"/>
  <c r="Z33" i="11"/>
  <c r="W33" i="11"/>
  <c r="V33" i="11"/>
  <c r="Q33" i="11"/>
  <c r="P33" i="11"/>
  <c r="O33" i="11"/>
  <c r="M33" i="11"/>
  <c r="H33" i="11"/>
  <c r="C33" i="11"/>
  <c r="AB32" i="11"/>
  <c r="J32" i="11" s="1"/>
  <c r="I32" i="11" s="1"/>
  <c r="Z32" i="11"/>
  <c r="W32" i="11"/>
  <c r="V32" i="11"/>
  <c r="P32" i="11"/>
  <c r="Q32" i="11" s="1"/>
  <c r="O32" i="11"/>
  <c r="M32" i="11"/>
  <c r="H32" i="11"/>
  <c r="C32" i="11"/>
  <c r="AB31" i="11"/>
  <c r="J31" i="11" s="1"/>
  <c r="K31" i="11" s="1"/>
  <c r="Z31" i="11"/>
  <c r="W31" i="11"/>
  <c r="V31" i="11"/>
  <c r="P31" i="11"/>
  <c r="O31" i="11"/>
  <c r="Q31" i="11" s="1"/>
  <c r="M31" i="11"/>
  <c r="H31" i="11"/>
  <c r="C31" i="11"/>
  <c r="Z30" i="11"/>
  <c r="AB30" i="11" s="1"/>
  <c r="J30" i="11" s="1"/>
  <c r="W30" i="11"/>
  <c r="V30" i="11"/>
  <c r="P30" i="11"/>
  <c r="O30" i="11"/>
  <c r="M30" i="11"/>
  <c r="H30" i="11"/>
  <c r="C30" i="11"/>
  <c r="Z29" i="11"/>
  <c r="AB29" i="11" s="1"/>
  <c r="J29" i="11" s="1"/>
  <c r="W29" i="11"/>
  <c r="V29" i="11"/>
  <c r="Q29" i="11"/>
  <c r="P29" i="11"/>
  <c r="O29" i="11"/>
  <c r="M29" i="11"/>
  <c r="H29" i="11"/>
  <c r="C29" i="11"/>
  <c r="Z28" i="11"/>
  <c r="AB28" i="11" s="1"/>
  <c r="J28" i="11" s="1"/>
  <c r="W28" i="11"/>
  <c r="V28" i="11"/>
  <c r="Q28" i="11"/>
  <c r="P28" i="11"/>
  <c r="O28" i="11"/>
  <c r="M28" i="11"/>
  <c r="H28" i="11"/>
  <c r="C28" i="11"/>
  <c r="Z27" i="11"/>
  <c r="AB27" i="11" s="1"/>
  <c r="J27" i="11" s="1"/>
  <c r="W27" i="11"/>
  <c r="V27" i="11"/>
  <c r="P27" i="11"/>
  <c r="O27" i="11"/>
  <c r="Q27" i="11" s="1"/>
  <c r="M27" i="11"/>
  <c r="H27" i="11"/>
  <c r="C27" i="11"/>
  <c r="Z26" i="11"/>
  <c r="AB26" i="11" s="1"/>
  <c r="W26" i="11"/>
  <c r="V26" i="11"/>
  <c r="P26" i="11"/>
  <c r="O26" i="11"/>
  <c r="Q26" i="11" s="1"/>
  <c r="M26" i="11"/>
  <c r="J26" i="11"/>
  <c r="K26" i="11" s="1"/>
  <c r="H26" i="11"/>
  <c r="C26" i="11"/>
  <c r="AB25" i="11"/>
  <c r="J25" i="11" s="1"/>
  <c r="Z25" i="11"/>
  <c r="W25" i="11"/>
  <c r="V25" i="11"/>
  <c r="Q25" i="11"/>
  <c r="P25" i="11"/>
  <c r="O25" i="11"/>
  <c r="M25" i="11"/>
  <c r="H25" i="11"/>
  <c r="Z24" i="11"/>
  <c r="AB24" i="11" s="1"/>
  <c r="J24" i="11" s="1"/>
  <c r="W24" i="11"/>
  <c r="V24" i="11"/>
  <c r="Q24" i="11"/>
  <c r="P24" i="11"/>
  <c r="O24" i="11"/>
  <c r="M24" i="11"/>
  <c r="H24" i="11"/>
  <c r="AB23" i="11"/>
  <c r="J23" i="11" s="1"/>
  <c r="Z23" i="11"/>
  <c r="W23" i="11"/>
  <c r="V23" i="11"/>
  <c r="P23" i="11"/>
  <c r="Q23" i="11" s="1"/>
  <c r="O23" i="11"/>
  <c r="M23" i="11"/>
  <c r="H23" i="11"/>
  <c r="Z22" i="11"/>
  <c r="AB22" i="11" s="1"/>
  <c r="J22" i="11" s="1"/>
  <c r="W22" i="11"/>
  <c r="V22" i="11"/>
  <c r="Q22" i="11"/>
  <c r="P22" i="11"/>
  <c r="O22" i="11"/>
  <c r="M22" i="11"/>
  <c r="H22" i="11"/>
  <c r="AB21" i="11"/>
  <c r="J21" i="11" s="1"/>
  <c r="Z21" i="11"/>
  <c r="W21" i="11"/>
  <c r="V21" i="11"/>
  <c r="Q21" i="11"/>
  <c r="P21" i="11"/>
  <c r="O21" i="11"/>
  <c r="M21" i="11"/>
  <c r="H21" i="11"/>
  <c r="Z20" i="11"/>
  <c r="AB20" i="11" s="1"/>
  <c r="J20" i="11" s="1"/>
  <c r="W20" i="11"/>
  <c r="V20" i="11"/>
  <c r="Q20" i="11"/>
  <c r="P20" i="11"/>
  <c r="O20" i="11"/>
  <c r="M20" i="11"/>
  <c r="H20" i="11"/>
  <c r="AB19" i="11"/>
  <c r="J19" i="11" s="1"/>
  <c r="Z19" i="11"/>
  <c r="W19" i="11"/>
  <c r="V19" i="11"/>
  <c r="P19" i="11"/>
  <c r="Q19" i="11" s="1"/>
  <c r="O19" i="11"/>
  <c r="M19" i="11"/>
  <c r="H19" i="11"/>
  <c r="Z18" i="11"/>
  <c r="AB18" i="11" s="1"/>
  <c r="J18" i="11" s="1"/>
  <c r="W18" i="11"/>
  <c r="V18" i="11"/>
  <c r="Q18" i="11"/>
  <c r="P18" i="11"/>
  <c r="O18" i="11"/>
  <c r="M18" i="11"/>
  <c r="H18" i="11"/>
  <c r="AB17" i="11"/>
  <c r="J17" i="11" s="1"/>
  <c r="Z17" i="11"/>
  <c r="W17" i="11"/>
  <c r="V17" i="11"/>
  <c r="Q17" i="11"/>
  <c r="P17" i="11"/>
  <c r="O17" i="11"/>
  <c r="M17" i="11"/>
  <c r="H17" i="11"/>
  <c r="Z16" i="11"/>
  <c r="AB16" i="11" s="1"/>
  <c r="J16" i="11" s="1"/>
  <c r="W16" i="11"/>
  <c r="V16" i="11"/>
  <c r="Q16" i="11"/>
  <c r="P16" i="11"/>
  <c r="O16" i="11"/>
  <c r="M16" i="11"/>
  <c r="H16" i="11"/>
  <c r="AB15" i="11"/>
  <c r="J15" i="11" s="1"/>
  <c r="Z15" i="11"/>
  <c r="W15" i="11"/>
  <c r="V15" i="11"/>
  <c r="P15" i="11"/>
  <c r="Q15" i="11" s="1"/>
  <c r="O15" i="11"/>
  <c r="M15" i="11"/>
  <c r="H15" i="11"/>
  <c r="Z14" i="11"/>
  <c r="AB14" i="11" s="1"/>
  <c r="J14" i="11" s="1"/>
  <c r="W14" i="11"/>
  <c r="V14" i="11"/>
  <c r="Q14" i="11"/>
  <c r="P14" i="11"/>
  <c r="O14" i="11"/>
  <c r="M14" i="11"/>
  <c r="H14" i="11"/>
  <c r="AB13" i="11"/>
  <c r="J13" i="11" s="1"/>
  <c r="Z13" i="11"/>
  <c r="W13" i="11"/>
  <c r="V13" i="11"/>
  <c r="Q13" i="11"/>
  <c r="P13" i="11"/>
  <c r="O13" i="11"/>
  <c r="M13" i="11"/>
  <c r="H13" i="11"/>
  <c r="Z12" i="11"/>
  <c r="AB12" i="11" s="1"/>
  <c r="J12" i="11" s="1"/>
  <c r="W12" i="11"/>
  <c r="V12" i="11"/>
  <c r="Q12" i="11"/>
  <c r="P12" i="11"/>
  <c r="O12" i="11"/>
  <c r="M12" i="11"/>
  <c r="H12" i="11"/>
  <c r="AB11" i="11"/>
  <c r="J11" i="11" s="1"/>
  <c r="Z11" i="11"/>
  <c r="W11" i="11"/>
  <c r="V11" i="11"/>
  <c r="P11" i="11"/>
  <c r="Q11" i="11" s="1"/>
  <c r="O11" i="11"/>
  <c r="M11" i="11"/>
  <c r="H11" i="11"/>
  <c r="Z10" i="11"/>
  <c r="AB10" i="11" s="1"/>
  <c r="J10" i="11" s="1"/>
  <c r="W10" i="11"/>
  <c r="V10" i="11"/>
  <c r="Q10" i="11"/>
  <c r="P10" i="11"/>
  <c r="O10" i="11"/>
  <c r="M10" i="11"/>
  <c r="H10" i="11"/>
  <c r="AB9" i="11"/>
  <c r="J9" i="11" s="1"/>
  <c r="Z9" i="11"/>
  <c r="W9" i="11"/>
  <c r="V9" i="11"/>
  <c r="Q9" i="11"/>
  <c r="P9" i="11"/>
  <c r="O9" i="11"/>
  <c r="M9" i="11"/>
  <c r="H9" i="11"/>
  <c r="Z8" i="11"/>
  <c r="AB8" i="11" s="1"/>
  <c r="J8" i="11" s="1"/>
  <c r="W8" i="11"/>
  <c r="V8" i="11"/>
  <c r="Q8" i="11"/>
  <c r="P8" i="11"/>
  <c r="O8" i="11"/>
  <c r="M8" i="11"/>
  <c r="H8" i="11"/>
  <c r="AB7" i="11"/>
  <c r="J7" i="11" s="1"/>
  <c r="Z7" i="11"/>
  <c r="W7" i="11"/>
  <c r="V7" i="11"/>
  <c r="P7" i="11"/>
  <c r="Q7" i="11" s="1"/>
  <c r="O7" i="11"/>
  <c r="M7" i="11"/>
  <c r="H7" i="11"/>
  <c r="Z6" i="11"/>
  <c r="AB6" i="11" s="1"/>
  <c r="J6" i="11" s="1"/>
  <c r="W6" i="11"/>
  <c r="V6" i="11"/>
  <c r="Q6" i="11"/>
  <c r="P6" i="11"/>
  <c r="O6" i="11"/>
  <c r="M6" i="11"/>
  <c r="H6" i="11"/>
  <c r="AB5" i="11"/>
  <c r="J5" i="11" s="1"/>
  <c r="Z5" i="11"/>
  <c r="W5" i="11"/>
  <c r="V5" i="11"/>
  <c r="Q5" i="11"/>
  <c r="P5" i="11"/>
  <c r="O5" i="11"/>
  <c r="M5" i="11"/>
  <c r="H5" i="11"/>
  <c r="Z4" i="11"/>
  <c r="AB4" i="11" s="1"/>
  <c r="J4" i="11" s="1"/>
  <c r="W4" i="11"/>
  <c r="V4" i="11"/>
  <c r="Q4" i="11"/>
  <c r="P4" i="11"/>
  <c r="O4" i="11"/>
  <c r="M4" i="11"/>
  <c r="H4" i="11"/>
  <c r="AE3" i="11"/>
  <c r="U3" i="11"/>
  <c r="O3" i="11"/>
  <c r="H3" i="11"/>
  <c r="G3" i="11"/>
  <c r="F3" i="11"/>
  <c r="D3" i="11"/>
  <c r="C3" i="11"/>
  <c r="B3" i="11"/>
  <c r="A2" i="11"/>
  <c r="A1" i="11"/>
  <c r="AB56" i="10"/>
  <c r="Z56" i="10"/>
  <c r="W56" i="10"/>
  <c r="V56" i="10"/>
  <c r="T56" i="10"/>
  <c r="S56" i="10"/>
  <c r="R56" i="10"/>
  <c r="P56" i="10"/>
  <c r="O56" i="10"/>
  <c r="Q56" i="10" s="1"/>
  <c r="M56" i="10"/>
  <c r="J56" i="10"/>
  <c r="K56" i="10" s="1"/>
  <c r="H56" i="10"/>
  <c r="C56" i="10"/>
  <c r="AB55" i="10"/>
  <c r="J55" i="10" s="1"/>
  <c r="Z55" i="10"/>
  <c r="W55" i="10"/>
  <c r="V55" i="10"/>
  <c r="Q55" i="10"/>
  <c r="P55" i="10"/>
  <c r="O55" i="10"/>
  <c r="M55" i="10"/>
  <c r="H55" i="10"/>
  <c r="C55" i="10"/>
  <c r="AB54" i="10"/>
  <c r="J54" i="10" s="1"/>
  <c r="Z54" i="10"/>
  <c r="W54" i="10"/>
  <c r="V54" i="10"/>
  <c r="T54" i="10"/>
  <c r="S54" i="10"/>
  <c r="R54" i="10"/>
  <c r="Q54" i="10"/>
  <c r="P54" i="10"/>
  <c r="O54" i="10"/>
  <c r="M54" i="10"/>
  <c r="H54" i="10"/>
  <c r="C54" i="10"/>
  <c r="AB53" i="10"/>
  <c r="J53" i="10" s="1"/>
  <c r="Z53" i="10"/>
  <c r="W53" i="10"/>
  <c r="V53" i="10"/>
  <c r="T53" i="10"/>
  <c r="S53" i="10"/>
  <c r="R53" i="10"/>
  <c r="Q53" i="10"/>
  <c r="P53" i="10"/>
  <c r="O53" i="10"/>
  <c r="M53" i="10"/>
  <c r="H53" i="10"/>
  <c r="C53" i="10"/>
  <c r="AB52" i="10"/>
  <c r="J52" i="10" s="1"/>
  <c r="Z52" i="10"/>
  <c r="W52" i="10"/>
  <c r="V52" i="10"/>
  <c r="T52" i="10"/>
  <c r="S52" i="10"/>
  <c r="R52" i="10"/>
  <c r="P52" i="10"/>
  <c r="Q52" i="10" s="1"/>
  <c r="O52" i="10"/>
  <c r="M52" i="10"/>
  <c r="H52" i="10"/>
  <c r="C52" i="10"/>
  <c r="AB51" i="10"/>
  <c r="J51" i="10" s="1"/>
  <c r="Z51" i="10"/>
  <c r="W51" i="10"/>
  <c r="V51" i="10"/>
  <c r="T51" i="10"/>
  <c r="S51" i="10"/>
  <c r="R51" i="10"/>
  <c r="P51" i="10"/>
  <c r="Q51" i="10" s="1"/>
  <c r="O51" i="10"/>
  <c r="M51" i="10"/>
  <c r="H51" i="10"/>
  <c r="C51" i="10"/>
  <c r="AB50" i="10"/>
  <c r="J50" i="10" s="1"/>
  <c r="Z50" i="10"/>
  <c r="W50" i="10"/>
  <c r="V50" i="10"/>
  <c r="T50" i="10"/>
  <c r="S50" i="10"/>
  <c r="R50" i="10"/>
  <c r="P50" i="10"/>
  <c r="Q50" i="10" s="1"/>
  <c r="O50" i="10"/>
  <c r="M50" i="10"/>
  <c r="H50" i="10"/>
  <c r="C50" i="10"/>
  <c r="AB49" i="10"/>
  <c r="J49" i="10" s="1"/>
  <c r="Z49" i="10"/>
  <c r="W49" i="10"/>
  <c r="V49" i="10"/>
  <c r="T49" i="10"/>
  <c r="S49" i="10"/>
  <c r="R49" i="10"/>
  <c r="P49" i="10"/>
  <c r="Q49" i="10" s="1"/>
  <c r="O49" i="10"/>
  <c r="M49" i="10"/>
  <c r="H49" i="10"/>
  <c r="C49" i="10"/>
  <c r="AB48" i="10"/>
  <c r="J48" i="10" s="1"/>
  <c r="Z48" i="10"/>
  <c r="W48" i="10"/>
  <c r="V48" i="10"/>
  <c r="T48" i="10"/>
  <c r="S48" i="10"/>
  <c r="R48" i="10"/>
  <c r="P48" i="10"/>
  <c r="Q48" i="10" s="1"/>
  <c r="O48" i="10"/>
  <c r="M48" i="10"/>
  <c r="H48" i="10"/>
  <c r="C48" i="10"/>
  <c r="AB47" i="10"/>
  <c r="J47" i="10" s="1"/>
  <c r="I47" i="10" s="1"/>
  <c r="Z47" i="10"/>
  <c r="W47" i="10"/>
  <c r="V47" i="10"/>
  <c r="Q47" i="10"/>
  <c r="P47" i="10"/>
  <c r="O47" i="10"/>
  <c r="M47" i="10"/>
  <c r="K47" i="10"/>
  <c r="H47" i="10"/>
  <c r="C47" i="10"/>
  <c r="AB46" i="10"/>
  <c r="J46" i="10" s="1"/>
  <c r="K46" i="10" s="1"/>
  <c r="Z46" i="10"/>
  <c r="W46" i="10"/>
  <c r="V46" i="10"/>
  <c r="P46" i="10"/>
  <c r="O46" i="10"/>
  <c r="Q46" i="10" s="1"/>
  <c r="M46" i="10"/>
  <c r="H46" i="10"/>
  <c r="C46" i="10"/>
  <c r="Z45" i="10"/>
  <c r="AB45" i="10" s="1"/>
  <c r="J45" i="10" s="1"/>
  <c r="W45" i="10"/>
  <c r="V45" i="10"/>
  <c r="P45" i="10"/>
  <c r="O45" i="10"/>
  <c r="Q45" i="10" s="1"/>
  <c r="M45" i="10"/>
  <c r="H45" i="10"/>
  <c r="C45" i="10"/>
  <c r="Z44" i="10"/>
  <c r="AB44" i="10" s="1"/>
  <c r="J44" i="10" s="1"/>
  <c r="W44" i="10"/>
  <c r="V44" i="10"/>
  <c r="Q44" i="10"/>
  <c r="P44" i="10"/>
  <c r="O44" i="10"/>
  <c r="M44" i="10"/>
  <c r="H44" i="10"/>
  <c r="C44" i="10"/>
  <c r="Z43" i="10"/>
  <c r="AB43" i="10" s="1"/>
  <c r="J43" i="10" s="1"/>
  <c r="W43" i="10"/>
  <c r="V43" i="10"/>
  <c r="Q43" i="10"/>
  <c r="P43" i="10"/>
  <c r="O43" i="10"/>
  <c r="M43" i="10"/>
  <c r="H43" i="10"/>
  <c r="C43" i="10"/>
  <c r="Z42" i="10"/>
  <c r="AB42" i="10" s="1"/>
  <c r="J42" i="10" s="1"/>
  <c r="W42" i="10"/>
  <c r="V42" i="10"/>
  <c r="T42" i="10"/>
  <c r="S42" i="10"/>
  <c r="R42" i="10"/>
  <c r="Q42" i="10"/>
  <c r="P42" i="10"/>
  <c r="O42" i="10"/>
  <c r="M42" i="10"/>
  <c r="H42" i="10"/>
  <c r="C42" i="10"/>
  <c r="Z41" i="10"/>
  <c r="AB41" i="10" s="1"/>
  <c r="J41" i="10" s="1"/>
  <c r="W41" i="10"/>
  <c r="V41" i="10"/>
  <c r="P41" i="10"/>
  <c r="O41" i="10"/>
  <c r="Q41" i="10" s="1"/>
  <c r="M41" i="10"/>
  <c r="H41" i="10"/>
  <c r="C41" i="10"/>
  <c r="Z39" i="10"/>
  <c r="AB39" i="10" s="1"/>
  <c r="J39" i="10" s="1"/>
  <c r="W39" i="10"/>
  <c r="V39" i="10"/>
  <c r="P39" i="10"/>
  <c r="O39" i="10"/>
  <c r="Q39" i="10" s="1"/>
  <c r="M39" i="10"/>
  <c r="H39" i="10"/>
  <c r="C39" i="10"/>
  <c r="AB38" i="10"/>
  <c r="J38" i="10" s="1"/>
  <c r="Z38" i="10"/>
  <c r="W38" i="10"/>
  <c r="V38" i="10"/>
  <c r="Q38" i="10"/>
  <c r="P38" i="10"/>
  <c r="O38" i="10"/>
  <c r="M38" i="10"/>
  <c r="H38" i="10"/>
  <c r="C38" i="10"/>
  <c r="AB37" i="10"/>
  <c r="J37" i="10" s="1"/>
  <c r="I37" i="10" s="1"/>
  <c r="Z37" i="10"/>
  <c r="W37" i="10"/>
  <c r="V37" i="10"/>
  <c r="P37" i="10"/>
  <c r="Q37" i="10" s="1"/>
  <c r="O37" i="10"/>
  <c r="M37" i="10"/>
  <c r="K37" i="10"/>
  <c r="H37" i="10"/>
  <c r="C37" i="10"/>
  <c r="AB36" i="10"/>
  <c r="J36" i="10" s="1"/>
  <c r="K36" i="10" s="1"/>
  <c r="Z36" i="10"/>
  <c r="W36" i="10"/>
  <c r="V36" i="10"/>
  <c r="P36" i="10"/>
  <c r="O36" i="10"/>
  <c r="Q36" i="10" s="1"/>
  <c r="M36" i="10"/>
  <c r="H36" i="10"/>
  <c r="C36" i="10"/>
  <c r="Z35" i="10"/>
  <c r="AB35" i="10" s="1"/>
  <c r="J35" i="10" s="1"/>
  <c r="W35" i="10"/>
  <c r="V35" i="10"/>
  <c r="P35" i="10"/>
  <c r="O35" i="10"/>
  <c r="M35" i="10"/>
  <c r="H35" i="10"/>
  <c r="C35" i="10"/>
  <c r="Z34" i="10"/>
  <c r="AB34" i="10" s="1"/>
  <c r="J34" i="10" s="1"/>
  <c r="W34" i="10"/>
  <c r="V34" i="10"/>
  <c r="Q34" i="10"/>
  <c r="P34" i="10"/>
  <c r="O34" i="10"/>
  <c r="M34" i="10"/>
  <c r="H34" i="10"/>
  <c r="C34" i="10"/>
  <c r="Z33" i="10"/>
  <c r="AB33" i="10" s="1"/>
  <c r="J33" i="10" s="1"/>
  <c r="W33" i="10"/>
  <c r="V33" i="10"/>
  <c r="Q33" i="10"/>
  <c r="P33" i="10"/>
  <c r="O33" i="10"/>
  <c r="M33" i="10"/>
  <c r="H33" i="10"/>
  <c r="C33" i="10"/>
  <c r="Z32" i="10"/>
  <c r="AB32" i="10" s="1"/>
  <c r="J32" i="10" s="1"/>
  <c r="W32" i="10"/>
  <c r="V32" i="10"/>
  <c r="P32" i="10"/>
  <c r="O32" i="10"/>
  <c r="Q32" i="10" s="1"/>
  <c r="M32" i="10"/>
  <c r="H32" i="10"/>
  <c r="C32" i="10"/>
  <c r="Z31" i="10"/>
  <c r="AB31" i="10" s="1"/>
  <c r="W31" i="10"/>
  <c r="V31" i="10"/>
  <c r="P31" i="10"/>
  <c r="O31" i="10"/>
  <c r="Q31" i="10" s="1"/>
  <c r="M31" i="10"/>
  <c r="J31" i="10"/>
  <c r="K31" i="10" s="1"/>
  <c r="H31" i="10"/>
  <c r="C31" i="10"/>
  <c r="AB30" i="10"/>
  <c r="J30" i="10" s="1"/>
  <c r="Z30" i="10"/>
  <c r="W30" i="10"/>
  <c r="V30" i="10"/>
  <c r="Q30" i="10"/>
  <c r="P30" i="10"/>
  <c r="O30" i="10"/>
  <c r="M30" i="10"/>
  <c r="H30" i="10"/>
  <c r="C30" i="10"/>
  <c r="AB29" i="10"/>
  <c r="J29" i="10" s="1"/>
  <c r="I29" i="10" s="1"/>
  <c r="Z29" i="10"/>
  <c r="W29" i="10"/>
  <c r="V29" i="10"/>
  <c r="P29" i="10"/>
  <c r="Q29" i="10" s="1"/>
  <c r="O29" i="10"/>
  <c r="M29" i="10"/>
  <c r="H29" i="10"/>
  <c r="C29" i="10"/>
  <c r="AB28" i="10"/>
  <c r="J28" i="10" s="1"/>
  <c r="K28" i="10" s="1"/>
  <c r="Z28" i="10"/>
  <c r="W28" i="10"/>
  <c r="V28" i="10"/>
  <c r="P28" i="10"/>
  <c r="O28" i="10"/>
  <c r="Q28" i="10" s="1"/>
  <c r="M28" i="10"/>
  <c r="H28" i="10"/>
  <c r="C28" i="10"/>
  <c r="Z27" i="10"/>
  <c r="AB27" i="10" s="1"/>
  <c r="J27" i="10" s="1"/>
  <c r="W27" i="10"/>
  <c r="V27" i="10"/>
  <c r="P27" i="10"/>
  <c r="O27" i="10"/>
  <c r="Q27" i="10" s="1"/>
  <c r="M27" i="10"/>
  <c r="H27" i="10"/>
  <c r="C27" i="10"/>
  <c r="Z26" i="10"/>
  <c r="AB26" i="10" s="1"/>
  <c r="J26" i="10" s="1"/>
  <c r="W26" i="10"/>
  <c r="V26" i="10"/>
  <c r="Q26" i="10"/>
  <c r="P26" i="10"/>
  <c r="O26" i="10"/>
  <c r="M26" i="10"/>
  <c r="H26" i="10"/>
  <c r="C26" i="10"/>
  <c r="Z25" i="10"/>
  <c r="AB25" i="10" s="1"/>
  <c r="J25" i="10" s="1"/>
  <c r="W25" i="10"/>
  <c r="V25" i="10"/>
  <c r="Q25" i="10"/>
  <c r="P25" i="10"/>
  <c r="O25" i="10"/>
  <c r="M25" i="10"/>
  <c r="H25" i="10"/>
  <c r="AB24" i="10"/>
  <c r="J24" i="10" s="1"/>
  <c r="I24" i="10" s="1"/>
  <c r="Z24" i="10"/>
  <c r="W24" i="10"/>
  <c r="V24" i="10"/>
  <c r="P24" i="10"/>
  <c r="Q24" i="10" s="1"/>
  <c r="O24" i="10"/>
  <c r="M24" i="10"/>
  <c r="H24" i="10"/>
  <c r="Z23" i="10"/>
  <c r="AB23" i="10" s="1"/>
  <c r="J23" i="10" s="1"/>
  <c r="W23" i="10"/>
  <c r="V23" i="10"/>
  <c r="Q23" i="10"/>
  <c r="P23" i="10"/>
  <c r="O23" i="10"/>
  <c r="M23" i="10"/>
  <c r="H23" i="10"/>
  <c r="AB22" i="10"/>
  <c r="J22" i="10" s="1"/>
  <c r="I22" i="10" s="1"/>
  <c r="Z22" i="10"/>
  <c r="W22" i="10"/>
  <c r="V22" i="10"/>
  <c r="P22" i="10"/>
  <c r="Q22" i="10" s="1"/>
  <c r="O22" i="10"/>
  <c r="M22" i="10"/>
  <c r="K22" i="10"/>
  <c r="H22" i="10"/>
  <c r="Z21" i="10"/>
  <c r="AB21" i="10" s="1"/>
  <c r="J21" i="10" s="1"/>
  <c r="W21" i="10"/>
  <c r="V21" i="10"/>
  <c r="Q21" i="10"/>
  <c r="P21" i="10"/>
  <c r="O21" i="10"/>
  <c r="M21" i="10"/>
  <c r="H21" i="10"/>
  <c r="AB20" i="10"/>
  <c r="J20" i="10" s="1"/>
  <c r="I20" i="10" s="1"/>
  <c r="Z20" i="10"/>
  <c r="W20" i="10"/>
  <c r="V20" i="10"/>
  <c r="P20" i="10"/>
  <c r="Q20" i="10" s="1"/>
  <c r="O20" i="10"/>
  <c r="M20" i="10"/>
  <c r="H20" i="10"/>
  <c r="Z19" i="10"/>
  <c r="AB19" i="10" s="1"/>
  <c r="J19" i="10" s="1"/>
  <c r="W19" i="10"/>
  <c r="V19" i="10"/>
  <c r="Q19" i="10"/>
  <c r="P19" i="10"/>
  <c r="O19" i="10"/>
  <c r="M19" i="10"/>
  <c r="H19" i="10"/>
  <c r="AB18" i="10"/>
  <c r="J18" i="10" s="1"/>
  <c r="I18" i="10" s="1"/>
  <c r="Z18" i="10"/>
  <c r="W18" i="10"/>
  <c r="V18" i="10"/>
  <c r="P18" i="10"/>
  <c r="Q18" i="10" s="1"/>
  <c r="O18" i="10"/>
  <c r="M18" i="10"/>
  <c r="K18" i="10"/>
  <c r="H18" i="10"/>
  <c r="Z17" i="10"/>
  <c r="AB17" i="10" s="1"/>
  <c r="J17" i="10" s="1"/>
  <c r="W17" i="10"/>
  <c r="V17" i="10"/>
  <c r="Q17" i="10"/>
  <c r="P17" i="10"/>
  <c r="O17" i="10"/>
  <c r="M17" i="10"/>
  <c r="H17" i="10"/>
  <c r="AB16" i="10"/>
  <c r="J16" i="10" s="1"/>
  <c r="I16" i="10" s="1"/>
  <c r="Z16" i="10"/>
  <c r="W16" i="10"/>
  <c r="V16" i="10"/>
  <c r="P16" i="10"/>
  <c r="O16" i="10"/>
  <c r="Q16" i="10" s="1"/>
  <c r="M16" i="10"/>
  <c r="H16" i="10"/>
  <c r="Z15" i="10"/>
  <c r="AB15" i="10" s="1"/>
  <c r="J15" i="10" s="1"/>
  <c r="W15" i="10"/>
  <c r="V15" i="10"/>
  <c r="Q15" i="10"/>
  <c r="P15" i="10"/>
  <c r="O15" i="10"/>
  <c r="M15" i="10"/>
  <c r="H15" i="10"/>
  <c r="AB14" i="10"/>
  <c r="J14" i="10" s="1"/>
  <c r="I14" i="10" s="1"/>
  <c r="Z14" i="10"/>
  <c r="W14" i="10"/>
  <c r="V14" i="10"/>
  <c r="P14" i="10"/>
  <c r="O14" i="10"/>
  <c r="Q14" i="10" s="1"/>
  <c r="M14" i="10"/>
  <c r="H14" i="10"/>
  <c r="Z13" i="10"/>
  <c r="AB13" i="10" s="1"/>
  <c r="J13" i="10" s="1"/>
  <c r="W13" i="10"/>
  <c r="V13" i="10"/>
  <c r="Q13" i="10"/>
  <c r="P13" i="10"/>
  <c r="O13" i="10"/>
  <c r="M13" i="10"/>
  <c r="H13" i="10"/>
  <c r="AB12" i="10"/>
  <c r="J12" i="10" s="1"/>
  <c r="I12" i="10" s="1"/>
  <c r="Z12" i="10"/>
  <c r="W12" i="10"/>
  <c r="V12" i="10"/>
  <c r="P12" i="10"/>
  <c r="O12" i="10"/>
  <c r="Q12" i="10" s="1"/>
  <c r="M12" i="10"/>
  <c r="K12" i="10"/>
  <c r="H12" i="10"/>
  <c r="Z11" i="10"/>
  <c r="AB11" i="10" s="1"/>
  <c r="J11" i="10" s="1"/>
  <c r="W11" i="10"/>
  <c r="V11" i="10"/>
  <c r="Q11" i="10"/>
  <c r="P11" i="10"/>
  <c r="O11" i="10"/>
  <c r="M11" i="10"/>
  <c r="H11" i="10"/>
  <c r="AB10" i="10"/>
  <c r="J10" i="10" s="1"/>
  <c r="I10" i="10" s="1"/>
  <c r="Z10" i="10"/>
  <c r="W10" i="10"/>
  <c r="V10" i="10"/>
  <c r="P10" i="10"/>
  <c r="O10" i="10"/>
  <c r="Q10" i="10" s="1"/>
  <c r="M10" i="10"/>
  <c r="H10" i="10"/>
  <c r="Z9" i="10"/>
  <c r="AB9" i="10" s="1"/>
  <c r="J9" i="10" s="1"/>
  <c r="W9" i="10"/>
  <c r="V9" i="10"/>
  <c r="Q9" i="10"/>
  <c r="P9" i="10"/>
  <c r="O9" i="10"/>
  <c r="M9" i="10"/>
  <c r="H9" i="10"/>
  <c r="AB8" i="10"/>
  <c r="J8" i="10" s="1"/>
  <c r="I8" i="10" s="1"/>
  <c r="Z8" i="10"/>
  <c r="W8" i="10"/>
  <c r="V8" i="10"/>
  <c r="P8" i="10"/>
  <c r="O8" i="10"/>
  <c r="Q8" i="10" s="1"/>
  <c r="M8" i="10"/>
  <c r="H8" i="10"/>
  <c r="Z7" i="10"/>
  <c r="AB7" i="10" s="1"/>
  <c r="J7" i="10" s="1"/>
  <c r="W7" i="10"/>
  <c r="V7" i="10"/>
  <c r="Q7" i="10"/>
  <c r="P7" i="10"/>
  <c r="O7" i="10"/>
  <c r="M7" i="10"/>
  <c r="H7" i="10"/>
  <c r="AB6" i="10"/>
  <c r="J6" i="10" s="1"/>
  <c r="I6" i="10" s="1"/>
  <c r="Z6" i="10"/>
  <c r="W6" i="10"/>
  <c r="V6" i="10"/>
  <c r="P6" i="10"/>
  <c r="O6" i="10"/>
  <c r="Q6" i="10" s="1"/>
  <c r="M6" i="10"/>
  <c r="K6" i="10"/>
  <c r="H6" i="10"/>
  <c r="Z5" i="10"/>
  <c r="AB5" i="10" s="1"/>
  <c r="J5" i="10" s="1"/>
  <c r="W5" i="10"/>
  <c r="V5" i="10"/>
  <c r="Q5" i="10"/>
  <c r="P5" i="10"/>
  <c r="O5" i="10"/>
  <c r="M5" i="10"/>
  <c r="H5" i="10"/>
  <c r="AB4" i="10"/>
  <c r="J4" i="10" s="1"/>
  <c r="Z4" i="10"/>
  <c r="W4" i="10"/>
  <c r="V4" i="10"/>
  <c r="P4" i="10"/>
  <c r="O4" i="10"/>
  <c r="Q4" i="10" s="1"/>
  <c r="M4" i="10"/>
  <c r="H4" i="10"/>
  <c r="AE3" i="10"/>
  <c r="U3" i="10"/>
  <c r="O3" i="10"/>
  <c r="G3" i="10"/>
  <c r="H3" i="10" s="1"/>
  <c r="F3" i="10"/>
  <c r="D3" i="10"/>
  <c r="C3" i="10"/>
  <c r="B3" i="10"/>
  <c r="A2" i="10"/>
  <c r="A1" i="10"/>
  <c r="Z56" i="9"/>
  <c r="AB56" i="9" s="1"/>
  <c r="W56" i="9"/>
  <c r="V56" i="9"/>
  <c r="T56" i="9"/>
  <c r="S56" i="9"/>
  <c r="R56" i="9"/>
  <c r="Q56" i="9"/>
  <c r="P56" i="9"/>
  <c r="O56" i="9"/>
  <c r="M56" i="9"/>
  <c r="J56" i="9"/>
  <c r="I56" i="9" s="1"/>
  <c r="H56" i="9"/>
  <c r="C56" i="9"/>
  <c r="Z55" i="9"/>
  <c r="AB55" i="9" s="1"/>
  <c r="J55" i="9" s="1"/>
  <c r="W55" i="9"/>
  <c r="V55" i="9"/>
  <c r="Q55" i="9"/>
  <c r="P55" i="9"/>
  <c r="O55" i="9"/>
  <c r="M55" i="9"/>
  <c r="H55" i="9"/>
  <c r="C55" i="9"/>
  <c r="AB54" i="9"/>
  <c r="Z54" i="9"/>
  <c r="W54" i="9"/>
  <c r="V54" i="9"/>
  <c r="T54" i="9"/>
  <c r="S54" i="9"/>
  <c r="R54" i="9"/>
  <c r="Q54" i="9"/>
  <c r="P54" i="9"/>
  <c r="O54" i="9"/>
  <c r="M54" i="9"/>
  <c r="J54" i="9"/>
  <c r="K54" i="9" s="1"/>
  <c r="H54" i="9"/>
  <c r="C54" i="9"/>
  <c r="AB53" i="9"/>
  <c r="Z53" i="9"/>
  <c r="W53" i="9"/>
  <c r="V53" i="9"/>
  <c r="T53" i="9"/>
  <c r="S53" i="9"/>
  <c r="R53" i="9"/>
  <c r="Q53" i="9"/>
  <c r="P53" i="9"/>
  <c r="O53" i="9"/>
  <c r="M53" i="9"/>
  <c r="J53" i="9"/>
  <c r="K53" i="9" s="1"/>
  <c r="H53" i="9"/>
  <c r="C53" i="9"/>
  <c r="Z52" i="9"/>
  <c r="AB52" i="9" s="1"/>
  <c r="J52" i="9" s="1"/>
  <c r="W52" i="9"/>
  <c r="V52" i="9"/>
  <c r="T52" i="9"/>
  <c r="S52" i="9"/>
  <c r="R52" i="9"/>
  <c r="Q52" i="9"/>
  <c r="P52" i="9"/>
  <c r="O52" i="9"/>
  <c r="M52" i="9"/>
  <c r="H52" i="9"/>
  <c r="C52" i="9"/>
  <c r="Z51" i="9"/>
  <c r="AB51" i="9" s="1"/>
  <c r="J51" i="9" s="1"/>
  <c r="W51" i="9"/>
  <c r="V51" i="9"/>
  <c r="T51" i="9"/>
  <c r="S51" i="9"/>
  <c r="R51" i="9"/>
  <c r="Q51" i="9"/>
  <c r="P51" i="9"/>
  <c r="O51" i="9"/>
  <c r="M51" i="9"/>
  <c r="H51" i="9"/>
  <c r="C51" i="9"/>
  <c r="Z50" i="9"/>
  <c r="AB50" i="9" s="1"/>
  <c r="J50" i="9" s="1"/>
  <c r="W50" i="9"/>
  <c r="V50" i="9"/>
  <c r="T50" i="9"/>
  <c r="S50" i="9"/>
  <c r="R50" i="9"/>
  <c r="Q50" i="9"/>
  <c r="P50" i="9"/>
  <c r="O50" i="9"/>
  <c r="M50" i="9"/>
  <c r="H50" i="9"/>
  <c r="C50" i="9"/>
  <c r="Z49" i="9"/>
  <c r="AB49" i="9" s="1"/>
  <c r="J49" i="9" s="1"/>
  <c r="W49" i="9"/>
  <c r="V49" i="9"/>
  <c r="T49" i="9"/>
  <c r="S49" i="9"/>
  <c r="R49" i="9"/>
  <c r="Q49" i="9"/>
  <c r="P49" i="9"/>
  <c r="O49" i="9"/>
  <c r="M49" i="9"/>
  <c r="H49" i="9"/>
  <c r="C49" i="9"/>
  <c r="Z48" i="9"/>
  <c r="AB48" i="9" s="1"/>
  <c r="J48" i="9" s="1"/>
  <c r="W48" i="9"/>
  <c r="V48" i="9"/>
  <c r="T48" i="9"/>
  <c r="S48" i="9"/>
  <c r="R48" i="9"/>
  <c r="Q48" i="9"/>
  <c r="P48" i="9"/>
  <c r="O48" i="9"/>
  <c r="M48" i="9"/>
  <c r="H48" i="9"/>
  <c r="C48" i="9"/>
  <c r="Z47" i="9"/>
  <c r="AB47" i="9" s="1"/>
  <c r="J47" i="9" s="1"/>
  <c r="K47" i="9" s="1"/>
  <c r="W47" i="9"/>
  <c r="V47" i="9"/>
  <c r="P47" i="9"/>
  <c r="O47" i="9"/>
  <c r="Q47" i="9" s="1"/>
  <c r="M47" i="9"/>
  <c r="I47" i="9"/>
  <c r="H47" i="9"/>
  <c r="C47" i="9"/>
  <c r="Z46" i="9"/>
  <c r="AB46" i="9" s="1"/>
  <c r="J46" i="9" s="1"/>
  <c r="W46" i="9"/>
  <c r="V46" i="9"/>
  <c r="P46" i="9"/>
  <c r="O46" i="9"/>
  <c r="M46" i="9"/>
  <c r="H46" i="9"/>
  <c r="C46" i="9"/>
  <c r="AB45" i="9"/>
  <c r="J45" i="9" s="1"/>
  <c r="I45" i="9" s="1"/>
  <c r="Z45" i="9"/>
  <c r="W45" i="9"/>
  <c r="V45" i="9"/>
  <c r="P45" i="9"/>
  <c r="Q45" i="9" s="1"/>
  <c r="O45" i="9"/>
  <c r="M45" i="9"/>
  <c r="H45" i="9"/>
  <c r="C45" i="9"/>
  <c r="AB44" i="9"/>
  <c r="J44" i="9" s="1"/>
  <c r="I44" i="9" s="1"/>
  <c r="Z44" i="9"/>
  <c r="W44" i="9"/>
  <c r="V44" i="9"/>
  <c r="P44" i="9"/>
  <c r="O44" i="9"/>
  <c r="Q44" i="9" s="1"/>
  <c r="M44" i="9"/>
  <c r="H44" i="9"/>
  <c r="C44" i="9"/>
  <c r="AB43" i="9"/>
  <c r="J43" i="9" s="1"/>
  <c r="K43" i="9" s="1"/>
  <c r="Z43" i="9"/>
  <c r="W43" i="9"/>
  <c r="V43" i="9"/>
  <c r="P43" i="9"/>
  <c r="O43" i="9"/>
  <c r="Q43" i="9" s="1"/>
  <c r="M43" i="9"/>
  <c r="H43" i="9"/>
  <c r="C43" i="9"/>
  <c r="Z42" i="9"/>
  <c r="AB42" i="9" s="1"/>
  <c r="J42" i="9" s="1"/>
  <c r="K42" i="9" s="1"/>
  <c r="W42" i="9"/>
  <c r="V42" i="9"/>
  <c r="T42" i="9"/>
  <c r="S42" i="9"/>
  <c r="R42" i="9"/>
  <c r="P42" i="9"/>
  <c r="O42" i="9"/>
  <c r="Q42" i="9" s="1"/>
  <c r="M42" i="9"/>
  <c r="I42" i="9"/>
  <c r="H42" i="9"/>
  <c r="C42" i="9"/>
  <c r="Z41" i="9"/>
  <c r="AB41" i="9" s="1"/>
  <c r="W41" i="9"/>
  <c r="V41" i="9"/>
  <c r="P41" i="9"/>
  <c r="O41" i="9"/>
  <c r="M41" i="9"/>
  <c r="J41" i="9"/>
  <c r="H41" i="9"/>
  <c r="C41" i="9"/>
  <c r="Z39" i="9"/>
  <c r="AB39" i="9" s="1"/>
  <c r="J39" i="9" s="1"/>
  <c r="W39" i="9"/>
  <c r="V39" i="9"/>
  <c r="Q39" i="9"/>
  <c r="P39" i="9"/>
  <c r="O39" i="9"/>
  <c r="M39" i="9"/>
  <c r="H39" i="9"/>
  <c r="C39" i="9"/>
  <c r="Z38" i="9"/>
  <c r="AB38" i="9" s="1"/>
  <c r="J38" i="9" s="1"/>
  <c r="W38" i="9"/>
  <c r="V38" i="9"/>
  <c r="Q38" i="9"/>
  <c r="P38" i="9"/>
  <c r="O38" i="9"/>
  <c r="M38" i="9"/>
  <c r="H38" i="9"/>
  <c r="C38" i="9"/>
  <c r="Z37" i="9"/>
  <c r="AB37" i="9" s="1"/>
  <c r="J37" i="9" s="1"/>
  <c r="K37" i="9" s="1"/>
  <c r="W37" i="9"/>
  <c r="V37" i="9"/>
  <c r="P37" i="9"/>
  <c r="O37" i="9"/>
  <c r="Q37" i="9" s="1"/>
  <c r="M37" i="9"/>
  <c r="H37" i="9"/>
  <c r="C37" i="9"/>
  <c r="Z36" i="9"/>
  <c r="AB36" i="9" s="1"/>
  <c r="W36" i="9"/>
  <c r="V36" i="9"/>
  <c r="P36" i="9"/>
  <c r="O36" i="9"/>
  <c r="Q36" i="9" s="1"/>
  <c r="M36" i="9"/>
  <c r="J36" i="9"/>
  <c r="K36" i="9" s="1"/>
  <c r="I36" i="9"/>
  <c r="H36" i="9"/>
  <c r="C36" i="9"/>
  <c r="AB35" i="9"/>
  <c r="J35" i="9" s="1"/>
  <c r="I35" i="9" s="1"/>
  <c r="Z35" i="9"/>
  <c r="W35" i="9"/>
  <c r="V35" i="9"/>
  <c r="P35" i="9"/>
  <c r="Q35" i="9" s="1"/>
  <c r="O35" i="9"/>
  <c r="M35" i="9"/>
  <c r="K35" i="9"/>
  <c r="H35" i="9"/>
  <c r="C35" i="9"/>
  <c r="AB34" i="9"/>
  <c r="J34" i="9" s="1"/>
  <c r="I34" i="9" s="1"/>
  <c r="Z34" i="9"/>
  <c r="W34" i="9"/>
  <c r="V34" i="9"/>
  <c r="P34" i="9"/>
  <c r="O34" i="9"/>
  <c r="Q34" i="9" s="1"/>
  <c r="M34" i="9"/>
  <c r="K34" i="9"/>
  <c r="H34" i="9"/>
  <c r="C34" i="9"/>
  <c r="AB33" i="9"/>
  <c r="J33" i="9" s="1"/>
  <c r="K33" i="9" s="1"/>
  <c r="Z33" i="9"/>
  <c r="W33" i="9"/>
  <c r="V33" i="9"/>
  <c r="P33" i="9"/>
  <c r="O33" i="9"/>
  <c r="Q33" i="9" s="1"/>
  <c r="M33" i="9"/>
  <c r="H33" i="9"/>
  <c r="C33" i="9"/>
  <c r="Z32" i="9"/>
  <c r="AB32" i="9" s="1"/>
  <c r="W32" i="9"/>
  <c r="V32" i="9"/>
  <c r="P32" i="9"/>
  <c r="O32" i="9"/>
  <c r="M32" i="9"/>
  <c r="J32" i="9"/>
  <c r="H32" i="9"/>
  <c r="C32" i="9"/>
  <c r="Z31" i="9"/>
  <c r="AB31" i="9" s="1"/>
  <c r="J31" i="9" s="1"/>
  <c r="W31" i="9"/>
  <c r="V31" i="9"/>
  <c r="Q31" i="9"/>
  <c r="P31" i="9"/>
  <c r="O31" i="9"/>
  <c r="M31" i="9"/>
  <c r="H31" i="9"/>
  <c r="C31" i="9"/>
  <c r="Z30" i="9"/>
  <c r="AB30" i="9" s="1"/>
  <c r="J30" i="9" s="1"/>
  <c r="W30" i="9"/>
  <c r="V30" i="9"/>
  <c r="Q30" i="9"/>
  <c r="P30" i="9"/>
  <c r="O30" i="9"/>
  <c r="M30" i="9"/>
  <c r="H30" i="9"/>
  <c r="C30" i="9"/>
  <c r="Z29" i="9"/>
  <c r="AB29" i="9" s="1"/>
  <c r="J29" i="9" s="1"/>
  <c r="K29" i="9" s="1"/>
  <c r="W29" i="9"/>
  <c r="V29" i="9"/>
  <c r="P29" i="9"/>
  <c r="O29" i="9"/>
  <c r="Q29" i="9" s="1"/>
  <c r="M29" i="9"/>
  <c r="H29" i="9"/>
  <c r="C29" i="9"/>
  <c r="Z28" i="9"/>
  <c r="AB28" i="9" s="1"/>
  <c r="W28" i="9"/>
  <c r="V28" i="9"/>
  <c r="P28" i="9"/>
  <c r="O28" i="9"/>
  <c r="Q28" i="9" s="1"/>
  <c r="M28" i="9"/>
  <c r="J28" i="9"/>
  <c r="K28" i="9" s="1"/>
  <c r="I28" i="9"/>
  <c r="H28" i="9"/>
  <c r="C28" i="9"/>
  <c r="AB27" i="9"/>
  <c r="J27" i="9" s="1"/>
  <c r="I27" i="9" s="1"/>
  <c r="Z27" i="9"/>
  <c r="W27" i="9"/>
  <c r="V27" i="9"/>
  <c r="P27" i="9"/>
  <c r="Q27" i="9" s="1"/>
  <c r="O27" i="9"/>
  <c r="M27" i="9"/>
  <c r="K27" i="9"/>
  <c r="H27" i="9"/>
  <c r="C27" i="9"/>
  <c r="AB26" i="9"/>
  <c r="J26" i="9" s="1"/>
  <c r="I26" i="9" s="1"/>
  <c r="Z26" i="9"/>
  <c r="W26" i="9"/>
  <c r="V26" i="9"/>
  <c r="P26" i="9"/>
  <c r="O26" i="9"/>
  <c r="Q26" i="9" s="1"/>
  <c r="M26" i="9"/>
  <c r="K26" i="9"/>
  <c r="H26" i="9"/>
  <c r="C26" i="9"/>
  <c r="AB25" i="9"/>
  <c r="J25" i="9" s="1"/>
  <c r="K25" i="9" s="1"/>
  <c r="Z25" i="9"/>
  <c r="W25" i="9"/>
  <c r="V25" i="9"/>
  <c r="P25" i="9"/>
  <c r="O25" i="9"/>
  <c r="Q25" i="9" s="1"/>
  <c r="M25" i="9"/>
  <c r="H25" i="9"/>
  <c r="Z24" i="9"/>
  <c r="AB24" i="9" s="1"/>
  <c r="J24" i="9" s="1"/>
  <c r="K24" i="9" s="1"/>
  <c r="W24" i="9"/>
  <c r="V24" i="9"/>
  <c r="P24" i="9"/>
  <c r="O24" i="9"/>
  <c r="Q24" i="9" s="1"/>
  <c r="M24" i="9"/>
  <c r="I24" i="9"/>
  <c r="H24" i="9"/>
  <c r="AB23" i="9"/>
  <c r="J23" i="9" s="1"/>
  <c r="K23" i="9" s="1"/>
  <c r="Z23" i="9"/>
  <c r="W23" i="9"/>
  <c r="V23" i="9"/>
  <c r="P23" i="9"/>
  <c r="O23" i="9"/>
  <c r="Q23" i="9" s="1"/>
  <c r="M23" i="9"/>
  <c r="I23" i="9"/>
  <c r="H23" i="9"/>
  <c r="Z22" i="9"/>
  <c r="AB22" i="9" s="1"/>
  <c r="J22" i="9" s="1"/>
  <c r="K22" i="9" s="1"/>
  <c r="W22" i="9"/>
  <c r="V22" i="9"/>
  <c r="P22" i="9"/>
  <c r="O22" i="9"/>
  <c r="Q22" i="9" s="1"/>
  <c r="M22" i="9"/>
  <c r="I22" i="9"/>
  <c r="H22" i="9"/>
  <c r="AB21" i="9"/>
  <c r="J21" i="9" s="1"/>
  <c r="K21" i="9" s="1"/>
  <c r="Z21" i="9"/>
  <c r="W21" i="9"/>
  <c r="V21" i="9"/>
  <c r="P21" i="9"/>
  <c r="O21" i="9"/>
  <c r="Q21" i="9" s="1"/>
  <c r="M21" i="9"/>
  <c r="H21" i="9"/>
  <c r="Z20" i="9"/>
  <c r="AB20" i="9" s="1"/>
  <c r="J20" i="9" s="1"/>
  <c r="K20" i="9" s="1"/>
  <c r="W20" i="9"/>
  <c r="V20" i="9"/>
  <c r="P20" i="9"/>
  <c r="O20" i="9"/>
  <c r="Q20" i="9" s="1"/>
  <c r="M20" i="9"/>
  <c r="I20" i="9"/>
  <c r="H20" i="9"/>
  <c r="AB19" i="9"/>
  <c r="J19" i="9" s="1"/>
  <c r="K19" i="9" s="1"/>
  <c r="Z19" i="9"/>
  <c r="W19" i="9"/>
  <c r="V19" i="9"/>
  <c r="P19" i="9"/>
  <c r="O19" i="9"/>
  <c r="Q19" i="9" s="1"/>
  <c r="M19" i="9"/>
  <c r="I19" i="9"/>
  <c r="H19" i="9"/>
  <c r="Z18" i="9"/>
  <c r="AB18" i="9" s="1"/>
  <c r="J18" i="9" s="1"/>
  <c r="K18" i="9" s="1"/>
  <c r="W18" i="9"/>
  <c r="V18" i="9"/>
  <c r="P18" i="9"/>
  <c r="O18" i="9"/>
  <c r="Q18" i="9" s="1"/>
  <c r="M18" i="9"/>
  <c r="I18" i="9"/>
  <c r="H18" i="9"/>
  <c r="AB17" i="9"/>
  <c r="J17" i="9" s="1"/>
  <c r="K17" i="9" s="1"/>
  <c r="Z17" i="9"/>
  <c r="W17" i="9"/>
  <c r="V17" i="9"/>
  <c r="P17" i="9"/>
  <c r="O17" i="9"/>
  <c r="Q17" i="9" s="1"/>
  <c r="M17" i="9"/>
  <c r="H17" i="9"/>
  <c r="Z16" i="9"/>
  <c r="AB16" i="9" s="1"/>
  <c r="J16" i="9" s="1"/>
  <c r="K16" i="9" s="1"/>
  <c r="W16" i="9"/>
  <c r="V16" i="9"/>
  <c r="P16" i="9"/>
  <c r="O16" i="9"/>
  <c r="Q16" i="9" s="1"/>
  <c r="M16" i="9"/>
  <c r="H16" i="9"/>
  <c r="AB15" i="9"/>
  <c r="J15" i="9" s="1"/>
  <c r="K15" i="9" s="1"/>
  <c r="Z15" i="9"/>
  <c r="W15" i="9"/>
  <c r="V15" i="9"/>
  <c r="P15" i="9"/>
  <c r="O15" i="9"/>
  <c r="Q15" i="9" s="1"/>
  <c r="M15" i="9"/>
  <c r="H15" i="9"/>
  <c r="Z14" i="9"/>
  <c r="AB14" i="9" s="1"/>
  <c r="J14" i="9" s="1"/>
  <c r="K14" i="9" s="1"/>
  <c r="W14" i="9"/>
  <c r="V14" i="9"/>
  <c r="P14" i="9"/>
  <c r="O14" i="9"/>
  <c r="Q14" i="9" s="1"/>
  <c r="M14" i="9"/>
  <c r="I14" i="9"/>
  <c r="H14" i="9"/>
  <c r="AB13" i="9"/>
  <c r="J13" i="9" s="1"/>
  <c r="K13" i="9" s="1"/>
  <c r="Z13" i="9"/>
  <c r="W13" i="9"/>
  <c r="V13" i="9"/>
  <c r="P13" i="9"/>
  <c r="O13" i="9"/>
  <c r="Q13" i="9" s="1"/>
  <c r="M13" i="9"/>
  <c r="I13" i="9"/>
  <c r="H13" i="9"/>
  <c r="Z12" i="9"/>
  <c r="AB12" i="9" s="1"/>
  <c r="J12" i="9" s="1"/>
  <c r="K12" i="9" s="1"/>
  <c r="W12" i="9"/>
  <c r="V12" i="9"/>
  <c r="P12" i="9"/>
  <c r="O12" i="9"/>
  <c r="Q12" i="9" s="1"/>
  <c r="M12" i="9"/>
  <c r="H12" i="9"/>
  <c r="AB11" i="9"/>
  <c r="J11" i="9" s="1"/>
  <c r="K11" i="9" s="1"/>
  <c r="Z11" i="9"/>
  <c r="W11" i="9"/>
  <c r="V11" i="9"/>
  <c r="P11" i="9"/>
  <c r="O11" i="9"/>
  <c r="Q11" i="9" s="1"/>
  <c r="M11" i="9"/>
  <c r="H11" i="9"/>
  <c r="Z10" i="9"/>
  <c r="AB10" i="9" s="1"/>
  <c r="J10" i="9" s="1"/>
  <c r="K10" i="9" s="1"/>
  <c r="W10" i="9"/>
  <c r="V10" i="9"/>
  <c r="P10" i="9"/>
  <c r="O10" i="9"/>
  <c r="Q10" i="9" s="1"/>
  <c r="M10" i="9"/>
  <c r="H10" i="9"/>
  <c r="Z9" i="9"/>
  <c r="AB9" i="9" s="1"/>
  <c r="J9" i="9" s="1"/>
  <c r="K9" i="9" s="1"/>
  <c r="W9" i="9"/>
  <c r="V9" i="9"/>
  <c r="P9" i="9"/>
  <c r="O9" i="9"/>
  <c r="Q9" i="9" s="1"/>
  <c r="M9" i="9"/>
  <c r="H9" i="9"/>
  <c r="Z8" i="9"/>
  <c r="AB8" i="9" s="1"/>
  <c r="J8" i="9" s="1"/>
  <c r="K8" i="9" s="1"/>
  <c r="W8" i="9"/>
  <c r="V8" i="9"/>
  <c r="P8" i="9"/>
  <c r="O8" i="9"/>
  <c r="Q8" i="9" s="1"/>
  <c r="M8" i="9"/>
  <c r="H8" i="9"/>
  <c r="Z7" i="9"/>
  <c r="AB7" i="9" s="1"/>
  <c r="J7" i="9" s="1"/>
  <c r="K7" i="9" s="1"/>
  <c r="W7" i="9"/>
  <c r="V7" i="9"/>
  <c r="P7" i="9"/>
  <c r="O7" i="9"/>
  <c r="Q7" i="9" s="1"/>
  <c r="M7" i="9"/>
  <c r="H7" i="9"/>
  <c r="Z6" i="9"/>
  <c r="AB6" i="9" s="1"/>
  <c r="J6" i="9" s="1"/>
  <c r="K6" i="9" s="1"/>
  <c r="W6" i="9"/>
  <c r="V6" i="9"/>
  <c r="P6" i="9"/>
  <c r="O6" i="9"/>
  <c r="Q6" i="9" s="1"/>
  <c r="M6" i="9"/>
  <c r="H6" i="9"/>
  <c r="Z5" i="9"/>
  <c r="AB5" i="9" s="1"/>
  <c r="J5" i="9" s="1"/>
  <c r="K5" i="9" s="1"/>
  <c r="W5" i="9"/>
  <c r="V5" i="9"/>
  <c r="V3" i="9" s="1"/>
  <c r="P5" i="9"/>
  <c r="O5" i="9"/>
  <c r="Q5" i="9" s="1"/>
  <c r="M5" i="9"/>
  <c r="H5" i="9"/>
  <c r="Z4" i="9"/>
  <c r="AB4" i="9" s="1"/>
  <c r="J4" i="9" s="1"/>
  <c r="K4" i="9" s="1"/>
  <c r="W4" i="9"/>
  <c r="V4" i="9"/>
  <c r="P4" i="9"/>
  <c r="O4" i="9"/>
  <c r="Q4" i="9" s="1"/>
  <c r="M4" i="9"/>
  <c r="H4" i="9"/>
  <c r="AE3" i="9"/>
  <c r="U3" i="9"/>
  <c r="O3" i="9"/>
  <c r="G3" i="9"/>
  <c r="H3" i="9" s="1"/>
  <c r="F3" i="9"/>
  <c r="D3" i="9"/>
  <c r="C3" i="9"/>
  <c r="B3" i="9"/>
  <c r="A2" i="9"/>
  <c r="A1" i="9"/>
  <c r="Z56" i="8"/>
  <c r="AB56" i="8" s="1"/>
  <c r="J56" i="8" s="1"/>
  <c r="I56" i="8" s="1"/>
  <c r="W56" i="8"/>
  <c r="V56" i="8"/>
  <c r="T56" i="8"/>
  <c r="S56" i="8"/>
  <c r="R56" i="8"/>
  <c r="P56" i="8"/>
  <c r="O56" i="8"/>
  <c r="Q56" i="8" s="1"/>
  <c r="M56" i="8"/>
  <c r="K56" i="8"/>
  <c r="H56" i="8"/>
  <c r="C56" i="8"/>
  <c r="Z55" i="8"/>
  <c r="AB55" i="8" s="1"/>
  <c r="J55" i="8" s="1"/>
  <c r="K55" i="8" s="1"/>
  <c r="W55" i="8"/>
  <c r="V55" i="8"/>
  <c r="P55" i="8"/>
  <c r="O55" i="8"/>
  <c r="Q55" i="8" s="1"/>
  <c r="M55" i="8"/>
  <c r="H55" i="8"/>
  <c r="C55" i="8"/>
  <c r="Z54" i="8"/>
  <c r="AB54" i="8" s="1"/>
  <c r="J54" i="8" s="1"/>
  <c r="K54" i="8" s="1"/>
  <c r="W54" i="8"/>
  <c r="V54" i="8"/>
  <c r="T54" i="8"/>
  <c r="S54" i="8"/>
  <c r="R54" i="8"/>
  <c r="P54" i="8"/>
  <c r="O54" i="8"/>
  <c r="Q54" i="8" s="1"/>
  <c r="M54" i="8"/>
  <c r="I54" i="8"/>
  <c r="H54" i="8"/>
  <c r="C54" i="8"/>
  <c r="Z53" i="8"/>
  <c r="AB53" i="8" s="1"/>
  <c r="J53" i="8" s="1"/>
  <c r="K53" i="8" s="1"/>
  <c r="W53" i="8"/>
  <c r="V53" i="8"/>
  <c r="T53" i="8"/>
  <c r="S53" i="8"/>
  <c r="R53" i="8"/>
  <c r="P53" i="8"/>
  <c r="O53" i="8"/>
  <c r="Q53" i="8" s="1"/>
  <c r="M53" i="8"/>
  <c r="H53" i="8"/>
  <c r="C53" i="8"/>
  <c r="Z52" i="8"/>
  <c r="AB52" i="8" s="1"/>
  <c r="J52" i="8" s="1"/>
  <c r="K52" i="8" s="1"/>
  <c r="W52" i="8"/>
  <c r="V52" i="8"/>
  <c r="T52" i="8"/>
  <c r="S52" i="8"/>
  <c r="R52" i="8"/>
  <c r="P52" i="8"/>
  <c r="O52" i="8"/>
  <c r="Q52" i="8" s="1"/>
  <c r="M52" i="8"/>
  <c r="I52" i="8"/>
  <c r="H52" i="8"/>
  <c r="C52" i="8"/>
  <c r="Z51" i="8"/>
  <c r="AB51" i="8" s="1"/>
  <c r="J51" i="8" s="1"/>
  <c r="K51" i="8" s="1"/>
  <c r="W51" i="8"/>
  <c r="V51" i="8"/>
  <c r="T51" i="8"/>
  <c r="S51" i="8"/>
  <c r="R51" i="8"/>
  <c r="P51" i="8"/>
  <c r="O51" i="8"/>
  <c r="Q51" i="8" s="1"/>
  <c r="M51" i="8"/>
  <c r="H51" i="8"/>
  <c r="C51" i="8"/>
  <c r="Z50" i="8"/>
  <c r="AB50" i="8" s="1"/>
  <c r="J50" i="8" s="1"/>
  <c r="K50" i="8" s="1"/>
  <c r="W50" i="8"/>
  <c r="V50" i="8"/>
  <c r="T50" i="8"/>
  <c r="S50" i="8"/>
  <c r="R50" i="8"/>
  <c r="P50" i="8"/>
  <c r="O50" i="8"/>
  <c r="Q50" i="8" s="1"/>
  <c r="M50" i="8"/>
  <c r="I50" i="8"/>
  <c r="H50" i="8"/>
  <c r="C50" i="8"/>
  <c r="Z49" i="8"/>
  <c r="AB49" i="8" s="1"/>
  <c r="J49" i="8" s="1"/>
  <c r="K49" i="8" s="1"/>
  <c r="W49" i="8"/>
  <c r="V49" i="8"/>
  <c r="T49" i="8"/>
  <c r="S49" i="8"/>
  <c r="R49" i="8"/>
  <c r="P49" i="8"/>
  <c r="O49" i="8"/>
  <c r="Q49" i="8" s="1"/>
  <c r="M49" i="8"/>
  <c r="H49" i="8"/>
  <c r="C49" i="8"/>
  <c r="Z48" i="8"/>
  <c r="AB48" i="8" s="1"/>
  <c r="J48" i="8" s="1"/>
  <c r="K48" i="8" s="1"/>
  <c r="W48" i="8"/>
  <c r="V48" i="8"/>
  <c r="T48" i="8"/>
  <c r="S48" i="8"/>
  <c r="R48" i="8"/>
  <c r="P48" i="8"/>
  <c r="O48" i="8"/>
  <c r="Q48" i="8" s="1"/>
  <c r="M48" i="8"/>
  <c r="I48" i="8"/>
  <c r="H48" i="8"/>
  <c r="C48" i="8"/>
  <c r="Z47" i="8"/>
  <c r="AB47" i="8" s="1"/>
  <c r="J47" i="8" s="1"/>
  <c r="W47" i="8"/>
  <c r="V47" i="8"/>
  <c r="P47" i="8"/>
  <c r="O47" i="8"/>
  <c r="M47" i="8"/>
  <c r="H47" i="8"/>
  <c r="C47" i="8"/>
  <c r="Z46" i="8"/>
  <c r="AB46" i="8" s="1"/>
  <c r="J46" i="8" s="1"/>
  <c r="W46" i="8"/>
  <c r="V46" i="8"/>
  <c r="Q46" i="8"/>
  <c r="P46" i="8"/>
  <c r="O46" i="8"/>
  <c r="M46" i="8"/>
  <c r="H46" i="8"/>
  <c r="C46" i="8"/>
  <c r="Z45" i="8"/>
  <c r="AB45" i="8" s="1"/>
  <c r="J45" i="8" s="1"/>
  <c r="W45" i="8"/>
  <c r="V45" i="8"/>
  <c r="Q45" i="8"/>
  <c r="P45" i="8"/>
  <c r="O45" i="8"/>
  <c r="M45" i="8"/>
  <c r="H45" i="8"/>
  <c r="C45" i="8"/>
  <c r="Z44" i="8"/>
  <c r="AB44" i="8" s="1"/>
  <c r="J44" i="8" s="1"/>
  <c r="K44" i="8" s="1"/>
  <c r="W44" i="8"/>
  <c r="V44" i="8"/>
  <c r="P44" i="8"/>
  <c r="O44" i="8"/>
  <c r="Q44" i="8" s="1"/>
  <c r="M44" i="8"/>
  <c r="I44" i="8"/>
  <c r="H44" i="8"/>
  <c r="C44" i="8"/>
  <c r="Z43" i="8"/>
  <c r="AB43" i="8" s="1"/>
  <c r="J43" i="8" s="1"/>
  <c r="W43" i="8"/>
  <c r="V43" i="8"/>
  <c r="P43" i="8"/>
  <c r="O43" i="8"/>
  <c r="M43" i="8"/>
  <c r="H43" i="8"/>
  <c r="C43" i="8"/>
  <c r="AB42" i="8"/>
  <c r="J42" i="8" s="1"/>
  <c r="Z42" i="8"/>
  <c r="W42" i="8"/>
  <c r="V42" i="8"/>
  <c r="T42" i="8"/>
  <c r="S42" i="8"/>
  <c r="R42" i="8"/>
  <c r="P42" i="8"/>
  <c r="O42" i="8"/>
  <c r="Q42" i="8" s="1"/>
  <c r="M42" i="8"/>
  <c r="H42" i="8"/>
  <c r="C42" i="8"/>
  <c r="AB41" i="8"/>
  <c r="J41" i="8" s="1"/>
  <c r="I41" i="8" s="1"/>
  <c r="Z41" i="8"/>
  <c r="W41" i="8"/>
  <c r="V41" i="8"/>
  <c r="P41" i="8"/>
  <c r="Q41" i="8" s="1"/>
  <c r="O41" i="8"/>
  <c r="M41" i="8"/>
  <c r="K41" i="8"/>
  <c r="H41" i="8"/>
  <c r="C41" i="8"/>
  <c r="AB39" i="8"/>
  <c r="J39" i="8" s="1"/>
  <c r="I39" i="8" s="1"/>
  <c r="Z39" i="8"/>
  <c r="W39" i="8"/>
  <c r="V39" i="8"/>
  <c r="P39" i="8"/>
  <c r="O39" i="8"/>
  <c r="Q39" i="8" s="1"/>
  <c r="M39" i="8"/>
  <c r="H39" i="8"/>
  <c r="C39" i="8"/>
  <c r="Z38" i="8"/>
  <c r="AB38" i="8" s="1"/>
  <c r="W38" i="8"/>
  <c r="V38" i="8"/>
  <c r="P38" i="8"/>
  <c r="O38" i="8"/>
  <c r="Q38" i="8" s="1"/>
  <c r="M38" i="8"/>
  <c r="J38" i="8"/>
  <c r="K38" i="8" s="1"/>
  <c r="H38" i="8"/>
  <c r="C38" i="8"/>
  <c r="Z37" i="8"/>
  <c r="AB37" i="8" s="1"/>
  <c r="W37" i="8"/>
  <c r="V37" i="8"/>
  <c r="P37" i="8"/>
  <c r="Q37" i="8" s="1"/>
  <c r="O37" i="8"/>
  <c r="M37" i="8"/>
  <c r="J37" i="8"/>
  <c r="H37" i="8"/>
  <c r="C37" i="8"/>
  <c r="AB36" i="8"/>
  <c r="J36" i="8" s="1"/>
  <c r="Z36" i="8"/>
  <c r="W36" i="8"/>
  <c r="V36" i="8"/>
  <c r="Q36" i="8"/>
  <c r="P36" i="8"/>
  <c r="O36" i="8"/>
  <c r="M36" i="8"/>
  <c r="H36" i="8"/>
  <c r="C36" i="8"/>
  <c r="Z35" i="8"/>
  <c r="AB35" i="8" s="1"/>
  <c r="J35" i="8" s="1"/>
  <c r="K35" i="8" s="1"/>
  <c r="W35" i="8"/>
  <c r="V35" i="8"/>
  <c r="Q35" i="8"/>
  <c r="P35" i="8"/>
  <c r="O35" i="8"/>
  <c r="M35" i="8"/>
  <c r="H35" i="8"/>
  <c r="C35" i="8"/>
  <c r="Z34" i="8"/>
  <c r="AB34" i="8" s="1"/>
  <c r="J34" i="8" s="1"/>
  <c r="K34" i="8" s="1"/>
  <c r="W34" i="8"/>
  <c r="V34" i="8"/>
  <c r="P34" i="8"/>
  <c r="O34" i="8"/>
  <c r="Q34" i="8" s="1"/>
  <c r="M34" i="8"/>
  <c r="I34" i="8"/>
  <c r="H34" i="8"/>
  <c r="C34" i="8"/>
  <c r="Z33" i="8"/>
  <c r="AB33" i="8" s="1"/>
  <c r="J33" i="8" s="1"/>
  <c r="W33" i="8"/>
  <c r="V33" i="8"/>
  <c r="P33" i="8"/>
  <c r="O33" i="8"/>
  <c r="Q33" i="8" s="1"/>
  <c r="M33" i="8"/>
  <c r="H33" i="8"/>
  <c r="C33" i="8"/>
  <c r="AB32" i="8"/>
  <c r="J32" i="8" s="1"/>
  <c r="I32" i="8" s="1"/>
  <c r="Z32" i="8"/>
  <c r="W32" i="8"/>
  <c r="V32" i="8"/>
  <c r="P32" i="8"/>
  <c r="Q32" i="8" s="1"/>
  <c r="O32" i="8"/>
  <c r="M32" i="8"/>
  <c r="K32" i="8"/>
  <c r="H32" i="8"/>
  <c r="C32" i="8"/>
  <c r="AB31" i="8"/>
  <c r="J31" i="8" s="1"/>
  <c r="I31" i="8" s="1"/>
  <c r="Z31" i="8"/>
  <c r="W31" i="8"/>
  <c r="V31" i="8"/>
  <c r="Q31" i="8"/>
  <c r="P31" i="8"/>
  <c r="O31" i="8"/>
  <c r="M31" i="8"/>
  <c r="K31" i="8"/>
  <c r="H31" i="8"/>
  <c r="C31" i="8"/>
  <c r="Z30" i="8"/>
  <c r="AB30" i="8" s="1"/>
  <c r="J30" i="8" s="1"/>
  <c r="W30" i="8"/>
  <c r="V30" i="8"/>
  <c r="P30" i="8"/>
  <c r="O30" i="8"/>
  <c r="Q30" i="8" s="1"/>
  <c r="M30" i="8"/>
  <c r="H30" i="8"/>
  <c r="C30" i="8"/>
  <c r="Z29" i="8"/>
  <c r="AB29" i="8" s="1"/>
  <c r="J29" i="8" s="1"/>
  <c r="W29" i="8"/>
  <c r="V29" i="8"/>
  <c r="Q29" i="8"/>
  <c r="P29" i="8"/>
  <c r="O29" i="8"/>
  <c r="M29" i="8"/>
  <c r="H29" i="8"/>
  <c r="C29" i="8"/>
  <c r="AB28" i="8"/>
  <c r="J28" i="8" s="1"/>
  <c r="Z28" i="8"/>
  <c r="W28" i="8"/>
  <c r="V28" i="8"/>
  <c r="P28" i="8"/>
  <c r="Q28" i="8" s="1"/>
  <c r="O28" i="8"/>
  <c r="M28" i="8"/>
  <c r="H28" i="8"/>
  <c r="C28" i="8"/>
  <c r="Z27" i="8"/>
  <c r="AB27" i="8" s="1"/>
  <c r="J27" i="8" s="1"/>
  <c r="W27" i="8"/>
  <c r="V27" i="8"/>
  <c r="Q27" i="8"/>
  <c r="P27" i="8"/>
  <c r="O27" i="8"/>
  <c r="M27" i="8"/>
  <c r="H27" i="8"/>
  <c r="C27" i="8"/>
  <c r="Z26" i="8"/>
  <c r="AB26" i="8" s="1"/>
  <c r="J26" i="8" s="1"/>
  <c r="K26" i="8" s="1"/>
  <c r="W26" i="8"/>
  <c r="V26" i="8"/>
  <c r="P26" i="8"/>
  <c r="Q26" i="8" s="1"/>
  <c r="O26" i="8"/>
  <c r="M26" i="8"/>
  <c r="I26" i="8"/>
  <c r="H26" i="8"/>
  <c r="C26" i="8"/>
  <c r="Z25" i="8"/>
  <c r="AB25" i="8" s="1"/>
  <c r="J25" i="8" s="1"/>
  <c r="W25" i="8"/>
  <c r="V25" i="8"/>
  <c r="P25" i="8"/>
  <c r="O25" i="8"/>
  <c r="Q25" i="8" s="1"/>
  <c r="M25" i="8"/>
  <c r="H25" i="8"/>
  <c r="Z24" i="8"/>
  <c r="AB24" i="8" s="1"/>
  <c r="W24" i="8"/>
  <c r="V24" i="8"/>
  <c r="P24" i="8"/>
  <c r="Q24" i="8" s="1"/>
  <c r="O24" i="8"/>
  <c r="M24" i="8"/>
  <c r="J24" i="8"/>
  <c r="K24" i="8" s="1"/>
  <c r="H24" i="8"/>
  <c r="AB23" i="8"/>
  <c r="Z23" i="8"/>
  <c r="W23" i="8"/>
  <c r="V23" i="8"/>
  <c r="P23" i="8"/>
  <c r="O23" i="8"/>
  <c r="Q23" i="8" s="1"/>
  <c r="M23" i="8"/>
  <c r="J23" i="8"/>
  <c r="I23" i="8" s="1"/>
  <c r="H23" i="8"/>
  <c r="Z22" i="8"/>
  <c r="AB22" i="8" s="1"/>
  <c r="W22" i="8"/>
  <c r="V22" i="8"/>
  <c r="P22" i="8"/>
  <c r="O22" i="8"/>
  <c r="Q22" i="8" s="1"/>
  <c r="M22" i="8"/>
  <c r="J22" i="8"/>
  <c r="K22" i="8" s="1"/>
  <c r="H22" i="8"/>
  <c r="AB21" i="8"/>
  <c r="Z21" i="8"/>
  <c r="W21" i="8"/>
  <c r="V21" i="8"/>
  <c r="P21" i="8"/>
  <c r="O21" i="8"/>
  <c r="Q21" i="8" s="1"/>
  <c r="M21" i="8"/>
  <c r="J21" i="8"/>
  <c r="K21" i="8" s="1"/>
  <c r="H21" i="8"/>
  <c r="Z20" i="8"/>
  <c r="AB20" i="8" s="1"/>
  <c r="J20" i="8" s="1"/>
  <c r="W20" i="8"/>
  <c r="V20" i="8"/>
  <c r="P20" i="8"/>
  <c r="O20" i="8"/>
  <c r="Q20" i="8" s="1"/>
  <c r="M20" i="8"/>
  <c r="H20" i="8"/>
  <c r="AB19" i="8"/>
  <c r="Z19" i="8"/>
  <c r="W19" i="8"/>
  <c r="V19" i="8"/>
  <c r="P19" i="8"/>
  <c r="O19" i="8"/>
  <c r="Q19" i="8" s="1"/>
  <c r="M19" i="8"/>
  <c r="J19" i="8"/>
  <c r="K19" i="8" s="1"/>
  <c r="H19" i="8"/>
  <c r="Z18" i="8"/>
  <c r="AB18" i="8" s="1"/>
  <c r="J18" i="8" s="1"/>
  <c r="W18" i="8"/>
  <c r="V18" i="8"/>
  <c r="Q18" i="8"/>
  <c r="P18" i="8"/>
  <c r="O18" i="8"/>
  <c r="M18" i="8"/>
  <c r="H18" i="8"/>
  <c r="AB17" i="8"/>
  <c r="J17" i="8" s="1"/>
  <c r="Z17" i="8"/>
  <c r="W17" i="8"/>
  <c r="V17" i="8"/>
  <c r="P17" i="8"/>
  <c r="Q17" i="8" s="1"/>
  <c r="O17" i="8"/>
  <c r="M17" i="8"/>
  <c r="H17" i="8"/>
  <c r="Z16" i="8"/>
  <c r="AB16" i="8" s="1"/>
  <c r="J16" i="8" s="1"/>
  <c r="W16" i="8"/>
  <c r="V16" i="8"/>
  <c r="Q16" i="8"/>
  <c r="P16" i="8"/>
  <c r="O16" i="8"/>
  <c r="M16" i="8"/>
  <c r="H16" i="8"/>
  <c r="AB15" i="8"/>
  <c r="J15" i="8" s="1"/>
  <c r="Z15" i="8"/>
  <c r="W15" i="8"/>
  <c r="V15" i="8"/>
  <c r="P15" i="8"/>
  <c r="Q15" i="8" s="1"/>
  <c r="O15" i="8"/>
  <c r="M15" i="8"/>
  <c r="H15" i="8"/>
  <c r="Z14" i="8"/>
  <c r="AB14" i="8" s="1"/>
  <c r="J14" i="8" s="1"/>
  <c r="W14" i="8"/>
  <c r="V14" i="8"/>
  <c r="Q14" i="8"/>
  <c r="P14" i="8"/>
  <c r="O14" i="8"/>
  <c r="M14" i="8"/>
  <c r="H14" i="8"/>
  <c r="AB13" i="8"/>
  <c r="J13" i="8" s="1"/>
  <c r="Z13" i="8"/>
  <c r="W13" i="8"/>
  <c r="V13" i="8"/>
  <c r="P13" i="8"/>
  <c r="Q13" i="8" s="1"/>
  <c r="O13" i="8"/>
  <c r="M13" i="8"/>
  <c r="H13" i="8"/>
  <c r="Z12" i="8"/>
  <c r="AB12" i="8" s="1"/>
  <c r="J12" i="8" s="1"/>
  <c r="W12" i="8"/>
  <c r="V12" i="8"/>
  <c r="Q12" i="8"/>
  <c r="P12" i="8"/>
  <c r="O12" i="8"/>
  <c r="M12" i="8"/>
  <c r="H12" i="8"/>
  <c r="AB11" i="8"/>
  <c r="J11" i="8" s="1"/>
  <c r="Z11" i="8"/>
  <c r="W11" i="8"/>
  <c r="V11" i="8"/>
  <c r="P11" i="8"/>
  <c r="Q11" i="8" s="1"/>
  <c r="O11" i="8"/>
  <c r="M11" i="8"/>
  <c r="H11" i="8"/>
  <c r="Z10" i="8"/>
  <c r="AB10" i="8" s="1"/>
  <c r="J10" i="8" s="1"/>
  <c r="W10" i="8"/>
  <c r="V10" i="8"/>
  <c r="Q10" i="8"/>
  <c r="P10" i="8"/>
  <c r="O10" i="8"/>
  <c r="M10" i="8"/>
  <c r="H10" i="8"/>
  <c r="AB9" i="8"/>
  <c r="J9" i="8" s="1"/>
  <c r="Z9" i="8"/>
  <c r="W9" i="8"/>
  <c r="V9" i="8"/>
  <c r="P9" i="8"/>
  <c r="Q9" i="8" s="1"/>
  <c r="O9" i="8"/>
  <c r="M9" i="8"/>
  <c r="H9" i="8"/>
  <c r="Z8" i="8"/>
  <c r="AB8" i="8" s="1"/>
  <c r="J8" i="8" s="1"/>
  <c r="W8" i="8"/>
  <c r="V8" i="8"/>
  <c r="Q8" i="8"/>
  <c r="P8" i="8"/>
  <c r="O8" i="8"/>
  <c r="M8" i="8"/>
  <c r="H8" i="8"/>
  <c r="AB7" i="8"/>
  <c r="J7" i="8" s="1"/>
  <c r="Z7" i="8"/>
  <c r="W7" i="8"/>
  <c r="V7" i="8"/>
  <c r="P7" i="8"/>
  <c r="Q7" i="8" s="1"/>
  <c r="O7" i="8"/>
  <c r="M7" i="8"/>
  <c r="H7" i="8"/>
  <c r="Z6" i="8"/>
  <c r="AB6" i="8" s="1"/>
  <c r="J6" i="8" s="1"/>
  <c r="W6" i="8"/>
  <c r="V6" i="8"/>
  <c r="Q6" i="8"/>
  <c r="P6" i="8"/>
  <c r="O6" i="8"/>
  <c r="M6" i="8"/>
  <c r="H6" i="8"/>
  <c r="AB5" i="8"/>
  <c r="J5" i="8" s="1"/>
  <c r="Z5" i="8"/>
  <c r="W5" i="8"/>
  <c r="W3" i="8" s="1"/>
  <c r="V5" i="8"/>
  <c r="P5" i="8"/>
  <c r="Q5" i="8" s="1"/>
  <c r="O5" i="8"/>
  <c r="M5" i="8"/>
  <c r="H5" i="8"/>
  <c r="Z4" i="8"/>
  <c r="AB4" i="8" s="1"/>
  <c r="J4" i="8" s="1"/>
  <c r="W4" i="8"/>
  <c r="V4" i="8"/>
  <c r="V3" i="8" s="1"/>
  <c r="Q4" i="8"/>
  <c r="P4" i="8"/>
  <c r="O4" i="8"/>
  <c r="M4" i="8"/>
  <c r="H4" i="8"/>
  <c r="AE3" i="8"/>
  <c r="U3" i="8"/>
  <c r="O3" i="8"/>
  <c r="H3" i="8"/>
  <c r="G3" i="8"/>
  <c r="F3" i="8"/>
  <c r="D3" i="8"/>
  <c r="C3" i="8"/>
  <c r="B3" i="8"/>
  <c r="A2" i="8"/>
  <c r="A1" i="8"/>
  <c r="AB56" i="7"/>
  <c r="J56" i="7" s="1"/>
  <c r="Z56" i="7"/>
  <c r="W56" i="7"/>
  <c r="V56" i="7"/>
  <c r="T56" i="7"/>
  <c r="S56" i="7"/>
  <c r="R56" i="7"/>
  <c r="P56" i="7"/>
  <c r="Q56" i="7" s="1"/>
  <c r="O56" i="7"/>
  <c r="M56" i="7"/>
  <c r="H56" i="7"/>
  <c r="C56" i="7"/>
  <c r="AB55" i="7"/>
  <c r="J55" i="7" s="1"/>
  <c r="Z55" i="7"/>
  <c r="W55" i="7"/>
  <c r="V55" i="7"/>
  <c r="P55" i="7"/>
  <c r="Q55" i="7" s="1"/>
  <c r="O55" i="7"/>
  <c r="M55" i="7"/>
  <c r="H55" i="7"/>
  <c r="C55" i="7"/>
  <c r="AB54" i="7"/>
  <c r="J54" i="7" s="1"/>
  <c r="Z54" i="7"/>
  <c r="W54" i="7"/>
  <c r="V54" i="7"/>
  <c r="T54" i="7"/>
  <c r="S54" i="7"/>
  <c r="R54" i="7"/>
  <c r="P54" i="7"/>
  <c r="Q54" i="7" s="1"/>
  <c r="O54" i="7"/>
  <c r="M54" i="7"/>
  <c r="H54" i="7"/>
  <c r="C54" i="7"/>
  <c r="AB53" i="7"/>
  <c r="J53" i="7" s="1"/>
  <c r="Z53" i="7"/>
  <c r="W53" i="7"/>
  <c r="V53" i="7"/>
  <c r="T53" i="7"/>
  <c r="S53" i="7"/>
  <c r="R53" i="7"/>
  <c r="P53" i="7"/>
  <c r="Q53" i="7" s="1"/>
  <c r="O53" i="7"/>
  <c r="M53" i="7"/>
  <c r="H53" i="7"/>
  <c r="C53" i="7"/>
  <c r="AB52" i="7"/>
  <c r="J52" i="7" s="1"/>
  <c r="Z52" i="7"/>
  <c r="W52" i="7"/>
  <c r="V52" i="7"/>
  <c r="T52" i="7"/>
  <c r="S52" i="7"/>
  <c r="R52" i="7"/>
  <c r="P52" i="7"/>
  <c r="Q52" i="7" s="1"/>
  <c r="O52" i="7"/>
  <c r="M52" i="7"/>
  <c r="H52" i="7"/>
  <c r="C52" i="7"/>
  <c r="AB51" i="7"/>
  <c r="J51" i="7" s="1"/>
  <c r="Z51" i="7"/>
  <c r="W51" i="7"/>
  <c r="V51" i="7"/>
  <c r="T51" i="7"/>
  <c r="S51" i="7"/>
  <c r="R51" i="7"/>
  <c r="P51" i="7"/>
  <c r="Q51" i="7" s="1"/>
  <c r="O51" i="7"/>
  <c r="M51" i="7"/>
  <c r="H51" i="7"/>
  <c r="C51" i="7"/>
  <c r="AB50" i="7"/>
  <c r="J50" i="7" s="1"/>
  <c r="Z50" i="7"/>
  <c r="W50" i="7"/>
  <c r="V50" i="7"/>
  <c r="T50" i="7"/>
  <c r="S50" i="7"/>
  <c r="R50" i="7"/>
  <c r="P50" i="7"/>
  <c r="Q50" i="7" s="1"/>
  <c r="O50" i="7"/>
  <c r="M50" i="7"/>
  <c r="H50" i="7"/>
  <c r="C50" i="7"/>
  <c r="AB49" i="7"/>
  <c r="J49" i="7" s="1"/>
  <c r="Z49" i="7"/>
  <c r="W49" i="7"/>
  <c r="V49" i="7"/>
  <c r="T49" i="7"/>
  <c r="S49" i="7"/>
  <c r="R49" i="7"/>
  <c r="P49" i="7"/>
  <c r="Q49" i="7" s="1"/>
  <c r="O49" i="7"/>
  <c r="M49" i="7"/>
  <c r="H49" i="7"/>
  <c r="C49" i="7"/>
  <c r="AB48" i="7"/>
  <c r="J48" i="7" s="1"/>
  <c r="Z48" i="7"/>
  <c r="W48" i="7"/>
  <c r="V48" i="7"/>
  <c r="T48" i="7"/>
  <c r="S48" i="7"/>
  <c r="R48" i="7"/>
  <c r="P48" i="7"/>
  <c r="Q48" i="7" s="1"/>
  <c r="O48" i="7"/>
  <c r="M48" i="7"/>
  <c r="H48" i="7"/>
  <c r="C48" i="7"/>
  <c r="AB47" i="7"/>
  <c r="J47" i="7" s="1"/>
  <c r="Z47" i="7"/>
  <c r="W47" i="7"/>
  <c r="V47" i="7"/>
  <c r="P47" i="7"/>
  <c r="Q47" i="7" s="1"/>
  <c r="O47" i="7"/>
  <c r="M47" i="7"/>
  <c r="H47" i="7"/>
  <c r="C47" i="7"/>
  <c r="AB46" i="7"/>
  <c r="J46" i="7" s="1"/>
  <c r="Z46" i="7"/>
  <c r="W46" i="7"/>
  <c r="V46" i="7"/>
  <c r="P46" i="7"/>
  <c r="O46" i="7"/>
  <c r="Q46" i="7" s="1"/>
  <c r="M46" i="7"/>
  <c r="H46" i="7"/>
  <c r="C46" i="7"/>
  <c r="Z45" i="7"/>
  <c r="AB45" i="7" s="1"/>
  <c r="J45" i="7" s="1"/>
  <c r="W45" i="7"/>
  <c r="V45" i="7"/>
  <c r="P45" i="7"/>
  <c r="O45" i="7"/>
  <c r="Q45" i="7" s="1"/>
  <c r="M45" i="7"/>
  <c r="H45" i="7"/>
  <c r="C45" i="7"/>
  <c r="Z44" i="7"/>
  <c r="AB44" i="7" s="1"/>
  <c r="J44" i="7" s="1"/>
  <c r="W44" i="7"/>
  <c r="V44" i="7"/>
  <c r="Q44" i="7"/>
  <c r="P44" i="7"/>
  <c r="O44" i="7"/>
  <c r="M44" i="7"/>
  <c r="H44" i="7"/>
  <c r="C44" i="7"/>
  <c r="Z43" i="7"/>
  <c r="AB43" i="7" s="1"/>
  <c r="J43" i="7" s="1"/>
  <c r="W43" i="7"/>
  <c r="V43" i="7"/>
  <c r="P43" i="7"/>
  <c r="O43" i="7"/>
  <c r="Q43" i="7" s="1"/>
  <c r="M43" i="7"/>
  <c r="H43" i="7"/>
  <c r="C43" i="7"/>
  <c r="Z42" i="7"/>
  <c r="AB42" i="7" s="1"/>
  <c r="J42" i="7" s="1"/>
  <c r="W42" i="7"/>
  <c r="V42" i="7"/>
  <c r="T42" i="7"/>
  <c r="S42" i="7"/>
  <c r="R42" i="7"/>
  <c r="P42" i="7"/>
  <c r="O42" i="7"/>
  <c r="Q42" i="7" s="1"/>
  <c r="M42" i="7"/>
  <c r="H42" i="7"/>
  <c r="C42" i="7"/>
  <c r="Z41" i="7"/>
  <c r="AB41" i="7" s="1"/>
  <c r="J41" i="7" s="1"/>
  <c r="W41" i="7"/>
  <c r="V41" i="7"/>
  <c r="Q41" i="7"/>
  <c r="P41" i="7"/>
  <c r="O41" i="7"/>
  <c r="M41" i="7"/>
  <c r="H41" i="7"/>
  <c r="C41" i="7"/>
  <c r="Z39" i="7"/>
  <c r="AB39" i="7" s="1"/>
  <c r="J39" i="7" s="1"/>
  <c r="W39" i="7"/>
  <c r="V39" i="7"/>
  <c r="P39" i="7"/>
  <c r="Q39" i="7" s="1"/>
  <c r="O39" i="7"/>
  <c r="M39" i="7"/>
  <c r="H39" i="7"/>
  <c r="C39" i="7"/>
  <c r="AB38" i="7"/>
  <c r="J38" i="7" s="1"/>
  <c r="Z38" i="7"/>
  <c r="W38" i="7"/>
  <c r="V38" i="7"/>
  <c r="P38" i="7"/>
  <c r="Q38" i="7" s="1"/>
  <c r="O38" i="7"/>
  <c r="M38" i="7"/>
  <c r="H38" i="7"/>
  <c r="C38" i="7"/>
  <c r="AB37" i="7"/>
  <c r="J37" i="7" s="1"/>
  <c r="Z37" i="7"/>
  <c r="W37" i="7"/>
  <c r="V37" i="7"/>
  <c r="P37" i="7"/>
  <c r="Q37" i="7" s="1"/>
  <c r="O37" i="7"/>
  <c r="M37" i="7"/>
  <c r="H37" i="7"/>
  <c r="C37" i="7"/>
  <c r="AB36" i="7"/>
  <c r="J36" i="7" s="1"/>
  <c r="Z36" i="7"/>
  <c r="W36" i="7"/>
  <c r="V36" i="7"/>
  <c r="P36" i="7"/>
  <c r="O36" i="7"/>
  <c r="Q36" i="7" s="1"/>
  <c r="M36" i="7"/>
  <c r="H36" i="7"/>
  <c r="C36" i="7"/>
  <c r="Z35" i="7"/>
  <c r="AB35" i="7" s="1"/>
  <c r="J35" i="7" s="1"/>
  <c r="W35" i="7"/>
  <c r="V35" i="7"/>
  <c r="P35" i="7"/>
  <c r="O35" i="7"/>
  <c r="Q35" i="7" s="1"/>
  <c r="M35" i="7"/>
  <c r="H35" i="7"/>
  <c r="C35" i="7"/>
  <c r="Z34" i="7"/>
  <c r="AB34" i="7" s="1"/>
  <c r="J34" i="7" s="1"/>
  <c r="W34" i="7"/>
  <c r="V34" i="7"/>
  <c r="Q34" i="7"/>
  <c r="P34" i="7"/>
  <c r="O34" i="7"/>
  <c r="M34" i="7"/>
  <c r="H34" i="7"/>
  <c r="C34" i="7"/>
  <c r="Z33" i="7"/>
  <c r="AB33" i="7" s="1"/>
  <c r="J33" i="7" s="1"/>
  <c r="W33" i="7"/>
  <c r="V33" i="7"/>
  <c r="P33" i="7"/>
  <c r="O33" i="7"/>
  <c r="Q33" i="7" s="1"/>
  <c r="M33" i="7"/>
  <c r="H33" i="7"/>
  <c r="C33" i="7"/>
  <c r="Z32" i="7"/>
  <c r="AB32" i="7" s="1"/>
  <c r="J32" i="7" s="1"/>
  <c r="W32" i="7"/>
  <c r="V32" i="7"/>
  <c r="Q32" i="7"/>
  <c r="P32" i="7"/>
  <c r="O32" i="7"/>
  <c r="M32" i="7"/>
  <c r="H32" i="7"/>
  <c r="C32" i="7"/>
  <c r="Z31" i="7"/>
  <c r="AB31" i="7" s="1"/>
  <c r="J31" i="7" s="1"/>
  <c r="W31" i="7"/>
  <c r="V31" i="7"/>
  <c r="P31" i="7"/>
  <c r="Q31" i="7" s="1"/>
  <c r="O31" i="7"/>
  <c r="M31" i="7"/>
  <c r="H31" i="7"/>
  <c r="C31" i="7"/>
  <c r="AB30" i="7"/>
  <c r="J30" i="7" s="1"/>
  <c r="Z30" i="7"/>
  <c r="W30" i="7"/>
  <c r="V30" i="7"/>
  <c r="P30" i="7"/>
  <c r="Q30" i="7" s="1"/>
  <c r="O30" i="7"/>
  <c r="M30" i="7"/>
  <c r="H30" i="7"/>
  <c r="C30" i="7"/>
  <c r="AB29" i="7"/>
  <c r="J29" i="7" s="1"/>
  <c r="Z29" i="7"/>
  <c r="W29" i="7"/>
  <c r="V29" i="7"/>
  <c r="P29" i="7"/>
  <c r="Q29" i="7" s="1"/>
  <c r="O29" i="7"/>
  <c r="M29" i="7"/>
  <c r="H29" i="7"/>
  <c r="C29" i="7"/>
  <c r="AB28" i="7"/>
  <c r="J28" i="7" s="1"/>
  <c r="Z28" i="7"/>
  <c r="W28" i="7"/>
  <c r="V28" i="7"/>
  <c r="P28" i="7"/>
  <c r="O28" i="7"/>
  <c r="Q28" i="7" s="1"/>
  <c r="M28" i="7"/>
  <c r="H28" i="7"/>
  <c r="C28" i="7"/>
  <c r="Z27" i="7"/>
  <c r="AB27" i="7" s="1"/>
  <c r="J27" i="7" s="1"/>
  <c r="W27" i="7"/>
  <c r="V27" i="7"/>
  <c r="P27" i="7"/>
  <c r="O27" i="7"/>
  <c r="Q27" i="7" s="1"/>
  <c r="M27" i="7"/>
  <c r="H27" i="7"/>
  <c r="C27" i="7"/>
  <c r="Z26" i="7"/>
  <c r="AB26" i="7" s="1"/>
  <c r="J26" i="7" s="1"/>
  <c r="W26" i="7"/>
  <c r="V26" i="7"/>
  <c r="Q26" i="7"/>
  <c r="P26" i="7"/>
  <c r="O26" i="7"/>
  <c r="M26" i="7"/>
  <c r="H26" i="7"/>
  <c r="C26" i="7"/>
  <c r="Z25" i="7"/>
  <c r="AB25" i="7" s="1"/>
  <c r="J25" i="7" s="1"/>
  <c r="W25" i="7"/>
  <c r="V25" i="7"/>
  <c r="P25" i="7"/>
  <c r="O25" i="7"/>
  <c r="Q25" i="7" s="1"/>
  <c r="M25" i="7"/>
  <c r="H25" i="7"/>
  <c r="AB24" i="7"/>
  <c r="J24" i="7" s="1"/>
  <c r="Z24" i="7"/>
  <c r="W24" i="7"/>
  <c r="V24" i="7"/>
  <c r="P24" i="7"/>
  <c r="Q24" i="7" s="1"/>
  <c r="O24" i="7"/>
  <c r="M24" i="7"/>
  <c r="H24" i="7"/>
  <c r="Z23" i="7"/>
  <c r="AB23" i="7" s="1"/>
  <c r="J23" i="7" s="1"/>
  <c r="W23" i="7"/>
  <c r="V23" i="7"/>
  <c r="P23" i="7"/>
  <c r="O23" i="7"/>
  <c r="Q23" i="7" s="1"/>
  <c r="M23" i="7"/>
  <c r="H23" i="7"/>
  <c r="AB22" i="7"/>
  <c r="J22" i="7" s="1"/>
  <c r="Z22" i="7"/>
  <c r="W22" i="7"/>
  <c r="V22" i="7"/>
  <c r="P22" i="7"/>
  <c r="Q22" i="7" s="1"/>
  <c r="O22" i="7"/>
  <c r="M22" i="7"/>
  <c r="H22" i="7"/>
  <c r="Z21" i="7"/>
  <c r="AB21" i="7" s="1"/>
  <c r="J21" i="7" s="1"/>
  <c r="W21" i="7"/>
  <c r="V21" i="7"/>
  <c r="P21" i="7"/>
  <c r="O21" i="7"/>
  <c r="Q21" i="7" s="1"/>
  <c r="M21" i="7"/>
  <c r="H21" i="7"/>
  <c r="AB20" i="7"/>
  <c r="J20" i="7" s="1"/>
  <c r="Z20" i="7"/>
  <c r="W20" i="7"/>
  <c r="V20" i="7"/>
  <c r="P20" i="7"/>
  <c r="Q20" i="7" s="1"/>
  <c r="O20" i="7"/>
  <c r="M20" i="7"/>
  <c r="H20" i="7"/>
  <c r="Z19" i="7"/>
  <c r="AB19" i="7" s="1"/>
  <c r="J19" i="7" s="1"/>
  <c r="W19" i="7"/>
  <c r="V19" i="7"/>
  <c r="P19" i="7"/>
  <c r="O19" i="7"/>
  <c r="Q19" i="7" s="1"/>
  <c r="M19" i="7"/>
  <c r="H19" i="7"/>
  <c r="AB18" i="7"/>
  <c r="J18" i="7" s="1"/>
  <c r="Z18" i="7"/>
  <c r="W18" i="7"/>
  <c r="V18" i="7"/>
  <c r="P18" i="7"/>
  <c r="Q18" i="7" s="1"/>
  <c r="O18" i="7"/>
  <c r="M18" i="7"/>
  <c r="H18" i="7"/>
  <c r="Z17" i="7"/>
  <c r="AB17" i="7" s="1"/>
  <c r="J17" i="7" s="1"/>
  <c r="W17" i="7"/>
  <c r="V17" i="7"/>
  <c r="P17" i="7"/>
  <c r="O17" i="7"/>
  <c r="Q17" i="7" s="1"/>
  <c r="M17" i="7"/>
  <c r="H17" i="7"/>
  <c r="AB16" i="7"/>
  <c r="J16" i="7" s="1"/>
  <c r="Z16" i="7"/>
  <c r="W16" i="7"/>
  <c r="V16" i="7"/>
  <c r="P16" i="7"/>
  <c r="Q16" i="7" s="1"/>
  <c r="O16" i="7"/>
  <c r="M16" i="7"/>
  <c r="H16" i="7"/>
  <c r="Z15" i="7"/>
  <c r="AB15" i="7" s="1"/>
  <c r="J15" i="7" s="1"/>
  <c r="W15" i="7"/>
  <c r="V15" i="7"/>
  <c r="P15" i="7"/>
  <c r="O15" i="7"/>
  <c r="Q15" i="7" s="1"/>
  <c r="M15" i="7"/>
  <c r="H15" i="7"/>
  <c r="AB14" i="7"/>
  <c r="J14" i="7" s="1"/>
  <c r="Z14" i="7"/>
  <c r="W14" i="7"/>
  <c r="V14" i="7"/>
  <c r="P14" i="7"/>
  <c r="Q14" i="7" s="1"/>
  <c r="O14" i="7"/>
  <c r="M14" i="7"/>
  <c r="H14" i="7"/>
  <c r="Z13" i="7"/>
  <c r="AB13" i="7" s="1"/>
  <c r="J13" i="7" s="1"/>
  <c r="W13" i="7"/>
  <c r="V13" i="7"/>
  <c r="P13" i="7"/>
  <c r="O13" i="7"/>
  <c r="Q13" i="7" s="1"/>
  <c r="M13" i="7"/>
  <c r="H13" i="7"/>
  <c r="AB12" i="7"/>
  <c r="J12" i="7" s="1"/>
  <c r="Z12" i="7"/>
  <c r="W12" i="7"/>
  <c r="V12" i="7"/>
  <c r="P12" i="7"/>
  <c r="Q12" i="7" s="1"/>
  <c r="O12" i="7"/>
  <c r="M12" i="7"/>
  <c r="H12" i="7"/>
  <c r="Z11" i="7"/>
  <c r="AB11" i="7" s="1"/>
  <c r="J11" i="7" s="1"/>
  <c r="W11" i="7"/>
  <c r="V11" i="7"/>
  <c r="P11" i="7"/>
  <c r="O11" i="7"/>
  <c r="Q11" i="7" s="1"/>
  <c r="M11" i="7"/>
  <c r="H11" i="7"/>
  <c r="AB10" i="7"/>
  <c r="J10" i="7" s="1"/>
  <c r="Z10" i="7"/>
  <c r="W10" i="7"/>
  <c r="V10" i="7"/>
  <c r="P10" i="7"/>
  <c r="Q10" i="7" s="1"/>
  <c r="O10" i="7"/>
  <c r="M10" i="7"/>
  <c r="H10" i="7"/>
  <c r="Z9" i="7"/>
  <c r="AB9" i="7" s="1"/>
  <c r="J9" i="7" s="1"/>
  <c r="W9" i="7"/>
  <c r="V9" i="7"/>
  <c r="P9" i="7"/>
  <c r="O9" i="7"/>
  <c r="Q9" i="7" s="1"/>
  <c r="M9" i="7"/>
  <c r="H9" i="7"/>
  <c r="AB8" i="7"/>
  <c r="J8" i="7" s="1"/>
  <c r="Z8" i="7"/>
  <c r="W8" i="7"/>
  <c r="V8" i="7"/>
  <c r="P8" i="7"/>
  <c r="Q8" i="7" s="1"/>
  <c r="O8" i="7"/>
  <c r="M8" i="7"/>
  <c r="H8" i="7"/>
  <c r="Z7" i="7"/>
  <c r="AB7" i="7" s="1"/>
  <c r="J7" i="7" s="1"/>
  <c r="W7" i="7"/>
  <c r="V7" i="7"/>
  <c r="P7" i="7"/>
  <c r="O7" i="7"/>
  <c r="Q7" i="7" s="1"/>
  <c r="M7" i="7"/>
  <c r="H7" i="7"/>
  <c r="AB6" i="7"/>
  <c r="J6" i="7" s="1"/>
  <c r="Z6" i="7"/>
  <c r="W6" i="7"/>
  <c r="V6" i="7"/>
  <c r="P6" i="7"/>
  <c r="Q6" i="7" s="1"/>
  <c r="O6" i="7"/>
  <c r="M6" i="7"/>
  <c r="H6" i="7"/>
  <c r="Z5" i="7"/>
  <c r="AB5" i="7" s="1"/>
  <c r="J5" i="7" s="1"/>
  <c r="W5" i="7"/>
  <c r="V5" i="7"/>
  <c r="P5" i="7"/>
  <c r="O5" i="7"/>
  <c r="Q5" i="7" s="1"/>
  <c r="M5" i="7"/>
  <c r="H5" i="7"/>
  <c r="AB4" i="7"/>
  <c r="J4" i="7" s="1"/>
  <c r="Z4" i="7"/>
  <c r="W4" i="7"/>
  <c r="W3" i="7" s="1"/>
  <c r="V4" i="7"/>
  <c r="V3" i="7" s="1"/>
  <c r="P4" i="7"/>
  <c r="Q4" i="7" s="1"/>
  <c r="O4" i="7"/>
  <c r="M4" i="7"/>
  <c r="H4" i="7"/>
  <c r="AE3" i="7"/>
  <c r="U3" i="7"/>
  <c r="O3" i="7"/>
  <c r="G3" i="7"/>
  <c r="H3" i="7" s="1"/>
  <c r="F3" i="7"/>
  <c r="D3" i="7"/>
  <c r="C3" i="7"/>
  <c r="B3" i="7"/>
  <c r="A2" i="7"/>
  <c r="A1" i="7"/>
  <c r="Z56" i="6"/>
  <c r="AB56" i="6" s="1"/>
  <c r="J56" i="6" s="1"/>
  <c r="W56" i="6"/>
  <c r="V56" i="6"/>
  <c r="T56" i="6"/>
  <c r="S56" i="6"/>
  <c r="R56" i="6"/>
  <c r="Q56" i="6"/>
  <c r="P56" i="6"/>
  <c r="O56" i="6"/>
  <c r="M56" i="6"/>
  <c r="H56" i="6"/>
  <c r="C56" i="6"/>
  <c r="Z55" i="6"/>
  <c r="AB55" i="6" s="1"/>
  <c r="J55" i="6" s="1"/>
  <c r="W55" i="6"/>
  <c r="V55" i="6"/>
  <c r="P55" i="6"/>
  <c r="O55" i="6"/>
  <c r="Q55" i="6" s="1"/>
  <c r="M55" i="6"/>
  <c r="H55" i="6"/>
  <c r="C55" i="6"/>
  <c r="Z54" i="6"/>
  <c r="AB54" i="6" s="1"/>
  <c r="J54" i="6" s="1"/>
  <c r="W54" i="6"/>
  <c r="V54" i="6"/>
  <c r="T54" i="6"/>
  <c r="S54" i="6"/>
  <c r="R54" i="6"/>
  <c r="P54" i="6"/>
  <c r="O54" i="6"/>
  <c r="Q54" i="6" s="1"/>
  <c r="M54" i="6"/>
  <c r="H54" i="6"/>
  <c r="C54" i="6"/>
  <c r="Z53" i="6"/>
  <c r="AB53" i="6" s="1"/>
  <c r="J53" i="6" s="1"/>
  <c r="W53" i="6"/>
  <c r="V53" i="6"/>
  <c r="T53" i="6"/>
  <c r="S53" i="6"/>
  <c r="R53" i="6"/>
  <c r="P53" i="6"/>
  <c r="O53" i="6"/>
  <c r="Q53" i="6" s="1"/>
  <c r="M53" i="6"/>
  <c r="H53" i="6"/>
  <c r="C53" i="6"/>
  <c r="Z52" i="6"/>
  <c r="AB52" i="6" s="1"/>
  <c r="J52" i="6" s="1"/>
  <c r="W52" i="6"/>
  <c r="V52" i="6"/>
  <c r="T52" i="6"/>
  <c r="S52" i="6"/>
  <c r="R52" i="6"/>
  <c r="P52" i="6"/>
  <c r="O52" i="6"/>
  <c r="Q52" i="6" s="1"/>
  <c r="M52" i="6"/>
  <c r="H52" i="6"/>
  <c r="C52" i="6"/>
  <c r="Z51" i="6"/>
  <c r="AB51" i="6" s="1"/>
  <c r="J51" i="6" s="1"/>
  <c r="W51" i="6"/>
  <c r="V51" i="6"/>
  <c r="T51" i="6"/>
  <c r="S51" i="6"/>
  <c r="R51" i="6"/>
  <c r="P51" i="6"/>
  <c r="O51" i="6"/>
  <c r="Q51" i="6" s="1"/>
  <c r="M51" i="6"/>
  <c r="H51" i="6"/>
  <c r="C51" i="6"/>
  <c r="Z50" i="6"/>
  <c r="AB50" i="6" s="1"/>
  <c r="J50" i="6" s="1"/>
  <c r="W50" i="6"/>
  <c r="V50" i="6"/>
  <c r="T50" i="6"/>
  <c r="S50" i="6"/>
  <c r="R50" i="6"/>
  <c r="P50" i="6"/>
  <c r="O50" i="6"/>
  <c r="Q50" i="6" s="1"/>
  <c r="M50" i="6"/>
  <c r="H50" i="6"/>
  <c r="C50" i="6"/>
  <c r="Z49" i="6"/>
  <c r="AB49" i="6" s="1"/>
  <c r="J49" i="6" s="1"/>
  <c r="W49" i="6"/>
  <c r="V49" i="6"/>
  <c r="T49" i="6"/>
  <c r="S49" i="6"/>
  <c r="R49" i="6"/>
  <c r="P49" i="6"/>
  <c r="O49" i="6"/>
  <c r="Q49" i="6" s="1"/>
  <c r="M49" i="6"/>
  <c r="H49" i="6"/>
  <c r="C49" i="6"/>
  <c r="Z48" i="6"/>
  <c r="AB48" i="6" s="1"/>
  <c r="J48" i="6" s="1"/>
  <c r="W48" i="6"/>
  <c r="V48" i="6"/>
  <c r="T48" i="6"/>
  <c r="S48" i="6"/>
  <c r="R48" i="6"/>
  <c r="P48" i="6"/>
  <c r="O48" i="6"/>
  <c r="Q48" i="6" s="1"/>
  <c r="M48" i="6"/>
  <c r="H48" i="6"/>
  <c r="C48" i="6"/>
  <c r="Z47" i="6"/>
  <c r="AB47" i="6" s="1"/>
  <c r="J47" i="6" s="1"/>
  <c r="W47" i="6"/>
  <c r="V47" i="6"/>
  <c r="Q47" i="6"/>
  <c r="P47" i="6"/>
  <c r="O47" i="6"/>
  <c r="M47" i="6"/>
  <c r="H47" i="6"/>
  <c r="C47" i="6"/>
  <c r="Z46" i="6"/>
  <c r="AB46" i="6" s="1"/>
  <c r="J46" i="6" s="1"/>
  <c r="W46" i="6"/>
  <c r="V46" i="6"/>
  <c r="P46" i="6"/>
  <c r="Q46" i="6" s="1"/>
  <c r="O46" i="6"/>
  <c r="M46" i="6"/>
  <c r="H46" i="6"/>
  <c r="C46" i="6"/>
  <c r="AB45" i="6"/>
  <c r="J45" i="6" s="1"/>
  <c r="Z45" i="6"/>
  <c r="W45" i="6"/>
  <c r="V45" i="6"/>
  <c r="P45" i="6"/>
  <c r="Q45" i="6" s="1"/>
  <c r="O45" i="6"/>
  <c r="M45" i="6"/>
  <c r="H45" i="6"/>
  <c r="C45" i="6"/>
  <c r="AB44" i="6"/>
  <c r="J44" i="6" s="1"/>
  <c r="Z44" i="6"/>
  <c r="W44" i="6"/>
  <c r="V44" i="6"/>
  <c r="P44" i="6"/>
  <c r="O44" i="6"/>
  <c r="Q44" i="6" s="1"/>
  <c r="M44" i="6"/>
  <c r="H44" i="6"/>
  <c r="C44" i="6"/>
  <c r="AB43" i="6"/>
  <c r="J43" i="6" s="1"/>
  <c r="Z43" i="6"/>
  <c r="W43" i="6"/>
  <c r="V43" i="6"/>
  <c r="P43" i="6"/>
  <c r="O43" i="6"/>
  <c r="Q43" i="6" s="1"/>
  <c r="M43" i="6"/>
  <c r="H43" i="6"/>
  <c r="C43" i="6"/>
  <c r="Z42" i="6"/>
  <c r="AB42" i="6" s="1"/>
  <c r="J42" i="6" s="1"/>
  <c r="W42" i="6"/>
  <c r="V42" i="6"/>
  <c r="T42" i="6"/>
  <c r="S42" i="6"/>
  <c r="R42" i="6"/>
  <c r="P42" i="6"/>
  <c r="O42" i="6"/>
  <c r="Q42" i="6" s="1"/>
  <c r="M42" i="6"/>
  <c r="H42" i="6"/>
  <c r="C42" i="6"/>
  <c r="Z41" i="6"/>
  <c r="AB41" i="6" s="1"/>
  <c r="J41" i="6" s="1"/>
  <c r="W41" i="6"/>
  <c r="V41" i="6"/>
  <c r="P41" i="6"/>
  <c r="O41" i="6"/>
  <c r="Q41" i="6" s="1"/>
  <c r="M41" i="6"/>
  <c r="H41" i="6"/>
  <c r="C41" i="6"/>
  <c r="Z39" i="6"/>
  <c r="AB39" i="6" s="1"/>
  <c r="J39" i="6" s="1"/>
  <c r="W39" i="6"/>
  <c r="V39" i="6"/>
  <c r="Q39" i="6"/>
  <c r="P39" i="6"/>
  <c r="O39" i="6"/>
  <c r="M39" i="6"/>
  <c r="H39" i="6"/>
  <c r="C39" i="6"/>
  <c r="Z38" i="6"/>
  <c r="AB38" i="6" s="1"/>
  <c r="J38" i="6" s="1"/>
  <c r="W38" i="6"/>
  <c r="V38" i="6"/>
  <c r="P38" i="6"/>
  <c r="O38" i="6"/>
  <c r="Q38" i="6" s="1"/>
  <c r="M38" i="6"/>
  <c r="H38" i="6"/>
  <c r="C38" i="6"/>
  <c r="Z37" i="6"/>
  <c r="AB37" i="6" s="1"/>
  <c r="J37" i="6" s="1"/>
  <c r="W37" i="6"/>
  <c r="V37" i="6"/>
  <c r="Q37" i="6"/>
  <c r="P37" i="6"/>
  <c r="O37" i="6"/>
  <c r="M37" i="6"/>
  <c r="H37" i="6"/>
  <c r="C37" i="6"/>
  <c r="Z36" i="6"/>
  <c r="AB36" i="6" s="1"/>
  <c r="J36" i="6" s="1"/>
  <c r="W36" i="6"/>
  <c r="V36" i="6"/>
  <c r="P36" i="6"/>
  <c r="Q36" i="6" s="1"/>
  <c r="O36" i="6"/>
  <c r="M36" i="6"/>
  <c r="H36" i="6"/>
  <c r="C36" i="6"/>
  <c r="AB35" i="6"/>
  <c r="J35" i="6" s="1"/>
  <c r="Z35" i="6"/>
  <c r="W35" i="6"/>
  <c r="V35" i="6"/>
  <c r="P35" i="6"/>
  <c r="Q35" i="6" s="1"/>
  <c r="O35" i="6"/>
  <c r="M35" i="6"/>
  <c r="H35" i="6"/>
  <c r="C35" i="6"/>
  <c r="AB34" i="6"/>
  <c r="J34" i="6" s="1"/>
  <c r="Z34" i="6"/>
  <c r="W34" i="6"/>
  <c r="V34" i="6"/>
  <c r="P34" i="6"/>
  <c r="O34" i="6"/>
  <c r="Q34" i="6" s="1"/>
  <c r="M34" i="6"/>
  <c r="H34" i="6"/>
  <c r="C34" i="6"/>
  <c r="AB33" i="6"/>
  <c r="J33" i="6" s="1"/>
  <c r="Z33" i="6"/>
  <c r="W33" i="6"/>
  <c r="V33" i="6"/>
  <c r="P33" i="6"/>
  <c r="O33" i="6"/>
  <c r="Q33" i="6" s="1"/>
  <c r="M33" i="6"/>
  <c r="H33" i="6"/>
  <c r="C33" i="6"/>
  <c r="Z32" i="6"/>
  <c r="AB32" i="6" s="1"/>
  <c r="J32" i="6" s="1"/>
  <c r="W32" i="6"/>
  <c r="V32" i="6"/>
  <c r="P32" i="6"/>
  <c r="O32" i="6"/>
  <c r="Q32" i="6" s="1"/>
  <c r="M32" i="6"/>
  <c r="H32" i="6"/>
  <c r="C32" i="6"/>
  <c r="Z31" i="6"/>
  <c r="AB31" i="6" s="1"/>
  <c r="J31" i="6" s="1"/>
  <c r="W31" i="6"/>
  <c r="V31" i="6"/>
  <c r="Q31" i="6"/>
  <c r="P31" i="6"/>
  <c r="O31" i="6"/>
  <c r="M31" i="6"/>
  <c r="H31" i="6"/>
  <c r="C31" i="6"/>
  <c r="Z30" i="6"/>
  <c r="AB30" i="6" s="1"/>
  <c r="J30" i="6" s="1"/>
  <c r="W30" i="6"/>
  <c r="V30" i="6"/>
  <c r="P30" i="6"/>
  <c r="O30" i="6"/>
  <c r="Q30" i="6" s="1"/>
  <c r="M30" i="6"/>
  <c r="H30" i="6"/>
  <c r="C30" i="6"/>
  <c r="Z29" i="6"/>
  <c r="AB29" i="6" s="1"/>
  <c r="J29" i="6" s="1"/>
  <c r="W29" i="6"/>
  <c r="V29" i="6"/>
  <c r="Q29" i="6"/>
  <c r="P29" i="6"/>
  <c r="O29" i="6"/>
  <c r="M29" i="6"/>
  <c r="H29" i="6"/>
  <c r="C29" i="6"/>
  <c r="Z28" i="6"/>
  <c r="AB28" i="6" s="1"/>
  <c r="J28" i="6" s="1"/>
  <c r="W28" i="6"/>
  <c r="V28" i="6"/>
  <c r="P28" i="6"/>
  <c r="Q28" i="6" s="1"/>
  <c r="O28" i="6"/>
  <c r="M28" i="6"/>
  <c r="H28" i="6"/>
  <c r="C28" i="6"/>
  <c r="AB27" i="6"/>
  <c r="J27" i="6" s="1"/>
  <c r="Z27" i="6"/>
  <c r="W27" i="6"/>
  <c r="V27" i="6"/>
  <c r="P27" i="6"/>
  <c r="Q27" i="6" s="1"/>
  <c r="O27" i="6"/>
  <c r="M27" i="6"/>
  <c r="H27" i="6"/>
  <c r="C27" i="6"/>
  <c r="AB26" i="6"/>
  <c r="J26" i="6" s="1"/>
  <c r="Z26" i="6"/>
  <c r="W26" i="6"/>
  <c r="V26" i="6"/>
  <c r="P26" i="6"/>
  <c r="O26" i="6"/>
  <c r="Q26" i="6" s="1"/>
  <c r="M26" i="6"/>
  <c r="H26" i="6"/>
  <c r="C26" i="6"/>
  <c r="AB25" i="6"/>
  <c r="J25" i="6" s="1"/>
  <c r="Z25" i="6"/>
  <c r="W25" i="6"/>
  <c r="V25" i="6"/>
  <c r="P25" i="6"/>
  <c r="O25" i="6"/>
  <c r="Q25" i="6" s="1"/>
  <c r="M25" i="6"/>
  <c r="H25" i="6"/>
  <c r="Z24" i="6"/>
  <c r="AB24" i="6" s="1"/>
  <c r="J24" i="6" s="1"/>
  <c r="W24" i="6"/>
  <c r="V24" i="6"/>
  <c r="Q24" i="6"/>
  <c r="P24" i="6"/>
  <c r="O24" i="6"/>
  <c r="M24" i="6"/>
  <c r="H24" i="6"/>
  <c r="AB23" i="6"/>
  <c r="J23" i="6" s="1"/>
  <c r="Z23" i="6"/>
  <c r="W23" i="6"/>
  <c r="V23" i="6"/>
  <c r="P23" i="6"/>
  <c r="O23" i="6"/>
  <c r="Q23" i="6" s="1"/>
  <c r="M23" i="6"/>
  <c r="H23" i="6"/>
  <c r="Z22" i="6"/>
  <c r="AB22" i="6" s="1"/>
  <c r="J22" i="6" s="1"/>
  <c r="W22" i="6"/>
  <c r="V22" i="6"/>
  <c r="Q22" i="6"/>
  <c r="P22" i="6"/>
  <c r="O22" i="6"/>
  <c r="M22" i="6"/>
  <c r="H22" i="6"/>
  <c r="AB21" i="6"/>
  <c r="J21" i="6" s="1"/>
  <c r="Z21" i="6"/>
  <c r="W21" i="6"/>
  <c r="V21" i="6"/>
  <c r="P21" i="6"/>
  <c r="O21" i="6"/>
  <c r="Q21" i="6" s="1"/>
  <c r="M21" i="6"/>
  <c r="H21" i="6"/>
  <c r="Z20" i="6"/>
  <c r="AB20" i="6" s="1"/>
  <c r="J20" i="6" s="1"/>
  <c r="W20" i="6"/>
  <c r="V20" i="6"/>
  <c r="Q20" i="6"/>
  <c r="P20" i="6"/>
  <c r="O20" i="6"/>
  <c r="M20" i="6"/>
  <c r="H20" i="6"/>
  <c r="AB19" i="6"/>
  <c r="J19" i="6" s="1"/>
  <c r="Z19" i="6"/>
  <c r="W19" i="6"/>
  <c r="V19" i="6"/>
  <c r="P19" i="6"/>
  <c r="O19" i="6"/>
  <c r="Q19" i="6" s="1"/>
  <c r="M19" i="6"/>
  <c r="H19" i="6"/>
  <c r="Z18" i="6"/>
  <c r="AB18" i="6" s="1"/>
  <c r="J18" i="6" s="1"/>
  <c r="W18" i="6"/>
  <c r="V18" i="6"/>
  <c r="Q18" i="6"/>
  <c r="P18" i="6"/>
  <c r="O18" i="6"/>
  <c r="M18" i="6"/>
  <c r="H18" i="6"/>
  <c r="AB17" i="6"/>
  <c r="J17" i="6" s="1"/>
  <c r="Z17" i="6"/>
  <c r="W17" i="6"/>
  <c r="V17" i="6"/>
  <c r="P17" i="6"/>
  <c r="O17" i="6"/>
  <c r="Q17" i="6" s="1"/>
  <c r="M17" i="6"/>
  <c r="H17" i="6"/>
  <c r="Z16" i="6"/>
  <c r="AB16" i="6" s="1"/>
  <c r="J16" i="6" s="1"/>
  <c r="W16" i="6"/>
  <c r="V16" i="6"/>
  <c r="Q16" i="6"/>
  <c r="P16" i="6"/>
  <c r="O16" i="6"/>
  <c r="M16" i="6"/>
  <c r="H16" i="6"/>
  <c r="AB15" i="6"/>
  <c r="J15" i="6" s="1"/>
  <c r="Z15" i="6"/>
  <c r="W15" i="6"/>
  <c r="V15" i="6"/>
  <c r="P15" i="6"/>
  <c r="O15" i="6"/>
  <c r="Q15" i="6" s="1"/>
  <c r="M15" i="6"/>
  <c r="H15" i="6"/>
  <c r="Z14" i="6"/>
  <c r="AB14" i="6" s="1"/>
  <c r="J14" i="6" s="1"/>
  <c r="W14" i="6"/>
  <c r="V14" i="6"/>
  <c r="Q14" i="6"/>
  <c r="P14" i="6"/>
  <c r="O14" i="6"/>
  <c r="M14" i="6"/>
  <c r="H14" i="6"/>
  <c r="AB13" i="6"/>
  <c r="J13" i="6" s="1"/>
  <c r="Z13" i="6"/>
  <c r="W13" i="6"/>
  <c r="V13" i="6"/>
  <c r="P13" i="6"/>
  <c r="O13" i="6"/>
  <c r="Q13" i="6" s="1"/>
  <c r="M13" i="6"/>
  <c r="H13" i="6"/>
  <c r="Z12" i="6"/>
  <c r="AB12" i="6" s="1"/>
  <c r="J12" i="6" s="1"/>
  <c r="W12" i="6"/>
  <c r="V12" i="6"/>
  <c r="Q12" i="6"/>
  <c r="P12" i="6"/>
  <c r="O12" i="6"/>
  <c r="M12" i="6"/>
  <c r="H12" i="6"/>
  <c r="AB11" i="6"/>
  <c r="J11" i="6" s="1"/>
  <c r="Z11" i="6"/>
  <c r="W11" i="6"/>
  <c r="V11" i="6"/>
  <c r="P11" i="6"/>
  <c r="O11" i="6"/>
  <c r="Q11" i="6" s="1"/>
  <c r="M11" i="6"/>
  <c r="H11" i="6"/>
  <c r="Z10" i="6"/>
  <c r="AB10" i="6" s="1"/>
  <c r="J10" i="6" s="1"/>
  <c r="W10" i="6"/>
  <c r="V10" i="6"/>
  <c r="Q10" i="6"/>
  <c r="P10" i="6"/>
  <c r="O10" i="6"/>
  <c r="M10" i="6"/>
  <c r="H10" i="6"/>
  <c r="AB9" i="6"/>
  <c r="J9" i="6" s="1"/>
  <c r="Z9" i="6"/>
  <c r="W9" i="6"/>
  <c r="V9" i="6"/>
  <c r="P9" i="6"/>
  <c r="O9" i="6"/>
  <c r="Q9" i="6" s="1"/>
  <c r="M9" i="6"/>
  <c r="H9" i="6"/>
  <c r="Z8" i="6"/>
  <c r="AB8" i="6" s="1"/>
  <c r="J8" i="6" s="1"/>
  <c r="W8" i="6"/>
  <c r="V8" i="6"/>
  <c r="Q8" i="6"/>
  <c r="P8" i="6"/>
  <c r="O8" i="6"/>
  <c r="M8" i="6"/>
  <c r="H8" i="6"/>
  <c r="AB7" i="6"/>
  <c r="J7" i="6" s="1"/>
  <c r="Z7" i="6"/>
  <c r="W7" i="6"/>
  <c r="V7" i="6"/>
  <c r="P7" i="6"/>
  <c r="O7" i="6"/>
  <c r="Q7" i="6" s="1"/>
  <c r="M7" i="6"/>
  <c r="H7" i="6"/>
  <c r="Z6" i="6"/>
  <c r="AB6" i="6" s="1"/>
  <c r="J6" i="6" s="1"/>
  <c r="W6" i="6"/>
  <c r="V6" i="6"/>
  <c r="Q6" i="6"/>
  <c r="P6" i="6"/>
  <c r="O6" i="6"/>
  <c r="M6" i="6"/>
  <c r="H6" i="6"/>
  <c r="AB5" i="6"/>
  <c r="J5" i="6" s="1"/>
  <c r="Z5" i="6"/>
  <c r="W5" i="6"/>
  <c r="V5" i="6"/>
  <c r="V3" i="6" s="1"/>
  <c r="P5" i="6"/>
  <c r="O5" i="6"/>
  <c r="Q5" i="6" s="1"/>
  <c r="M5" i="6"/>
  <c r="H5" i="6"/>
  <c r="Z4" i="6"/>
  <c r="AB4" i="6" s="1"/>
  <c r="J4" i="6" s="1"/>
  <c r="W4" i="6"/>
  <c r="W3" i="6" s="1"/>
  <c r="V4" i="6"/>
  <c r="Q4" i="6"/>
  <c r="P4" i="6"/>
  <c r="O4" i="6"/>
  <c r="M4" i="6"/>
  <c r="H4" i="6"/>
  <c r="AE3" i="6"/>
  <c r="U3" i="6"/>
  <c r="O3" i="6"/>
  <c r="H3" i="6"/>
  <c r="G3" i="6"/>
  <c r="F3" i="6"/>
  <c r="D3" i="6"/>
  <c r="C3" i="6"/>
  <c r="B3" i="6"/>
  <c r="A2" i="6"/>
  <c r="A1" i="6"/>
  <c r="AB56" i="5"/>
  <c r="J56" i="5" s="1"/>
  <c r="Z56" i="5"/>
  <c r="W56" i="5"/>
  <c r="V56" i="5"/>
  <c r="T56" i="5"/>
  <c r="S56" i="5"/>
  <c r="R56" i="5"/>
  <c r="P56" i="5"/>
  <c r="O56" i="5"/>
  <c r="Q56" i="5" s="1"/>
  <c r="M56" i="5"/>
  <c r="H56" i="5"/>
  <c r="C56" i="5"/>
  <c r="AB55" i="5"/>
  <c r="J55" i="5" s="1"/>
  <c r="Z55" i="5"/>
  <c r="W55" i="5"/>
  <c r="V55" i="5"/>
  <c r="P55" i="5"/>
  <c r="O55" i="5"/>
  <c r="Q55" i="5" s="1"/>
  <c r="M55" i="5"/>
  <c r="H55" i="5"/>
  <c r="C55" i="5"/>
  <c r="Z54" i="5"/>
  <c r="AB54" i="5" s="1"/>
  <c r="J54" i="5" s="1"/>
  <c r="W54" i="5"/>
  <c r="V54" i="5"/>
  <c r="T54" i="5"/>
  <c r="S54" i="5"/>
  <c r="R54" i="5"/>
  <c r="P54" i="5"/>
  <c r="O54" i="5"/>
  <c r="Q54" i="5" s="1"/>
  <c r="M54" i="5"/>
  <c r="H54" i="5"/>
  <c r="C54" i="5"/>
  <c r="Z53" i="5"/>
  <c r="AB53" i="5" s="1"/>
  <c r="J53" i="5" s="1"/>
  <c r="W53" i="5"/>
  <c r="V53" i="5"/>
  <c r="T53" i="5"/>
  <c r="S53" i="5"/>
  <c r="R53" i="5"/>
  <c r="P53" i="5"/>
  <c r="O53" i="5"/>
  <c r="Q53" i="5" s="1"/>
  <c r="M53" i="5"/>
  <c r="H53" i="5"/>
  <c r="C53" i="5"/>
  <c r="Z52" i="5"/>
  <c r="AB52" i="5" s="1"/>
  <c r="J52" i="5" s="1"/>
  <c r="W52" i="5"/>
  <c r="V52" i="5"/>
  <c r="T52" i="5"/>
  <c r="S52" i="5"/>
  <c r="R52" i="5"/>
  <c r="P52" i="5"/>
  <c r="O52" i="5"/>
  <c r="Q52" i="5" s="1"/>
  <c r="M52" i="5"/>
  <c r="H52" i="5"/>
  <c r="C52" i="5"/>
  <c r="Z51" i="5"/>
  <c r="AB51" i="5" s="1"/>
  <c r="J51" i="5" s="1"/>
  <c r="W51" i="5"/>
  <c r="V51" i="5"/>
  <c r="T51" i="5"/>
  <c r="S51" i="5"/>
  <c r="R51" i="5"/>
  <c r="P51" i="5"/>
  <c r="O51" i="5"/>
  <c r="Q51" i="5" s="1"/>
  <c r="M51" i="5"/>
  <c r="H51" i="5"/>
  <c r="C51" i="5"/>
  <c r="Z50" i="5"/>
  <c r="AB50" i="5" s="1"/>
  <c r="J50" i="5" s="1"/>
  <c r="W50" i="5"/>
  <c r="V50" i="5"/>
  <c r="V3" i="5" s="1"/>
  <c r="T50" i="5"/>
  <c r="S50" i="5"/>
  <c r="R50" i="5"/>
  <c r="P50" i="5"/>
  <c r="O50" i="5"/>
  <c r="Q50" i="5" s="1"/>
  <c r="M50" i="5"/>
  <c r="H50" i="5"/>
  <c r="C50" i="5"/>
  <c r="AE3" i="5"/>
  <c r="W3" i="5"/>
  <c r="U3" i="5"/>
  <c r="O3" i="5"/>
  <c r="G3" i="5"/>
  <c r="H3" i="5" s="1"/>
  <c r="F3" i="5"/>
  <c r="D3" i="5"/>
  <c r="C3" i="5"/>
  <c r="B3" i="5"/>
  <c r="A2" i="5"/>
  <c r="A1" i="5"/>
  <c r="Z56" i="4"/>
  <c r="AB56" i="4" s="1"/>
  <c r="J56" i="4" s="1"/>
  <c r="W56" i="4"/>
  <c r="V56" i="4"/>
  <c r="T56" i="4"/>
  <c r="S56" i="4"/>
  <c r="R56" i="4"/>
  <c r="P56" i="4"/>
  <c r="O56" i="4"/>
  <c r="Q56" i="4" s="1"/>
  <c r="M56" i="4"/>
  <c r="H56" i="4"/>
  <c r="C56" i="4"/>
  <c r="Z55" i="4"/>
  <c r="AB55" i="4" s="1"/>
  <c r="J55" i="4" s="1"/>
  <c r="W55" i="4"/>
  <c r="V55" i="4"/>
  <c r="P55" i="4"/>
  <c r="O55" i="4"/>
  <c r="Q55" i="4" s="1"/>
  <c r="M55" i="4"/>
  <c r="H55" i="4"/>
  <c r="C55" i="4"/>
  <c r="Z54" i="4"/>
  <c r="AB54" i="4" s="1"/>
  <c r="J54" i="4" s="1"/>
  <c r="W54" i="4"/>
  <c r="V54" i="4"/>
  <c r="T54" i="4"/>
  <c r="S54" i="4"/>
  <c r="R54" i="4"/>
  <c r="P54" i="4"/>
  <c r="O54" i="4"/>
  <c r="Q54" i="4" s="1"/>
  <c r="M54" i="4"/>
  <c r="H54" i="4"/>
  <c r="C54" i="4"/>
  <c r="Z53" i="4"/>
  <c r="AB53" i="4" s="1"/>
  <c r="J53" i="4" s="1"/>
  <c r="W53" i="4"/>
  <c r="V53" i="4"/>
  <c r="T53" i="4"/>
  <c r="S53" i="4"/>
  <c r="R53" i="4"/>
  <c r="P53" i="4"/>
  <c r="O53" i="4"/>
  <c r="Q53" i="4" s="1"/>
  <c r="M53" i="4"/>
  <c r="H53" i="4"/>
  <c r="C53" i="4"/>
  <c r="Z52" i="4"/>
  <c r="AB52" i="4" s="1"/>
  <c r="J52" i="4" s="1"/>
  <c r="W52" i="4"/>
  <c r="V52" i="4"/>
  <c r="T52" i="4"/>
  <c r="S52" i="4"/>
  <c r="R52" i="4"/>
  <c r="P52" i="4"/>
  <c r="O52" i="4"/>
  <c r="Q52" i="4" s="1"/>
  <c r="M52" i="4"/>
  <c r="H52" i="4"/>
  <c r="C52" i="4"/>
  <c r="Z51" i="4"/>
  <c r="AB51" i="4" s="1"/>
  <c r="J51" i="4" s="1"/>
  <c r="W51" i="4"/>
  <c r="V51" i="4"/>
  <c r="T51" i="4"/>
  <c r="S51" i="4"/>
  <c r="R51" i="4"/>
  <c r="P51" i="4"/>
  <c r="O51" i="4"/>
  <c r="Q51" i="4" s="1"/>
  <c r="M51" i="4"/>
  <c r="H51" i="4"/>
  <c r="C51" i="4"/>
  <c r="Z50" i="4"/>
  <c r="AB50" i="4" s="1"/>
  <c r="J50" i="4" s="1"/>
  <c r="W50" i="4"/>
  <c r="V50" i="4"/>
  <c r="T50" i="4"/>
  <c r="S50" i="4"/>
  <c r="R50" i="4"/>
  <c r="P50" i="4"/>
  <c r="O50" i="4"/>
  <c r="Q50" i="4" s="1"/>
  <c r="M50" i="4"/>
  <c r="H50" i="4"/>
  <c r="C50" i="4"/>
  <c r="Z49" i="4"/>
  <c r="AB49" i="4" s="1"/>
  <c r="J49" i="4" s="1"/>
  <c r="W49" i="4"/>
  <c r="V49" i="4"/>
  <c r="T49" i="4"/>
  <c r="S49" i="4"/>
  <c r="R49" i="4"/>
  <c r="P49" i="4"/>
  <c r="O49" i="4"/>
  <c r="Q49" i="4" s="1"/>
  <c r="M49" i="4"/>
  <c r="H49" i="4"/>
  <c r="C49" i="4"/>
  <c r="Z48" i="4"/>
  <c r="AB48" i="4" s="1"/>
  <c r="J48" i="4" s="1"/>
  <c r="W48" i="4"/>
  <c r="V48" i="4"/>
  <c r="T48" i="4"/>
  <c r="S48" i="4"/>
  <c r="R48" i="4"/>
  <c r="P48" i="4"/>
  <c r="O48" i="4"/>
  <c r="Q48" i="4" s="1"/>
  <c r="M48" i="4"/>
  <c r="H48" i="4"/>
  <c r="C48" i="4"/>
  <c r="Z47" i="4"/>
  <c r="AB47" i="4" s="1"/>
  <c r="W47" i="4"/>
  <c r="V47" i="4"/>
  <c r="Q47" i="4"/>
  <c r="P47" i="4"/>
  <c r="O47" i="4"/>
  <c r="M47" i="4"/>
  <c r="K47" i="4"/>
  <c r="I47" i="4"/>
  <c r="H47" i="4"/>
  <c r="C47" i="4"/>
  <c r="AB46" i="4"/>
  <c r="Z46" i="4"/>
  <c r="W46" i="4"/>
  <c r="V46" i="4"/>
  <c r="P46" i="4"/>
  <c r="Q46" i="4" s="1"/>
  <c r="O46" i="4"/>
  <c r="M46" i="4"/>
  <c r="K46" i="4"/>
  <c r="I46" i="4"/>
  <c r="H46" i="4"/>
  <c r="C46" i="4"/>
  <c r="Z45" i="4"/>
  <c r="AB45" i="4" s="1"/>
  <c r="W45" i="4"/>
  <c r="V45" i="4"/>
  <c r="Q45" i="4"/>
  <c r="P45" i="4"/>
  <c r="O45" i="4"/>
  <c r="M45" i="4"/>
  <c r="K45" i="4"/>
  <c r="I45" i="4"/>
  <c r="H45" i="4"/>
  <c r="C45" i="4"/>
  <c r="AB44" i="4"/>
  <c r="Z44" i="4"/>
  <c r="W44" i="4"/>
  <c r="V44" i="4"/>
  <c r="P44" i="4"/>
  <c r="Q44" i="4" s="1"/>
  <c r="O44" i="4"/>
  <c r="M44" i="4"/>
  <c r="K44" i="4"/>
  <c r="I44" i="4"/>
  <c r="H44" i="4"/>
  <c r="C44" i="4"/>
  <c r="Z43" i="4"/>
  <c r="AB43" i="4" s="1"/>
  <c r="W43" i="4"/>
  <c r="V43" i="4"/>
  <c r="Q43" i="4"/>
  <c r="P43" i="4"/>
  <c r="O43" i="4"/>
  <c r="M43" i="4"/>
  <c r="K43" i="4"/>
  <c r="I43" i="4"/>
  <c r="H43" i="4"/>
  <c r="C43" i="4"/>
  <c r="AB42" i="4"/>
  <c r="Z42" i="4"/>
  <c r="W42" i="4"/>
  <c r="V42" i="4"/>
  <c r="T42" i="4"/>
  <c r="S42" i="4"/>
  <c r="R42" i="4"/>
  <c r="P42" i="4"/>
  <c r="Q42" i="4" s="1"/>
  <c r="O42" i="4"/>
  <c r="M42" i="4"/>
  <c r="K42" i="4"/>
  <c r="I42" i="4"/>
  <c r="H42" i="4"/>
  <c r="C42" i="4"/>
  <c r="Z41" i="4"/>
  <c r="AB41" i="4" s="1"/>
  <c r="W41" i="4"/>
  <c r="V41" i="4"/>
  <c r="P41" i="4"/>
  <c r="O41" i="4"/>
  <c r="Q41" i="4" s="1"/>
  <c r="M41" i="4"/>
  <c r="K41" i="4"/>
  <c r="I41" i="4"/>
  <c r="H41" i="4"/>
  <c r="C41" i="4"/>
  <c r="Z39" i="4"/>
  <c r="AB39" i="4" s="1"/>
  <c r="W39" i="4"/>
  <c r="V39" i="4"/>
  <c r="P39" i="4"/>
  <c r="Q39" i="4" s="1"/>
  <c r="O39" i="4"/>
  <c r="M39" i="4"/>
  <c r="K39" i="4"/>
  <c r="I39" i="4"/>
  <c r="H39" i="4"/>
  <c r="C39" i="4"/>
  <c r="Z38" i="4"/>
  <c r="AB38" i="4" s="1"/>
  <c r="J38" i="4" s="1"/>
  <c r="W38" i="4"/>
  <c r="V38" i="4"/>
  <c r="P38" i="4"/>
  <c r="O38" i="4"/>
  <c r="Q38" i="4" s="1"/>
  <c r="M38" i="4"/>
  <c r="H38" i="4"/>
  <c r="C38" i="4"/>
  <c r="Z37" i="4"/>
  <c r="AB37" i="4" s="1"/>
  <c r="J37" i="4" s="1"/>
  <c r="W37" i="4"/>
  <c r="V37" i="4"/>
  <c r="Q37" i="4"/>
  <c r="P37" i="4"/>
  <c r="O37" i="4"/>
  <c r="M37" i="4"/>
  <c r="H37" i="4"/>
  <c r="C37" i="4"/>
  <c r="Z36" i="4"/>
  <c r="AB36" i="4" s="1"/>
  <c r="J36" i="4" s="1"/>
  <c r="W36" i="4"/>
  <c r="V36" i="4"/>
  <c r="P36" i="4"/>
  <c r="O36" i="4"/>
  <c r="Q36" i="4" s="1"/>
  <c r="M36" i="4"/>
  <c r="H36" i="4"/>
  <c r="C36" i="4"/>
  <c r="Z35" i="4"/>
  <c r="AB35" i="4" s="1"/>
  <c r="J35" i="4" s="1"/>
  <c r="W35" i="4"/>
  <c r="V35" i="4"/>
  <c r="Q35" i="4"/>
  <c r="P35" i="4"/>
  <c r="O35" i="4"/>
  <c r="M35" i="4"/>
  <c r="H35" i="4"/>
  <c r="C35" i="4"/>
  <c r="Z34" i="4"/>
  <c r="AB34" i="4" s="1"/>
  <c r="J34" i="4" s="1"/>
  <c r="W34" i="4"/>
  <c r="V34" i="4"/>
  <c r="P34" i="4"/>
  <c r="Q34" i="4" s="1"/>
  <c r="O34" i="4"/>
  <c r="M34" i="4"/>
  <c r="H34" i="4"/>
  <c r="C34" i="4"/>
  <c r="AB33" i="4"/>
  <c r="J33" i="4" s="1"/>
  <c r="Z33" i="4"/>
  <c r="W33" i="4"/>
  <c r="V33" i="4"/>
  <c r="P33" i="4"/>
  <c r="Q33" i="4" s="1"/>
  <c r="O33" i="4"/>
  <c r="M33" i="4"/>
  <c r="H33" i="4"/>
  <c r="C33" i="4"/>
  <c r="AB32" i="4"/>
  <c r="J32" i="4" s="1"/>
  <c r="Z32" i="4"/>
  <c r="W32" i="4"/>
  <c r="V32" i="4"/>
  <c r="P32" i="4"/>
  <c r="O32" i="4"/>
  <c r="Q32" i="4" s="1"/>
  <c r="M32" i="4"/>
  <c r="H32" i="4"/>
  <c r="C32" i="4"/>
  <c r="AB31" i="4"/>
  <c r="J31" i="4" s="1"/>
  <c r="Z31" i="4"/>
  <c r="W31" i="4"/>
  <c r="V31" i="4"/>
  <c r="P31" i="4"/>
  <c r="O31" i="4"/>
  <c r="Q31" i="4" s="1"/>
  <c r="M31" i="4"/>
  <c r="H31" i="4"/>
  <c r="C31" i="4"/>
  <c r="Z30" i="4"/>
  <c r="AB30" i="4" s="1"/>
  <c r="J30" i="4" s="1"/>
  <c r="W30" i="4"/>
  <c r="V30" i="4"/>
  <c r="P30" i="4"/>
  <c r="O30" i="4"/>
  <c r="Q30" i="4" s="1"/>
  <c r="M30" i="4"/>
  <c r="H30" i="4"/>
  <c r="C30" i="4"/>
  <c r="Z29" i="4"/>
  <c r="AB29" i="4" s="1"/>
  <c r="J29" i="4" s="1"/>
  <c r="W29" i="4"/>
  <c r="V29" i="4"/>
  <c r="Q29" i="4"/>
  <c r="P29" i="4"/>
  <c r="O29" i="4"/>
  <c r="M29" i="4"/>
  <c r="H29" i="4"/>
  <c r="C29" i="4"/>
  <c r="Z28" i="4"/>
  <c r="AB28" i="4" s="1"/>
  <c r="J28" i="4" s="1"/>
  <c r="W28" i="4"/>
  <c r="V28" i="4"/>
  <c r="P28" i="4"/>
  <c r="O28" i="4"/>
  <c r="Q28" i="4" s="1"/>
  <c r="M28" i="4"/>
  <c r="H28" i="4"/>
  <c r="C28" i="4"/>
  <c r="Z27" i="4"/>
  <c r="AB27" i="4" s="1"/>
  <c r="J27" i="4" s="1"/>
  <c r="W27" i="4"/>
  <c r="V27" i="4"/>
  <c r="Q27" i="4"/>
  <c r="P27" i="4"/>
  <c r="O27" i="4"/>
  <c r="M27" i="4"/>
  <c r="H27" i="4"/>
  <c r="C27" i="4"/>
  <c r="Z26" i="4"/>
  <c r="AB26" i="4" s="1"/>
  <c r="J26" i="4" s="1"/>
  <c r="W26" i="4"/>
  <c r="V26" i="4"/>
  <c r="P26" i="4"/>
  <c r="Q26" i="4" s="1"/>
  <c r="O26" i="4"/>
  <c r="M26" i="4"/>
  <c r="H26" i="4"/>
  <c r="C26" i="4"/>
  <c r="AB25" i="4"/>
  <c r="J25" i="4" s="1"/>
  <c r="Z25" i="4"/>
  <c r="W25" i="4"/>
  <c r="V25" i="4"/>
  <c r="P25" i="4"/>
  <c r="Q25" i="4" s="1"/>
  <c r="O25" i="4"/>
  <c r="M25" i="4"/>
  <c r="H25" i="4"/>
  <c r="Z24" i="4"/>
  <c r="AB24" i="4" s="1"/>
  <c r="J24" i="4" s="1"/>
  <c r="W24" i="4"/>
  <c r="V24" i="4"/>
  <c r="Q24" i="4"/>
  <c r="P24" i="4"/>
  <c r="O24" i="4"/>
  <c r="M24" i="4"/>
  <c r="H24" i="4"/>
  <c r="AB23" i="4"/>
  <c r="J23" i="4" s="1"/>
  <c r="Z23" i="4"/>
  <c r="W23" i="4"/>
  <c r="V23" i="4"/>
  <c r="P23" i="4"/>
  <c r="Q23" i="4" s="1"/>
  <c r="O23" i="4"/>
  <c r="M23" i="4"/>
  <c r="H23" i="4"/>
  <c r="Z22" i="4"/>
  <c r="AB22" i="4" s="1"/>
  <c r="J22" i="4" s="1"/>
  <c r="W22" i="4"/>
  <c r="V22" i="4"/>
  <c r="Q22" i="4"/>
  <c r="P22" i="4"/>
  <c r="O22" i="4"/>
  <c r="M22" i="4"/>
  <c r="H22" i="4"/>
  <c r="AB21" i="4"/>
  <c r="J21" i="4" s="1"/>
  <c r="Z21" i="4"/>
  <c r="W21" i="4"/>
  <c r="V21" i="4"/>
  <c r="P21" i="4"/>
  <c r="Q21" i="4" s="1"/>
  <c r="O21" i="4"/>
  <c r="M21" i="4"/>
  <c r="H21" i="4"/>
  <c r="Z20" i="4"/>
  <c r="AB20" i="4" s="1"/>
  <c r="J20" i="4" s="1"/>
  <c r="W20" i="4"/>
  <c r="V20" i="4"/>
  <c r="Q20" i="4"/>
  <c r="P20" i="4"/>
  <c r="O20" i="4"/>
  <c r="M20" i="4"/>
  <c r="H20" i="4"/>
  <c r="AB19" i="4"/>
  <c r="J19" i="4" s="1"/>
  <c r="Z19" i="4"/>
  <c r="W19" i="4"/>
  <c r="V19" i="4"/>
  <c r="P19" i="4"/>
  <c r="Q19" i="4" s="1"/>
  <c r="O19" i="4"/>
  <c r="M19" i="4"/>
  <c r="H19" i="4"/>
  <c r="Z18" i="4"/>
  <c r="AB18" i="4" s="1"/>
  <c r="J18" i="4" s="1"/>
  <c r="W18" i="4"/>
  <c r="V18" i="4"/>
  <c r="Q18" i="4"/>
  <c r="P18" i="4"/>
  <c r="O18" i="4"/>
  <c r="M18" i="4"/>
  <c r="H18" i="4"/>
  <c r="AB17" i="4"/>
  <c r="J17" i="4" s="1"/>
  <c r="Z17" i="4"/>
  <c r="W17" i="4"/>
  <c r="V17" i="4"/>
  <c r="P17" i="4"/>
  <c r="Q17" i="4" s="1"/>
  <c r="O17" i="4"/>
  <c r="M17" i="4"/>
  <c r="H17" i="4"/>
  <c r="Z16" i="4"/>
  <c r="AB16" i="4" s="1"/>
  <c r="J16" i="4" s="1"/>
  <c r="W16" i="4"/>
  <c r="V16" i="4"/>
  <c r="Q16" i="4"/>
  <c r="P16" i="4"/>
  <c r="O16" i="4"/>
  <c r="M16" i="4"/>
  <c r="H16" i="4"/>
  <c r="AB15" i="4"/>
  <c r="J15" i="4" s="1"/>
  <c r="Z15" i="4"/>
  <c r="W15" i="4"/>
  <c r="V15" i="4"/>
  <c r="P15" i="4"/>
  <c r="Q15" i="4" s="1"/>
  <c r="O15" i="4"/>
  <c r="M15" i="4"/>
  <c r="H15" i="4"/>
  <c r="Z14" i="4"/>
  <c r="AB14" i="4" s="1"/>
  <c r="J14" i="4" s="1"/>
  <c r="W14" i="4"/>
  <c r="V14" i="4"/>
  <c r="Q14" i="4"/>
  <c r="P14" i="4"/>
  <c r="O14" i="4"/>
  <c r="M14" i="4"/>
  <c r="H14" i="4"/>
  <c r="AB13" i="4"/>
  <c r="J13" i="4" s="1"/>
  <c r="Z13" i="4"/>
  <c r="W13" i="4"/>
  <c r="V13" i="4"/>
  <c r="P13" i="4"/>
  <c r="Q13" i="4" s="1"/>
  <c r="O13" i="4"/>
  <c r="M13" i="4"/>
  <c r="H13" i="4"/>
  <c r="Z12" i="4"/>
  <c r="AB12" i="4" s="1"/>
  <c r="J12" i="4" s="1"/>
  <c r="W12" i="4"/>
  <c r="V12" i="4"/>
  <c r="Q12" i="4"/>
  <c r="P12" i="4"/>
  <c r="O12" i="4"/>
  <c r="M12" i="4"/>
  <c r="H12" i="4"/>
  <c r="AB11" i="4"/>
  <c r="J11" i="4" s="1"/>
  <c r="Z11" i="4"/>
  <c r="W11" i="4"/>
  <c r="V11" i="4"/>
  <c r="P11" i="4"/>
  <c r="Q11" i="4" s="1"/>
  <c r="O11" i="4"/>
  <c r="M11" i="4"/>
  <c r="H11" i="4"/>
  <c r="Z10" i="4"/>
  <c r="AB10" i="4" s="1"/>
  <c r="J10" i="4" s="1"/>
  <c r="W10" i="4"/>
  <c r="V10" i="4"/>
  <c r="Q10" i="4"/>
  <c r="P10" i="4"/>
  <c r="O10" i="4"/>
  <c r="M10" i="4"/>
  <c r="H10" i="4"/>
  <c r="AB9" i="4"/>
  <c r="J9" i="4" s="1"/>
  <c r="Z9" i="4"/>
  <c r="W9" i="4"/>
  <c r="V9" i="4"/>
  <c r="P9" i="4"/>
  <c r="Q9" i="4" s="1"/>
  <c r="O9" i="4"/>
  <c r="M9" i="4"/>
  <c r="H9" i="4"/>
  <c r="Z8" i="4"/>
  <c r="AB8" i="4" s="1"/>
  <c r="J8" i="4" s="1"/>
  <c r="W8" i="4"/>
  <c r="V8" i="4"/>
  <c r="Q8" i="4"/>
  <c r="P8" i="4"/>
  <c r="O8" i="4"/>
  <c r="M8" i="4"/>
  <c r="H8" i="4"/>
  <c r="AB7" i="4"/>
  <c r="J7" i="4" s="1"/>
  <c r="Z7" i="4"/>
  <c r="W7" i="4"/>
  <c r="V7" i="4"/>
  <c r="P7" i="4"/>
  <c r="Q7" i="4" s="1"/>
  <c r="O7" i="4"/>
  <c r="M7" i="4"/>
  <c r="H7" i="4"/>
  <c r="Z6" i="4"/>
  <c r="AB6" i="4" s="1"/>
  <c r="J6" i="4" s="1"/>
  <c r="W6" i="4"/>
  <c r="V6" i="4"/>
  <c r="Q6" i="4"/>
  <c r="P6" i="4"/>
  <c r="O6" i="4"/>
  <c r="M6" i="4"/>
  <c r="H6" i="4"/>
  <c r="AB5" i="4"/>
  <c r="J5" i="4" s="1"/>
  <c r="Z5" i="4"/>
  <c r="W5" i="4"/>
  <c r="W3" i="4" s="1"/>
  <c r="V5" i="4"/>
  <c r="P5" i="4"/>
  <c r="Q5" i="4" s="1"/>
  <c r="O5" i="4"/>
  <c r="M5" i="4"/>
  <c r="H5" i="4"/>
  <c r="Z4" i="4"/>
  <c r="AB4" i="4" s="1"/>
  <c r="J4" i="4" s="1"/>
  <c r="W4" i="4"/>
  <c r="V4" i="4"/>
  <c r="V3" i="4" s="1"/>
  <c r="Q4" i="4"/>
  <c r="P4" i="4"/>
  <c r="O4" i="4"/>
  <c r="M4" i="4"/>
  <c r="H4" i="4"/>
  <c r="AE3" i="4"/>
  <c r="U3" i="4"/>
  <c r="O3" i="4"/>
  <c r="H3" i="4"/>
  <c r="G3" i="4"/>
  <c r="F3" i="4"/>
  <c r="D3" i="4"/>
  <c r="C3" i="4"/>
  <c r="B3" i="4"/>
  <c r="A2" i="4"/>
  <c r="A1" i="4"/>
  <c r="AB56" i="3"/>
  <c r="J56" i="3" s="1"/>
  <c r="Z56" i="3"/>
  <c r="W56" i="3"/>
  <c r="V56" i="3"/>
  <c r="T56" i="3"/>
  <c r="S56" i="3"/>
  <c r="R56" i="3"/>
  <c r="P56" i="3"/>
  <c r="Q56" i="3" s="1"/>
  <c r="O56" i="3"/>
  <c r="M56" i="3"/>
  <c r="H56" i="3"/>
  <c r="C56" i="3"/>
  <c r="AB55" i="3"/>
  <c r="J55" i="3" s="1"/>
  <c r="Z55" i="3"/>
  <c r="W55" i="3"/>
  <c r="V55" i="3"/>
  <c r="P55" i="3"/>
  <c r="Q55" i="3" s="1"/>
  <c r="O55" i="3"/>
  <c r="M55" i="3"/>
  <c r="H55" i="3"/>
  <c r="C55" i="3"/>
  <c r="AB54" i="3"/>
  <c r="J54" i="3" s="1"/>
  <c r="Z54" i="3"/>
  <c r="W54" i="3"/>
  <c r="V54" i="3"/>
  <c r="T54" i="3"/>
  <c r="S54" i="3"/>
  <c r="R54" i="3"/>
  <c r="P54" i="3"/>
  <c r="Q54" i="3" s="1"/>
  <c r="O54" i="3"/>
  <c r="M54" i="3"/>
  <c r="H54" i="3"/>
  <c r="C54" i="3"/>
  <c r="AB53" i="3"/>
  <c r="J53" i="3" s="1"/>
  <c r="Z53" i="3"/>
  <c r="W53" i="3"/>
  <c r="W3" i="3" s="1"/>
  <c r="V53" i="3"/>
  <c r="V3" i="3" s="1"/>
  <c r="T53" i="3"/>
  <c r="S53" i="3"/>
  <c r="R53" i="3"/>
  <c r="P53" i="3"/>
  <c r="Q53" i="3" s="1"/>
  <c r="O53" i="3"/>
  <c r="M53" i="3"/>
  <c r="H53" i="3"/>
  <c r="C53" i="3"/>
  <c r="AE3" i="3"/>
  <c r="U3" i="3"/>
  <c r="O3" i="3"/>
  <c r="G3" i="3"/>
  <c r="F3" i="3"/>
  <c r="H3" i="3" s="1"/>
  <c r="D3" i="3"/>
  <c r="C3" i="3"/>
  <c r="B3" i="3"/>
  <c r="A2" i="3"/>
  <c r="A1" i="3"/>
  <c r="AB56" i="2"/>
  <c r="J56" i="2" s="1"/>
  <c r="Z56" i="2"/>
  <c r="W56" i="2"/>
  <c r="V56" i="2"/>
  <c r="T56" i="2"/>
  <c r="S56" i="2"/>
  <c r="R56" i="2"/>
  <c r="P56" i="2"/>
  <c r="Q56" i="2" s="1"/>
  <c r="O56" i="2"/>
  <c r="M56" i="2"/>
  <c r="H56" i="2"/>
  <c r="C56" i="2"/>
  <c r="AB55" i="2"/>
  <c r="J55" i="2" s="1"/>
  <c r="Z55" i="2"/>
  <c r="W55" i="2"/>
  <c r="V55" i="2"/>
  <c r="P55" i="2"/>
  <c r="Q55" i="2" s="1"/>
  <c r="O55" i="2"/>
  <c r="M55" i="2"/>
  <c r="H55" i="2"/>
  <c r="C55" i="2"/>
  <c r="AB54" i="2"/>
  <c r="J54" i="2" s="1"/>
  <c r="Z54" i="2"/>
  <c r="W54" i="2"/>
  <c r="V54" i="2"/>
  <c r="T54" i="2"/>
  <c r="S54" i="2"/>
  <c r="R54" i="2"/>
  <c r="P54" i="2"/>
  <c r="Q54" i="2" s="1"/>
  <c r="O54" i="2"/>
  <c r="M54" i="2"/>
  <c r="H54" i="2"/>
  <c r="C54" i="2"/>
  <c r="AB53" i="2"/>
  <c r="J53" i="2" s="1"/>
  <c r="Z53" i="2"/>
  <c r="W53" i="2"/>
  <c r="W3" i="2" s="1"/>
  <c r="V53" i="2"/>
  <c r="V3" i="2" s="1"/>
  <c r="T53" i="2"/>
  <c r="S53" i="2"/>
  <c r="R53" i="2"/>
  <c r="P53" i="2"/>
  <c r="Q53" i="2" s="1"/>
  <c r="O53" i="2"/>
  <c r="M53" i="2"/>
  <c r="H53" i="2"/>
  <c r="C53" i="2"/>
  <c r="AE3" i="2"/>
  <c r="U3" i="2"/>
  <c r="O3" i="2"/>
  <c r="H3" i="2"/>
  <c r="G3" i="2"/>
  <c r="F3" i="2"/>
  <c r="D3" i="2"/>
  <c r="C3" i="2"/>
  <c r="B3" i="2"/>
  <c r="A2" i="2"/>
  <c r="A1" i="2"/>
  <c r="AB56" i="1"/>
  <c r="J56" i="1" s="1"/>
  <c r="Z56" i="1"/>
  <c r="W56" i="1"/>
  <c r="V56" i="1"/>
  <c r="T56" i="1"/>
  <c r="S56" i="1"/>
  <c r="R56" i="1"/>
  <c r="P56" i="1"/>
  <c r="O56" i="1"/>
  <c r="Q56" i="1" s="1"/>
  <c r="M56" i="1"/>
  <c r="H56" i="1"/>
  <c r="C56" i="1"/>
  <c r="AB55" i="1"/>
  <c r="J55" i="1" s="1"/>
  <c r="Z55" i="1"/>
  <c r="W55" i="1"/>
  <c r="V55" i="1"/>
  <c r="V3" i="1" s="1"/>
  <c r="P55" i="1"/>
  <c r="O55" i="1"/>
  <c r="Q55" i="1" s="1"/>
  <c r="M55" i="1"/>
  <c r="H55" i="1"/>
  <c r="C55" i="1"/>
  <c r="AE3" i="1"/>
  <c r="W3" i="1"/>
  <c r="U3" i="1"/>
  <c r="O3" i="1"/>
  <c r="G3" i="1"/>
  <c r="F3" i="1"/>
  <c r="D3" i="1"/>
  <c r="C3" i="1"/>
  <c r="B3" i="1"/>
  <c r="A2" i="1"/>
  <c r="A1" i="1"/>
  <c r="H3" i="25" l="1"/>
  <c r="H3" i="1"/>
  <c r="H3" i="22"/>
  <c r="K6" i="4"/>
  <c r="I6" i="4"/>
  <c r="K14" i="4"/>
  <c r="I14" i="4"/>
  <c r="K24" i="4"/>
  <c r="I24" i="4"/>
  <c r="I34" i="6"/>
  <c r="K34" i="6"/>
  <c r="K44" i="7"/>
  <c r="I44" i="7"/>
  <c r="K47" i="8"/>
  <c r="I47" i="8"/>
  <c r="I34" i="10"/>
  <c r="K34" i="10"/>
  <c r="I6" i="11"/>
  <c r="K6" i="11"/>
  <c r="I29" i="11"/>
  <c r="K29" i="11"/>
  <c r="K52" i="11"/>
  <c r="I52" i="11"/>
  <c r="K37" i="12"/>
  <c r="I37" i="12"/>
  <c r="I27" i="13"/>
  <c r="K27" i="13"/>
  <c r="I30" i="14"/>
  <c r="K30" i="14"/>
  <c r="I9" i="15"/>
  <c r="K9" i="15"/>
  <c r="I19" i="15"/>
  <c r="K19" i="15"/>
  <c r="K30" i="15"/>
  <c r="I30" i="15"/>
  <c r="K43" i="16"/>
  <c r="I43" i="16"/>
  <c r="I15" i="18"/>
  <c r="K15" i="18"/>
  <c r="K8" i="4"/>
  <c r="I8" i="4"/>
  <c r="K12" i="4"/>
  <c r="I12" i="4"/>
  <c r="K18" i="4"/>
  <c r="I18" i="4"/>
  <c r="K22" i="4"/>
  <c r="I22" i="4"/>
  <c r="I44" i="6"/>
  <c r="K44" i="6"/>
  <c r="K14" i="7"/>
  <c r="I14" i="7"/>
  <c r="I45" i="7"/>
  <c r="K45" i="7"/>
  <c r="I8" i="11"/>
  <c r="K8" i="11"/>
  <c r="I50" i="4"/>
  <c r="K50" i="4"/>
  <c r="K46" i="6"/>
  <c r="I46" i="6"/>
  <c r="I26" i="10"/>
  <c r="K26" i="10"/>
  <c r="I10" i="11"/>
  <c r="K10" i="11"/>
  <c r="I12" i="11"/>
  <c r="K12" i="11"/>
  <c r="I47" i="11"/>
  <c r="K47" i="11"/>
  <c r="I35" i="13"/>
  <c r="K35" i="13"/>
  <c r="I21" i="15"/>
  <c r="K21" i="15"/>
  <c r="K9" i="16"/>
  <c r="I9" i="16"/>
  <c r="K17" i="16"/>
  <c r="I17" i="16"/>
  <c r="K25" i="16"/>
  <c r="I25" i="16"/>
  <c r="K4" i="4"/>
  <c r="I4" i="4"/>
  <c r="J3" i="4"/>
  <c r="K10" i="4"/>
  <c r="I10" i="4"/>
  <c r="K16" i="4"/>
  <c r="I16" i="4"/>
  <c r="K21" i="4"/>
  <c r="I21" i="4"/>
  <c r="I25" i="4"/>
  <c r="K25" i="4"/>
  <c r="I35" i="7"/>
  <c r="K35" i="7"/>
  <c r="I33" i="8"/>
  <c r="K33" i="8"/>
  <c r="I55" i="3"/>
  <c r="K55" i="3"/>
  <c r="K51" i="5"/>
  <c r="I51" i="5"/>
  <c r="K36" i="6"/>
  <c r="I36" i="6"/>
  <c r="I12" i="7"/>
  <c r="K12" i="7"/>
  <c r="K36" i="7"/>
  <c r="I36" i="7"/>
  <c r="K55" i="1"/>
  <c r="I55" i="1"/>
  <c r="J3" i="1"/>
  <c r="I30" i="4"/>
  <c r="K30" i="4"/>
  <c r="K7" i="6"/>
  <c r="I7" i="6"/>
  <c r="I14" i="6"/>
  <c r="K14" i="6"/>
  <c r="K19" i="6"/>
  <c r="I19" i="6"/>
  <c r="K21" i="6"/>
  <c r="I21" i="6"/>
  <c r="K25" i="6"/>
  <c r="I25" i="6"/>
  <c r="I37" i="6"/>
  <c r="K37" i="6"/>
  <c r="K38" i="6"/>
  <c r="I38" i="6"/>
  <c r="K47" i="6"/>
  <c r="I47" i="6"/>
  <c r="K9" i="7"/>
  <c r="I9" i="7"/>
  <c r="K10" i="7"/>
  <c r="I10" i="7"/>
  <c r="K25" i="7"/>
  <c r="I25" i="7"/>
  <c r="K37" i="7"/>
  <c r="I37" i="7"/>
  <c r="K47" i="7"/>
  <c r="I47" i="7"/>
  <c r="I49" i="7"/>
  <c r="K49" i="7"/>
  <c r="I51" i="7"/>
  <c r="K51" i="7"/>
  <c r="I53" i="7"/>
  <c r="K53" i="7"/>
  <c r="I28" i="8"/>
  <c r="K28" i="8"/>
  <c r="I14" i="11"/>
  <c r="K14" i="11"/>
  <c r="I16" i="11"/>
  <c r="K16" i="11"/>
  <c r="K50" i="11"/>
  <c r="I50" i="11"/>
  <c r="I11" i="15"/>
  <c r="K11" i="15"/>
  <c r="I7" i="18"/>
  <c r="K7" i="18"/>
  <c r="I17" i="19"/>
  <c r="K17" i="19"/>
  <c r="K31" i="20"/>
  <c r="I31" i="20"/>
  <c r="K29" i="4"/>
  <c r="I29" i="4"/>
  <c r="I53" i="4"/>
  <c r="K53" i="4"/>
  <c r="I6" i="6"/>
  <c r="K6" i="6"/>
  <c r="I12" i="6"/>
  <c r="K12" i="6"/>
  <c r="I18" i="6"/>
  <c r="K18" i="6"/>
  <c r="K24" i="6"/>
  <c r="I24" i="6"/>
  <c r="K31" i="4"/>
  <c r="I31" i="4"/>
  <c r="I48" i="4"/>
  <c r="K48" i="4"/>
  <c r="K55" i="5"/>
  <c r="I55" i="5"/>
  <c r="K26" i="6"/>
  <c r="I26" i="6"/>
  <c r="K39" i="6"/>
  <c r="I39" i="6"/>
  <c r="I41" i="6"/>
  <c r="K41" i="6"/>
  <c r="K50" i="6"/>
  <c r="I50" i="6"/>
  <c r="K56" i="6"/>
  <c r="I56" i="6"/>
  <c r="K7" i="7"/>
  <c r="I7" i="7"/>
  <c r="K8" i="7"/>
  <c r="I8" i="7"/>
  <c r="K23" i="7"/>
  <c r="I23" i="7"/>
  <c r="K24" i="7"/>
  <c r="I24" i="7"/>
  <c r="K26" i="7"/>
  <c r="I26" i="7"/>
  <c r="I27" i="7"/>
  <c r="K27" i="7"/>
  <c r="I38" i="7"/>
  <c r="K38" i="7"/>
  <c r="K39" i="7"/>
  <c r="I39" i="7"/>
  <c r="K56" i="7"/>
  <c r="I56" i="7"/>
  <c r="K29" i="8"/>
  <c r="I29" i="8"/>
  <c r="I30" i="8"/>
  <c r="K30" i="8"/>
  <c r="I39" i="9"/>
  <c r="K39" i="9"/>
  <c r="K46" i="9"/>
  <c r="I46" i="9"/>
  <c r="I44" i="10"/>
  <c r="K44" i="10"/>
  <c r="I18" i="11"/>
  <c r="K18" i="11"/>
  <c r="I20" i="11"/>
  <c r="K20" i="11"/>
  <c r="K53" i="11"/>
  <c r="I53" i="11"/>
  <c r="I41" i="12"/>
  <c r="K41" i="12"/>
  <c r="K45" i="14"/>
  <c r="I45" i="14"/>
  <c r="I13" i="15"/>
  <c r="K13" i="15"/>
  <c r="I23" i="15"/>
  <c r="K23" i="15"/>
  <c r="I33" i="15"/>
  <c r="K33" i="15"/>
  <c r="K7" i="16"/>
  <c r="I7" i="16"/>
  <c r="K15" i="16"/>
  <c r="I15" i="16"/>
  <c r="K23" i="16"/>
  <c r="I23" i="16"/>
  <c r="I10" i="6"/>
  <c r="K10" i="6"/>
  <c r="K16" i="6"/>
  <c r="I16" i="6"/>
  <c r="K20" i="6"/>
  <c r="I20" i="6"/>
  <c r="K23" i="6"/>
  <c r="I23" i="6"/>
  <c r="I53" i="3"/>
  <c r="K53" i="3"/>
  <c r="J3" i="3"/>
  <c r="K32" i="4"/>
  <c r="I32" i="4"/>
  <c r="I51" i="4"/>
  <c r="K51" i="4"/>
  <c r="K52" i="5"/>
  <c r="I52" i="5"/>
  <c r="I27" i="6"/>
  <c r="K27" i="6"/>
  <c r="K28" i="6"/>
  <c r="I28" i="6"/>
  <c r="K53" i="6"/>
  <c r="I53" i="6"/>
  <c r="K5" i="7"/>
  <c r="I5" i="7"/>
  <c r="I6" i="7"/>
  <c r="K6" i="7"/>
  <c r="K21" i="7"/>
  <c r="I21" i="7"/>
  <c r="K22" i="7"/>
  <c r="I22" i="7"/>
  <c r="K28" i="7"/>
  <c r="I28" i="7"/>
  <c r="I41" i="7"/>
  <c r="K41" i="7"/>
  <c r="I36" i="8"/>
  <c r="K36" i="8"/>
  <c r="I22" i="11"/>
  <c r="K22" i="11"/>
  <c r="I24" i="11"/>
  <c r="K24" i="11"/>
  <c r="K34" i="11"/>
  <c r="I34" i="11"/>
  <c r="K48" i="11"/>
  <c r="I48" i="11"/>
  <c r="I32" i="12"/>
  <c r="K32" i="12"/>
  <c r="I45" i="13"/>
  <c r="K45" i="13"/>
  <c r="K27" i="14"/>
  <c r="I27" i="14"/>
  <c r="I38" i="14"/>
  <c r="K38" i="14"/>
  <c r="I25" i="15"/>
  <c r="K25" i="15"/>
  <c r="I46" i="16"/>
  <c r="K46" i="16"/>
  <c r="I54" i="3"/>
  <c r="K54" i="3"/>
  <c r="I7" i="4"/>
  <c r="K7" i="4"/>
  <c r="I11" i="4"/>
  <c r="K11" i="4"/>
  <c r="I15" i="4"/>
  <c r="K15" i="4"/>
  <c r="I19" i="4"/>
  <c r="K19" i="4"/>
  <c r="I23" i="4"/>
  <c r="K23" i="4"/>
  <c r="K56" i="4"/>
  <c r="I56" i="4"/>
  <c r="K49" i="6"/>
  <c r="I49" i="6"/>
  <c r="K13" i="7"/>
  <c r="I13" i="7"/>
  <c r="K54" i="2"/>
  <c r="I54" i="2"/>
  <c r="I27" i="4"/>
  <c r="K27" i="4"/>
  <c r="I8" i="6"/>
  <c r="K8" i="6"/>
  <c r="K13" i="6"/>
  <c r="I13" i="6"/>
  <c r="K17" i="6"/>
  <c r="I17" i="6"/>
  <c r="I22" i="6"/>
  <c r="K22" i="6"/>
  <c r="K53" i="2"/>
  <c r="I53" i="2"/>
  <c r="J3" i="2"/>
  <c r="I56" i="3"/>
  <c r="K56" i="3"/>
  <c r="I33" i="4"/>
  <c r="K33" i="4"/>
  <c r="K34" i="4"/>
  <c r="I34" i="4"/>
  <c r="I54" i="4"/>
  <c r="K54" i="4"/>
  <c r="I55" i="4"/>
  <c r="K55" i="4"/>
  <c r="I29" i="6"/>
  <c r="K29" i="6"/>
  <c r="K30" i="6"/>
  <c r="I30" i="6"/>
  <c r="K48" i="6"/>
  <c r="I48" i="6"/>
  <c r="K4" i="7"/>
  <c r="I4" i="7"/>
  <c r="J3" i="7"/>
  <c r="K19" i="7"/>
  <c r="I19" i="7"/>
  <c r="K20" i="7"/>
  <c r="I20" i="7"/>
  <c r="I29" i="7"/>
  <c r="K29" i="7"/>
  <c r="K42" i="8"/>
  <c r="I42" i="8"/>
  <c r="K43" i="8"/>
  <c r="I43" i="8"/>
  <c r="K39" i="10"/>
  <c r="I39" i="10"/>
  <c r="K51" i="11"/>
  <c r="I51" i="11"/>
  <c r="K32" i="13"/>
  <c r="I32" i="13"/>
  <c r="K41" i="13"/>
  <c r="I41" i="13"/>
  <c r="I55" i="14"/>
  <c r="K55" i="14"/>
  <c r="I5" i="15"/>
  <c r="K5" i="15"/>
  <c r="I15" i="15"/>
  <c r="K15" i="15"/>
  <c r="I43" i="15"/>
  <c r="K43" i="15"/>
  <c r="K5" i="16"/>
  <c r="I5" i="16"/>
  <c r="K13" i="16"/>
  <c r="I13" i="16"/>
  <c r="K21" i="16"/>
  <c r="I21" i="16"/>
  <c r="I17" i="4"/>
  <c r="K17" i="4"/>
  <c r="K55" i="2"/>
  <c r="I55" i="2"/>
  <c r="K54" i="5"/>
  <c r="I54" i="5"/>
  <c r="K5" i="6"/>
  <c r="I5" i="6"/>
  <c r="K9" i="6"/>
  <c r="I9" i="6"/>
  <c r="K15" i="6"/>
  <c r="I15" i="6"/>
  <c r="K56" i="1"/>
  <c r="I56" i="1"/>
  <c r="K56" i="2"/>
  <c r="I56" i="2"/>
  <c r="K35" i="4"/>
  <c r="I35" i="4"/>
  <c r="K36" i="4"/>
  <c r="I36" i="4"/>
  <c r="I49" i="4"/>
  <c r="K49" i="4"/>
  <c r="K50" i="5"/>
  <c r="J3" i="5"/>
  <c r="I50" i="5"/>
  <c r="K31" i="6"/>
  <c r="I31" i="6"/>
  <c r="I32" i="6"/>
  <c r="K32" i="6"/>
  <c r="K42" i="6"/>
  <c r="I42" i="6"/>
  <c r="K51" i="6"/>
  <c r="I51" i="6"/>
  <c r="K17" i="7"/>
  <c r="I17" i="7"/>
  <c r="K18" i="7"/>
  <c r="I18" i="7"/>
  <c r="I30" i="7"/>
  <c r="K30" i="7"/>
  <c r="K31" i="7"/>
  <c r="I31" i="7"/>
  <c r="I48" i="7"/>
  <c r="K48" i="7"/>
  <c r="I50" i="7"/>
  <c r="K50" i="7"/>
  <c r="I52" i="7"/>
  <c r="K52" i="7"/>
  <c r="I54" i="7"/>
  <c r="K54" i="7"/>
  <c r="K4" i="8"/>
  <c r="I4" i="8"/>
  <c r="J3" i="8"/>
  <c r="I5" i="8"/>
  <c r="K5" i="8"/>
  <c r="K6" i="8"/>
  <c r="I6" i="8"/>
  <c r="I7" i="8"/>
  <c r="K7" i="8"/>
  <c r="K8" i="8"/>
  <c r="I8" i="8"/>
  <c r="I9" i="8"/>
  <c r="K9" i="8"/>
  <c r="K10" i="8"/>
  <c r="I10" i="8"/>
  <c r="I11" i="8"/>
  <c r="K11" i="8"/>
  <c r="K12" i="8"/>
  <c r="I12" i="8"/>
  <c r="I13" i="8"/>
  <c r="K13" i="8"/>
  <c r="K14" i="8"/>
  <c r="I14" i="8"/>
  <c r="I15" i="8"/>
  <c r="K15" i="8"/>
  <c r="K16" i="8"/>
  <c r="I16" i="8"/>
  <c r="I17" i="8"/>
  <c r="K17" i="8"/>
  <c r="K18" i="8"/>
  <c r="I18" i="8"/>
  <c r="K20" i="8"/>
  <c r="I20" i="8"/>
  <c r="I37" i="11"/>
  <c r="K37" i="11"/>
  <c r="K54" i="11"/>
  <c r="I54" i="11"/>
  <c r="K42" i="12"/>
  <c r="I42" i="12"/>
  <c r="I17" i="15"/>
  <c r="K17" i="15"/>
  <c r="I28" i="16"/>
  <c r="K28" i="16"/>
  <c r="I23" i="18"/>
  <c r="K23" i="18"/>
  <c r="K5" i="4"/>
  <c r="I5" i="4"/>
  <c r="I9" i="4"/>
  <c r="K9" i="4"/>
  <c r="I13" i="4"/>
  <c r="K13" i="4"/>
  <c r="K20" i="4"/>
  <c r="I20" i="4"/>
  <c r="K26" i="4"/>
  <c r="I26" i="4"/>
  <c r="K34" i="7"/>
  <c r="I34" i="7"/>
  <c r="I46" i="8"/>
  <c r="K46" i="8"/>
  <c r="K28" i="4"/>
  <c r="I28" i="4"/>
  <c r="K35" i="6"/>
  <c r="I35" i="6"/>
  <c r="K45" i="6"/>
  <c r="I45" i="6"/>
  <c r="K52" i="6"/>
  <c r="I52" i="6"/>
  <c r="K11" i="7"/>
  <c r="I11" i="7"/>
  <c r="K46" i="7"/>
  <c r="I46" i="7"/>
  <c r="K27" i="8"/>
  <c r="I27" i="8"/>
  <c r="I31" i="9"/>
  <c r="K31" i="9"/>
  <c r="J3" i="6"/>
  <c r="I4" i="6"/>
  <c r="K4" i="6"/>
  <c r="K11" i="6"/>
  <c r="I11" i="6"/>
  <c r="K37" i="4"/>
  <c r="I37" i="4"/>
  <c r="I38" i="4"/>
  <c r="K38" i="4"/>
  <c r="I52" i="4"/>
  <c r="K52" i="4"/>
  <c r="K53" i="5"/>
  <c r="I53" i="5"/>
  <c r="I56" i="5"/>
  <c r="K56" i="5"/>
  <c r="K33" i="6"/>
  <c r="I33" i="6"/>
  <c r="K43" i="6"/>
  <c r="I43" i="6"/>
  <c r="K54" i="6"/>
  <c r="I54" i="6"/>
  <c r="K55" i="6"/>
  <c r="I55" i="6"/>
  <c r="K15" i="7"/>
  <c r="I15" i="7"/>
  <c r="K16" i="7"/>
  <c r="I16" i="7"/>
  <c r="I32" i="7"/>
  <c r="K32" i="7"/>
  <c r="K33" i="7"/>
  <c r="I33" i="7"/>
  <c r="K42" i="7"/>
  <c r="I42" i="7"/>
  <c r="K43" i="7"/>
  <c r="I43" i="7"/>
  <c r="I55" i="7"/>
  <c r="K55" i="7"/>
  <c r="K25" i="8"/>
  <c r="I25" i="8"/>
  <c r="I4" i="11"/>
  <c r="J3" i="11"/>
  <c r="K4" i="11"/>
  <c r="K44" i="11"/>
  <c r="I44" i="11"/>
  <c r="K49" i="11"/>
  <c r="I49" i="11"/>
  <c r="I7" i="15"/>
  <c r="K7" i="15"/>
  <c r="K11" i="16"/>
  <c r="I11" i="16"/>
  <c r="K19" i="16"/>
  <c r="I19" i="16"/>
  <c r="I36" i="16"/>
  <c r="K36" i="16"/>
  <c r="K45" i="9"/>
  <c r="K8" i="10"/>
  <c r="K29" i="10"/>
  <c r="K35" i="10"/>
  <c r="I35" i="10"/>
  <c r="K41" i="10"/>
  <c r="I41" i="10"/>
  <c r="K49" i="10"/>
  <c r="I49" i="10"/>
  <c r="I39" i="11"/>
  <c r="J3" i="12"/>
  <c r="K36" i="12"/>
  <c r="I36" i="12"/>
  <c r="Q43" i="12"/>
  <c r="K51" i="12"/>
  <c r="I51" i="12"/>
  <c r="W3" i="13"/>
  <c r="K5" i="13"/>
  <c r="I5" i="13"/>
  <c r="I10" i="13"/>
  <c r="K21" i="13"/>
  <c r="I21" i="13"/>
  <c r="K4" i="14"/>
  <c r="I4" i="14"/>
  <c r="J3" i="14"/>
  <c r="W3" i="14"/>
  <c r="K22" i="14"/>
  <c r="I22" i="14"/>
  <c r="K36" i="14"/>
  <c r="I36" i="14"/>
  <c r="K53" i="14"/>
  <c r="K29" i="15"/>
  <c r="I29" i="15"/>
  <c r="K34" i="15"/>
  <c r="I34" i="15"/>
  <c r="K26" i="16"/>
  <c r="I26" i="16"/>
  <c r="K35" i="16"/>
  <c r="I35" i="16"/>
  <c r="Q37" i="16"/>
  <c r="K39" i="16"/>
  <c r="K47" i="16"/>
  <c r="I47" i="16"/>
  <c r="K56" i="16"/>
  <c r="H3" i="17"/>
  <c r="Q9" i="17"/>
  <c r="K41" i="17"/>
  <c r="I41" i="17"/>
  <c r="K45" i="17"/>
  <c r="I45" i="17"/>
  <c r="K45" i="18"/>
  <c r="I45" i="18"/>
  <c r="K47" i="18"/>
  <c r="I47" i="18"/>
  <c r="I4" i="21"/>
  <c r="J3" i="21"/>
  <c r="K4" i="21"/>
  <c r="K38" i="24"/>
  <c r="I38" i="24"/>
  <c r="K54" i="40"/>
  <c r="I54" i="40"/>
  <c r="K32" i="9"/>
  <c r="I32" i="9"/>
  <c r="K41" i="9"/>
  <c r="I41" i="9"/>
  <c r="K50" i="9"/>
  <c r="I50" i="9"/>
  <c r="K48" i="12"/>
  <c r="I48" i="12"/>
  <c r="K7" i="13"/>
  <c r="I7" i="13"/>
  <c r="K26" i="13"/>
  <c r="I26" i="13"/>
  <c r="K23" i="8"/>
  <c r="I25" i="9"/>
  <c r="K30" i="9"/>
  <c r="I30" i="9"/>
  <c r="I33" i="9"/>
  <c r="K38" i="9"/>
  <c r="I38" i="9"/>
  <c r="K56" i="9"/>
  <c r="K11" i="10"/>
  <c r="I11" i="10"/>
  <c r="K24" i="10"/>
  <c r="K30" i="11"/>
  <c r="I30" i="11"/>
  <c r="K35" i="11"/>
  <c r="I35" i="11"/>
  <c r="I21" i="8"/>
  <c r="I24" i="8"/>
  <c r="I49" i="8"/>
  <c r="I51" i="8"/>
  <c r="I53" i="8"/>
  <c r="I55" i="8"/>
  <c r="I4" i="9"/>
  <c r="I5" i="9"/>
  <c r="I6" i="9"/>
  <c r="I7" i="9"/>
  <c r="I8" i="9"/>
  <c r="I9" i="9"/>
  <c r="I10" i="9"/>
  <c r="I11" i="9"/>
  <c r="I29" i="9"/>
  <c r="Q32" i="9"/>
  <c r="I37" i="9"/>
  <c r="Q41" i="9"/>
  <c r="K10" i="10"/>
  <c r="K13" i="10"/>
  <c r="I13" i="10"/>
  <c r="K30" i="10"/>
  <c r="I30" i="10"/>
  <c r="K45" i="10"/>
  <c r="I45" i="10"/>
  <c r="K54" i="10"/>
  <c r="I54" i="10"/>
  <c r="K5" i="11"/>
  <c r="I5" i="11"/>
  <c r="K9" i="11"/>
  <c r="I9" i="11"/>
  <c r="K13" i="11"/>
  <c r="I13" i="11"/>
  <c r="K17" i="11"/>
  <c r="I17" i="11"/>
  <c r="K21" i="11"/>
  <c r="I21" i="11"/>
  <c r="K25" i="11"/>
  <c r="I25" i="11"/>
  <c r="K36" i="11"/>
  <c r="I36" i="11"/>
  <c r="Q38" i="11"/>
  <c r="K43" i="11"/>
  <c r="I43" i="11"/>
  <c r="K54" i="12"/>
  <c r="I54" i="12"/>
  <c r="K55" i="12"/>
  <c r="I55" i="12"/>
  <c r="I8" i="13"/>
  <c r="K19" i="13"/>
  <c r="I19" i="13"/>
  <c r="I24" i="13"/>
  <c r="K31" i="13"/>
  <c r="I31" i="13"/>
  <c r="K36" i="13"/>
  <c r="I36" i="13"/>
  <c r="K28" i="14"/>
  <c r="I28" i="14"/>
  <c r="I35" i="14"/>
  <c r="K47" i="14"/>
  <c r="I47" i="14"/>
  <c r="I38" i="15"/>
  <c r="K39" i="15"/>
  <c r="I39" i="15"/>
  <c r="I45" i="15"/>
  <c r="I51" i="15"/>
  <c r="I55" i="15"/>
  <c r="I30" i="16"/>
  <c r="K41" i="16"/>
  <c r="I41" i="16"/>
  <c r="I25" i="17"/>
  <c r="K25" i="17"/>
  <c r="Q31" i="17"/>
  <c r="I32" i="17"/>
  <c r="I52" i="17"/>
  <c r="K52" i="17"/>
  <c r="K19" i="19"/>
  <c r="I19" i="19"/>
  <c r="I28" i="19"/>
  <c r="K28" i="19"/>
  <c r="I36" i="19"/>
  <c r="K36" i="19"/>
  <c r="I52" i="19"/>
  <c r="I20" i="20"/>
  <c r="K20" i="20"/>
  <c r="I24" i="20"/>
  <c r="K24" i="20"/>
  <c r="I47" i="20"/>
  <c r="K47" i="20"/>
  <c r="K49" i="21"/>
  <c r="I49" i="21"/>
  <c r="I56" i="22"/>
  <c r="K56" i="22"/>
  <c r="I54" i="36"/>
  <c r="K54" i="36"/>
  <c r="K56" i="37"/>
  <c r="I56" i="37"/>
  <c r="K52" i="9"/>
  <c r="I52" i="9"/>
  <c r="K9" i="10"/>
  <c r="I9" i="10"/>
  <c r="K25" i="10"/>
  <c r="I25" i="10"/>
  <c r="K31" i="14"/>
  <c r="I31" i="14"/>
  <c r="K20" i="15"/>
  <c r="I20" i="15"/>
  <c r="K8" i="18"/>
  <c r="I8" i="18"/>
  <c r="K24" i="18"/>
  <c r="I24" i="18"/>
  <c r="K25" i="19"/>
  <c r="I25" i="19"/>
  <c r="K31" i="21"/>
  <c r="I31" i="21"/>
  <c r="K28" i="45"/>
  <c r="I28" i="45"/>
  <c r="K37" i="8"/>
  <c r="I37" i="8"/>
  <c r="I12" i="9"/>
  <c r="V3" i="10"/>
  <c r="K15" i="10"/>
  <c r="I15" i="10"/>
  <c r="K51" i="10"/>
  <c r="I51" i="10"/>
  <c r="W3" i="11"/>
  <c r="V3" i="11"/>
  <c r="K28" i="12"/>
  <c r="I28" i="12"/>
  <c r="K33" i="12"/>
  <c r="I33" i="12"/>
  <c r="K38" i="12"/>
  <c r="I38" i="12"/>
  <c r="K46" i="12"/>
  <c r="I46" i="12"/>
  <c r="K49" i="12"/>
  <c r="I49" i="12"/>
  <c r="K17" i="13"/>
  <c r="I17" i="13"/>
  <c r="K46" i="13"/>
  <c r="I46" i="13"/>
  <c r="K18" i="14"/>
  <c r="I18" i="14"/>
  <c r="K37" i="14"/>
  <c r="I37" i="14"/>
  <c r="K56" i="14"/>
  <c r="I56" i="14"/>
  <c r="K26" i="15"/>
  <c r="I26" i="15"/>
  <c r="K31" i="15"/>
  <c r="I31" i="15"/>
  <c r="K27" i="16"/>
  <c r="I27" i="16"/>
  <c r="K44" i="16"/>
  <c r="I44" i="16"/>
  <c r="W3" i="17"/>
  <c r="K56" i="18"/>
  <c r="I56" i="18"/>
  <c r="K8" i="19"/>
  <c r="I8" i="19"/>
  <c r="K42" i="19"/>
  <c r="I42" i="19"/>
  <c r="K19" i="20"/>
  <c r="I19" i="20"/>
  <c r="I22" i="20"/>
  <c r="K22" i="20"/>
  <c r="I12" i="21"/>
  <c r="K12" i="21"/>
  <c r="I22" i="21"/>
  <c r="K22" i="21"/>
  <c r="K56" i="27"/>
  <c r="I56" i="27"/>
  <c r="K54" i="30"/>
  <c r="I54" i="30"/>
  <c r="J3" i="30"/>
  <c r="K30" i="13"/>
  <c r="K21" i="14"/>
  <c r="K8" i="15"/>
  <c r="I8" i="15"/>
  <c r="K16" i="15"/>
  <c r="I16" i="15"/>
  <c r="K24" i="15"/>
  <c r="I24" i="15"/>
  <c r="K10" i="17"/>
  <c r="I10" i="17"/>
  <c r="I33" i="18"/>
  <c r="K33" i="18"/>
  <c r="K33" i="19"/>
  <c r="I33" i="19"/>
  <c r="J3" i="9"/>
  <c r="I15" i="9"/>
  <c r="K49" i="9"/>
  <c r="I49" i="9"/>
  <c r="K51" i="9"/>
  <c r="I51" i="9"/>
  <c r="K14" i="10"/>
  <c r="K17" i="10"/>
  <c r="I17" i="10"/>
  <c r="K27" i="10"/>
  <c r="I27" i="10"/>
  <c r="W3" i="10"/>
  <c r="K32" i="10"/>
  <c r="I32" i="10"/>
  <c r="I36" i="10"/>
  <c r="K48" i="10"/>
  <c r="I48" i="10"/>
  <c r="K55" i="10"/>
  <c r="I55" i="10"/>
  <c r="K27" i="11"/>
  <c r="I27" i="11"/>
  <c r="I31" i="11"/>
  <c r="K45" i="11"/>
  <c r="I45" i="11"/>
  <c r="V3" i="12"/>
  <c r="K52" i="12"/>
  <c r="I52" i="12"/>
  <c r="I4" i="13"/>
  <c r="K15" i="13"/>
  <c r="I15" i="13"/>
  <c r="I20" i="13"/>
  <c r="K28" i="13"/>
  <c r="I28" i="13"/>
  <c r="K33" i="13"/>
  <c r="I33" i="13"/>
  <c r="K56" i="13"/>
  <c r="I56" i="13"/>
  <c r="K6" i="14"/>
  <c r="I6" i="14"/>
  <c r="K24" i="14"/>
  <c r="I24" i="14"/>
  <c r="K29" i="14"/>
  <c r="I29" i="14"/>
  <c r="K50" i="14"/>
  <c r="K6" i="15"/>
  <c r="I6" i="15"/>
  <c r="K10" i="15"/>
  <c r="I10" i="15"/>
  <c r="K14" i="15"/>
  <c r="I14" i="15"/>
  <c r="K18" i="15"/>
  <c r="I18" i="15"/>
  <c r="K22" i="15"/>
  <c r="I22" i="15"/>
  <c r="I35" i="15"/>
  <c r="K41" i="15"/>
  <c r="I41" i="15"/>
  <c r="K56" i="15"/>
  <c r="I56" i="15"/>
  <c r="K32" i="16"/>
  <c r="I32" i="16"/>
  <c r="K6" i="17"/>
  <c r="I6" i="17"/>
  <c r="I14" i="17"/>
  <c r="K18" i="17"/>
  <c r="I18" i="17"/>
  <c r="K56" i="17"/>
  <c r="I56" i="17"/>
  <c r="I28" i="18"/>
  <c r="K28" i="18"/>
  <c r="I35" i="18"/>
  <c r="I43" i="18"/>
  <c r="K43" i="18"/>
  <c r="K9" i="19"/>
  <c r="I9" i="19"/>
  <c r="I21" i="19"/>
  <c r="K43" i="19"/>
  <c r="I43" i="19"/>
  <c r="I18" i="20"/>
  <c r="K18" i="20"/>
  <c r="K53" i="20"/>
  <c r="I53" i="20"/>
  <c r="K21" i="21"/>
  <c r="I21" i="21"/>
  <c r="I24" i="21"/>
  <c r="K24" i="21"/>
  <c r="K23" i="13"/>
  <c r="I23" i="13"/>
  <c r="K26" i="14"/>
  <c r="I26" i="14"/>
  <c r="K16" i="18"/>
  <c r="I16" i="18"/>
  <c r="I19" i="8"/>
  <c r="I22" i="8"/>
  <c r="I35" i="8"/>
  <c r="I38" i="8"/>
  <c r="I16" i="9"/>
  <c r="I17" i="9"/>
  <c r="I43" i="9"/>
  <c r="K55" i="9"/>
  <c r="I55" i="9"/>
  <c r="K16" i="10"/>
  <c r="K19" i="10"/>
  <c r="I19" i="10"/>
  <c r="I31" i="10"/>
  <c r="K33" i="10"/>
  <c r="I33" i="10"/>
  <c r="Q35" i="10"/>
  <c r="K42" i="10"/>
  <c r="I42" i="10"/>
  <c r="I46" i="10"/>
  <c r="K53" i="10"/>
  <c r="I53" i="10"/>
  <c r="I26" i="11"/>
  <c r="K28" i="11"/>
  <c r="I28" i="11"/>
  <c r="Q30" i="11"/>
  <c r="K46" i="11"/>
  <c r="I46" i="11"/>
  <c r="K55" i="11"/>
  <c r="I55" i="11"/>
  <c r="W3" i="12"/>
  <c r="K5" i="12"/>
  <c r="I5" i="12"/>
  <c r="K7" i="12"/>
  <c r="I7" i="12"/>
  <c r="K9" i="12"/>
  <c r="I9" i="12"/>
  <c r="K11" i="12"/>
  <c r="I11" i="12"/>
  <c r="K13" i="12"/>
  <c r="I13" i="12"/>
  <c r="K15" i="12"/>
  <c r="I15" i="12"/>
  <c r="K17" i="12"/>
  <c r="I17" i="12"/>
  <c r="K19" i="12"/>
  <c r="I19" i="12"/>
  <c r="K21" i="12"/>
  <c r="I21" i="12"/>
  <c r="K23" i="12"/>
  <c r="I23" i="12"/>
  <c r="K25" i="12"/>
  <c r="I25" i="12"/>
  <c r="K30" i="12"/>
  <c r="I30" i="12"/>
  <c r="K39" i="12"/>
  <c r="I39" i="12"/>
  <c r="K43" i="12"/>
  <c r="I43" i="12"/>
  <c r="K13" i="13"/>
  <c r="I13" i="13"/>
  <c r="I18" i="13"/>
  <c r="I37" i="13"/>
  <c r="K42" i="13"/>
  <c r="I42" i="13"/>
  <c r="K43" i="13"/>
  <c r="I43" i="13"/>
  <c r="K49" i="14"/>
  <c r="V3" i="15"/>
  <c r="K32" i="15"/>
  <c r="I32" i="15"/>
  <c r="K47" i="15"/>
  <c r="I47" i="15"/>
  <c r="K37" i="16"/>
  <c r="I37" i="16"/>
  <c r="K45" i="16"/>
  <c r="I45" i="16"/>
  <c r="K4" i="17"/>
  <c r="I4" i="17"/>
  <c r="J3" i="17"/>
  <c r="K8" i="17"/>
  <c r="I8" i="17"/>
  <c r="K27" i="17"/>
  <c r="I27" i="17"/>
  <c r="K36" i="17"/>
  <c r="I36" i="17"/>
  <c r="W3" i="18"/>
  <c r="K48" i="18"/>
  <c r="I48" i="18"/>
  <c r="V3" i="20"/>
  <c r="K17" i="20"/>
  <c r="I17" i="20"/>
  <c r="I20" i="21"/>
  <c r="K20" i="21"/>
  <c r="K46" i="21"/>
  <c r="I46" i="21"/>
  <c r="K56" i="23"/>
  <c r="I56" i="23"/>
  <c r="I15" i="24"/>
  <c r="K15" i="24"/>
  <c r="K28" i="24"/>
  <c r="I28" i="24"/>
  <c r="K48" i="9"/>
  <c r="I48" i="9"/>
  <c r="K52" i="10"/>
  <c r="I52" i="10"/>
  <c r="K4" i="15"/>
  <c r="I4" i="15"/>
  <c r="J3" i="15"/>
  <c r="K32" i="18"/>
  <c r="I32" i="18"/>
  <c r="K49" i="20"/>
  <c r="I49" i="20"/>
  <c r="I8" i="21"/>
  <c r="K8" i="21"/>
  <c r="K36" i="42"/>
  <c r="I36" i="42"/>
  <c r="K45" i="8"/>
  <c r="I45" i="8"/>
  <c r="I4" i="10"/>
  <c r="J3" i="10"/>
  <c r="K5" i="10"/>
  <c r="I5" i="10"/>
  <c r="K21" i="10"/>
  <c r="I21" i="10"/>
  <c r="K43" i="10"/>
  <c r="I43" i="10"/>
  <c r="K50" i="10"/>
  <c r="I50" i="10"/>
  <c r="K7" i="11"/>
  <c r="I7" i="11"/>
  <c r="K11" i="11"/>
  <c r="I11" i="11"/>
  <c r="K15" i="11"/>
  <c r="I15" i="11"/>
  <c r="K19" i="11"/>
  <c r="I19" i="11"/>
  <c r="K23" i="11"/>
  <c r="I23" i="11"/>
  <c r="K32" i="11"/>
  <c r="K38" i="11"/>
  <c r="I38" i="11"/>
  <c r="I29" i="12"/>
  <c r="I34" i="12"/>
  <c r="I47" i="12"/>
  <c r="K50" i="12"/>
  <c r="I50" i="12"/>
  <c r="K56" i="12"/>
  <c r="I56" i="12"/>
  <c r="K11" i="13"/>
  <c r="I11" i="13"/>
  <c r="I16" i="13"/>
  <c r="K34" i="13"/>
  <c r="I34" i="13"/>
  <c r="Q36" i="13"/>
  <c r="I47" i="13"/>
  <c r="V3" i="14"/>
  <c r="K20" i="14"/>
  <c r="I20" i="14"/>
  <c r="K44" i="14"/>
  <c r="I44" i="14"/>
  <c r="I27" i="15"/>
  <c r="I49" i="15"/>
  <c r="I53" i="15"/>
  <c r="K17" i="17"/>
  <c r="K29" i="17"/>
  <c r="I29" i="17"/>
  <c r="I30" i="17"/>
  <c r="K30" i="17"/>
  <c r="W3" i="19"/>
  <c r="I11" i="19"/>
  <c r="K13" i="19"/>
  <c r="I13" i="19"/>
  <c r="K14" i="19"/>
  <c r="I14" i="19"/>
  <c r="K15" i="19"/>
  <c r="I15" i="19"/>
  <c r="I46" i="19"/>
  <c r="K46" i="19"/>
  <c r="I16" i="20"/>
  <c r="K16" i="20"/>
  <c r="I29" i="20"/>
  <c r="K29" i="20"/>
  <c r="I37" i="20"/>
  <c r="K37" i="20"/>
  <c r="K51" i="20"/>
  <c r="I51" i="20"/>
  <c r="K19" i="21"/>
  <c r="I19" i="21"/>
  <c r="I14" i="24"/>
  <c r="K14" i="24"/>
  <c r="I17" i="24"/>
  <c r="K17" i="24"/>
  <c r="I18" i="24"/>
  <c r="K18" i="24"/>
  <c r="K42" i="11"/>
  <c r="I42" i="11"/>
  <c r="K39" i="13"/>
  <c r="I39" i="13"/>
  <c r="K46" i="14"/>
  <c r="I46" i="14"/>
  <c r="K12" i="15"/>
  <c r="I12" i="15"/>
  <c r="K55" i="19"/>
  <c r="I55" i="19"/>
  <c r="K5" i="21"/>
  <c r="I5" i="21"/>
  <c r="I39" i="42"/>
  <c r="K39" i="42"/>
  <c r="I26" i="45"/>
  <c r="K26" i="45"/>
  <c r="J3" i="45"/>
  <c r="I21" i="46"/>
  <c r="K21" i="46"/>
  <c r="J3" i="46"/>
  <c r="K39" i="8"/>
  <c r="Q43" i="8"/>
  <c r="Q47" i="8"/>
  <c r="W3" i="9"/>
  <c r="I21" i="9"/>
  <c r="K44" i="9"/>
  <c r="Q46" i="9"/>
  <c r="K4" i="10"/>
  <c r="K7" i="10"/>
  <c r="I7" i="10"/>
  <c r="K20" i="10"/>
  <c r="K23" i="10"/>
  <c r="I23" i="10"/>
  <c r="I28" i="10"/>
  <c r="K38" i="10"/>
  <c r="I38" i="10"/>
  <c r="I56" i="10"/>
  <c r="K33" i="11"/>
  <c r="I33" i="11"/>
  <c r="I4" i="12"/>
  <c r="I6" i="12"/>
  <c r="I8" i="12"/>
  <c r="I10" i="12"/>
  <c r="I12" i="12"/>
  <c r="I14" i="12"/>
  <c r="I16" i="12"/>
  <c r="I18" i="12"/>
  <c r="I20" i="12"/>
  <c r="I22" i="12"/>
  <c r="I24" i="12"/>
  <c r="K31" i="12"/>
  <c r="I31" i="12"/>
  <c r="Q33" i="12"/>
  <c r="K53" i="12"/>
  <c r="I53" i="12"/>
  <c r="J3" i="13"/>
  <c r="K9" i="13"/>
  <c r="I9" i="13"/>
  <c r="K25" i="13"/>
  <c r="I25" i="13"/>
  <c r="K44" i="13"/>
  <c r="I44" i="13"/>
  <c r="Q46" i="13"/>
  <c r="K8" i="14"/>
  <c r="I8" i="14"/>
  <c r="K34" i="14"/>
  <c r="I34" i="14"/>
  <c r="K39" i="14"/>
  <c r="I39" i="14"/>
  <c r="Q26" i="15"/>
  <c r="K37" i="15"/>
  <c r="I37" i="15"/>
  <c r="K44" i="15"/>
  <c r="I44" i="15"/>
  <c r="K4" i="16"/>
  <c r="I4" i="16"/>
  <c r="J3" i="16"/>
  <c r="K6" i="16"/>
  <c r="I6" i="16"/>
  <c r="K8" i="16"/>
  <c r="I8" i="16"/>
  <c r="K10" i="16"/>
  <c r="I10" i="16"/>
  <c r="K12" i="16"/>
  <c r="I12" i="16"/>
  <c r="K14" i="16"/>
  <c r="I14" i="16"/>
  <c r="K16" i="16"/>
  <c r="I16" i="16"/>
  <c r="K18" i="16"/>
  <c r="I18" i="16"/>
  <c r="K20" i="16"/>
  <c r="I20" i="16"/>
  <c r="K22" i="16"/>
  <c r="I22" i="16"/>
  <c r="K24" i="16"/>
  <c r="I24" i="16"/>
  <c r="K29" i="16"/>
  <c r="I29" i="16"/>
  <c r="I33" i="16"/>
  <c r="K34" i="16"/>
  <c r="I34" i="16"/>
  <c r="Q16" i="17"/>
  <c r="K44" i="17"/>
  <c r="I44" i="17"/>
  <c r="I55" i="17"/>
  <c r="K55" i="17"/>
  <c r="I9" i="18"/>
  <c r="K9" i="18"/>
  <c r="I17" i="18"/>
  <c r="K17" i="18"/>
  <c r="I25" i="18"/>
  <c r="K25" i="18"/>
  <c r="K30" i="18"/>
  <c r="I30" i="18"/>
  <c r="K39" i="18"/>
  <c r="I39" i="18"/>
  <c r="K55" i="18"/>
  <c r="I55" i="18"/>
  <c r="Q10" i="19"/>
  <c r="K24" i="19"/>
  <c r="I24" i="19"/>
  <c r="K30" i="19"/>
  <c r="I30" i="19"/>
  <c r="K32" i="19"/>
  <c r="I32" i="19"/>
  <c r="I38" i="19"/>
  <c r="I39" i="19"/>
  <c r="K39" i="19"/>
  <c r="I6" i="21"/>
  <c r="K6" i="21"/>
  <c r="I10" i="21"/>
  <c r="K10" i="21"/>
  <c r="I18" i="21"/>
  <c r="K18" i="21"/>
  <c r="I29" i="21"/>
  <c r="K29" i="21"/>
  <c r="I37" i="21"/>
  <c r="K37" i="21"/>
  <c r="I29" i="24"/>
  <c r="K29" i="24"/>
  <c r="K30" i="24"/>
  <c r="I30" i="24"/>
  <c r="I55" i="31"/>
  <c r="K55" i="31"/>
  <c r="I55" i="35"/>
  <c r="K55" i="35"/>
  <c r="K55" i="40"/>
  <c r="I55" i="40"/>
  <c r="K23" i="44"/>
  <c r="I23" i="44"/>
  <c r="I53" i="44"/>
  <c r="K53" i="44"/>
  <c r="I53" i="9"/>
  <c r="I54" i="9"/>
  <c r="K26" i="17"/>
  <c r="I26" i="17"/>
  <c r="K29" i="18"/>
  <c r="I29" i="18"/>
  <c r="K18" i="19"/>
  <c r="I18" i="19"/>
  <c r="K41" i="19"/>
  <c r="I41" i="19"/>
  <c r="K15" i="20"/>
  <c r="J3" i="20"/>
  <c r="I15" i="20"/>
  <c r="K27" i="20"/>
  <c r="I27" i="20"/>
  <c r="K33" i="20"/>
  <c r="I33" i="20"/>
  <c r="K38" i="20"/>
  <c r="I38" i="20"/>
  <c r="K42" i="20"/>
  <c r="I42" i="20"/>
  <c r="K43" i="20"/>
  <c r="I43" i="20"/>
  <c r="K17" i="21"/>
  <c r="I17" i="21"/>
  <c r="K27" i="21"/>
  <c r="I27" i="21"/>
  <c r="K33" i="21"/>
  <c r="I33" i="21"/>
  <c r="K42" i="21"/>
  <c r="I42" i="21"/>
  <c r="K43" i="21"/>
  <c r="I43" i="21"/>
  <c r="I26" i="23"/>
  <c r="K26" i="23"/>
  <c r="I38" i="23"/>
  <c r="K38" i="23"/>
  <c r="I16" i="24"/>
  <c r="K16" i="24"/>
  <c r="K54" i="29"/>
  <c r="I54" i="29"/>
  <c r="K55" i="30"/>
  <c r="I55" i="30"/>
  <c r="K49" i="35"/>
  <c r="I49" i="35"/>
  <c r="J3" i="35"/>
  <c r="I52" i="37"/>
  <c r="K52" i="37"/>
  <c r="I47" i="40"/>
  <c r="K47" i="40"/>
  <c r="Q7" i="17"/>
  <c r="Q28" i="17"/>
  <c r="K33" i="17"/>
  <c r="K34" i="17"/>
  <c r="I34" i="17"/>
  <c r="I37" i="17"/>
  <c r="K48" i="17"/>
  <c r="V3" i="18"/>
  <c r="K10" i="18"/>
  <c r="I10" i="18"/>
  <c r="K18" i="18"/>
  <c r="I18" i="18"/>
  <c r="K36" i="18"/>
  <c r="K37" i="18"/>
  <c r="I37" i="18"/>
  <c r="I41" i="18"/>
  <c r="K12" i="19"/>
  <c r="I12" i="19"/>
  <c r="K32" i="20"/>
  <c r="K15" i="21"/>
  <c r="I15" i="21"/>
  <c r="K32" i="21"/>
  <c r="K38" i="21"/>
  <c r="I38" i="21"/>
  <c r="K28" i="23"/>
  <c r="I28" i="23"/>
  <c r="I49" i="23"/>
  <c r="K49" i="23"/>
  <c r="K51" i="23"/>
  <c r="I23" i="24"/>
  <c r="K23" i="24"/>
  <c r="K49" i="24"/>
  <c r="I49" i="24"/>
  <c r="K51" i="24"/>
  <c r="I51" i="24"/>
  <c r="K53" i="24"/>
  <c r="I53" i="24"/>
  <c r="K55" i="24"/>
  <c r="I55" i="24"/>
  <c r="K51" i="27"/>
  <c r="K55" i="29"/>
  <c r="I55" i="29"/>
  <c r="K54" i="32"/>
  <c r="I54" i="32"/>
  <c r="J3" i="32"/>
  <c r="K16" i="40"/>
  <c r="I16" i="40"/>
  <c r="K19" i="40"/>
  <c r="I19" i="40"/>
  <c r="I9" i="17"/>
  <c r="I12" i="17"/>
  <c r="Q36" i="17"/>
  <c r="K42" i="17"/>
  <c r="K51" i="17"/>
  <c r="Q39" i="18"/>
  <c r="K44" i="18"/>
  <c r="I44" i="18"/>
  <c r="K6" i="19"/>
  <c r="I6" i="19"/>
  <c r="K22" i="19"/>
  <c r="I22" i="19"/>
  <c r="K29" i="19"/>
  <c r="I29" i="19"/>
  <c r="I50" i="19"/>
  <c r="I54" i="19"/>
  <c r="K56" i="19"/>
  <c r="K56" i="20"/>
  <c r="I56" i="20"/>
  <c r="K13" i="21"/>
  <c r="I13" i="21"/>
  <c r="I22" i="24"/>
  <c r="K22" i="24"/>
  <c r="I25" i="24"/>
  <c r="K25" i="24"/>
  <c r="K56" i="31"/>
  <c r="I56" i="31"/>
  <c r="K51" i="35"/>
  <c r="I51" i="35"/>
  <c r="K32" i="40"/>
  <c r="I32" i="40"/>
  <c r="I10" i="44"/>
  <c r="K10" i="44"/>
  <c r="K46" i="17"/>
  <c r="I46" i="17"/>
  <c r="K4" i="18"/>
  <c r="I4" i="18"/>
  <c r="J3" i="18"/>
  <c r="K12" i="18"/>
  <c r="I12" i="18"/>
  <c r="K20" i="18"/>
  <c r="I20" i="18"/>
  <c r="K26" i="18"/>
  <c r="I26" i="18"/>
  <c r="K16" i="19"/>
  <c r="I16" i="19"/>
  <c r="K26" i="19"/>
  <c r="I26" i="19"/>
  <c r="K37" i="19"/>
  <c r="I37" i="19"/>
  <c r="K47" i="19"/>
  <c r="I47" i="19"/>
  <c r="K25" i="20"/>
  <c r="I25" i="20"/>
  <c r="K39" i="20"/>
  <c r="I39" i="20"/>
  <c r="K48" i="20"/>
  <c r="I48" i="20"/>
  <c r="K50" i="20"/>
  <c r="I50" i="20"/>
  <c r="K52" i="20"/>
  <c r="I52" i="20"/>
  <c r="K54" i="20"/>
  <c r="I54" i="20"/>
  <c r="K11" i="21"/>
  <c r="I11" i="21"/>
  <c r="I16" i="21"/>
  <c r="K16" i="21"/>
  <c r="K27" i="23"/>
  <c r="I27" i="23"/>
  <c r="K33" i="23"/>
  <c r="I33" i="23"/>
  <c r="I7" i="24"/>
  <c r="K7" i="24"/>
  <c r="I24" i="24"/>
  <c r="K24" i="24"/>
  <c r="I37" i="24"/>
  <c r="K37" i="24"/>
  <c r="K39" i="24"/>
  <c r="I39" i="24"/>
  <c r="I47" i="24"/>
  <c r="K47" i="24"/>
  <c r="K54" i="33"/>
  <c r="I54" i="33"/>
  <c r="K55" i="33"/>
  <c r="I55" i="33"/>
  <c r="I56" i="34"/>
  <c r="K56" i="34"/>
  <c r="K4" i="40"/>
  <c r="I4" i="40"/>
  <c r="J3" i="40"/>
  <c r="I18" i="40"/>
  <c r="K18" i="40"/>
  <c r="K20" i="40"/>
  <c r="I20" i="40"/>
  <c r="I29" i="40"/>
  <c r="K29" i="40"/>
  <c r="I12" i="44"/>
  <c r="K12" i="44"/>
  <c r="I16" i="17"/>
  <c r="K21" i="17"/>
  <c r="K31" i="17"/>
  <c r="I31" i="17"/>
  <c r="K38" i="17"/>
  <c r="K50" i="17"/>
  <c r="K54" i="17"/>
  <c r="K11" i="18"/>
  <c r="K19" i="18"/>
  <c r="K34" i="18"/>
  <c r="I34" i="18"/>
  <c r="K42" i="18"/>
  <c r="K10" i="19"/>
  <c r="I10" i="19"/>
  <c r="K34" i="19"/>
  <c r="I34" i="19"/>
  <c r="K44" i="19"/>
  <c r="I44" i="19"/>
  <c r="K23" i="20"/>
  <c r="I23" i="20"/>
  <c r="K30" i="20"/>
  <c r="I30" i="20"/>
  <c r="K35" i="20"/>
  <c r="I35" i="20"/>
  <c r="K45" i="20"/>
  <c r="I45" i="20"/>
  <c r="V3" i="21"/>
  <c r="K9" i="21"/>
  <c r="I9" i="21"/>
  <c r="I14" i="21"/>
  <c r="K14" i="21"/>
  <c r="K25" i="21"/>
  <c r="I25" i="21"/>
  <c r="Q27" i="21"/>
  <c r="K35" i="21"/>
  <c r="I35" i="21"/>
  <c r="K39" i="21"/>
  <c r="I39" i="21"/>
  <c r="I4" i="23"/>
  <c r="J3" i="23"/>
  <c r="I34" i="23"/>
  <c r="K34" i="23"/>
  <c r="K35" i="23"/>
  <c r="I35" i="23"/>
  <c r="K43" i="23"/>
  <c r="I43" i="23"/>
  <c r="I6" i="24"/>
  <c r="K6" i="24"/>
  <c r="I9" i="24"/>
  <c r="K9" i="24"/>
  <c r="I10" i="24"/>
  <c r="K10" i="24"/>
  <c r="I41" i="24"/>
  <c r="K41" i="24"/>
  <c r="K54" i="34"/>
  <c r="I54" i="34"/>
  <c r="K14" i="42"/>
  <c r="I14" i="42"/>
  <c r="K20" i="42"/>
  <c r="I20" i="42"/>
  <c r="K37" i="42"/>
  <c r="I37" i="42"/>
  <c r="V3" i="42"/>
  <c r="K47" i="42"/>
  <c r="I47" i="42"/>
  <c r="K36" i="43"/>
  <c r="I36" i="43"/>
  <c r="K28" i="17"/>
  <c r="I28" i="17"/>
  <c r="K39" i="17"/>
  <c r="I39" i="17"/>
  <c r="K6" i="18"/>
  <c r="I6" i="18"/>
  <c r="K14" i="18"/>
  <c r="I14" i="18"/>
  <c r="K22" i="18"/>
  <c r="I22" i="18"/>
  <c r="K31" i="18"/>
  <c r="I31" i="18"/>
  <c r="K4" i="19"/>
  <c r="I4" i="19"/>
  <c r="J3" i="19"/>
  <c r="K20" i="19"/>
  <c r="I20" i="19"/>
  <c r="K21" i="20"/>
  <c r="I21" i="20"/>
  <c r="K41" i="20"/>
  <c r="W3" i="21"/>
  <c r="K7" i="21"/>
  <c r="I7" i="21"/>
  <c r="K23" i="21"/>
  <c r="I23" i="21"/>
  <c r="K30" i="21"/>
  <c r="I30" i="21"/>
  <c r="K41" i="21"/>
  <c r="K4" i="23"/>
  <c r="I44" i="23"/>
  <c r="K44" i="23"/>
  <c r="K45" i="23"/>
  <c r="I45" i="23"/>
  <c r="I8" i="24"/>
  <c r="K8" i="24"/>
  <c r="W3" i="29"/>
  <c r="K56" i="32"/>
  <c r="I56" i="32"/>
  <c r="J3" i="33"/>
  <c r="K52" i="33"/>
  <c r="I52" i="33"/>
  <c r="K52" i="38"/>
  <c r="I52" i="38"/>
  <c r="K51" i="39"/>
  <c r="I51" i="39"/>
  <c r="K53" i="39"/>
  <c r="I53" i="39"/>
  <c r="W3" i="23"/>
  <c r="Q54" i="23"/>
  <c r="Q5" i="24"/>
  <c r="Q13" i="24"/>
  <c r="Q21" i="24"/>
  <c r="K56" i="24"/>
  <c r="I56" i="24"/>
  <c r="I3" i="25"/>
  <c r="K3" i="25"/>
  <c r="K3" i="26"/>
  <c r="I3" i="26"/>
  <c r="Q54" i="27"/>
  <c r="Q55" i="28"/>
  <c r="I52" i="31"/>
  <c r="K52" i="31"/>
  <c r="K55" i="32"/>
  <c r="I55" i="32"/>
  <c r="K49" i="33"/>
  <c r="I49" i="33"/>
  <c r="V3" i="34"/>
  <c r="W3" i="40"/>
  <c r="Q9" i="40"/>
  <c r="I28" i="40"/>
  <c r="K28" i="40"/>
  <c r="K45" i="40"/>
  <c r="I45" i="40"/>
  <c r="K4" i="42"/>
  <c r="I4" i="42"/>
  <c r="J3" i="42"/>
  <c r="K35" i="42"/>
  <c r="I35" i="42"/>
  <c r="I53" i="42"/>
  <c r="K53" i="42"/>
  <c r="J3" i="43"/>
  <c r="I4" i="43"/>
  <c r="K52" i="43"/>
  <c r="I52" i="43"/>
  <c r="K45" i="44"/>
  <c r="I45" i="44"/>
  <c r="I51" i="44"/>
  <c r="K51" i="44"/>
  <c r="J3" i="22"/>
  <c r="K46" i="23"/>
  <c r="I46" i="23"/>
  <c r="V3" i="24"/>
  <c r="K31" i="24"/>
  <c r="I31" i="24"/>
  <c r="I51" i="31"/>
  <c r="K51" i="31"/>
  <c r="K52" i="34"/>
  <c r="I52" i="34"/>
  <c r="K50" i="37"/>
  <c r="I50" i="37"/>
  <c r="J3" i="37"/>
  <c r="K53" i="38"/>
  <c r="I53" i="38"/>
  <c r="K55" i="38"/>
  <c r="I55" i="38"/>
  <c r="I52" i="39"/>
  <c r="K21" i="40"/>
  <c r="I21" i="40"/>
  <c r="K34" i="40"/>
  <c r="I34" i="40"/>
  <c r="K28" i="42"/>
  <c r="I28" i="42"/>
  <c r="K43" i="42"/>
  <c r="I43" i="42"/>
  <c r="K55" i="43"/>
  <c r="I55" i="43"/>
  <c r="I18" i="44"/>
  <c r="K18" i="44"/>
  <c r="K42" i="44"/>
  <c r="I42" i="44"/>
  <c r="K30" i="45"/>
  <c r="I30" i="45"/>
  <c r="I53" i="21"/>
  <c r="K55" i="23"/>
  <c r="I35" i="24"/>
  <c r="I44" i="24"/>
  <c r="K48" i="24"/>
  <c r="I48" i="24"/>
  <c r="K50" i="24"/>
  <c r="I50" i="24"/>
  <c r="K52" i="24"/>
  <c r="I52" i="24"/>
  <c r="K54" i="24"/>
  <c r="I54" i="24"/>
  <c r="K55" i="27"/>
  <c r="W3" i="28"/>
  <c r="K50" i="29"/>
  <c r="J3" i="29"/>
  <c r="I52" i="29"/>
  <c r="K50" i="33"/>
  <c r="I50" i="33"/>
  <c r="J3" i="34"/>
  <c r="I54" i="35"/>
  <c r="K54" i="35"/>
  <c r="K50" i="39"/>
  <c r="J3" i="39"/>
  <c r="I50" i="39"/>
  <c r="K5" i="40"/>
  <c r="I5" i="40"/>
  <c r="K23" i="40"/>
  <c r="I23" i="40"/>
  <c r="K27" i="42"/>
  <c r="I27" i="42"/>
  <c r="I54" i="42"/>
  <c r="K54" i="42"/>
  <c r="K31" i="43"/>
  <c r="I31" i="43"/>
  <c r="I44" i="43"/>
  <c r="K44" i="43"/>
  <c r="K5" i="44"/>
  <c r="I5" i="44"/>
  <c r="I14" i="44"/>
  <c r="K14" i="44"/>
  <c r="I16" i="44"/>
  <c r="K16" i="44"/>
  <c r="K27" i="44"/>
  <c r="I27" i="44"/>
  <c r="K39" i="44"/>
  <c r="I39" i="44"/>
  <c r="I52" i="44"/>
  <c r="K52" i="44"/>
  <c r="I54" i="44"/>
  <c r="K54" i="44"/>
  <c r="K21" i="45"/>
  <c r="I21" i="45"/>
  <c r="Q48" i="21"/>
  <c r="I50" i="21"/>
  <c r="K36" i="23"/>
  <c r="I36" i="23"/>
  <c r="Q38" i="23"/>
  <c r="I39" i="23"/>
  <c r="Q50" i="23"/>
  <c r="Q9" i="24"/>
  <c r="K11" i="24"/>
  <c r="Q17" i="24"/>
  <c r="K19" i="24"/>
  <c r="I26" i="24"/>
  <c r="K36" i="24"/>
  <c r="I36" i="24"/>
  <c r="K55" i="25"/>
  <c r="I55" i="25"/>
  <c r="Q50" i="27"/>
  <c r="I50" i="27"/>
  <c r="J3" i="27"/>
  <c r="I56" i="30"/>
  <c r="K56" i="30"/>
  <c r="I50" i="31"/>
  <c r="K50" i="31"/>
  <c r="I54" i="31"/>
  <c r="K54" i="31"/>
  <c r="K53" i="33"/>
  <c r="I53" i="33"/>
  <c r="K52" i="35"/>
  <c r="I52" i="35"/>
  <c r="I56" i="35"/>
  <c r="K56" i="35"/>
  <c r="Q53" i="36"/>
  <c r="I53" i="36"/>
  <c r="K53" i="36"/>
  <c r="J3" i="36"/>
  <c r="I53" i="37"/>
  <c r="K53" i="37"/>
  <c r="I55" i="37"/>
  <c r="K55" i="37"/>
  <c r="V3" i="38"/>
  <c r="K7" i="40"/>
  <c r="I7" i="40"/>
  <c r="K33" i="40"/>
  <c r="I33" i="40"/>
  <c r="K48" i="40"/>
  <c r="I48" i="40"/>
  <c r="K54" i="41"/>
  <c r="I54" i="41"/>
  <c r="K12" i="42"/>
  <c r="I12" i="42"/>
  <c r="K18" i="42"/>
  <c r="I18" i="42"/>
  <c r="K24" i="42"/>
  <c r="I24" i="42"/>
  <c r="K30" i="43"/>
  <c r="I30" i="43"/>
  <c r="I37" i="43"/>
  <c r="K51" i="43"/>
  <c r="I51" i="43"/>
  <c r="K21" i="44"/>
  <c r="I21" i="44"/>
  <c r="K28" i="44"/>
  <c r="I28" i="44"/>
  <c r="I29" i="44"/>
  <c r="K29" i="44"/>
  <c r="I4" i="47"/>
  <c r="J3" i="47"/>
  <c r="K4" i="47"/>
  <c r="I29" i="47"/>
  <c r="K29" i="47"/>
  <c r="K30" i="47"/>
  <c r="I30" i="47"/>
  <c r="K36" i="47"/>
  <c r="I36" i="47"/>
  <c r="I4" i="24"/>
  <c r="J3" i="24"/>
  <c r="K4" i="24"/>
  <c r="I12" i="24"/>
  <c r="K12" i="24"/>
  <c r="I20" i="24"/>
  <c r="K20" i="24"/>
  <c r="J3" i="28"/>
  <c r="K55" i="28"/>
  <c r="V3" i="33"/>
  <c r="I51" i="37"/>
  <c r="K51" i="37"/>
  <c r="I50" i="38"/>
  <c r="J3" i="38"/>
  <c r="K50" i="38"/>
  <c r="K56" i="38"/>
  <c r="I56" i="38"/>
  <c r="K54" i="39"/>
  <c r="I54" i="39"/>
  <c r="K35" i="40"/>
  <c r="I35" i="40"/>
  <c r="I37" i="40"/>
  <c r="K37" i="40"/>
  <c r="K44" i="40"/>
  <c r="I44" i="40"/>
  <c r="K52" i="40"/>
  <c r="I52" i="40"/>
  <c r="K8" i="42"/>
  <c r="I8" i="42"/>
  <c r="K10" i="42"/>
  <c r="I10" i="42"/>
  <c r="K16" i="42"/>
  <c r="I16" i="42"/>
  <c r="K17" i="42"/>
  <c r="I17" i="42"/>
  <c r="K22" i="42"/>
  <c r="I22" i="42"/>
  <c r="K23" i="42"/>
  <c r="I23" i="42"/>
  <c r="K29" i="42"/>
  <c r="I29" i="42"/>
  <c r="I31" i="42"/>
  <c r="K31" i="42"/>
  <c r="K15" i="43"/>
  <c r="K41" i="43"/>
  <c r="I41" i="43"/>
  <c r="I30" i="44"/>
  <c r="K30" i="44"/>
  <c r="K35" i="44"/>
  <c r="I35" i="44"/>
  <c r="I50" i="44"/>
  <c r="K50" i="44"/>
  <c r="I34" i="45"/>
  <c r="K34" i="45"/>
  <c r="K41" i="45"/>
  <c r="I41" i="45"/>
  <c r="I44" i="45"/>
  <c r="K44" i="45"/>
  <c r="K46" i="45"/>
  <c r="I46" i="45"/>
  <c r="Q50" i="21"/>
  <c r="I52" i="21"/>
  <c r="Q39" i="23"/>
  <c r="I41" i="23"/>
  <c r="Q52" i="23"/>
  <c r="K54" i="23"/>
  <c r="K5" i="24"/>
  <c r="Q11" i="24"/>
  <c r="K13" i="24"/>
  <c r="Q19" i="24"/>
  <c r="K21" i="24"/>
  <c r="Q26" i="24"/>
  <c r="I27" i="24"/>
  <c r="Q42" i="24"/>
  <c r="K46" i="24"/>
  <c r="I46" i="24"/>
  <c r="V3" i="26"/>
  <c r="Q52" i="27"/>
  <c r="K54" i="27"/>
  <c r="I55" i="28"/>
  <c r="I51" i="29"/>
  <c r="K56" i="29"/>
  <c r="I56" i="29"/>
  <c r="I49" i="31"/>
  <c r="J3" i="31"/>
  <c r="K49" i="31"/>
  <c r="I53" i="31"/>
  <c r="K53" i="31"/>
  <c r="K51" i="33"/>
  <c r="I51" i="33"/>
  <c r="Q7" i="40"/>
  <c r="K26" i="40"/>
  <c r="I26" i="40"/>
  <c r="K36" i="40"/>
  <c r="K41" i="40"/>
  <c r="K43" i="40"/>
  <c r="I43" i="40"/>
  <c r="K50" i="40"/>
  <c r="I50" i="40"/>
  <c r="K6" i="42"/>
  <c r="I6" i="42"/>
  <c r="K7" i="42"/>
  <c r="I7" i="42"/>
  <c r="K55" i="42"/>
  <c r="K32" i="43"/>
  <c r="I32" i="43"/>
  <c r="I34" i="43"/>
  <c r="K34" i="43"/>
  <c r="K39" i="43"/>
  <c r="I39" i="43"/>
  <c r="K7" i="44"/>
  <c r="I7" i="44"/>
  <c r="K34" i="44"/>
  <c r="I34" i="44"/>
  <c r="H3" i="35"/>
  <c r="Q52" i="38"/>
  <c r="Q56" i="38"/>
  <c r="I6" i="40"/>
  <c r="I9" i="40"/>
  <c r="Q14" i="40"/>
  <c r="I22" i="40"/>
  <c r="I25" i="40"/>
  <c r="Q38" i="40"/>
  <c r="Q48" i="40"/>
  <c r="Q52" i="40"/>
  <c r="Q39" i="42"/>
  <c r="I46" i="42"/>
  <c r="K38" i="43"/>
  <c r="I38" i="43"/>
  <c r="K42" i="43"/>
  <c r="I42" i="43"/>
  <c r="K48" i="43"/>
  <c r="I48" i="43"/>
  <c r="V3" i="44"/>
  <c r="K13" i="44"/>
  <c r="I13" i="44"/>
  <c r="K36" i="44"/>
  <c r="I36" i="44"/>
  <c r="Q38" i="44"/>
  <c r="Q50" i="44"/>
  <c r="K23" i="45"/>
  <c r="I23" i="45"/>
  <c r="K42" i="45"/>
  <c r="I42" i="45"/>
  <c r="K51" i="45"/>
  <c r="I51" i="45"/>
  <c r="V3" i="46"/>
  <c r="K45" i="46"/>
  <c r="I45" i="46"/>
  <c r="I50" i="46"/>
  <c r="K50" i="46"/>
  <c r="I10" i="47"/>
  <c r="K10" i="47"/>
  <c r="I24" i="47"/>
  <c r="K24" i="47"/>
  <c r="I4" i="50"/>
  <c r="J3" i="50"/>
  <c r="K4" i="50"/>
  <c r="K43" i="43"/>
  <c r="I43" i="43"/>
  <c r="K53" i="43"/>
  <c r="I53" i="43"/>
  <c r="W3" i="44"/>
  <c r="K19" i="44"/>
  <c r="I19" i="44"/>
  <c r="K43" i="44"/>
  <c r="I43" i="44"/>
  <c r="K25" i="45"/>
  <c r="I25" i="45"/>
  <c r="K38" i="45"/>
  <c r="I38" i="45"/>
  <c r="K43" i="45"/>
  <c r="I43" i="45"/>
  <c r="K53" i="45"/>
  <c r="I53" i="45"/>
  <c r="I56" i="45"/>
  <c r="K56" i="45"/>
  <c r="I17" i="46"/>
  <c r="K17" i="46"/>
  <c r="I12" i="47"/>
  <c r="K12" i="47"/>
  <c r="I28" i="48"/>
  <c r="K28" i="48"/>
  <c r="J3" i="48"/>
  <c r="I8" i="50"/>
  <c r="K8" i="50"/>
  <c r="I55" i="34"/>
  <c r="Q50" i="38"/>
  <c r="I13" i="40"/>
  <c r="Q18" i="40"/>
  <c r="Q29" i="40"/>
  <c r="Q51" i="40"/>
  <c r="Q55" i="40"/>
  <c r="I55" i="41"/>
  <c r="I11" i="42"/>
  <c r="W3" i="43"/>
  <c r="K50" i="43"/>
  <c r="I50" i="43"/>
  <c r="I56" i="43"/>
  <c r="K8" i="44"/>
  <c r="K9" i="44"/>
  <c r="I9" i="44"/>
  <c r="K24" i="44"/>
  <c r="K25" i="44"/>
  <c r="I25" i="44"/>
  <c r="K47" i="44"/>
  <c r="Q52" i="44"/>
  <c r="K24" i="45"/>
  <c r="I31" i="45"/>
  <c r="K32" i="45"/>
  <c r="I32" i="45"/>
  <c r="K48" i="45"/>
  <c r="I48" i="45"/>
  <c r="I30" i="46"/>
  <c r="K30" i="46"/>
  <c r="I34" i="49"/>
  <c r="K34" i="49"/>
  <c r="I12" i="50"/>
  <c r="K12" i="50"/>
  <c r="V3" i="37"/>
  <c r="Q12" i="40"/>
  <c r="Q31" i="42"/>
  <c r="Q41" i="42"/>
  <c r="V3" i="43"/>
  <c r="I4" i="44"/>
  <c r="J3" i="44"/>
  <c r="K15" i="44"/>
  <c r="I15" i="44"/>
  <c r="K33" i="44"/>
  <c r="I33" i="44"/>
  <c r="Q49" i="44"/>
  <c r="K17" i="45"/>
  <c r="I17" i="45"/>
  <c r="K27" i="45"/>
  <c r="I27" i="45"/>
  <c r="K33" i="45"/>
  <c r="I33" i="45"/>
  <c r="K45" i="45"/>
  <c r="I45" i="45"/>
  <c r="I19" i="46"/>
  <c r="K19" i="46"/>
  <c r="I47" i="47"/>
  <c r="K47" i="47"/>
  <c r="Q56" i="37"/>
  <c r="Q55" i="38"/>
  <c r="I11" i="40"/>
  <c r="Q16" i="40"/>
  <c r="Q30" i="40"/>
  <c r="Q37" i="40"/>
  <c r="Q47" i="40"/>
  <c r="Q56" i="42"/>
  <c r="Q35" i="43"/>
  <c r="K49" i="43"/>
  <c r="I49" i="43"/>
  <c r="K11" i="44"/>
  <c r="I11" i="44"/>
  <c r="I26" i="44"/>
  <c r="Q51" i="44"/>
  <c r="K19" i="45"/>
  <c r="I19" i="45"/>
  <c r="K35" i="45"/>
  <c r="I35" i="45"/>
  <c r="K54" i="45"/>
  <c r="I54" i="45"/>
  <c r="K35" i="46"/>
  <c r="I35" i="46"/>
  <c r="I18" i="47"/>
  <c r="K18" i="47"/>
  <c r="Q54" i="38"/>
  <c r="Q10" i="40"/>
  <c r="Q49" i="40"/>
  <c r="Q53" i="40"/>
  <c r="J3" i="41"/>
  <c r="Q32" i="42"/>
  <c r="K45" i="42"/>
  <c r="I45" i="42"/>
  <c r="Q26" i="43"/>
  <c r="K54" i="43"/>
  <c r="I54" i="43"/>
  <c r="K17" i="44"/>
  <c r="I17" i="44"/>
  <c r="K46" i="44"/>
  <c r="I46" i="44"/>
  <c r="Q48" i="44"/>
  <c r="K36" i="45"/>
  <c r="I36" i="45"/>
  <c r="K49" i="45"/>
  <c r="I49" i="45"/>
  <c r="K55" i="45"/>
  <c r="I55" i="45"/>
  <c r="I26" i="46"/>
  <c r="K26" i="46"/>
  <c r="K27" i="46"/>
  <c r="I27" i="46"/>
  <c r="I20" i="47"/>
  <c r="K20" i="47"/>
  <c r="I43" i="50"/>
  <c r="K43" i="50"/>
  <c r="K56" i="47"/>
  <c r="I56" i="47"/>
  <c r="K29" i="48"/>
  <c r="I29" i="48"/>
  <c r="K35" i="48"/>
  <c r="I35" i="48"/>
  <c r="K52" i="48"/>
  <c r="I52" i="48"/>
  <c r="K38" i="49"/>
  <c r="I38" i="49"/>
  <c r="I10" i="50"/>
  <c r="K10" i="50"/>
  <c r="K13" i="50"/>
  <c r="I13" i="50"/>
  <c r="K39" i="50"/>
  <c r="I39" i="50"/>
  <c r="K50" i="50"/>
  <c r="I50" i="50"/>
  <c r="I35" i="51"/>
  <c r="K35" i="51"/>
  <c r="I8" i="52"/>
  <c r="K8" i="52"/>
  <c r="K22" i="53"/>
  <c r="I22" i="53"/>
  <c r="I39" i="56"/>
  <c r="K39" i="56"/>
  <c r="K16" i="58"/>
  <c r="I16" i="58"/>
  <c r="K17" i="58"/>
  <c r="I17" i="58"/>
  <c r="K42" i="58"/>
  <c r="I42" i="58"/>
  <c r="I6" i="64"/>
  <c r="K6" i="64"/>
  <c r="K16" i="70"/>
  <c r="I16" i="70"/>
  <c r="K17" i="70"/>
  <c r="I17" i="70"/>
  <c r="K38" i="74"/>
  <c r="I38" i="74"/>
  <c r="I47" i="74"/>
  <c r="K47" i="74"/>
  <c r="K52" i="74"/>
  <c r="I52" i="74"/>
  <c r="K48" i="75"/>
  <c r="I48" i="75"/>
  <c r="Q31" i="46"/>
  <c r="Q39" i="46"/>
  <c r="K49" i="46"/>
  <c r="I56" i="46"/>
  <c r="K31" i="47"/>
  <c r="I31" i="47"/>
  <c r="K50" i="47"/>
  <c r="I50" i="47"/>
  <c r="K30" i="48"/>
  <c r="I30" i="48"/>
  <c r="K47" i="48"/>
  <c r="I47" i="48"/>
  <c r="K27" i="49"/>
  <c r="J3" i="49"/>
  <c r="I27" i="49"/>
  <c r="K33" i="49"/>
  <c r="I33" i="49"/>
  <c r="K41" i="49"/>
  <c r="I41" i="49"/>
  <c r="K45" i="49"/>
  <c r="I45" i="49"/>
  <c r="K48" i="49"/>
  <c r="I48" i="49"/>
  <c r="K50" i="49"/>
  <c r="I50" i="49"/>
  <c r="K52" i="49"/>
  <c r="I52" i="49"/>
  <c r="K54" i="49"/>
  <c r="I54" i="49"/>
  <c r="I25" i="50"/>
  <c r="K25" i="50"/>
  <c r="I41" i="50"/>
  <c r="K41" i="50"/>
  <c r="K48" i="50"/>
  <c r="I48" i="50"/>
  <c r="K42" i="52"/>
  <c r="I42" i="52"/>
  <c r="K27" i="55"/>
  <c r="I27" i="55"/>
  <c r="I33" i="55"/>
  <c r="K33" i="55"/>
  <c r="K47" i="55"/>
  <c r="I47" i="55"/>
  <c r="K43" i="46"/>
  <c r="I43" i="46"/>
  <c r="K23" i="47"/>
  <c r="I23" i="47"/>
  <c r="K38" i="47"/>
  <c r="I38" i="47"/>
  <c r="K42" i="47"/>
  <c r="I42" i="47"/>
  <c r="K53" i="47"/>
  <c r="I53" i="47"/>
  <c r="K37" i="48"/>
  <c r="I37" i="48"/>
  <c r="I46" i="48"/>
  <c r="K46" i="48"/>
  <c r="K50" i="48"/>
  <c r="I50" i="48"/>
  <c r="K28" i="49"/>
  <c r="I28" i="49"/>
  <c r="I44" i="49"/>
  <c r="K44" i="49"/>
  <c r="K46" i="49"/>
  <c r="I46" i="49"/>
  <c r="K55" i="49"/>
  <c r="I55" i="49"/>
  <c r="I14" i="50"/>
  <c r="K14" i="50"/>
  <c r="I15" i="50"/>
  <c r="K15" i="50"/>
  <c r="I21" i="50"/>
  <c r="K21" i="50"/>
  <c r="I23" i="50"/>
  <c r="K23" i="50"/>
  <c r="K4" i="51"/>
  <c r="I4" i="51"/>
  <c r="J3" i="51"/>
  <c r="K5" i="51"/>
  <c r="I5" i="51"/>
  <c r="K29" i="51"/>
  <c r="I29" i="51"/>
  <c r="K47" i="51"/>
  <c r="I47" i="51"/>
  <c r="I32" i="52"/>
  <c r="K32" i="52"/>
  <c r="K6" i="53"/>
  <c r="I6" i="53"/>
  <c r="K42" i="53"/>
  <c r="I42" i="53"/>
  <c r="K33" i="54"/>
  <c r="I33" i="54"/>
  <c r="K39" i="54"/>
  <c r="I39" i="54"/>
  <c r="K44" i="54"/>
  <c r="I44" i="54"/>
  <c r="K33" i="46"/>
  <c r="I33" i="46"/>
  <c r="I6" i="47"/>
  <c r="K6" i="47"/>
  <c r="I14" i="47"/>
  <c r="K14" i="47"/>
  <c r="I22" i="47"/>
  <c r="K22" i="47"/>
  <c r="K25" i="47"/>
  <c r="I25" i="47"/>
  <c r="I37" i="47"/>
  <c r="K37" i="47"/>
  <c r="K39" i="47"/>
  <c r="I39" i="47"/>
  <c r="K43" i="47"/>
  <c r="I43" i="47"/>
  <c r="K48" i="47"/>
  <c r="I48" i="47"/>
  <c r="I36" i="48"/>
  <c r="K36" i="48"/>
  <c r="K38" i="48"/>
  <c r="I38" i="48"/>
  <c r="K53" i="48"/>
  <c r="I53" i="48"/>
  <c r="K35" i="49"/>
  <c r="I35" i="49"/>
  <c r="W3" i="50"/>
  <c r="I19" i="50"/>
  <c r="K19" i="50"/>
  <c r="K30" i="50"/>
  <c r="I30" i="50"/>
  <c r="K52" i="50"/>
  <c r="I52" i="50"/>
  <c r="K54" i="50"/>
  <c r="I54" i="50"/>
  <c r="K9" i="51"/>
  <c r="I9" i="51"/>
  <c r="K42" i="51"/>
  <c r="I42" i="51"/>
  <c r="K31" i="52"/>
  <c r="I31" i="52"/>
  <c r="K29" i="53"/>
  <c r="I29" i="53"/>
  <c r="K48" i="46"/>
  <c r="K7" i="47"/>
  <c r="K15" i="47"/>
  <c r="K27" i="47"/>
  <c r="I27" i="47"/>
  <c r="K45" i="47"/>
  <c r="I45" i="47"/>
  <c r="K51" i="47"/>
  <c r="I51" i="47"/>
  <c r="K48" i="48"/>
  <c r="I48" i="48"/>
  <c r="K36" i="49"/>
  <c r="I36" i="49"/>
  <c r="K5" i="50"/>
  <c r="I5" i="50"/>
  <c r="I17" i="50"/>
  <c r="K17" i="50"/>
  <c r="K18" i="50"/>
  <c r="I18" i="50"/>
  <c r="I22" i="50"/>
  <c r="K31" i="50"/>
  <c r="I31" i="50"/>
  <c r="I42" i="50"/>
  <c r="K42" i="50"/>
  <c r="K55" i="50"/>
  <c r="I55" i="50"/>
  <c r="K13" i="51"/>
  <c r="I13" i="51"/>
  <c r="K15" i="51"/>
  <c r="I15" i="51"/>
  <c r="K22" i="52"/>
  <c r="I22" i="52"/>
  <c r="I24" i="52"/>
  <c r="K24" i="52"/>
  <c r="I44" i="46"/>
  <c r="K44" i="46"/>
  <c r="I8" i="47"/>
  <c r="K8" i="47"/>
  <c r="I16" i="47"/>
  <c r="K16" i="47"/>
  <c r="K33" i="47"/>
  <c r="I33" i="47"/>
  <c r="K54" i="47"/>
  <c r="I54" i="47"/>
  <c r="K55" i="47"/>
  <c r="I55" i="47"/>
  <c r="K32" i="48"/>
  <c r="I32" i="48"/>
  <c r="K44" i="48"/>
  <c r="I44" i="48"/>
  <c r="K51" i="48"/>
  <c r="I51" i="48"/>
  <c r="K42" i="49"/>
  <c r="I42" i="49"/>
  <c r="K49" i="49"/>
  <c r="I49" i="49"/>
  <c r="K51" i="49"/>
  <c r="I51" i="49"/>
  <c r="K53" i="49"/>
  <c r="I53" i="49"/>
  <c r="I56" i="49"/>
  <c r="K7" i="50"/>
  <c r="I7" i="50"/>
  <c r="I46" i="50"/>
  <c r="K49" i="50"/>
  <c r="I49" i="50"/>
  <c r="K19" i="51"/>
  <c r="I19" i="51"/>
  <c r="K20" i="51"/>
  <c r="I20" i="51"/>
  <c r="K21" i="51"/>
  <c r="I21" i="51"/>
  <c r="K51" i="51"/>
  <c r="I51" i="51"/>
  <c r="K18" i="52"/>
  <c r="I18" i="52"/>
  <c r="I20" i="52"/>
  <c r="K20" i="52"/>
  <c r="K28" i="46"/>
  <c r="I28" i="46"/>
  <c r="I34" i="46"/>
  <c r="K34" i="46"/>
  <c r="K46" i="46"/>
  <c r="I46" i="46"/>
  <c r="K28" i="47"/>
  <c r="I28" i="47"/>
  <c r="V3" i="47"/>
  <c r="K35" i="47"/>
  <c r="I35" i="47"/>
  <c r="K46" i="47"/>
  <c r="I46" i="47"/>
  <c r="K49" i="47"/>
  <c r="I49" i="47"/>
  <c r="V3" i="48"/>
  <c r="K34" i="48"/>
  <c r="I34" i="48"/>
  <c r="K54" i="48"/>
  <c r="I54" i="48"/>
  <c r="K30" i="49"/>
  <c r="I30" i="49"/>
  <c r="I6" i="50"/>
  <c r="K6" i="50"/>
  <c r="K9" i="50"/>
  <c r="I9" i="50"/>
  <c r="I32" i="50"/>
  <c r="K32" i="50"/>
  <c r="K17" i="51"/>
  <c r="I17" i="51"/>
  <c r="K25" i="51"/>
  <c r="I25" i="51"/>
  <c r="K14" i="52"/>
  <c r="I14" i="52"/>
  <c r="I16" i="52"/>
  <c r="K16" i="52"/>
  <c r="H3" i="46"/>
  <c r="Q30" i="46"/>
  <c r="I31" i="46"/>
  <c r="K36" i="46"/>
  <c r="I36" i="46"/>
  <c r="Q38" i="46"/>
  <c r="I39" i="46"/>
  <c r="K55" i="46"/>
  <c r="K52" i="47"/>
  <c r="I52" i="47"/>
  <c r="K41" i="48"/>
  <c r="I41" i="48"/>
  <c r="I43" i="48"/>
  <c r="K45" i="48"/>
  <c r="I45" i="48"/>
  <c r="K49" i="48"/>
  <c r="I49" i="48"/>
  <c r="K55" i="48"/>
  <c r="I55" i="48"/>
  <c r="V3" i="49"/>
  <c r="K32" i="49"/>
  <c r="I32" i="49"/>
  <c r="K43" i="49"/>
  <c r="I43" i="49"/>
  <c r="K11" i="50"/>
  <c r="I11" i="50"/>
  <c r="V3" i="50"/>
  <c r="K53" i="50"/>
  <c r="I53" i="50"/>
  <c r="I27" i="51"/>
  <c r="K27" i="51"/>
  <c r="K33" i="51"/>
  <c r="I33" i="51"/>
  <c r="I45" i="51"/>
  <c r="K45" i="51"/>
  <c r="K10" i="52"/>
  <c r="I10" i="52"/>
  <c r="I12" i="52"/>
  <c r="K12" i="52"/>
  <c r="K6" i="51"/>
  <c r="I6" i="51"/>
  <c r="K22" i="51"/>
  <c r="I22" i="51"/>
  <c r="K34" i="51"/>
  <c r="I34" i="51"/>
  <c r="K39" i="51"/>
  <c r="I39" i="51"/>
  <c r="K56" i="51"/>
  <c r="I56" i="51"/>
  <c r="K9" i="52"/>
  <c r="I9" i="52"/>
  <c r="K13" i="52"/>
  <c r="I13" i="52"/>
  <c r="K17" i="52"/>
  <c r="I17" i="52"/>
  <c r="K21" i="52"/>
  <c r="I21" i="52"/>
  <c r="K25" i="52"/>
  <c r="I25" i="52"/>
  <c r="K33" i="52"/>
  <c r="I33" i="52"/>
  <c r="K48" i="52"/>
  <c r="I48" i="52"/>
  <c r="I5" i="55"/>
  <c r="K5" i="55"/>
  <c r="K28" i="55"/>
  <c r="I28" i="55"/>
  <c r="K35" i="55"/>
  <c r="I35" i="55"/>
  <c r="I42" i="55"/>
  <c r="K42" i="55"/>
  <c r="I41" i="56"/>
  <c r="K41" i="56"/>
  <c r="K48" i="56"/>
  <c r="I48" i="56"/>
  <c r="K50" i="56"/>
  <c r="I50" i="56"/>
  <c r="K52" i="56"/>
  <c r="I52" i="56"/>
  <c r="K54" i="56"/>
  <c r="I54" i="56"/>
  <c r="K14" i="58"/>
  <c r="I14" i="58"/>
  <c r="I24" i="61"/>
  <c r="K24" i="61"/>
  <c r="I48" i="61"/>
  <c r="K48" i="61"/>
  <c r="Q33" i="50"/>
  <c r="K34" i="50"/>
  <c r="I37" i="50"/>
  <c r="K8" i="51"/>
  <c r="I8" i="51"/>
  <c r="Q18" i="51"/>
  <c r="K24" i="51"/>
  <c r="I24" i="51"/>
  <c r="K7" i="52"/>
  <c r="I7" i="52"/>
  <c r="K11" i="52"/>
  <c r="I11" i="52"/>
  <c r="K15" i="52"/>
  <c r="I15" i="52"/>
  <c r="K19" i="52"/>
  <c r="I19" i="52"/>
  <c r="K23" i="52"/>
  <c r="I23" i="52"/>
  <c r="K54" i="52"/>
  <c r="I54" i="52"/>
  <c r="J3" i="53"/>
  <c r="W3" i="54"/>
  <c r="K28" i="54"/>
  <c r="I28" i="54"/>
  <c r="K34" i="54"/>
  <c r="I34" i="54"/>
  <c r="I7" i="55"/>
  <c r="K7" i="55"/>
  <c r="K56" i="55"/>
  <c r="I56" i="55"/>
  <c r="I7" i="56"/>
  <c r="K7" i="56"/>
  <c r="I15" i="56"/>
  <c r="K15" i="56"/>
  <c r="I23" i="56"/>
  <c r="K23" i="56"/>
  <c r="K14" i="60"/>
  <c r="I14" i="60"/>
  <c r="K15" i="60"/>
  <c r="I15" i="60"/>
  <c r="K6" i="62"/>
  <c r="J3" i="62"/>
  <c r="I6" i="62"/>
  <c r="I7" i="62"/>
  <c r="K7" i="62"/>
  <c r="K8" i="62"/>
  <c r="I8" i="62"/>
  <c r="I29" i="50"/>
  <c r="K7" i="51"/>
  <c r="I7" i="51"/>
  <c r="K10" i="51"/>
  <c r="I10" i="51"/>
  <c r="K23" i="51"/>
  <c r="I23" i="51"/>
  <c r="K43" i="51"/>
  <c r="I43" i="51"/>
  <c r="K44" i="51"/>
  <c r="I44" i="51"/>
  <c r="I48" i="51"/>
  <c r="I52" i="51"/>
  <c r="K39" i="52"/>
  <c r="I39" i="52"/>
  <c r="I45" i="52"/>
  <c r="K45" i="52"/>
  <c r="K37" i="53"/>
  <c r="I37" i="53"/>
  <c r="K6" i="54"/>
  <c r="J3" i="54"/>
  <c r="I6" i="54"/>
  <c r="K7" i="54"/>
  <c r="I7" i="54"/>
  <c r="I27" i="54"/>
  <c r="K27" i="54"/>
  <c r="K29" i="54"/>
  <c r="I29" i="54"/>
  <c r="I21" i="55"/>
  <c r="K21" i="55"/>
  <c r="K29" i="55"/>
  <c r="I29" i="55"/>
  <c r="K28" i="57"/>
  <c r="I28" i="57"/>
  <c r="K29" i="57"/>
  <c r="I29" i="57"/>
  <c r="K34" i="57"/>
  <c r="I34" i="57"/>
  <c r="I35" i="57"/>
  <c r="K35" i="57"/>
  <c r="K46" i="57"/>
  <c r="I46" i="57"/>
  <c r="I47" i="57"/>
  <c r="K47" i="57"/>
  <c r="I44" i="60"/>
  <c r="K44" i="60"/>
  <c r="I20" i="50"/>
  <c r="I24" i="50"/>
  <c r="Q26" i="50"/>
  <c r="Q34" i="50"/>
  <c r="I38" i="50"/>
  <c r="K56" i="50"/>
  <c r="I56" i="50"/>
  <c r="Q6" i="51"/>
  <c r="K12" i="51"/>
  <c r="I12" i="51"/>
  <c r="Q22" i="51"/>
  <c r="K26" i="51"/>
  <c r="I26" i="51"/>
  <c r="K31" i="51"/>
  <c r="I31" i="51"/>
  <c r="I41" i="51"/>
  <c r="I41" i="52"/>
  <c r="K41" i="52"/>
  <c r="K44" i="52"/>
  <c r="I44" i="52"/>
  <c r="I51" i="52"/>
  <c r="I32" i="53"/>
  <c r="K32" i="53"/>
  <c r="I41" i="53"/>
  <c r="K41" i="53"/>
  <c r="I23" i="55"/>
  <c r="K23" i="55"/>
  <c r="K37" i="55"/>
  <c r="I37" i="55"/>
  <c r="I38" i="55"/>
  <c r="K38" i="55"/>
  <c r="K42" i="56"/>
  <c r="I42" i="56"/>
  <c r="I27" i="63"/>
  <c r="K27" i="63"/>
  <c r="K51" i="50"/>
  <c r="I51" i="50"/>
  <c r="V3" i="51"/>
  <c r="K11" i="51"/>
  <c r="I11" i="51"/>
  <c r="K14" i="51"/>
  <c r="I14" i="51"/>
  <c r="K37" i="51"/>
  <c r="I37" i="51"/>
  <c r="K4" i="52"/>
  <c r="I4" i="52"/>
  <c r="J3" i="52"/>
  <c r="W3" i="52"/>
  <c r="K49" i="52"/>
  <c r="I49" i="52"/>
  <c r="K7" i="53"/>
  <c r="I7" i="53"/>
  <c r="K10" i="53"/>
  <c r="I10" i="53"/>
  <c r="K11" i="53"/>
  <c r="I11" i="53"/>
  <c r="K16" i="53"/>
  <c r="I16" i="53"/>
  <c r="K23" i="53"/>
  <c r="I23" i="53"/>
  <c r="K18" i="54"/>
  <c r="I18" i="54"/>
  <c r="K19" i="54"/>
  <c r="I19" i="54"/>
  <c r="K56" i="54"/>
  <c r="I56" i="54"/>
  <c r="K5" i="56"/>
  <c r="K10" i="57"/>
  <c r="I10" i="57"/>
  <c r="K55" i="57"/>
  <c r="I55" i="57"/>
  <c r="I45" i="58"/>
  <c r="K45" i="58"/>
  <c r="K46" i="58"/>
  <c r="I46" i="58"/>
  <c r="K16" i="51"/>
  <c r="I16" i="51"/>
  <c r="I47" i="52"/>
  <c r="K47" i="52"/>
  <c r="K47" i="53"/>
  <c r="I47" i="53"/>
  <c r="K53" i="53"/>
  <c r="I53" i="53"/>
  <c r="K22" i="54"/>
  <c r="I22" i="54"/>
  <c r="K23" i="54"/>
  <c r="I23" i="54"/>
  <c r="K43" i="54"/>
  <c r="I43" i="54"/>
  <c r="I13" i="55"/>
  <c r="K13" i="55"/>
  <c r="K46" i="55"/>
  <c r="I46" i="55"/>
  <c r="K28" i="56"/>
  <c r="I28" i="56"/>
  <c r="K37" i="56"/>
  <c r="I37" i="56"/>
  <c r="Q27" i="50"/>
  <c r="Q35" i="50"/>
  <c r="Q12" i="51"/>
  <c r="K18" i="51"/>
  <c r="I18" i="51"/>
  <c r="I32" i="51"/>
  <c r="I4" i="53"/>
  <c r="K18" i="53"/>
  <c r="I18" i="53"/>
  <c r="I20" i="53"/>
  <c r="I15" i="55"/>
  <c r="K15" i="55"/>
  <c r="K32" i="55"/>
  <c r="I32" i="55"/>
  <c r="K29" i="56"/>
  <c r="I29" i="56"/>
  <c r="K43" i="56"/>
  <c r="I43" i="56"/>
  <c r="K4" i="57"/>
  <c r="J3" i="57"/>
  <c r="I4" i="57"/>
  <c r="K27" i="62"/>
  <c r="I27" i="62"/>
  <c r="K48" i="62"/>
  <c r="I48" i="62"/>
  <c r="I50" i="52"/>
  <c r="K13" i="53"/>
  <c r="I13" i="53"/>
  <c r="K31" i="53"/>
  <c r="I31" i="53"/>
  <c r="K48" i="53"/>
  <c r="I48" i="53"/>
  <c r="K56" i="53"/>
  <c r="I56" i="53"/>
  <c r="K9" i="54"/>
  <c r="I9" i="54"/>
  <c r="K25" i="54"/>
  <c r="I25" i="54"/>
  <c r="K8" i="55"/>
  <c r="I8" i="55"/>
  <c r="K16" i="55"/>
  <c r="I16" i="55"/>
  <c r="K24" i="55"/>
  <c r="I24" i="55"/>
  <c r="K34" i="55"/>
  <c r="I34" i="55"/>
  <c r="K8" i="56"/>
  <c r="I8" i="56"/>
  <c r="K16" i="56"/>
  <c r="I16" i="56"/>
  <c r="K24" i="56"/>
  <c r="I24" i="56"/>
  <c r="K22" i="58"/>
  <c r="I22" i="58"/>
  <c r="K25" i="58"/>
  <c r="I25" i="58"/>
  <c r="K25" i="59"/>
  <c r="I25" i="59"/>
  <c r="K29" i="59"/>
  <c r="I29" i="59"/>
  <c r="I53" i="61"/>
  <c r="K53" i="61"/>
  <c r="K18" i="66"/>
  <c r="I18" i="66"/>
  <c r="I19" i="66"/>
  <c r="K19" i="66"/>
  <c r="I50" i="67"/>
  <c r="K50" i="67"/>
  <c r="I56" i="67"/>
  <c r="K56" i="67"/>
  <c r="K7" i="68"/>
  <c r="I7" i="68"/>
  <c r="K10" i="68"/>
  <c r="I10" i="68"/>
  <c r="I6" i="52"/>
  <c r="Q27" i="52"/>
  <c r="K35" i="52"/>
  <c r="Q53" i="52"/>
  <c r="I55" i="52"/>
  <c r="Q9" i="53"/>
  <c r="I12" i="53"/>
  <c r="K15" i="53"/>
  <c r="I15" i="53"/>
  <c r="Q25" i="53"/>
  <c r="I26" i="53"/>
  <c r="K35" i="53"/>
  <c r="K36" i="53"/>
  <c r="I36" i="53"/>
  <c r="Q43" i="53"/>
  <c r="I44" i="53"/>
  <c r="K51" i="53"/>
  <c r="I51" i="53"/>
  <c r="I8" i="54"/>
  <c r="K11" i="54"/>
  <c r="I11" i="54"/>
  <c r="I24" i="54"/>
  <c r="Q28" i="54"/>
  <c r="V3" i="55"/>
  <c r="K39" i="55"/>
  <c r="I39" i="55"/>
  <c r="K49" i="55"/>
  <c r="K53" i="55"/>
  <c r="Q30" i="57"/>
  <c r="I32" i="57"/>
  <c r="K32" i="57"/>
  <c r="K4" i="58"/>
  <c r="J3" i="58"/>
  <c r="I4" i="58"/>
  <c r="Q21" i="58"/>
  <c r="I24" i="58"/>
  <c r="K24" i="59"/>
  <c r="I24" i="59"/>
  <c r="K28" i="59"/>
  <c r="I22" i="64"/>
  <c r="K22" i="64"/>
  <c r="K43" i="52"/>
  <c r="I43" i="52"/>
  <c r="V3" i="53"/>
  <c r="K17" i="53"/>
  <c r="I17" i="53"/>
  <c r="K54" i="53"/>
  <c r="I54" i="53"/>
  <c r="K13" i="54"/>
  <c r="I13" i="54"/>
  <c r="K26" i="54"/>
  <c r="I26" i="54"/>
  <c r="K31" i="54"/>
  <c r="I31" i="54"/>
  <c r="K36" i="54"/>
  <c r="I36" i="54"/>
  <c r="K46" i="54"/>
  <c r="I46" i="54"/>
  <c r="K10" i="55"/>
  <c r="I10" i="55"/>
  <c r="K18" i="55"/>
  <c r="I18" i="55"/>
  <c r="K26" i="55"/>
  <c r="I26" i="55"/>
  <c r="K44" i="55"/>
  <c r="I44" i="55"/>
  <c r="K10" i="56"/>
  <c r="I10" i="56"/>
  <c r="K18" i="56"/>
  <c r="I18" i="56"/>
  <c r="K26" i="56"/>
  <c r="I26" i="56"/>
  <c r="K22" i="57"/>
  <c r="I22" i="57"/>
  <c r="K53" i="57"/>
  <c r="I53" i="57"/>
  <c r="K51" i="58"/>
  <c r="I51" i="58"/>
  <c r="K7" i="59"/>
  <c r="I7" i="59"/>
  <c r="K15" i="59"/>
  <c r="I15" i="59"/>
  <c r="K23" i="59"/>
  <c r="I23" i="59"/>
  <c r="I47" i="61"/>
  <c r="K47" i="61"/>
  <c r="I51" i="61"/>
  <c r="K51" i="61"/>
  <c r="Q35" i="52"/>
  <c r="Q55" i="52"/>
  <c r="W3" i="53"/>
  <c r="Q13" i="53"/>
  <c r="K19" i="53"/>
  <c r="I19" i="53"/>
  <c r="K27" i="53"/>
  <c r="K28" i="53"/>
  <c r="I28" i="53"/>
  <c r="K45" i="53"/>
  <c r="K46" i="53"/>
  <c r="I46" i="53"/>
  <c r="K49" i="53"/>
  <c r="I49" i="53"/>
  <c r="K55" i="53"/>
  <c r="I55" i="53"/>
  <c r="I12" i="54"/>
  <c r="K15" i="54"/>
  <c r="I15" i="54"/>
  <c r="K35" i="54"/>
  <c r="K45" i="54"/>
  <c r="K55" i="54"/>
  <c r="K30" i="55"/>
  <c r="K31" i="55"/>
  <c r="I31" i="55"/>
  <c r="K36" i="55"/>
  <c r="I36" i="55"/>
  <c r="K48" i="55"/>
  <c r="K52" i="55"/>
  <c r="I32" i="56"/>
  <c r="K32" i="56"/>
  <c r="K44" i="56"/>
  <c r="I44" i="56"/>
  <c r="K18" i="57"/>
  <c r="I18" i="57"/>
  <c r="K26" i="57"/>
  <c r="I26" i="57"/>
  <c r="K51" i="57"/>
  <c r="I51" i="57"/>
  <c r="K6" i="58"/>
  <c r="I6" i="58"/>
  <c r="K9" i="58"/>
  <c r="I9" i="58"/>
  <c r="K10" i="58"/>
  <c r="I10" i="58"/>
  <c r="K12" i="58"/>
  <c r="I12" i="58"/>
  <c r="I37" i="58"/>
  <c r="K54" i="58"/>
  <c r="I54" i="58"/>
  <c r="J3" i="59"/>
  <c r="K34" i="61"/>
  <c r="I34" i="61"/>
  <c r="K45" i="61"/>
  <c r="I45" i="61"/>
  <c r="I53" i="63"/>
  <c r="K53" i="63"/>
  <c r="Q52" i="52"/>
  <c r="K5" i="53"/>
  <c r="I5" i="53"/>
  <c r="Q15" i="53"/>
  <c r="K21" i="53"/>
  <c r="I21" i="53"/>
  <c r="K33" i="53"/>
  <c r="I33" i="53"/>
  <c r="K38" i="53"/>
  <c r="I38" i="53"/>
  <c r="K52" i="53"/>
  <c r="I52" i="53"/>
  <c r="V3" i="54"/>
  <c r="I14" i="54"/>
  <c r="K17" i="54"/>
  <c r="I17" i="54"/>
  <c r="K42" i="54"/>
  <c r="I42" i="54"/>
  <c r="K4" i="55"/>
  <c r="I4" i="55"/>
  <c r="J3" i="55"/>
  <c r="K11" i="55"/>
  <c r="K12" i="55"/>
  <c r="I12" i="55"/>
  <c r="K19" i="55"/>
  <c r="K20" i="55"/>
  <c r="I20" i="55"/>
  <c r="Q39" i="55"/>
  <c r="I41" i="55"/>
  <c r="K4" i="56"/>
  <c r="I4" i="56"/>
  <c r="J3" i="56"/>
  <c r="K12" i="56"/>
  <c r="I12" i="56"/>
  <c r="K20" i="56"/>
  <c r="I20" i="56"/>
  <c r="K33" i="56"/>
  <c r="I33" i="56"/>
  <c r="K34" i="56"/>
  <c r="I34" i="56"/>
  <c r="K56" i="56"/>
  <c r="I56" i="56"/>
  <c r="K14" i="57"/>
  <c r="I14" i="57"/>
  <c r="I24" i="57"/>
  <c r="K49" i="57"/>
  <c r="I49" i="57"/>
  <c r="Q5" i="58"/>
  <c r="I8" i="58"/>
  <c r="K33" i="58"/>
  <c r="I33" i="58"/>
  <c r="I41" i="58"/>
  <c r="K41" i="58"/>
  <c r="I26" i="60"/>
  <c r="K26" i="60"/>
  <c r="I12" i="61"/>
  <c r="K12" i="61"/>
  <c r="I22" i="61"/>
  <c r="K22" i="61"/>
  <c r="K23" i="61"/>
  <c r="I23" i="61"/>
  <c r="K31" i="61"/>
  <c r="I31" i="61"/>
  <c r="K30" i="62"/>
  <c r="I30" i="62"/>
  <c r="I32" i="62"/>
  <c r="K32" i="62"/>
  <c r="K50" i="62"/>
  <c r="I50" i="62"/>
  <c r="K7" i="63"/>
  <c r="I7" i="63"/>
  <c r="Q10" i="52"/>
  <c r="Q14" i="52"/>
  <c r="Q18" i="52"/>
  <c r="Q22" i="52"/>
  <c r="Q54" i="52"/>
  <c r="K9" i="53"/>
  <c r="I9" i="53"/>
  <c r="Q19" i="53"/>
  <c r="K25" i="53"/>
  <c r="I25" i="53"/>
  <c r="K30" i="53"/>
  <c r="I30" i="53"/>
  <c r="K39" i="53"/>
  <c r="I39" i="53"/>
  <c r="K43" i="53"/>
  <c r="I43" i="53"/>
  <c r="K50" i="53"/>
  <c r="I50" i="53"/>
  <c r="K5" i="54"/>
  <c r="I5" i="54"/>
  <c r="K21" i="54"/>
  <c r="I21" i="54"/>
  <c r="Q36" i="54"/>
  <c r="Q46" i="54"/>
  <c r="K6" i="55"/>
  <c r="I6" i="55"/>
  <c r="K14" i="55"/>
  <c r="I14" i="55"/>
  <c r="K22" i="55"/>
  <c r="I22" i="55"/>
  <c r="Q31" i="55"/>
  <c r="K6" i="56"/>
  <c r="I6" i="56"/>
  <c r="K14" i="56"/>
  <c r="I14" i="56"/>
  <c r="K22" i="56"/>
  <c r="I22" i="56"/>
  <c r="Q26" i="56"/>
  <c r="K36" i="56"/>
  <c r="I36" i="56"/>
  <c r="W3" i="57"/>
  <c r="K6" i="57"/>
  <c r="I6" i="57"/>
  <c r="I16" i="57"/>
  <c r="K37" i="57"/>
  <c r="I37" i="57"/>
  <c r="Q13" i="58"/>
  <c r="K20" i="58"/>
  <c r="I20" i="58"/>
  <c r="K29" i="58"/>
  <c r="I29" i="58"/>
  <c r="K47" i="58"/>
  <c r="I47" i="58"/>
  <c r="K37" i="59"/>
  <c r="I37" i="59"/>
  <c r="I39" i="59"/>
  <c r="K39" i="59"/>
  <c r="K16" i="62"/>
  <c r="I16" i="62"/>
  <c r="W3" i="63"/>
  <c r="K25" i="57"/>
  <c r="I25" i="57"/>
  <c r="K36" i="57"/>
  <c r="I36" i="57"/>
  <c r="K42" i="57"/>
  <c r="I42" i="57"/>
  <c r="K38" i="58"/>
  <c r="I38" i="58"/>
  <c r="K49" i="58"/>
  <c r="I49" i="58"/>
  <c r="K55" i="58"/>
  <c r="I55" i="58"/>
  <c r="K9" i="59"/>
  <c r="I9" i="59"/>
  <c r="K17" i="59"/>
  <c r="I17" i="59"/>
  <c r="K30" i="60"/>
  <c r="I30" i="60"/>
  <c r="I4" i="61"/>
  <c r="J3" i="61"/>
  <c r="K4" i="61"/>
  <c r="I14" i="61"/>
  <c r="K14" i="61"/>
  <c r="K15" i="61"/>
  <c r="I15" i="61"/>
  <c r="I37" i="61"/>
  <c r="K37" i="61"/>
  <c r="K42" i="61"/>
  <c r="I42" i="61"/>
  <c r="K39" i="62"/>
  <c r="I39" i="62"/>
  <c r="V3" i="63"/>
  <c r="K14" i="63"/>
  <c r="I14" i="63"/>
  <c r="I29" i="63"/>
  <c r="K29" i="63"/>
  <c r="K31" i="64"/>
  <c r="I31" i="64"/>
  <c r="K56" i="64"/>
  <c r="I56" i="64"/>
  <c r="K5" i="65"/>
  <c r="I5" i="65"/>
  <c r="K43" i="57"/>
  <c r="I43" i="57"/>
  <c r="V3" i="58"/>
  <c r="K11" i="58"/>
  <c r="I11" i="58"/>
  <c r="I18" i="58"/>
  <c r="K19" i="58"/>
  <c r="I19" i="58"/>
  <c r="K30" i="58"/>
  <c r="I30" i="58"/>
  <c r="K39" i="58"/>
  <c r="I39" i="58"/>
  <c r="K43" i="58"/>
  <c r="I43" i="58"/>
  <c r="K52" i="58"/>
  <c r="I52" i="58"/>
  <c r="V3" i="59"/>
  <c r="K31" i="60"/>
  <c r="I31" i="60"/>
  <c r="K41" i="60"/>
  <c r="I41" i="60"/>
  <c r="K56" i="60"/>
  <c r="I56" i="60"/>
  <c r="I16" i="61"/>
  <c r="K16" i="61"/>
  <c r="I41" i="62"/>
  <c r="K41" i="62"/>
  <c r="K5" i="63"/>
  <c r="I5" i="63"/>
  <c r="K13" i="63"/>
  <c r="I13" i="63"/>
  <c r="K46" i="63"/>
  <c r="I46" i="63"/>
  <c r="I49" i="63"/>
  <c r="K49" i="63"/>
  <c r="K4" i="65"/>
  <c r="I4" i="65"/>
  <c r="J3" i="65"/>
  <c r="K24" i="65"/>
  <c r="I24" i="65"/>
  <c r="K26" i="65"/>
  <c r="I26" i="65"/>
  <c r="I27" i="65"/>
  <c r="K27" i="65"/>
  <c r="I55" i="65"/>
  <c r="K55" i="65"/>
  <c r="I42" i="66"/>
  <c r="K42" i="66"/>
  <c r="I51" i="56"/>
  <c r="I55" i="56"/>
  <c r="I5" i="57"/>
  <c r="I9" i="57"/>
  <c r="I13" i="57"/>
  <c r="I17" i="57"/>
  <c r="I21" i="57"/>
  <c r="K33" i="57"/>
  <c r="I33" i="57"/>
  <c r="W3" i="58"/>
  <c r="K31" i="58"/>
  <c r="I31" i="58"/>
  <c r="W3" i="59"/>
  <c r="K11" i="59"/>
  <c r="I11" i="59"/>
  <c r="K19" i="59"/>
  <c r="I19" i="59"/>
  <c r="K52" i="60"/>
  <c r="I52" i="60"/>
  <c r="I6" i="61"/>
  <c r="K6" i="61"/>
  <c r="K7" i="61"/>
  <c r="I7" i="61"/>
  <c r="K27" i="61"/>
  <c r="I27" i="61"/>
  <c r="K39" i="61"/>
  <c r="I39" i="61"/>
  <c r="I52" i="61"/>
  <c r="K52" i="61"/>
  <c r="K38" i="62"/>
  <c r="I38" i="62"/>
  <c r="K12" i="63"/>
  <c r="I12" i="63"/>
  <c r="K45" i="63"/>
  <c r="I45" i="63"/>
  <c r="K46" i="64"/>
  <c r="I46" i="64"/>
  <c r="K48" i="64"/>
  <c r="I48" i="64"/>
  <c r="I38" i="56"/>
  <c r="K30" i="57"/>
  <c r="I30" i="57"/>
  <c r="K5" i="58"/>
  <c r="I5" i="58"/>
  <c r="K13" i="58"/>
  <c r="I13" i="58"/>
  <c r="K21" i="58"/>
  <c r="I21" i="58"/>
  <c r="K50" i="58"/>
  <c r="I50" i="58"/>
  <c r="I32" i="59"/>
  <c r="K32" i="59"/>
  <c r="K35" i="59"/>
  <c r="K36" i="59"/>
  <c r="I36" i="59"/>
  <c r="J3" i="60"/>
  <c r="K7" i="60"/>
  <c r="I7" i="60"/>
  <c r="I37" i="60"/>
  <c r="I8" i="61"/>
  <c r="K8" i="61"/>
  <c r="I18" i="61"/>
  <c r="K18" i="61"/>
  <c r="K19" i="61"/>
  <c r="I19" i="61"/>
  <c r="K26" i="61"/>
  <c r="I26" i="61"/>
  <c r="K28" i="61"/>
  <c r="I28" i="61"/>
  <c r="K38" i="61"/>
  <c r="I55" i="61"/>
  <c r="K55" i="61"/>
  <c r="K14" i="62"/>
  <c r="I14" i="62"/>
  <c r="I22" i="62"/>
  <c r="I23" i="62"/>
  <c r="K23" i="62"/>
  <c r="K24" i="62"/>
  <c r="I24" i="62"/>
  <c r="Q33" i="62"/>
  <c r="K46" i="62"/>
  <c r="I46" i="62"/>
  <c r="K11" i="63"/>
  <c r="I11" i="63"/>
  <c r="K34" i="63"/>
  <c r="I34" i="63"/>
  <c r="K35" i="63"/>
  <c r="I35" i="63"/>
  <c r="K39" i="64"/>
  <c r="I39" i="64"/>
  <c r="I41" i="64"/>
  <c r="K41" i="64"/>
  <c r="I30" i="56"/>
  <c r="K41" i="57"/>
  <c r="I44" i="57"/>
  <c r="Q11" i="58"/>
  <c r="Q19" i="58"/>
  <c r="K35" i="58"/>
  <c r="K36" i="58"/>
  <c r="I36" i="58"/>
  <c r="Q43" i="58"/>
  <c r="K53" i="58"/>
  <c r="I53" i="58"/>
  <c r="K5" i="59"/>
  <c r="I5" i="59"/>
  <c r="K13" i="59"/>
  <c r="I13" i="59"/>
  <c r="K21" i="59"/>
  <c r="I21" i="59"/>
  <c r="I6" i="60"/>
  <c r="I22" i="60"/>
  <c r="I20" i="61"/>
  <c r="K20" i="61"/>
  <c r="I29" i="61"/>
  <c r="K29" i="61"/>
  <c r="K47" i="62"/>
  <c r="I47" i="62"/>
  <c r="K54" i="62"/>
  <c r="I54" i="62"/>
  <c r="K55" i="62"/>
  <c r="I55" i="62"/>
  <c r="I14" i="64"/>
  <c r="K14" i="64"/>
  <c r="K38" i="57"/>
  <c r="I38" i="57"/>
  <c r="K45" i="57"/>
  <c r="I45" i="57"/>
  <c r="Q48" i="57"/>
  <c r="K48" i="57"/>
  <c r="I48" i="57"/>
  <c r="Q50" i="57"/>
  <c r="K50" i="57"/>
  <c r="I50" i="57"/>
  <c r="Q52" i="57"/>
  <c r="K52" i="57"/>
  <c r="I52" i="57"/>
  <c r="Q54" i="57"/>
  <c r="K54" i="57"/>
  <c r="I54" i="57"/>
  <c r="K7" i="58"/>
  <c r="I7" i="58"/>
  <c r="K15" i="58"/>
  <c r="I15" i="58"/>
  <c r="K23" i="58"/>
  <c r="I23" i="58"/>
  <c r="K28" i="58"/>
  <c r="I28" i="58"/>
  <c r="K48" i="58"/>
  <c r="I48" i="58"/>
  <c r="K56" i="58"/>
  <c r="I56" i="58"/>
  <c r="I34" i="60"/>
  <c r="K34" i="60"/>
  <c r="K49" i="60"/>
  <c r="I49" i="60"/>
  <c r="V3" i="61"/>
  <c r="I10" i="61"/>
  <c r="K10" i="61"/>
  <c r="K11" i="61"/>
  <c r="I11" i="61"/>
  <c r="K35" i="61"/>
  <c r="I35" i="61"/>
  <c r="K46" i="61"/>
  <c r="I46" i="61"/>
  <c r="I42" i="62"/>
  <c r="K42" i="62"/>
  <c r="K52" i="62"/>
  <c r="I52" i="62"/>
  <c r="K9" i="63"/>
  <c r="I9" i="63"/>
  <c r="I33" i="59"/>
  <c r="K23" i="60"/>
  <c r="I23" i="60"/>
  <c r="Q36" i="60"/>
  <c r="K54" i="60"/>
  <c r="I54" i="60"/>
  <c r="Q30" i="61"/>
  <c r="K36" i="61"/>
  <c r="I36" i="61"/>
  <c r="Q53" i="61"/>
  <c r="Q11" i="62"/>
  <c r="I18" i="62"/>
  <c r="K28" i="62"/>
  <c r="I28" i="62"/>
  <c r="I31" i="63"/>
  <c r="W3" i="64"/>
  <c r="K8" i="64"/>
  <c r="I8" i="64"/>
  <c r="K23" i="65"/>
  <c r="I23" i="65"/>
  <c r="I45" i="65"/>
  <c r="K45" i="65"/>
  <c r="K37" i="66"/>
  <c r="I37" i="66"/>
  <c r="K15" i="67"/>
  <c r="I15" i="67"/>
  <c r="K48" i="59"/>
  <c r="I48" i="59"/>
  <c r="K50" i="59"/>
  <c r="I50" i="59"/>
  <c r="K52" i="59"/>
  <c r="I52" i="59"/>
  <c r="K54" i="59"/>
  <c r="I54" i="59"/>
  <c r="K9" i="60"/>
  <c r="I9" i="60"/>
  <c r="K17" i="60"/>
  <c r="I17" i="60"/>
  <c r="K38" i="60"/>
  <c r="I38" i="60"/>
  <c r="K42" i="60"/>
  <c r="I42" i="60"/>
  <c r="K51" i="60"/>
  <c r="I51" i="60"/>
  <c r="K43" i="61"/>
  <c r="I43" i="61"/>
  <c r="V3" i="62"/>
  <c r="K36" i="62"/>
  <c r="I36" i="62"/>
  <c r="K49" i="62"/>
  <c r="I49" i="62"/>
  <c r="K51" i="62"/>
  <c r="I51" i="62"/>
  <c r="K53" i="62"/>
  <c r="I53" i="62"/>
  <c r="K23" i="63"/>
  <c r="I23" i="63"/>
  <c r="K36" i="63"/>
  <c r="I36" i="63"/>
  <c r="K10" i="64"/>
  <c r="I10" i="64"/>
  <c r="K16" i="64"/>
  <c r="I16" i="64"/>
  <c r="K22" i="65"/>
  <c r="I22" i="65"/>
  <c r="K35" i="66"/>
  <c r="I35" i="66"/>
  <c r="K13" i="67"/>
  <c r="I13" i="67"/>
  <c r="K55" i="59"/>
  <c r="I55" i="59"/>
  <c r="V3" i="60"/>
  <c r="K27" i="60"/>
  <c r="K45" i="60"/>
  <c r="K48" i="60"/>
  <c r="I48" i="60"/>
  <c r="K55" i="60"/>
  <c r="I55" i="60"/>
  <c r="K5" i="61"/>
  <c r="I5" i="61"/>
  <c r="K9" i="61"/>
  <c r="I9" i="61"/>
  <c r="K13" i="61"/>
  <c r="I13" i="61"/>
  <c r="K17" i="61"/>
  <c r="I17" i="61"/>
  <c r="K21" i="61"/>
  <c r="I21" i="61"/>
  <c r="K25" i="61"/>
  <c r="I25" i="61"/>
  <c r="K49" i="61"/>
  <c r="I56" i="61"/>
  <c r="W3" i="62"/>
  <c r="K19" i="62"/>
  <c r="K43" i="62"/>
  <c r="I4" i="63"/>
  <c r="I6" i="63"/>
  <c r="I8" i="63"/>
  <c r="I10" i="63"/>
  <c r="K21" i="63"/>
  <c r="I21" i="63"/>
  <c r="K4" i="64"/>
  <c r="J3" i="64"/>
  <c r="K9" i="64"/>
  <c r="K18" i="64"/>
  <c r="I18" i="64"/>
  <c r="K24" i="64"/>
  <c r="I24" i="64"/>
  <c r="K25" i="64"/>
  <c r="I25" i="64"/>
  <c r="K26" i="64"/>
  <c r="I26" i="64"/>
  <c r="K55" i="64"/>
  <c r="I55" i="64"/>
  <c r="K21" i="65"/>
  <c r="I21" i="65"/>
  <c r="K47" i="65"/>
  <c r="I47" i="65"/>
  <c r="K10" i="66"/>
  <c r="J3" i="66"/>
  <c r="I11" i="66"/>
  <c r="K11" i="66"/>
  <c r="K26" i="66"/>
  <c r="I26" i="66"/>
  <c r="Q24" i="59"/>
  <c r="I46" i="59"/>
  <c r="W3" i="60"/>
  <c r="K11" i="60"/>
  <c r="I11" i="60"/>
  <c r="K19" i="60"/>
  <c r="I19" i="60"/>
  <c r="K25" i="60"/>
  <c r="I25" i="60"/>
  <c r="K43" i="60"/>
  <c r="I43" i="60"/>
  <c r="K53" i="60"/>
  <c r="I53" i="60"/>
  <c r="K33" i="61"/>
  <c r="I33" i="61"/>
  <c r="Q39" i="61"/>
  <c r="Q52" i="61"/>
  <c r="K54" i="61"/>
  <c r="I4" i="62"/>
  <c r="K9" i="62"/>
  <c r="Q13" i="62"/>
  <c r="I20" i="62"/>
  <c r="K25" i="62"/>
  <c r="I29" i="62"/>
  <c r="K56" i="62"/>
  <c r="I56" i="62"/>
  <c r="K19" i="63"/>
  <c r="I19" i="63"/>
  <c r="I24" i="63"/>
  <c r="K26" i="63"/>
  <c r="I26" i="63"/>
  <c r="K48" i="63"/>
  <c r="K52" i="63"/>
  <c r="K17" i="64"/>
  <c r="K8" i="65"/>
  <c r="I8" i="65"/>
  <c r="K12" i="65"/>
  <c r="I12" i="65"/>
  <c r="K20" i="65"/>
  <c r="I20" i="65"/>
  <c r="I10" i="66"/>
  <c r="Q27" i="60"/>
  <c r="I39" i="60"/>
  <c r="Q45" i="60"/>
  <c r="K50" i="60"/>
  <c r="I50" i="60"/>
  <c r="I44" i="61"/>
  <c r="Q49" i="61"/>
  <c r="Q56" i="61"/>
  <c r="I10" i="62"/>
  <c r="Q19" i="62"/>
  <c r="I37" i="62"/>
  <c r="Q43" i="62"/>
  <c r="J3" i="63"/>
  <c r="K17" i="63"/>
  <c r="I17" i="63"/>
  <c r="K44" i="63"/>
  <c r="I44" i="63"/>
  <c r="I50" i="63"/>
  <c r="K50" i="63"/>
  <c r="I54" i="63"/>
  <c r="K54" i="63"/>
  <c r="I32" i="64"/>
  <c r="K32" i="64"/>
  <c r="K43" i="64"/>
  <c r="I43" i="64"/>
  <c r="I44" i="64"/>
  <c r="K44" i="64"/>
  <c r="K51" i="64"/>
  <c r="I51" i="64"/>
  <c r="K7" i="65"/>
  <c r="I7" i="65"/>
  <c r="K10" i="65"/>
  <c r="I10" i="65"/>
  <c r="K36" i="65"/>
  <c r="I36" i="65"/>
  <c r="K37" i="65"/>
  <c r="I37" i="65"/>
  <c r="V3" i="66"/>
  <c r="Q29" i="59"/>
  <c r="K38" i="59"/>
  <c r="I38" i="59"/>
  <c r="K49" i="59"/>
  <c r="I49" i="59"/>
  <c r="K51" i="59"/>
  <c r="I51" i="59"/>
  <c r="K53" i="59"/>
  <c r="I53" i="59"/>
  <c r="K5" i="60"/>
  <c r="I5" i="60"/>
  <c r="K13" i="60"/>
  <c r="I13" i="60"/>
  <c r="K21" i="60"/>
  <c r="I21" i="60"/>
  <c r="K32" i="60"/>
  <c r="I32" i="60"/>
  <c r="K33" i="60"/>
  <c r="I33" i="60"/>
  <c r="Q54" i="61"/>
  <c r="Q9" i="62"/>
  <c r="Q25" i="62"/>
  <c r="K31" i="62"/>
  <c r="I31" i="62"/>
  <c r="K15" i="63"/>
  <c r="I15" i="63"/>
  <c r="I30" i="63"/>
  <c r="K30" i="63"/>
  <c r="I20" i="64"/>
  <c r="V3" i="65"/>
  <c r="K6" i="65"/>
  <c r="I6" i="65"/>
  <c r="K18" i="65"/>
  <c r="I18" i="65"/>
  <c r="K31" i="65"/>
  <c r="I31" i="65"/>
  <c r="I35" i="65"/>
  <c r="K35" i="65"/>
  <c r="W3" i="66"/>
  <c r="Q56" i="63"/>
  <c r="K53" i="64"/>
  <c r="I53" i="64"/>
  <c r="K19" i="65"/>
  <c r="I19" i="65"/>
  <c r="K46" i="65"/>
  <c r="I46" i="65"/>
  <c r="K11" i="67"/>
  <c r="I11" i="67"/>
  <c r="K33" i="67"/>
  <c r="I33" i="67"/>
  <c r="V3" i="67"/>
  <c r="K46" i="67"/>
  <c r="I46" i="67"/>
  <c r="I54" i="68"/>
  <c r="K54" i="68"/>
  <c r="I27" i="69"/>
  <c r="K27" i="69"/>
  <c r="I38" i="69"/>
  <c r="K38" i="69"/>
  <c r="K53" i="69"/>
  <c r="I53" i="69"/>
  <c r="I42" i="63"/>
  <c r="K51" i="63"/>
  <c r="K33" i="64"/>
  <c r="I33" i="64"/>
  <c r="I36" i="64"/>
  <c r="K50" i="64"/>
  <c r="I50" i="64"/>
  <c r="K17" i="65"/>
  <c r="I17" i="65"/>
  <c r="I4" i="66"/>
  <c r="I12" i="66"/>
  <c r="I20" i="66"/>
  <c r="K27" i="66"/>
  <c r="I28" i="66"/>
  <c r="K28" i="66"/>
  <c r="K52" i="66"/>
  <c r="I52" i="66"/>
  <c r="K9" i="67"/>
  <c r="I9" i="67"/>
  <c r="K25" i="67"/>
  <c r="I25" i="67"/>
  <c r="K42" i="67"/>
  <c r="I42" i="67"/>
  <c r="K45" i="67"/>
  <c r="I45" i="67"/>
  <c r="I28" i="63"/>
  <c r="K15" i="65"/>
  <c r="I15" i="65"/>
  <c r="K28" i="65"/>
  <c r="I28" i="65"/>
  <c r="K33" i="65"/>
  <c r="I33" i="65"/>
  <c r="K32" i="66"/>
  <c r="I32" i="66"/>
  <c r="K7" i="67"/>
  <c r="I7" i="67"/>
  <c r="K23" i="67"/>
  <c r="I23" i="67"/>
  <c r="K24" i="68"/>
  <c r="I24" i="68"/>
  <c r="I52" i="68"/>
  <c r="K52" i="68"/>
  <c r="I23" i="69"/>
  <c r="K23" i="69"/>
  <c r="I30" i="69"/>
  <c r="K30" i="69"/>
  <c r="K51" i="69"/>
  <c r="I51" i="69"/>
  <c r="I25" i="63"/>
  <c r="I32" i="63"/>
  <c r="K30" i="64"/>
  <c r="I30" i="64"/>
  <c r="K52" i="64"/>
  <c r="I52" i="64"/>
  <c r="K13" i="65"/>
  <c r="I13" i="65"/>
  <c r="K38" i="65"/>
  <c r="K39" i="65"/>
  <c r="I39" i="65"/>
  <c r="K42" i="65"/>
  <c r="I42" i="65"/>
  <c r="K43" i="65"/>
  <c r="I43" i="65"/>
  <c r="K56" i="65"/>
  <c r="I56" i="65"/>
  <c r="I6" i="66"/>
  <c r="I14" i="66"/>
  <c r="I22" i="66"/>
  <c r="K34" i="66"/>
  <c r="I34" i="66"/>
  <c r="K5" i="67"/>
  <c r="I5" i="67"/>
  <c r="K21" i="67"/>
  <c r="I21" i="67"/>
  <c r="K49" i="64"/>
  <c r="I49" i="64"/>
  <c r="K11" i="65"/>
  <c r="I11" i="65"/>
  <c r="K16" i="65"/>
  <c r="I16" i="65"/>
  <c r="I29" i="66"/>
  <c r="K29" i="66"/>
  <c r="I45" i="66"/>
  <c r="K45" i="66"/>
  <c r="K19" i="67"/>
  <c r="I19" i="67"/>
  <c r="I48" i="67"/>
  <c r="K48" i="67"/>
  <c r="K18" i="68"/>
  <c r="I18" i="68"/>
  <c r="K22" i="68"/>
  <c r="I22" i="68"/>
  <c r="K37" i="63"/>
  <c r="K47" i="63"/>
  <c r="K27" i="64"/>
  <c r="K34" i="64"/>
  <c r="K38" i="64"/>
  <c r="I38" i="64"/>
  <c r="K42" i="64"/>
  <c r="I42" i="64"/>
  <c r="K45" i="64"/>
  <c r="K54" i="64"/>
  <c r="I54" i="64"/>
  <c r="K9" i="65"/>
  <c r="I9" i="65"/>
  <c r="K14" i="65"/>
  <c r="I14" i="65"/>
  <c r="K25" i="65"/>
  <c r="I25" i="65"/>
  <c r="K29" i="65"/>
  <c r="I29" i="65"/>
  <c r="I34" i="65"/>
  <c r="I8" i="66"/>
  <c r="I16" i="66"/>
  <c r="I24" i="66"/>
  <c r="K33" i="66"/>
  <c r="I33" i="66"/>
  <c r="I36" i="66"/>
  <c r="K36" i="66"/>
  <c r="K17" i="67"/>
  <c r="I17" i="67"/>
  <c r="Q46" i="66"/>
  <c r="V3" i="68"/>
  <c r="K8" i="68"/>
  <c r="I8" i="68"/>
  <c r="K12" i="68"/>
  <c r="I12" i="68"/>
  <c r="K23" i="68"/>
  <c r="I23" i="68"/>
  <c r="I49" i="68"/>
  <c r="K49" i="68"/>
  <c r="K48" i="69"/>
  <c r="I48" i="69"/>
  <c r="K20" i="70"/>
  <c r="I20" i="70"/>
  <c r="K47" i="67"/>
  <c r="I47" i="67"/>
  <c r="K17" i="68"/>
  <c r="I17" i="68"/>
  <c r="I27" i="68"/>
  <c r="K27" i="68"/>
  <c r="K33" i="68"/>
  <c r="I33" i="68"/>
  <c r="K47" i="68"/>
  <c r="I47" i="68"/>
  <c r="K54" i="69"/>
  <c r="I54" i="69"/>
  <c r="K12" i="73"/>
  <c r="I12" i="73"/>
  <c r="I41" i="66"/>
  <c r="I50" i="66"/>
  <c r="K54" i="67"/>
  <c r="I4" i="68"/>
  <c r="J3" i="68"/>
  <c r="Q10" i="68"/>
  <c r="K13" i="68"/>
  <c r="K19" i="68"/>
  <c r="I19" i="68"/>
  <c r="I32" i="68"/>
  <c r="I41" i="68"/>
  <c r="I50" i="68"/>
  <c r="K50" i="68"/>
  <c r="I7" i="69"/>
  <c r="K7" i="69"/>
  <c r="J3" i="69"/>
  <c r="K49" i="69"/>
  <c r="I49" i="69"/>
  <c r="I38" i="66"/>
  <c r="I43" i="66"/>
  <c r="K51" i="67"/>
  <c r="K6" i="68"/>
  <c r="I6" i="68"/>
  <c r="Q12" i="68"/>
  <c r="I15" i="68"/>
  <c r="K16" i="68"/>
  <c r="I16" i="68"/>
  <c r="K29" i="68"/>
  <c r="I29" i="68"/>
  <c r="I53" i="68"/>
  <c r="K53" i="68"/>
  <c r="K44" i="69"/>
  <c r="I44" i="69"/>
  <c r="K52" i="69"/>
  <c r="I52" i="69"/>
  <c r="K4" i="70"/>
  <c r="J3" i="70"/>
  <c r="I4" i="70"/>
  <c r="K6" i="70"/>
  <c r="I6" i="70"/>
  <c r="I4" i="71"/>
  <c r="J3" i="71"/>
  <c r="K4" i="71"/>
  <c r="I7" i="73"/>
  <c r="K7" i="73"/>
  <c r="W3" i="67"/>
  <c r="K27" i="67"/>
  <c r="I27" i="67"/>
  <c r="K35" i="67"/>
  <c r="I35" i="67"/>
  <c r="W3" i="68"/>
  <c r="I35" i="68"/>
  <c r="K35" i="68"/>
  <c r="K37" i="68"/>
  <c r="I37" i="68"/>
  <c r="K42" i="68"/>
  <c r="I42" i="68"/>
  <c r="I48" i="68"/>
  <c r="K48" i="68"/>
  <c r="I47" i="69"/>
  <c r="K47" i="69"/>
  <c r="K9" i="70"/>
  <c r="I9" i="70"/>
  <c r="I14" i="72"/>
  <c r="K14" i="72"/>
  <c r="I20" i="72"/>
  <c r="K20" i="72"/>
  <c r="I23" i="73"/>
  <c r="K23" i="73"/>
  <c r="K44" i="66"/>
  <c r="I44" i="66"/>
  <c r="K46" i="66"/>
  <c r="K4" i="67"/>
  <c r="I4" i="67"/>
  <c r="J3" i="67"/>
  <c r="K6" i="67"/>
  <c r="I6" i="67"/>
  <c r="K8" i="67"/>
  <c r="I8" i="67"/>
  <c r="K10" i="67"/>
  <c r="I10" i="67"/>
  <c r="K12" i="67"/>
  <c r="I12" i="67"/>
  <c r="K14" i="67"/>
  <c r="I14" i="67"/>
  <c r="K16" i="67"/>
  <c r="I16" i="67"/>
  <c r="K18" i="67"/>
  <c r="I18" i="67"/>
  <c r="K20" i="67"/>
  <c r="I20" i="67"/>
  <c r="K22" i="67"/>
  <c r="I22" i="67"/>
  <c r="K24" i="67"/>
  <c r="I24" i="67"/>
  <c r="K29" i="67"/>
  <c r="I29" i="67"/>
  <c r="K37" i="67"/>
  <c r="I37" i="67"/>
  <c r="K53" i="67"/>
  <c r="Q56" i="67"/>
  <c r="K9" i="68"/>
  <c r="I9" i="68"/>
  <c r="K25" i="68"/>
  <c r="I25" i="68"/>
  <c r="K44" i="68"/>
  <c r="I44" i="68"/>
  <c r="I51" i="68"/>
  <c r="K51" i="68"/>
  <c r="I15" i="69"/>
  <c r="K15" i="69"/>
  <c r="K35" i="69"/>
  <c r="I35" i="69"/>
  <c r="K50" i="69"/>
  <c r="I50" i="69"/>
  <c r="I8" i="70"/>
  <c r="K12" i="70"/>
  <c r="I12" i="70"/>
  <c r="K14" i="70"/>
  <c r="I14" i="70"/>
  <c r="K17" i="71"/>
  <c r="I17" i="71"/>
  <c r="I18" i="71"/>
  <c r="K18" i="71"/>
  <c r="I47" i="71"/>
  <c r="K47" i="71"/>
  <c r="K39" i="68"/>
  <c r="I39" i="68"/>
  <c r="K28" i="69"/>
  <c r="I28" i="69"/>
  <c r="K31" i="69"/>
  <c r="I31" i="69"/>
  <c r="K36" i="69"/>
  <c r="I36" i="69"/>
  <c r="K52" i="70"/>
  <c r="I52" i="70"/>
  <c r="I34" i="71"/>
  <c r="K34" i="71"/>
  <c r="I22" i="72"/>
  <c r="K22" i="72"/>
  <c r="I38" i="72"/>
  <c r="K38" i="72"/>
  <c r="K50" i="74"/>
  <c r="I50" i="74"/>
  <c r="K20" i="75"/>
  <c r="I20" i="75"/>
  <c r="K42" i="75"/>
  <c r="I42" i="75"/>
  <c r="K43" i="75"/>
  <c r="I43" i="75"/>
  <c r="I14" i="68"/>
  <c r="Q42" i="68"/>
  <c r="K43" i="68"/>
  <c r="I43" i="68"/>
  <c r="K46" i="68"/>
  <c r="I46" i="68"/>
  <c r="I8" i="69"/>
  <c r="I16" i="69"/>
  <c r="I24" i="69"/>
  <c r="K37" i="69"/>
  <c r="I37" i="69"/>
  <c r="K42" i="69"/>
  <c r="Q49" i="69"/>
  <c r="Q51" i="69"/>
  <c r="Q53" i="69"/>
  <c r="Q55" i="69"/>
  <c r="V3" i="70"/>
  <c r="I10" i="70"/>
  <c r="K11" i="70"/>
  <c r="I11" i="70"/>
  <c r="I18" i="70"/>
  <c r="K19" i="70"/>
  <c r="I19" i="70"/>
  <c r="I29" i="70"/>
  <c r="K36" i="70"/>
  <c r="I36" i="70"/>
  <c r="K9" i="71"/>
  <c r="I9" i="71"/>
  <c r="I10" i="71"/>
  <c r="K10" i="71"/>
  <c r="K42" i="71"/>
  <c r="I42" i="71"/>
  <c r="K56" i="72"/>
  <c r="I56" i="72"/>
  <c r="K49" i="73"/>
  <c r="Q13" i="68"/>
  <c r="K36" i="68"/>
  <c r="I36" i="68"/>
  <c r="V3" i="69"/>
  <c r="K43" i="69"/>
  <c r="I43" i="69"/>
  <c r="W3" i="70"/>
  <c r="Q9" i="70"/>
  <c r="Q17" i="70"/>
  <c r="W3" i="69"/>
  <c r="K26" i="69"/>
  <c r="I26" i="69"/>
  <c r="K5" i="70"/>
  <c r="I5" i="70"/>
  <c r="K13" i="70"/>
  <c r="I13" i="70"/>
  <c r="K49" i="70"/>
  <c r="I49" i="70"/>
  <c r="K38" i="71"/>
  <c r="I38" i="71"/>
  <c r="K39" i="71"/>
  <c r="I39" i="71"/>
  <c r="K45" i="72"/>
  <c r="I45" i="72"/>
  <c r="I52" i="72"/>
  <c r="K52" i="72"/>
  <c r="K21" i="68"/>
  <c r="I21" i="68"/>
  <c r="K31" i="68"/>
  <c r="I31" i="68"/>
  <c r="K11" i="69"/>
  <c r="K19" i="69"/>
  <c r="K33" i="69"/>
  <c r="K32" i="70"/>
  <c r="I32" i="70"/>
  <c r="K39" i="70"/>
  <c r="I39" i="70"/>
  <c r="K41" i="70"/>
  <c r="I41" i="70"/>
  <c r="K50" i="71"/>
  <c r="I50" i="71"/>
  <c r="K44" i="72"/>
  <c r="I50" i="72"/>
  <c r="K50" i="72"/>
  <c r="I32" i="73"/>
  <c r="K32" i="73"/>
  <c r="I34" i="68"/>
  <c r="I4" i="69"/>
  <c r="I12" i="69"/>
  <c r="I20" i="69"/>
  <c r="K34" i="69"/>
  <c r="I34" i="69"/>
  <c r="K39" i="69"/>
  <c r="I39" i="69"/>
  <c r="K45" i="69"/>
  <c r="I45" i="69"/>
  <c r="K7" i="70"/>
  <c r="I7" i="70"/>
  <c r="K15" i="70"/>
  <c r="I15" i="70"/>
  <c r="K44" i="70"/>
  <c r="I6" i="71"/>
  <c r="K6" i="71"/>
  <c r="K25" i="71"/>
  <c r="I25" i="71"/>
  <c r="I44" i="71"/>
  <c r="K44" i="71"/>
  <c r="I12" i="72"/>
  <c r="K12" i="72"/>
  <c r="Q20" i="68"/>
  <c r="Q21" i="68"/>
  <c r="Q33" i="68"/>
  <c r="K56" i="68"/>
  <c r="I56" i="68"/>
  <c r="K5" i="69"/>
  <c r="K13" i="69"/>
  <c r="K21" i="69"/>
  <c r="K46" i="69"/>
  <c r="I46" i="69"/>
  <c r="K55" i="69"/>
  <c r="I55" i="69"/>
  <c r="Q5" i="70"/>
  <c r="Q13" i="70"/>
  <c r="I26" i="71"/>
  <c r="K26" i="71"/>
  <c r="K27" i="71"/>
  <c r="I27" i="71"/>
  <c r="I37" i="72"/>
  <c r="K37" i="72"/>
  <c r="K17" i="73"/>
  <c r="K54" i="70"/>
  <c r="I54" i="70"/>
  <c r="K5" i="71"/>
  <c r="I5" i="71"/>
  <c r="K11" i="71"/>
  <c r="I11" i="71"/>
  <c r="K19" i="71"/>
  <c r="I19" i="71"/>
  <c r="K30" i="71"/>
  <c r="I30" i="71"/>
  <c r="K43" i="71"/>
  <c r="I43" i="71"/>
  <c r="I4" i="72"/>
  <c r="J3" i="72"/>
  <c r="K4" i="72"/>
  <c r="I10" i="72"/>
  <c r="K10" i="72"/>
  <c r="I16" i="72"/>
  <c r="K16" i="72"/>
  <c r="K31" i="72"/>
  <c r="I31" i="72"/>
  <c r="I54" i="72"/>
  <c r="K54" i="72"/>
  <c r="I13" i="73"/>
  <c r="K13" i="73"/>
  <c r="I33" i="73"/>
  <c r="K33" i="73"/>
  <c r="I43" i="73"/>
  <c r="K43" i="73"/>
  <c r="K51" i="70"/>
  <c r="I51" i="70"/>
  <c r="K55" i="70"/>
  <c r="I55" i="70"/>
  <c r="K35" i="71"/>
  <c r="I35" i="71"/>
  <c r="K41" i="71"/>
  <c r="I41" i="71"/>
  <c r="K49" i="71"/>
  <c r="I49" i="71"/>
  <c r="K27" i="72"/>
  <c r="I27" i="72"/>
  <c r="I32" i="72"/>
  <c r="I55" i="72"/>
  <c r="K55" i="72"/>
  <c r="I19" i="73"/>
  <c r="K19" i="73"/>
  <c r="I21" i="70"/>
  <c r="I25" i="70"/>
  <c r="Q29" i="70"/>
  <c r="I30" i="70"/>
  <c r="I33" i="70"/>
  <c r="K48" i="70"/>
  <c r="I48" i="70"/>
  <c r="K12" i="71"/>
  <c r="K13" i="71"/>
  <c r="I13" i="71"/>
  <c r="K20" i="71"/>
  <c r="K21" i="71"/>
  <c r="I21" i="71"/>
  <c r="K26" i="73"/>
  <c r="I26" i="73"/>
  <c r="I38" i="73"/>
  <c r="I41" i="73"/>
  <c r="K41" i="73"/>
  <c r="I18" i="74"/>
  <c r="Q24" i="70"/>
  <c r="I28" i="70"/>
  <c r="Q32" i="70"/>
  <c r="I46" i="70"/>
  <c r="K53" i="70"/>
  <c r="I53" i="70"/>
  <c r="K7" i="71"/>
  <c r="I7" i="71"/>
  <c r="I31" i="71"/>
  <c r="K32" i="71"/>
  <c r="I32" i="71"/>
  <c r="K51" i="71"/>
  <c r="I51" i="71"/>
  <c r="I6" i="72"/>
  <c r="K6" i="72"/>
  <c r="I29" i="72"/>
  <c r="K29" i="72"/>
  <c r="K39" i="72"/>
  <c r="I39" i="72"/>
  <c r="I51" i="72"/>
  <c r="K51" i="72"/>
  <c r="J3" i="73"/>
  <c r="W3" i="73"/>
  <c r="I15" i="73"/>
  <c r="K15" i="73"/>
  <c r="K44" i="73"/>
  <c r="I44" i="73"/>
  <c r="K16" i="74"/>
  <c r="J3" i="74"/>
  <c r="K50" i="70"/>
  <c r="I50" i="70"/>
  <c r="V3" i="71"/>
  <c r="K15" i="71"/>
  <c r="I15" i="71"/>
  <c r="K23" i="71"/>
  <c r="I23" i="71"/>
  <c r="K45" i="71"/>
  <c r="I45" i="71"/>
  <c r="K48" i="71"/>
  <c r="I48" i="71"/>
  <c r="K35" i="72"/>
  <c r="I35" i="72"/>
  <c r="I5" i="73"/>
  <c r="K5" i="73"/>
  <c r="I21" i="73"/>
  <c r="K21" i="73"/>
  <c r="I23" i="74"/>
  <c r="K23" i="74"/>
  <c r="K34" i="70"/>
  <c r="K38" i="70"/>
  <c r="I38" i="70"/>
  <c r="W3" i="71"/>
  <c r="K33" i="71"/>
  <c r="I33" i="71"/>
  <c r="Q35" i="71"/>
  <c r="K37" i="71"/>
  <c r="I8" i="72"/>
  <c r="K8" i="72"/>
  <c r="I30" i="72"/>
  <c r="K30" i="72"/>
  <c r="I48" i="72"/>
  <c r="K48" i="72"/>
  <c r="I11" i="73"/>
  <c r="K11" i="73"/>
  <c r="V3" i="72"/>
  <c r="K51" i="73"/>
  <c r="I51" i="73"/>
  <c r="K44" i="74"/>
  <c r="I44" i="74"/>
  <c r="K48" i="74"/>
  <c r="I48" i="74"/>
  <c r="K19" i="75"/>
  <c r="I19" i="75"/>
  <c r="K52" i="71"/>
  <c r="K36" i="73"/>
  <c r="I39" i="73"/>
  <c r="Q44" i="73"/>
  <c r="K29" i="75"/>
  <c r="I29" i="75"/>
  <c r="I24" i="74"/>
  <c r="K24" i="74"/>
  <c r="I28" i="74"/>
  <c r="K28" i="74"/>
  <c r="K53" i="74"/>
  <c r="I53" i="74"/>
  <c r="W3" i="72"/>
  <c r="Q26" i="73"/>
  <c r="I30" i="73"/>
  <c r="K46" i="73"/>
  <c r="K46" i="74"/>
  <c r="I46" i="74"/>
  <c r="K49" i="74"/>
  <c r="I49" i="74"/>
  <c r="K51" i="74"/>
  <c r="I51" i="74"/>
  <c r="K8" i="75"/>
  <c r="I8" i="75"/>
  <c r="K14" i="75"/>
  <c r="I14" i="75"/>
  <c r="Q39" i="72"/>
  <c r="Q45" i="72"/>
  <c r="V3" i="73"/>
  <c r="K15" i="74"/>
  <c r="I15" i="74"/>
  <c r="K17" i="74"/>
  <c r="I17" i="74"/>
  <c r="K19" i="74"/>
  <c r="I19" i="74"/>
  <c r="K26" i="74"/>
  <c r="I26" i="74"/>
  <c r="K29" i="74"/>
  <c r="I33" i="74"/>
  <c r="K6" i="75"/>
  <c r="I6" i="75"/>
  <c r="K13" i="75"/>
  <c r="I13" i="75"/>
  <c r="I41" i="75"/>
  <c r="K41" i="75"/>
  <c r="I47" i="72"/>
  <c r="K47" i="72"/>
  <c r="K34" i="73"/>
  <c r="I34" i="73"/>
  <c r="K54" i="74"/>
  <c r="I54" i="74"/>
  <c r="K4" i="75"/>
  <c r="J3" i="75"/>
  <c r="I4" i="75"/>
  <c r="W3" i="74"/>
  <c r="K11" i="75"/>
  <c r="I11" i="75"/>
  <c r="K30" i="75"/>
  <c r="I30" i="75"/>
  <c r="K36" i="75"/>
  <c r="I36" i="75"/>
  <c r="K44" i="75"/>
  <c r="I44" i="75"/>
  <c r="K51" i="75"/>
  <c r="I51" i="75"/>
  <c r="K36" i="74"/>
  <c r="I36" i="74"/>
  <c r="K55" i="74"/>
  <c r="I55" i="74"/>
  <c r="W3" i="75"/>
  <c r="K5" i="75"/>
  <c r="I5" i="75"/>
  <c r="K7" i="75"/>
  <c r="I7" i="75"/>
  <c r="K9" i="75"/>
  <c r="I9" i="75"/>
  <c r="K25" i="75"/>
  <c r="I25" i="75"/>
  <c r="K54" i="75"/>
  <c r="I54" i="75"/>
  <c r="I12" i="75"/>
  <c r="K23" i="75"/>
  <c r="I23" i="75"/>
  <c r="K26" i="75"/>
  <c r="I26" i="75"/>
  <c r="K31" i="75"/>
  <c r="I31" i="75"/>
  <c r="K38" i="75"/>
  <c r="I38" i="75"/>
  <c r="K46" i="75"/>
  <c r="I46" i="75"/>
  <c r="K49" i="75"/>
  <c r="I49" i="75"/>
  <c r="K55" i="75"/>
  <c r="I55" i="75"/>
  <c r="K41" i="74"/>
  <c r="Q44" i="74"/>
  <c r="I10" i="75"/>
  <c r="K21" i="75"/>
  <c r="I21" i="75"/>
  <c r="K33" i="75"/>
  <c r="I33" i="75"/>
  <c r="I37" i="75"/>
  <c r="K39" i="75"/>
  <c r="I39" i="75"/>
  <c r="K45" i="75"/>
  <c r="K52" i="75"/>
  <c r="I52" i="75"/>
  <c r="I42" i="74"/>
  <c r="K17" i="75"/>
  <c r="I17" i="75"/>
  <c r="I32" i="75"/>
  <c r="K32" i="75"/>
  <c r="K34" i="75"/>
  <c r="I34" i="75"/>
  <c r="K50" i="75"/>
  <c r="I50" i="75"/>
  <c r="K15" i="75"/>
  <c r="I15" i="75"/>
  <c r="K28" i="75"/>
  <c r="I28" i="75"/>
  <c r="K53" i="75"/>
  <c r="I53" i="75"/>
  <c r="K56" i="75"/>
  <c r="I56" i="75"/>
  <c r="I3" i="11" l="1"/>
  <c r="K3" i="11"/>
  <c r="K3" i="37"/>
  <c r="I3" i="37"/>
  <c r="K3" i="23"/>
  <c r="I3" i="23"/>
  <c r="I3" i="40"/>
  <c r="K3" i="40"/>
  <c r="K3" i="35"/>
  <c r="I3" i="35"/>
  <c r="K3" i="8"/>
  <c r="I3" i="8"/>
  <c r="I3" i="58"/>
  <c r="K3" i="58"/>
  <c r="K3" i="13"/>
  <c r="I3" i="13"/>
  <c r="I3" i="75"/>
  <c r="K3" i="75"/>
  <c r="I3" i="73"/>
  <c r="K3" i="73"/>
  <c r="K3" i="71"/>
  <c r="I3" i="71"/>
  <c r="I3" i="64"/>
  <c r="K3" i="64"/>
  <c r="K3" i="42"/>
  <c r="I3" i="42"/>
  <c r="K3" i="10"/>
  <c r="I3" i="10"/>
  <c r="K3" i="14"/>
  <c r="I3" i="14"/>
  <c r="K3" i="1"/>
  <c r="I3" i="1"/>
  <c r="K3" i="31"/>
  <c r="I3" i="31"/>
  <c r="I3" i="6"/>
  <c r="K3" i="6"/>
  <c r="K3" i="74"/>
  <c r="I3" i="74"/>
  <c r="K3" i="72"/>
  <c r="I3" i="72"/>
  <c r="K3" i="60"/>
  <c r="I3" i="60"/>
  <c r="K3" i="55"/>
  <c r="I3" i="55"/>
  <c r="K3" i="44"/>
  <c r="I3" i="44"/>
  <c r="I3" i="24"/>
  <c r="K3" i="24"/>
  <c r="K3" i="20"/>
  <c r="I3" i="20"/>
  <c r="K3" i="16"/>
  <c r="I3" i="16"/>
  <c r="K3" i="17"/>
  <c r="I3" i="17"/>
  <c r="I3" i="21"/>
  <c r="K3" i="21"/>
  <c r="K3" i="4"/>
  <c r="I3" i="4"/>
  <c r="K3" i="34"/>
  <c r="I3" i="34"/>
  <c r="I3" i="12"/>
  <c r="K3" i="12"/>
  <c r="K3" i="66"/>
  <c r="I3" i="66"/>
  <c r="K3" i="69"/>
  <c r="I3" i="69"/>
  <c r="I3" i="53"/>
  <c r="K3" i="53"/>
  <c r="I3" i="41"/>
  <c r="K3" i="41"/>
  <c r="I3" i="47"/>
  <c r="K3" i="47"/>
  <c r="K3" i="36"/>
  <c r="I3" i="36"/>
  <c r="K3" i="27"/>
  <c r="I3" i="27"/>
  <c r="K3" i="39"/>
  <c r="I3" i="39"/>
  <c r="I3" i="29"/>
  <c r="K3" i="29"/>
  <c r="I3" i="46"/>
  <c r="K3" i="46"/>
  <c r="K3" i="30"/>
  <c r="I3" i="30"/>
  <c r="K3" i="32"/>
  <c r="I3" i="32"/>
  <c r="K3" i="67"/>
  <c r="I3" i="67"/>
  <c r="K3" i="61"/>
  <c r="I3" i="61"/>
  <c r="K3" i="65"/>
  <c r="I3" i="65"/>
  <c r="K3" i="52"/>
  <c r="I3" i="52"/>
  <c r="K3" i="54"/>
  <c r="I3" i="54"/>
  <c r="I3" i="48"/>
  <c r="K3" i="48"/>
  <c r="I3" i="28"/>
  <c r="K3" i="28"/>
  <c r="K3" i="22"/>
  <c r="I3" i="22"/>
  <c r="K3" i="43"/>
  <c r="I3" i="43"/>
  <c r="K3" i="9"/>
  <c r="I3" i="9"/>
  <c r="K3" i="5"/>
  <c r="I3" i="5"/>
  <c r="I3" i="7"/>
  <c r="K3" i="7"/>
  <c r="K3" i="56"/>
  <c r="I3" i="56"/>
  <c r="I3" i="50"/>
  <c r="K3" i="50"/>
  <c r="I3" i="2"/>
  <c r="K3" i="2"/>
  <c r="K3" i="59"/>
  <c r="I3" i="59"/>
  <c r="K3" i="18"/>
  <c r="I3" i="18"/>
  <c r="K3" i="15"/>
  <c r="I3" i="15"/>
  <c r="I3" i="70"/>
  <c r="K3" i="70"/>
  <c r="K3" i="68"/>
  <c r="I3" i="68"/>
  <c r="K3" i="63"/>
  <c r="I3" i="63"/>
  <c r="K3" i="57"/>
  <c r="I3" i="57"/>
  <c r="I3" i="62"/>
  <c r="K3" i="62"/>
  <c r="K3" i="51"/>
  <c r="I3" i="51"/>
  <c r="K3" i="49"/>
  <c r="I3" i="49"/>
  <c r="I3" i="38"/>
  <c r="K3" i="38"/>
  <c r="I3" i="33"/>
  <c r="K3" i="33"/>
  <c r="K3" i="19"/>
  <c r="I3" i="19"/>
  <c r="I3" i="45"/>
  <c r="K3" i="45"/>
  <c r="K3" i="3"/>
  <c r="I3"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1"/>
            <color rgb="FF000000"/>
            <rFont val="Calibri"/>
          </rPr>
          <t>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Do we really have QOH of 27.  These are now in Ollie Shops I believe.  If so, sell through these before the ones in O.S. to avoid LTSF issues down the road.
	-Bryan Mercer
----
I think landed cost is wrong.  Check with Cole
	-Bryan Mercer
----
Pricing is too low. Not worth selling at this price point.  I would try back up around 34 min.  We hard great performance in Nov in the upper 30s.  Why drop to lower 30s?
	-Bryan Mercer
----
Another example of low price poor performance.  How about a reset on all pricing on all variations on this listing?
	-Bryan Mercer
----
did much better at 29.99 and ppc spend.  are competitors much lower now?  This product has really gone down hill.
	-Bryan Mercer
----
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Do we really have QOH of 27.  These are now in Ollie Shops I believe.  If so, sell through these before the ones in O.S. to avoid LTSF issues down the road.
	-Bryan Mercer
----
I think landed cost is wrong.  Check with Cole
	-Bryan Mercer
----
Pricing is too low. Not worth selling at this price point.  I would try back up around 34 min.  We hard great performance in Nov in the upper 30s.  Why drop to lower 30s?
	-Bryan Mercer
----
Another example of low price poor performance.  How about a reset on all pricing on all variations on this listing?
	-Bryan Mercer
----
did much better at 29.99 and ppc spend.  are competitors much lower now?  This product has really gone down hill.
	-Bryan Mercer
----
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Do we really have QOH of 27.  These are now in Ollie Shops I believe.  If so, sell through these before the ones in O.S. to avoid LTSF issues down the road.
	-Bryan Mercer
----
I think landed cost is wrong.  Check with Cole
	-Bryan Mercer
----
Pricing is too low. Not worth selling at this price point.  I would try back up around 34 min.  We hard great performance in Nov in the upper 30s.  Why drop to lower 30s?
	-Bryan Mercer
----
Another example of low price poor performance.  How about a reset on all pricing on all variations on this listing?
	-Bryan Mercer
----
did much better at 29.99 and ppc spend.  are competitors much lower now?  This product has really gone down hill.
	-Bryan Mercer
----
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Do we really have QOH of 27.  These are now in Ollie Shops I believe.  If so, sell through these before the ones in O.S. to avoid LTSF issues down the road.
	-Bryan Mercer
----
I think landed cost is wrong.  Check with Cole
	-Bryan Mercer
----
Pricing is too low. Not worth selling at this price point.  I would try back up around 34 min.  We hard great performance in Nov in the upper 30s.  Why drop to lower 30s?
	-Bryan Mercer
----
Another example of low price poor performance.  How about a reset on all pricing on all variations on this listing?
	-Bryan Mercer
----
did much better at 29.99 and ppc spend.  are competitors much lower now?  This product has really gone down hill.
	-Bryan Mercer
----
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t>
        </r>
      </text>
    </comment>
    <comment ref="C3" authorId="0" shapeId="0" xr:uid="{00000000-0006-0000-0000-000002000000}">
      <text>
        <r>
          <rPr>
            <sz val="11"/>
            <color rgb="FF000000"/>
            <rFont val="Calibri"/>
          </rPr>
          <t>Cassidy:
Break Even Price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100-000001000000}">
      <text>
        <r>
          <rPr>
            <sz val="11"/>
            <color rgb="FF000000"/>
            <rFont val="Calibri"/>
          </rPr>
          <t>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t>
        </r>
      </text>
    </comment>
    <comment ref="C3" authorId="0" shapeId="0" xr:uid="{00000000-0006-0000-0100-000002000000}">
      <text>
        <r>
          <rPr>
            <sz val="11"/>
            <color rgb="FF000000"/>
            <rFont val="Calibri"/>
          </rPr>
          <t>Cassidy:
Break Even Price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200-000001000000}">
      <text>
        <r>
          <rPr>
            <sz val="11"/>
            <color rgb="FF000000"/>
            <rFont val="Calibri"/>
          </rPr>
          <t>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t>
        </r>
      </text>
    </comment>
    <comment ref="C3" authorId="0" shapeId="0" xr:uid="{00000000-0006-0000-0200-000002000000}">
      <text>
        <r>
          <rPr>
            <sz val="11"/>
            <color rgb="FF000000"/>
            <rFont val="Calibri"/>
          </rPr>
          <t>Cassidy:
Break Even Price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300-000001000000}">
      <text>
        <r>
          <rPr>
            <sz val="11"/>
            <color rgb="FF000000"/>
            <rFont val="Calibri"/>
          </rPr>
          <t>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7d velocity according to sellics is 7
	-Pam Galeone
----
4.30 - 7d velocity acc…</t>
        </r>
      </text>
    </comment>
    <comment ref="C3" authorId="0" shapeId="0" xr:uid="{00000000-0006-0000-0300-000002000000}">
      <text>
        <r>
          <rPr>
            <sz val="11"/>
            <color rgb="FF000000"/>
            <rFont val="Calibri"/>
          </rPr>
          <t>Cassidy:
Break Even Price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400-000001000000}">
      <text>
        <r>
          <rPr>
            <sz val="11"/>
            <color rgb="FF000000"/>
            <rFont val="Calibri"/>
          </rPr>
          <t>Cassidy:
Break Even Price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500-000001000000}">
      <text>
        <r>
          <rPr>
            <sz val="11"/>
            <color rgb="FF000000"/>
            <rFont val="Calibri"/>
          </rPr>
          <t>Cassidy:
Break Even Price</t>
        </r>
      </text>
    </comment>
    <comment ref="B25" authorId="0" shapeId="0" xr:uid="{00000000-0006-0000-0500-000002000000}">
      <text>
        <r>
          <rPr>
            <sz val="11"/>
            <color rgb="FF000000"/>
            <rFont val="Calibri"/>
          </rPr>
          <t>we seemed to generate more net profit and higher velocity with PPC spend in Feb
	-Bryan Mercer</t>
        </r>
      </text>
    </comment>
    <comment ref="F26" authorId="0" shapeId="0" xr:uid="{00000000-0006-0000-0500-000003000000}">
      <text>
        <r>
          <rPr>
            <sz val="11"/>
            <color rgb="FF000000"/>
            <rFont val="Calibri"/>
          </rPr>
          <t>user:
2 non-amazon sales</t>
        </r>
      </text>
    </comment>
    <comment ref="B53" authorId="0" shapeId="0" xr:uid="{00000000-0006-0000-0500-000004000000}">
      <text>
        <r>
          <rPr>
            <sz val="11"/>
            <color rgb="FF000000"/>
            <rFont val="Calibri"/>
          </rPr>
          <t>did much better at 29.99 and ppc spend.  are competitors much lower now?  This product has really gone down hill.
	-Bryan Mercer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600-000001000000}">
      <text>
        <r>
          <rPr>
            <sz val="11"/>
            <color rgb="FF000000"/>
            <rFont val="Calibri"/>
          </rPr>
          <t>Cassidy:
Break Even Price</t>
        </r>
      </text>
    </comment>
    <comment ref="B22" authorId="0" shapeId="0" xr:uid="{00000000-0006-0000-0600-000002000000}">
      <text>
        <r>
          <rPr>
            <sz val="11"/>
            <color rgb="FF000000"/>
            <rFont val="Calibri"/>
          </rPr>
          <t>profit better at higher price points
	-Pam Galeone</t>
        </r>
      </text>
    </comment>
    <comment ref="B53" authorId="0" shapeId="0" xr:uid="{00000000-0006-0000-0600-000003000000}">
      <text>
        <r>
          <rPr>
            <sz val="11"/>
            <color rgb="FF000000"/>
            <rFont val="Calibri"/>
          </rPr>
          <t>Another example of low price poor performance.  How about a reset on all pricing on all variations on this listing?
	-Bryan Mercer</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700-000001000000}">
      <text>
        <r>
          <rPr>
            <sz val="11"/>
            <color rgb="FF000000"/>
            <rFont val="Calibri"/>
          </rPr>
          <t>Cassidy:
Break Even Price</t>
        </r>
      </text>
    </comment>
    <comment ref="C9" authorId="0" shapeId="0" xr:uid="{00000000-0006-0000-0700-000002000000}">
      <text>
        <r>
          <rPr>
            <sz val="11"/>
            <color rgb="FF000000"/>
            <rFont val="Calibri"/>
          </rPr>
          <t>I would test lower price since we generated more profit at 20 and 21.99
	-Bryan Mercer</t>
        </r>
      </text>
    </comment>
    <comment ref="F17" authorId="0" shapeId="0" xr:uid="{00000000-0006-0000-0700-000003000000}">
      <text>
        <r>
          <rPr>
            <sz val="11"/>
            <color rgb="FF000000"/>
            <rFont val="Calibri"/>
          </rPr>
          <t>user:
2 non-amazon sales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800-000001000000}">
      <text>
        <r>
          <rPr>
            <sz val="11"/>
            <color rgb="FF000000"/>
            <rFont val="Calibri"/>
          </rPr>
          <t>Cassidy:
Break Even Price</t>
        </r>
      </text>
    </comment>
    <comment ref="B13" authorId="0" shapeId="0" xr:uid="{00000000-0006-0000-0800-000002000000}">
      <text>
        <r>
          <rPr>
            <sz val="11"/>
            <color rgb="FF000000"/>
            <rFont val="Calibri"/>
          </rPr>
          <t>obvioulsy ppc needs to be reduced and I think velocity should be reduced
	-Pam Galeone
Lets try low price and low PPC.  e.g. 16.99 with minimal spend
	-Bryan Mercer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900-000001000000}">
      <text>
        <r>
          <rPr>
            <sz val="11"/>
            <color rgb="FF000000"/>
            <rFont val="Calibri"/>
          </rPr>
          <t>Cassidy:
Break Even Price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A00-000001000000}">
      <text>
        <r>
          <rPr>
            <sz val="11"/>
            <color rgb="FF000000"/>
            <rFont val="Calibri"/>
          </rPr>
          <t>Cassidy:
Break Even Price</t>
        </r>
      </text>
    </comment>
    <comment ref="B13" authorId="0" shapeId="0" xr:uid="{00000000-0006-0000-0A00-000002000000}">
      <text>
        <r>
          <rPr>
            <sz val="11"/>
            <color rgb="FF000000"/>
            <rFont val="Calibri"/>
          </rPr>
          <t>I would try a little lower price with same ppc
	-Bryan Mercer</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B00-000001000000}">
      <text>
        <r>
          <rPr>
            <sz val="11"/>
            <color rgb="FF000000"/>
            <rFont val="Calibri"/>
          </rPr>
          <t>Cassidy:
Break Even Price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C00-000001000000}">
      <text>
        <r>
          <rPr>
            <sz val="11"/>
            <color rgb="FF000000"/>
            <rFont val="Calibri"/>
          </rPr>
          <t>Cassidy:
Break Even Price</t>
        </r>
      </text>
    </comment>
    <comment ref="C9" authorId="0" shapeId="0" xr:uid="{00000000-0006-0000-0C00-000002000000}">
      <text>
        <r>
          <rPr>
            <sz val="11"/>
            <color rgb="FF000000"/>
            <rFont val="Calibri"/>
          </rPr>
          <t>significant drop apparently due to PPC pause.  Hopefully this is now back on.
	-Bryan Mercer</t>
        </r>
      </text>
    </comment>
    <comment ref="B13" authorId="0" shapeId="0" xr:uid="{00000000-0006-0000-0C00-000003000000}">
      <text>
        <r>
          <rPr>
            <sz val="11"/>
            <color rgb="FF000000"/>
            <rFont val="Calibri"/>
          </rPr>
          <t>I would try 37.99 and not as much PPC.  I think we are pricing too high.  We need to try to get velocity higher.  Competition is much lower price.
	-Bryan Mercer</t>
        </r>
      </text>
    </comment>
    <comment ref="B15" authorId="0" shapeId="0" xr:uid="{00000000-0006-0000-0C00-000004000000}">
      <text>
        <r>
          <rPr>
            <sz val="11"/>
            <color rgb="FF000000"/>
            <rFont val="Calibri"/>
          </rPr>
          <t>showing as $40.99 - think we should price at $37.99
	-Pam Galeone</t>
        </r>
      </text>
    </comment>
    <comment ref="B25" authorId="0" shapeId="0" xr:uid="{00000000-0006-0000-0C00-000005000000}">
      <text>
        <r>
          <rPr>
            <sz val="11"/>
            <color rgb="FF000000"/>
            <rFont val="Calibri"/>
          </rPr>
          <t>Did inventory arrive?
	-Bryan Mercer</t>
        </r>
      </text>
    </comment>
    <comment ref="B34" authorId="0" shapeId="0" xr:uid="{00000000-0006-0000-0C00-000006000000}">
      <text>
        <r>
          <rPr>
            <sz val="11"/>
            <color rgb="FF000000"/>
            <rFont val="Calibri"/>
          </rPr>
          <t>Seems too expensive.  Can we drop to 36.99 and pick up velocity like April?
	-Bryan Mercer</t>
        </r>
      </text>
    </comment>
    <comment ref="B53" authorId="0" shapeId="0" xr:uid="{00000000-0006-0000-0C00-000007000000}">
      <text>
        <r>
          <rPr>
            <sz val="11"/>
            <color rgb="FF000000"/>
            <rFont val="Calibri"/>
          </rPr>
          <t>Pricing is too low. Not worth selling at this price point.  I would try back up around 34 min.  We hard great performance in Nov in the upper 30s.  Why drop to lower 30s?
	-Bryan Mercer</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D00-000001000000}">
      <text>
        <r>
          <rPr>
            <sz val="11"/>
            <color rgb="FF000000"/>
            <rFont val="Calibri"/>
          </rPr>
          <t>Cassidy:
Break Even Price</t>
        </r>
      </text>
    </comment>
    <comment ref="B5" authorId="0" shapeId="0" xr:uid="{00000000-0006-0000-0D00-000002000000}">
      <text>
        <r>
          <rPr>
            <sz val="11"/>
            <color rgb="FF000000"/>
            <rFont val="Calibri"/>
          </rPr>
          <t>David - I would like to make this at least a break even.  Can we cut PPC dramatically here without hurting "other sku sales".  perhaps by using the budget somewhere else.  Removing this inventory is fine.  We can use in in JHS.
	-Bryan Mercer</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E00-000001000000}">
      <text>
        <r>
          <rPr>
            <sz val="11"/>
            <color rgb="FF000000"/>
            <rFont val="Calibri"/>
          </rPr>
          <t>Cassidy:
Break Even Price</t>
        </r>
      </text>
    </comment>
    <comment ref="B5" authorId="0" shapeId="0" xr:uid="{00000000-0006-0000-0E00-000002000000}">
      <text>
        <r>
          <rPr>
            <sz val="11"/>
            <color rgb="FF000000"/>
            <rFont val="Calibri"/>
          </rPr>
          <t>Would cutting price a few dollars and spending PPC here, rather than on the single result in more combined profit?
	-Bryan Mercer</t>
        </r>
      </text>
    </comment>
    <comment ref="B11" authorId="0" shapeId="0" xr:uid="{00000000-0006-0000-0E00-000003000000}">
      <text>
        <r>
          <rPr>
            <sz val="11"/>
            <color rgb="FF000000"/>
            <rFont val="Calibri"/>
          </rPr>
          <t>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t>
        </r>
      </text>
    </comment>
    <comment ref="B13" authorId="0" shapeId="0" xr:uid="{00000000-0006-0000-0E00-000004000000}">
      <text>
        <r>
          <rPr>
            <sz val="11"/>
            <color rgb="FF000000"/>
            <rFont val="Calibri"/>
          </rPr>
          <t>Try lower price, higher velocity to hopefully generate more profit.
	-Bryan Mercer</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F00-000001000000}">
      <text>
        <r>
          <rPr>
            <sz val="11"/>
            <color rgb="FF000000"/>
            <rFont val="Calibri"/>
          </rPr>
          <t>Cassidy:
Break Even Price</t>
        </r>
      </text>
    </comment>
    <comment ref="B5" authorId="0" shapeId="0" xr:uid="{00000000-0006-0000-0F00-000002000000}">
      <text>
        <r>
          <rPr>
            <sz val="11"/>
            <color rgb="FF000000"/>
            <rFont val="Calibri"/>
          </rPr>
          <t>I think I would try cutting back on PPC, then use the savings to perhaps cut price a little to see if we can get this profitable and get velocity up too.
	-Bryan Mercer</t>
        </r>
      </text>
    </comment>
    <comment ref="B11" authorId="0" shapeId="0" xr:uid="{00000000-0006-0000-0F00-000003000000}">
      <text>
        <r>
          <rPr>
            <sz val="11"/>
            <color rgb="FF000000"/>
            <rFont val="Calibri"/>
          </rPr>
          <t>sessions feel and then slightly back up now, conversion ok not stellar - lots of ppc sales and 79 historical other ppc sales - I wonder if we cna put this on profit peak and test a range - $15.99 to $25.99
	-Pam Galeone</t>
        </r>
      </text>
    </comment>
    <comment ref="B13" authorId="0" shapeId="0" xr:uid="{00000000-0006-0000-0F00-000004000000}">
      <text>
        <r>
          <rPr>
            <sz val="11"/>
            <color rgb="FF000000"/>
            <rFont val="Calibri"/>
          </rPr>
          <t>Price is too high compared to competition.  Therefore we have to spend too much PPC to keep velocity up.  Lower price.
	-Bryan Mercer</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000-000001000000}">
      <text>
        <r>
          <rPr>
            <sz val="11"/>
            <color rgb="FF000000"/>
            <rFont val="Calibri"/>
          </rPr>
          <t>Cassidy:
Break Even Price</t>
        </r>
      </text>
    </comment>
    <comment ref="B5" authorId="0" shapeId="0" xr:uid="{00000000-0006-0000-1000-000002000000}">
      <text>
        <r>
          <rPr>
            <sz val="11"/>
            <color rgb="FF000000"/>
            <rFont val="Calibri"/>
          </rPr>
          <t>Maybe try reducing a dollar to get velocity and profit up?
	-Bryan Mercer</t>
        </r>
      </text>
    </comment>
    <comment ref="C9" authorId="0" shapeId="0" xr:uid="{00000000-0006-0000-1000-000003000000}">
      <text>
        <r>
          <rPr>
            <sz val="11"/>
            <color rgb="FF000000"/>
            <rFont val="Calibri"/>
          </rPr>
          <t>have you tried ppc here?  other multi packs respond favorably to ad spend
	-Bryan Mercer</t>
        </r>
      </text>
    </comment>
    <comment ref="B11" authorId="0" shapeId="0" xr:uid="{00000000-0006-0000-1000-000004000000}">
      <text>
        <r>
          <rPr>
            <sz val="11"/>
            <color rgb="FF000000"/>
            <rFont val="Calibri"/>
          </rPr>
          <t>ppc doesn't seem to be effective- prob turn off
	-Pam Galeone</t>
        </r>
      </text>
    </comment>
    <comment ref="B13" authorId="0" shapeId="0" xr:uid="{00000000-0006-0000-1000-000005000000}">
      <text>
        <r>
          <rPr>
            <sz val="11"/>
            <color rgb="FF000000"/>
            <rFont val="Calibri"/>
          </rPr>
          <t>Reduce price to try to generate more profit.
	-Bryan Mercer</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100-000001000000}">
      <text>
        <r>
          <rPr>
            <sz val="11"/>
            <color rgb="FF000000"/>
            <rFont val="Calibri"/>
          </rPr>
          <t>Cassidy:
Break Even Price</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200-000001000000}">
      <text>
        <r>
          <rPr>
            <sz val="11"/>
            <color rgb="FF000000"/>
            <rFont val="Calibri"/>
          </rPr>
          <t>Cassidy:
Break Even Price</t>
        </r>
      </text>
    </comment>
    <comment ref="B5" authorId="0" shapeId="0" xr:uid="{00000000-0006-0000-1200-000002000000}">
      <text>
        <r>
          <rPr>
            <sz val="11"/>
            <color rgb="FF000000"/>
            <rFont val="Calibri"/>
          </rPr>
          <t>ToDo - All of our other multi packs are profitable.  Why don't we have a 2 pack for this tuck?  Should we have Bargoose make a few to test?
	-Bryan Mercer</t>
        </r>
      </text>
    </comment>
    <comment ref="B13" authorId="0" shapeId="0" xr:uid="{00000000-0006-0000-1200-000003000000}">
      <text>
        <r>
          <rPr>
            <sz val="11"/>
            <color rgb="FF000000"/>
            <rFont val="Calibri"/>
          </rPr>
          <t>Price too high.
	-Bryan Mercer</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300-000001000000}">
      <text>
        <r>
          <rPr>
            <sz val="11"/>
            <color rgb="FF000000"/>
            <rFont val="Calibri"/>
          </rPr>
          <t>Cassidy:
Break Even Price</t>
        </r>
      </text>
    </comment>
    <comment ref="B5" authorId="0" shapeId="0" xr:uid="{00000000-0006-0000-1300-000002000000}">
      <text>
        <r>
          <rPr>
            <sz val="11"/>
            <color rgb="FF000000"/>
            <rFont val="Calibri"/>
          </rPr>
          <t>ToDo - All of our other multi packs are profitable.  Why don't we have a 2 pack for this tuck?  Should we have Bargoose make a few to test?
	-Bryan Mercer</t>
        </r>
      </text>
    </comment>
    <comment ref="B13" authorId="0" shapeId="0" xr:uid="{00000000-0006-0000-1300-000003000000}">
      <text>
        <r>
          <rPr>
            <sz val="11"/>
            <color rgb="FF000000"/>
            <rFont val="Calibri"/>
          </rPr>
          <t>Price too high.
	-Bryan Mercer</t>
        </r>
      </text>
    </comment>
    <comment ref="B18" authorId="0" shapeId="0" xr:uid="{00000000-0006-0000-1300-000004000000}">
      <text>
        <r>
          <rPr>
            <sz val="11"/>
            <color rgb="FF000000"/>
            <rFont val="Calibri"/>
          </rPr>
          <t>since it is no longer delayed shipping, you may want to turn on some light ppc
	-Pam Galeone</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400-000001000000}">
      <text>
        <r>
          <rPr>
            <sz val="11"/>
            <color rgb="FF000000"/>
            <rFont val="Calibri"/>
          </rPr>
          <t>Cassidy:
Break Even Price</t>
        </r>
      </text>
    </comment>
    <comment ref="B11" authorId="0" shapeId="0" xr:uid="{00000000-0006-0000-1400-000002000000}">
      <text>
        <r>
          <rPr>
            <sz val="11"/>
            <color rgb="FF000000"/>
            <rFont val="Calibri"/>
          </rPr>
          <t>Probably too high of a price point
	-Bryan Mercer</t>
        </r>
      </text>
    </comment>
    <comment ref="B13" authorId="0" shapeId="0" xr:uid="{00000000-0006-0000-1400-000003000000}">
      <text>
        <r>
          <rPr>
            <sz val="11"/>
            <color rgb="FF000000"/>
            <rFont val="Calibri"/>
          </rPr>
          <t>price too high
	-Bryan Mercer</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500-000001000000}">
      <text>
        <r>
          <rPr>
            <sz val="11"/>
            <color rgb="FF000000"/>
            <rFont val="Calibri"/>
          </rPr>
          <t>Cassidy:
Break Even Price</t>
        </r>
      </text>
    </comment>
    <comment ref="B53" authorId="0" shapeId="0" xr:uid="{00000000-0006-0000-1500-000002000000}">
      <text>
        <r>
          <rPr>
            <sz val="11"/>
            <color rgb="FF000000"/>
            <rFont val="Calibri"/>
          </rPr>
          <t>Do we really have QOH of 27.  These are now in Ollie Shops I believe.  If so, sell through these before the ones in O.S. to avoid LTSF issues down the road.
	-Bryan Mercer</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600-000001000000}">
      <text>
        <r>
          <rPr>
            <sz val="11"/>
            <color rgb="FF000000"/>
            <rFont val="Calibri"/>
          </rPr>
          <t>Cassidy:
Break Even Price</t>
        </r>
      </text>
    </comment>
    <comment ref="B11" authorId="0" shapeId="0" xr:uid="{00000000-0006-0000-1600-000002000000}">
      <text>
        <r>
          <rPr>
            <sz val="11"/>
            <color rgb="FF000000"/>
            <rFont val="Calibri"/>
          </rPr>
          <t>You may want to increase profit peak ssince BE is $22.99;  ppc doesn't seem to be super helpful as budget increased - should reduce
	-Pam Galeone</t>
        </r>
      </text>
    </comment>
    <comment ref="B13" authorId="0" shapeId="0" xr:uid="{00000000-0006-0000-1600-000003000000}">
      <text>
        <r>
          <rPr>
            <sz val="11"/>
            <color rgb="FF000000"/>
            <rFont val="Calibri"/>
          </rPr>
          <t>I would try lower price to increase velocity.
	-Bryan Mercer</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700-000001000000}">
      <text>
        <r>
          <rPr>
            <sz val="11"/>
            <color rgb="FF000000"/>
            <rFont val="Calibri"/>
          </rPr>
          <t>Cassidy:
Break Even Price</t>
        </r>
      </text>
    </comment>
    <comment ref="B53" authorId="0" shapeId="0" xr:uid="{00000000-0006-0000-1700-000002000000}">
      <text>
        <r>
          <rPr>
            <sz val="11"/>
            <color rgb="FF000000"/>
            <rFont val="Calibri"/>
          </rPr>
          <t>Do we really have QOH of 27.  These are now in Ollie Shops I believe.  If so, sell through these before the ones in O.S. to avoid LTSF issues down the road.
	-Bryan Mercer</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800-000001000000}">
      <text>
        <r>
          <rPr>
            <sz val="11"/>
            <color rgb="FF000000"/>
            <rFont val="Calibri"/>
          </rPr>
          <t>Cassidy:
Break Even Price</t>
        </r>
      </text>
    </comment>
    <comment ref="B53" authorId="0" shapeId="0" xr:uid="{00000000-0006-0000-1800-000002000000}">
      <text>
        <r>
          <rPr>
            <sz val="11"/>
            <color rgb="FF000000"/>
            <rFont val="Calibri"/>
          </rPr>
          <t>Do we really have QOH of 27.  These are now in Ollie Shops I believe.  If so, sell through these before the ones in O.S. to avoid LTSF issues down the road.
	-Bryan Mercer</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900-000001000000}">
      <text>
        <r>
          <rPr>
            <sz val="11"/>
            <color rgb="FF000000"/>
            <rFont val="Calibri"/>
          </rPr>
          <t>Cassidy:
Break Even Price</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A00-000001000000}">
      <text>
        <r>
          <rPr>
            <sz val="11"/>
            <color rgb="FF000000"/>
            <rFont val="Calibri"/>
          </rPr>
          <t>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t>
        </r>
      </text>
    </comment>
    <comment ref="C3" authorId="0" shapeId="0" xr:uid="{00000000-0006-0000-1A00-000002000000}">
      <text>
        <r>
          <rPr>
            <sz val="11"/>
            <color rgb="FF000000"/>
            <rFont val="Calibri"/>
          </rPr>
          <t>Cassidy:
Break Even Price</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B00-000001000000}">
      <text>
        <r>
          <rPr>
            <sz val="11"/>
            <color rgb="FF000000"/>
            <rFont val="Calibri"/>
          </rPr>
          <t>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t>
        </r>
      </text>
    </comment>
    <comment ref="C3" authorId="0" shapeId="0" xr:uid="{00000000-0006-0000-1B00-000002000000}">
      <text>
        <r>
          <rPr>
            <sz val="11"/>
            <color rgb="FF000000"/>
            <rFont val="Calibri"/>
          </rPr>
          <t>Cassidy:
Break Even Price</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C00-000001000000}">
      <text>
        <r>
          <rPr>
            <sz val="11"/>
            <color rgb="FF000000"/>
            <rFont val="Calibri"/>
          </rPr>
          <t>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t>
        </r>
      </text>
    </comment>
    <comment ref="C3" authorId="0" shapeId="0" xr:uid="{00000000-0006-0000-1C00-000002000000}">
      <text>
        <r>
          <rPr>
            <sz val="11"/>
            <color rgb="FF000000"/>
            <rFont val="Calibri"/>
          </rPr>
          <t>Cassidy:
Break Even Price</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D00-000001000000}">
      <text>
        <r>
          <rPr>
            <sz val="11"/>
            <color rgb="FF000000"/>
            <rFont val="Calibri"/>
          </rPr>
          <t>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Do we really have QOH of 27.  These are now in Ollie Shops I believe.  If so, sell through these before the ones in O.S. to avoid LTSF issues down the road.
	-Bryan Mercer
----
I think landed cost is wrong.  Check with Cole
	-Bryan Mercer
----
Pricing is too low. Not worth selling at this price point.  I would try back up around 34 min.  We hard great performance in Nov in the upper 30s.  Why drop to lower 30s?
	-Bryan Mercer
----
Another example of low price poor performance.  How about a reset on all pricing on all variations on this listing?
	-Bryan Mercer
----
did much better at 29.99 and ppc spend.  are competitors much lower now?  This product has really gone down hill.
	-Bryan Mercer
----
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Do we really have QOH of 27.  These are now in Ollie Shops I believe.  If so, sell through these before the ones in O.S. to avoid LTSF issues down the road.
	-Bryan Mercer
----
I think landed cost is wrong.  Check with Cole
	-Bryan Mercer
----
Pricing is too low. Not worth selling at this price point.  I would try back up around 34 min.  We hard great performance in Nov in the upper 30s.  Why drop to lower 30s?
	-Bryan Mercer
----
Another example of low price poor performance.  How about a reset on all pricing on all variations on this listing?
	-Bryan Mercer
----
did much better at 29.99 and ppc spend.  are competitors much lower now?  This product has really gone down hill.
	-Bryan Mercer
----
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t>
        </r>
      </text>
    </comment>
    <comment ref="C3" authorId="0" shapeId="0" xr:uid="{00000000-0006-0000-1D00-000002000000}">
      <text>
        <r>
          <rPr>
            <sz val="11"/>
            <color rgb="FF000000"/>
            <rFont val="Calibri"/>
          </rPr>
          <t>Cassidy:
Break Even Price</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E00-000001000000}">
      <text>
        <r>
          <rPr>
            <sz val="11"/>
            <color rgb="FF000000"/>
            <rFont val="Calibri"/>
          </rPr>
          <t>Cassidy:
Break Even Price</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F00-000001000000}">
      <text>
        <r>
          <rPr>
            <sz val="11"/>
            <color rgb="FF000000"/>
            <rFont val="Calibri"/>
          </rPr>
          <t>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Do we really have QOH of 27.  These are now in Ollie Shops I believe.  If so, sell through these before the ones in O.S. to avoid LTSF issues down the road.
	-Bryan Mercer
----
I think landed cost is wrong.  Check with Cole
	-Bryan Mercer
----
Pricing is too low. Not worth selling at this price point.  I would try back up around 34 min.  We hard great performance in Nov in the upper 30s.  Why drop to lower 30s?
	-Bryan Mercer
----
Another example of low price poor performance.  How about a reset on all pricing on all variations on this listing?
	-Bryan Mercer
----
did much better at 29.99 and ppc spend.  are competitors much lower now?  This product has really gone down hill.
	-Bryan Mercer
----
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t>
        </r>
      </text>
    </comment>
    <comment ref="C3" authorId="0" shapeId="0" xr:uid="{00000000-0006-0000-1F00-000002000000}">
      <text>
        <r>
          <rPr>
            <sz val="11"/>
            <color rgb="FF000000"/>
            <rFont val="Calibri"/>
          </rPr>
          <t>Cassidy:
Break Even Price</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000-000001000000}">
      <text>
        <r>
          <rPr>
            <sz val="11"/>
            <color rgb="FF000000"/>
            <rFont val="Calibri"/>
          </rPr>
          <t>Cassidy:
Break Even Price</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100-000001000000}">
      <text>
        <r>
          <rPr>
            <sz val="11"/>
            <color rgb="FF000000"/>
            <rFont val="Calibri"/>
          </rPr>
          <t>Cassidy:
Break Even Price</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200-000001000000}">
      <text>
        <r>
          <rPr>
            <sz val="11"/>
            <color rgb="FF000000"/>
            <rFont val="Calibri"/>
          </rPr>
          <t>Cassidy:
Break Even Price</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2300-000001000000}">
      <text>
        <r>
          <rPr>
            <sz val="11"/>
            <color rgb="FF000000"/>
            <rFont val="Calibri"/>
          </rPr>
          <t>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Do we really have QOH of 27.  These are now in Ollie Shops I believe.  If so, sell through these before the ones in O.S. to avoid LTSF issues down the road.
	-Bryan Mercer
----
I think landed cost is wrong.  Check with Cole
	-Bryan Mercer
----
Pricing is too low. Not worth selling at this price point.  I would try back up around 34 min.  We hard great performance in Nov in the upper 30s.  Why drop to lower 30s?
	-Bryan Mercer
----
Another example of low price poor performance.  How about a reset on all pricing on all variations on this listing?
	-Bryan Mercer
----
did much better at 29.99 and ppc spend.  are competitors much lower now?  This product has really gone down hill.
	-Bryan Mercer
----
Seems too expensive.  Can we drop to 36.99 and pick up velocity like April?
	-Bryan Mercer
----
Did inventory arrive?
	-Bryan Mercer
----
we seemed to generate more net profit and higher velocity with PPC spend in Feb
	-Bryan Mercer
----
profit better at higher price points
	-Pam Galeone
----
7d velocity according to sellics is 7
	-Pam Galeone
----
4.30 - 7d velocity according to sellics is 23
	-Pam Galeone
----
since it is no longer delayed shipping, you may want to turn on some light ppc
	-Pam Galeone
----
showing as $40.99 - think we should price at $37.99
	-Pam Galeone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t>
        </r>
      </text>
    </comment>
    <comment ref="C3" authorId="0" shapeId="0" xr:uid="{00000000-0006-0000-2300-000002000000}">
      <text>
        <r>
          <rPr>
            <sz val="11"/>
            <color rgb="FF000000"/>
            <rFont val="Calibri"/>
          </rPr>
          <t>Cassidy:
Break Even Price</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400-000001000000}">
      <text>
        <r>
          <rPr>
            <sz val="11"/>
            <color rgb="FF000000"/>
            <rFont val="Calibri"/>
          </rPr>
          <t>Cassidy:
Break Even Price</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500-000001000000}">
      <text>
        <r>
          <rPr>
            <sz val="11"/>
            <color rgb="FF000000"/>
            <rFont val="Calibri"/>
          </rPr>
          <t>Cassidy:
Break Even Price</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600-000001000000}">
      <text>
        <r>
          <rPr>
            <sz val="11"/>
            <color rgb="FF000000"/>
            <rFont val="Calibri"/>
          </rPr>
          <t>Cassidy:
Break Even Price</t>
        </r>
      </text>
    </comment>
    <comment ref="B5" authorId="0" shapeId="0" xr:uid="{00000000-0006-0000-2600-000002000000}">
      <text>
        <r>
          <rPr>
            <sz val="11"/>
            <color rgb="FF000000"/>
            <rFont val="Calibri"/>
          </rPr>
          <t>Unclear to me if PPC spend is really effective this time of year.  Seems like there is no direct correlation with conversion rate on the listing as a whole.
	-Bryan Mercer</t>
        </r>
      </text>
    </comment>
    <comment ref="F8" authorId="0" shapeId="0" xr:uid="{00000000-0006-0000-2600-000003000000}">
      <text>
        <r>
          <rPr>
            <sz val="11"/>
            <color rgb="FF000000"/>
            <rFont val="Calibri"/>
          </rPr>
          <t>user:
1 non-amazon sale</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700-000001000000}">
      <text>
        <r>
          <rPr>
            <sz val="11"/>
            <color rgb="FF000000"/>
            <rFont val="Calibri"/>
          </rPr>
          <t>Cassidy:
Break Even Price</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800-000001000000}">
      <text>
        <r>
          <rPr>
            <sz val="11"/>
            <color rgb="FF000000"/>
            <rFont val="Calibri"/>
          </rPr>
          <t>Cassidy:
Break Even Price</t>
        </r>
      </text>
    </comment>
    <comment ref="B53" authorId="0" shapeId="0" xr:uid="{00000000-0006-0000-2800-000002000000}">
      <text>
        <r>
          <rPr>
            <sz val="11"/>
            <color rgb="FF000000"/>
            <rFont val="Calibri"/>
          </rPr>
          <t>I think landed cost is wrong.  Check with Cole
	-Bryan Mercer</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900-000001000000}">
      <text>
        <r>
          <rPr>
            <sz val="11"/>
            <color rgb="FF000000"/>
            <rFont val="Calibri"/>
          </rPr>
          <t>Cassidy:
Break Even Price</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A00-000001000000}">
      <text>
        <r>
          <rPr>
            <sz val="11"/>
            <color rgb="FF000000"/>
            <rFont val="Calibri"/>
          </rPr>
          <t>Cassidy:
Break Even Price</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B00-000001000000}">
      <text>
        <r>
          <rPr>
            <sz val="11"/>
            <color rgb="FF000000"/>
            <rFont val="Calibri"/>
          </rPr>
          <t>Cassidy:
Break Even Price</t>
        </r>
      </text>
    </comment>
    <comment ref="B5" authorId="0" shapeId="0" xr:uid="{00000000-0006-0000-2B00-000002000000}">
      <text>
        <r>
          <rPr>
            <sz val="11"/>
            <color rgb="FF000000"/>
            <rFont val="Calibri"/>
          </rPr>
          <t>lets raise more to make at least break even
	-Bryan Mercer</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C00-000001000000}">
      <text>
        <r>
          <rPr>
            <sz val="11"/>
            <color rgb="FF000000"/>
            <rFont val="Calibri"/>
          </rPr>
          <t>Cassidy:
Break Even Price</t>
        </r>
      </text>
    </comment>
    <comment ref="B5" authorId="0" shapeId="0" xr:uid="{00000000-0006-0000-2C00-000002000000}">
      <text>
        <r>
          <rPr>
            <sz val="11"/>
            <color rgb="FF000000"/>
            <rFont val="Calibri"/>
          </rPr>
          <t>lets raise more to make at least break even
	-Bryan Mercer</t>
        </r>
      </text>
    </comment>
    <comment ref="B20" authorId="0" shapeId="0" xr:uid="{00000000-0006-0000-2C00-000003000000}">
      <text>
        <r>
          <rPr>
            <sz val="11"/>
            <color rgb="FF000000"/>
            <rFont val="Calibri"/>
          </rPr>
          <t>4.30 - 7d velocity according to sellics is 23
	-Pam Galeone</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D00-000001000000}">
      <text>
        <r>
          <rPr>
            <sz val="11"/>
            <color rgb="FF000000"/>
            <rFont val="Calibri"/>
          </rPr>
          <t>Cassidy:
Break Even Price</t>
        </r>
      </text>
    </comment>
    <comment ref="B5" authorId="0" shapeId="0" xr:uid="{00000000-0006-0000-2D00-000002000000}">
      <text>
        <r>
          <rPr>
            <sz val="11"/>
            <color rgb="FF000000"/>
            <rFont val="Calibri"/>
          </rPr>
          <t>lets raise more to make at least break even
	-Bryan Mercer</t>
        </r>
      </text>
    </comment>
    <comment ref="B20" authorId="0" shapeId="0" xr:uid="{00000000-0006-0000-2D00-000003000000}">
      <text>
        <r>
          <rPr>
            <sz val="11"/>
            <color rgb="FF000000"/>
            <rFont val="Calibri"/>
          </rPr>
          <t>7d velocity according to sellics is 7
	-Pam Galeone</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E00-000001000000}">
      <text>
        <r>
          <rPr>
            <sz val="11"/>
            <color rgb="FF000000"/>
            <rFont val="Calibri"/>
          </rPr>
          <t>Cassidy:
Break Even Price</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F00-000001000000}">
      <text>
        <r>
          <rPr>
            <sz val="11"/>
            <color rgb="FF000000"/>
            <rFont val="Calibri"/>
          </rPr>
          <t>Cassidy:
Break Even Price</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3000-000001000000}">
      <text>
        <r>
          <rPr>
            <sz val="11"/>
            <color rgb="FF000000"/>
            <rFont val="Calibri"/>
          </rPr>
          <t>Cassidy:
Break Even Price</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3100-000001000000}">
      <text>
        <r>
          <rPr>
            <sz val="11"/>
            <color rgb="FF000000"/>
            <rFont val="Calibri"/>
          </rPr>
          <t>Cassidy:
Break Even Price</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3200-000001000000}">
      <text>
        <r>
          <rPr>
            <sz val="11"/>
            <color rgb="FF000000"/>
            <rFont val="Calibri"/>
          </rPr>
          <t>Cassidy:
Break Even Price</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3300-000001000000}">
      <text>
        <r>
          <rPr>
            <sz val="11"/>
            <color rgb="FF000000"/>
            <rFont val="Calibri"/>
          </rPr>
          <t>Cassidy:
Break Even Price</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3400-000001000000}">
      <text>
        <r>
          <rPr>
            <sz val="11"/>
            <color rgb="FF000000"/>
            <rFont val="Calibri"/>
          </rPr>
          <t>Cassidy:
Break Even Price</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3500-000001000000}">
      <text>
        <r>
          <rPr>
            <sz val="11"/>
            <color rgb="FF000000"/>
            <rFont val="Calibri"/>
          </rPr>
          <t>Cassidy:
Break Even Price</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3600-000001000000}">
      <text>
        <r>
          <rPr>
            <sz val="11"/>
            <color rgb="FF000000"/>
            <rFont val="Calibri"/>
          </rPr>
          <t>Cassidy:
Break Even Price</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3700-000001000000}">
      <text>
        <r>
          <rPr>
            <sz val="11"/>
            <color rgb="FF000000"/>
            <rFont val="Calibri"/>
          </rPr>
          <t>Cassidy:
Break Even Price</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3800-000001000000}">
      <text>
        <r>
          <rPr>
            <sz val="11"/>
            <color rgb="FF000000"/>
            <rFont val="Calibri"/>
          </rPr>
          <t>Cassidy:
Break Even Price</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3900-000001000000}">
      <text>
        <r>
          <rPr>
            <sz val="11"/>
            <color rgb="FF000000"/>
            <rFont val="Calibri"/>
          </rPr>
          <t>Cassidy:
Break Even Price</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3A00-000001000000}">
      <text>
        <r>
          <rPr>
            <sz val="11"/>
            <color rgb="FF000000"/>
            <rFont val="Calibri"/>
          </rPr>
          <t>Cassidy:
Break Even Price</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3B00-000001000000}">
      <text>
        <r>
          <rPr>
            <sz val="11"/>
            <color rgb="FF000000"/>
            <rFont val="Calibri"/>
          </rPr>
          <t>Cassidy:
Break Even Price</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3C00-000001000000}">
      <text>
        <r>
          <rPr>
            <sz val="11"/>
            <color rgb="FF000000"/>
            <rFont val="Calibri"/>
          </rPr>
          <t>Cassidy:
Break Even Price</t>
        </r>
      </text>
    </comment>
    <comment ref="F19" authorId="0" shapeId="0" xr:uid="{00000000-0006-0000-3C00-000002000000}">
      <text>
        <r>
          <rPr>
            <sz val="11"/>
            <color rgb="FF000000"/>
            <rFont val="Calibri"/>
          </rPr>
          <t>user:
1 non-amazon sale</t>
        </r>
      </text>
    </comment>
    <comment ref="F21" authorId="0" shapeId="0" xr:uid="{00000000-0006-0000-3C00-000003000000}">
      <text>
        <r>
          <rPr>
            <sz val="11"/>
            <color rgb="FF000000"/>
            <rFont val="Calibri"/>
          </rPr>
          <t>user:
1 non-amazon sale</t>
        </r>
      </text>
    </comment>
    <comment ref="F23" authorId="0" shapeId="0" xr:uid="{00000000-0006-0000-3C00-000004000000}">
      <text>
        <r>
          <rPr>
            <sz val="11"/>
            <color rgb="FF000000"/>
            <rFont val="Calibri"/>
          </rPr>
          <t>user:
1 non-amazon sale</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3D00-000001000000}">
      <text>
        <r>
          <rPr>
            <sz val="11"/>
            <color rgb="FF000000"/>
            <rFont val="Calibri"/>
          </rPr>
          <t>Cassidy:
Break Even Price</t>
        </r>
      </text>
    </comment>
    <comment ref="F10" authorId="0" shapeId="0" xr:uid="{00000000-0006-0000-3D00-000002000000}">
      <text>
        <r>
          <rPr>
            <sz val="11"/>
            <color rgb="FF000000"/>
            <rFont val="Calibri"/>
          </rPr>
          <t>user:
1 non-amazon sale</t>
        </r>
      </text>
    </comment>
    <comment ref="F20" authorId="0" shapeId="0" xr:uid="{00000000-0006-0000-3D00-000003000000}">
      <text>
        <r>
          <rPr>
            <sz val="11"/>
            <color rgb="FF000000"/>
            <rFont val="Calibri"/>
          </rPr>
          <t xml:space="preserve">user:
1 non-amazon sale
</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3E00-000001000000}">
      <text>
        <r>
          <rPr>
            <sz val="11"/>
            <color rgb="FF000000"/>
            <rFont val="Calibri"/>
          </rPr>
          <t>Cassidy:
Break Even Price</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3F00-000001000000}">
      <text>
        <r>
          <rPr>
            <sz val="11"/>
            <color rgb="FF000000"/>
            <rFont val="Calibri"/>
          </rPr>
          <t>Cassidy:
Break Even Price</t>
        </r>
      </text>
    </comment>
    <comment ref="F26" authorId="0" shapeId="0" xr:uid="{00000000-0006-0000-3F00-000002000000}">
      <text>
        <r>
          <rPr>
            <sz val="11"/>
            <color rgb="FF000000"/>
            <rFont val="Calibri"/>
          </rPr>
          <t>user:
2 non-amazon sales</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4000-000001000000}">
      <text>
        <r>
          <rPr>
            <sz val="11"/>
            <color rgb="FF000000"/>
            <rFont val="Calibri"/>
          </rPr>
          <t>Cassidy:
Break Even Price</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4100-000001000000}">
      <text>
        <r>
          <rPr>
            <sz val="11"/>
            <color rgb="FF000000"/>
            <rFont val="Calibri"/>
          </rPr>
          <t>Cassidy:
Break Even Price</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4200-000001000000}">
      <text>
        <r>
          <rPr>
            <sz val="11"/>
            <color rgb="FF000000"/>
            <rFont val="Calibri"/>
          </rPr>
          <t>Cassidy:
Break Even Price</t>
        </r>
      </text>
    </comment>
    <comment ref="B5" authorId="0" shapeId="0" xr:uid="{00000000-0006-0000-4200-000002000000}">
      <text>
        <r>
          <rPr>
            <sz val="11"/>
            <color rgb="FF000000"/>
            <rFont val="Calibri"/>
          </rPr>
          <t>Unclear to me if PPC spend is really effective this time of year.  Seems like there is no direct correlation with conversion rate on the listing as a whole.
	-Bryan Mercer</t>
        </r>
      </text>
    </comment>
    <comment ref="F8" authorId="0" shapeId="0" xr:uid="{00000000-0006-0000-4200-000003000000}">
      <text>
        <r>
          <rPr>
            <sz val="11"/>
            <color rgb="FF000000"/>
            <rFont val="Calibri"/>
          </rPr>
          <t>user:
1 non-amazon sale</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4300-000001000000}">
      <text>
        <r>
          <rPr>
            <sz val="11"/>
            <color rgb="FF000000"/>
            <rFont val="Calibri"/>
          </rPr>
          <t>Cassidy:
Break Even Price</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4400-000001000000}">
      <text>
        <r>
          <rPr>
            <sz val="11"/>
            <color rgb="FF000000"/>
            <rFont val="Calibri"/>
          </rPr>
          <t>Cassidy:
Break Even Price</t>
        </r>
      </text>
    </comment>
    <comment ref="F6" authorId="0" shapeId="0" xr:uid="{00000000-0006-0000-4400-000002000000}">
      <text>
        <r>
          <rPr>
            <sz val="11"/>
            <color rgb="FF000000"/>
            <rFont val="Calibri"/>
          </rPr>
          <t>user:
1 non-amazon sale</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4500-000001000000}">
      <text>
        <r>
          <rPr>
            <sz val="11"/>
            <color rgb="FF000000"/>
            <rFont val="Calibri"/>
          </rPr>
          <t>Cassidy:
Break Even Price</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4600-000001000000}">
      <text>
        <r>
          <rPr>
            <sz val="11"/>
            <color rgb="FF000000"/>
            <rFont val="Calibri"/>
          </rPr>
          <t>Cassidy:
Break Even Price</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4700-000001000000}">
      <text>
        <r>
          <rPr>
            <sz val="11"/>
            <color rgb="FF000000"/>
            <rFont val="Calibri"/>
          </rPr>
          <t>Cassidy:
Break Even Price</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4800-000001000000}">
      <text>
        <r>
          <rPr>
            <sz val="11"/>
            <color rgb="FF000000"/>
            <rFont val="Calibri"/>
          </rPr>
          <t>Cassidy:
Break Even Price</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4900-000001000000}">
      <text>
        <r>
          <rPr>
            <sz val="11"/>
            <color rgb="FF000000"/>
            <rFont val="Calibri"/>
          </rPr>
          <t>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
----
I would try lower price to increase velocity.
	-Bryan Mercer
----
price too high
	-Bryan Mercer
----
Price too high.
	-Bryan Mercer
----
Reduce price to try to generate more profit.
	-Bryan Mercer
----
Price is too high compared to competition.  Therefore we have to spend too much PPC to keep velocity up.  Lower price.
	-Bryan Mercer
----
Try lower price, higher velocity to hopefully generate more profit.
	-Bryan Mercer
----
I would try 37.99 and not as much PPC.  I think we are pricing too high.  We need to try to get velocity higher.  Competition is much lower price.
	-Bryan Mercer
----
I would try a little lower price with same ppc
	-Bryan Mercer
----
obvioulsy ppc needs to be reduced and I think velocity should be reduced
	-Pam Galeone
Lets try low price and low PPC.  e.g. 16.99 with minimal spend
	-Bryan Mercer
----
You may want to increase profit peak ssince BE is $22.99;  ppc doesn't seem to be super helpful as budget increased - should reduce
	-Pam Galeone
----
ppc doesn't seem to be effective- prob turn off
	-Pam Galeone
----
sessions feel and then slightly back up now, conversion ok not stellar - lots of ppc sales and 79 historical other ppc sales - I wonder if we cna put this on profit peak and test a range - $15.99 to $25.99
	-Pam Galeone
----
Probably too high of a price point
	-Bryan Mercer
----
it seems like ppc is way more effective on the 1 pack - ppc is not generating more sales here - should you turn off?  seems like more combined profit when ppc on 1 pack and not here
	-Pam Galeone
this is the SKU that bryan suggested spending PPC on back in january- I decided to stop most PPC spend here, opting for the 1-pack. the only remaining PPC here is left on because it was the one adgroup whose ACoS was better than the 1-pack. I'll switch this over to the 1-pack this week to replicate past success, and just trim substantially for waste
	-David Jubar
----
have you tried ppc here?  other multi packs respond favorably to ad spend
	-Bryan Mercer
----
significant drop apparently due to PPC pause.  Hopefully this is now back on.
	-Bryan Mercer
----
I would test lower price since we generated more profit at 20 and 21.99
	-Bryan Mercer
----
Unclear to me if PPC spend is really effective this time of year.  Seems like there is no direct correlation with conversion rate on the listing as a whole.
	-Bryan Mercer
----
lets raise more to make at least break even
	-Bryan Mercer
----
ToDo - All of our other multi packs are profitable.  Why don't we have a 2 pack for this tuck?  Should we have Bargoose make a few to test?
	-Bryan Mercer
----
Maybe try reducing a dollar to get velocity and profit up?
	-Bryan Mercer
----
I think I would try cutting back on PPC, then use the savings to perhaps cut price a little to see if we can get this profitable and get velocity up too.
	-Bryan Mercer
----
Would cutting price a few dollars and spending PPC here, rather than on the single result in more combined profit?
	-Bryan Mercer
----
David - I would like to make this at least a break even.  Can we cut PPC dramatically here without hurting "other sku sales".  perhaps by using the budget somewhere else.  Removing this inventory is fine.  We can use in in JHS.
	-Bryan Mercer</t>
        </r>
      </text>
    </comment>
    <comment ref="C3" authorId="0" shapeId="0" xr:uid="{00000000-0006-0000-4900-000002000000}">
      <text>
        <r>
          <rPr>
            <sz val="11"/>
            <color rgb="FF000000"/>
            <rFont val="Calibri"/>
          </rPr>
          <t>Cassidy:
Break Even Price</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4A00-000001000000}">
      <text>
        <r>
          <rPr>
            <sz val="11"/>
            <color rgb="FF000000"/>
            <rFont val="Calibri"/>
          </rPr>
          <t>Cassidy:
Break Even Price</t>
        </r>
      </text>
    </comment>
  </commentList>
</comments>
</file>

<file path=xl/sharedStrings.xml><?xml version="1.0" encoding="utf-8"?>
<sst xmlns="http://schemas.openxmlformats.org/spreadsheetml/2006/main" count="12819" uniqueCount="1259">
  <si>
    <t>Price</t>
  </si>
  <si>
    <t>AMZ
Sales</t>
  </si>
  <si>
    <t>Non-AMZ 
Sales</t>
  </si>
  <si>
    <t>Revenue</t>
  </si>
  <si>
    <t>PPC Spend</t>
  </si>
  <si>
    <t>% 
Ad Spend</t>
  </si>
  <si>
    <t>Margin
(Incl. Storage)</t>
  </si>
  <si>
    <t>Net Profit
(Incl. Storage)</t>
  </si>
  <si>
    <t>Profit / 
Piece</t>
  </si>
  <si>
    <t>Sessions</t>
  </si>
  <si>
    <t>Conversion
Rate</t>
  </si>
  <si>
    <t>QTY</t>
  </si>
  <si>
    <t>AMZ
7D Velocity</t>
  </si>
  <si>
    <t>Non-AMZ
7D Velocity</t>
  </si>
  <si>
    <t>DOH</t>
  </si>
  <si>
    <t>On 
Order</t>
  </si>
  <si>
    <t>In 
Transit</t>
  </si>
  <si>
    <t>Shipment ID - 
Est. Arrival Date</t>
  </si>
  <si>
    <t xml:space="preserve">PPC
Sales </t>
  </si>
  <si>
    <t>% PPC Sales</t>
  </si>
  <si>
    <t>Cost per PPC Sale</t>
  </si>
  <si>
    <t>PPC Sales 
(Other SKUs)</t>
  </si>
  <si>
    <t>Size Tier</t>
  </si>
  <si>
    <t>Storage Per 
Cubic Ft.</t>
  </si>
  <si>
    <t xml:space="preserve">Volume </t>
  </si>
  <si>
    <t>Storage 
Cost</t>
  </si>
  <si>
    <t>FBA 
Fee</t>
  </si>
  <si>
    <t>Blended 
Landed Cost</t>
  </si>
  <si>
    <t>Coupons</t>
  </si>
  <si>
    <t>Sell 
Through</t>
  </si>
  <si>
    <t>SS-BCL-BWDW200</t>
  </si>
  <si>
    <t>Yearly Totals</t>
  </si>
  <si>
    <t>12/17 to 12/23</t>
  </si>
  <si>
    <t>$8.35 BE price in OS, so lowered price to $14.99</t>
  </si>
  <si>
    <t/>
  </si>
  <si>
    <t>UsLargeStandardSize</t>
  </si>
  <si>
    <t>12/24 to 12/30</t>
  </si>
  <si>
    <t>SS-BCL-DICE-6PK</t>
  </si>
  <si>
    <t>12/3 to 12/9</t>
  </si>
  <si>
    <t>15 sold in past 7 days- price lowered to $20.99</t>
  </si>
  <si>
    <t>12/10 to 12/16</t>
  </si>
  <si>
    <t>raised ppeak</t>
  </si>
  <si>
    <t>PPEAK $22.99-26.99</t>
  </si>
  <si>
    <t>SS-BCL-HTOSS-A</t>
  </si>
  <si>
    <t>SKU not synced up to ppeak- priced increased to $26.99</t>
  </si>
  <si>
    <t>maintaining</t>
  </si>
  <si>
    <t>sold out</t>
  </si>
  <si>
    <t>SS-DD-BAMBOO-CRIB-042852E</t>
  </si>
  <si>
    <t>12/26/19 to 1/1/20</t>
  </si>
  <si>
    <t>1/2 to 1/8</t>
  </si>
  <si>
    <t>Searched Amazon for Bamboo crib pad single listings with higher prices or fewer ratings, and created product targeting campaign.</t>
  </si>
  <si>
    <t>1/9 to 1/15</t>
  </si>
  <si>
    <t>raised a few bids in the product targeting campaign to get in front of more shoppers.</t>
  </si>
  <si>
    <t>1/16 to 1/22</t>
  </si>
  <si>
    <t>1/23 to 1/29</t>
  </si>
  <si>
    <t>setting up PPEAK $11.99-$13.99</t>
  </si>
  <si>
    <t>1/30 to 2/5</t>
  </si>
  <si>
    <t>4 sales in last 7 days. letting PPEAK work to find opt price.</t>
  </si>
  <si>
    <t>2/6 to 2/12</t>
  </si>
  <si>
    <t>Per Austin's suggestion, pausing all PPC and pricing at $9.99 (this is better than destruction losses)</t>
  </si>
  <si>
    <t>2/13 to 2/19</t>
  </si>
  <si>
    <t>Losses per piece are lower again, maintaining at this price point.</t>
  </si>
  <si>
    <t>2/20 to 2/26</t>
  </si>
  <si>
    <t>2/27 to 3/4</t>
  </si>
  <si>
    <t>3/5 to 3/11</t>
  </si>
  <si>
    <t>3/12 to 3/18</t>
  </si>
  <si>
    <t>3/19 to 3/25</t>
  </si>
  <si>
    <t>3/26 to 4/1</t>
  </si>
  <si>
    <t>PPEAK $11.99-13.99 has kep loss/piece low but with fewer than 90 units remaining and with PPEAk opt price at $13.99, raising PPEAK $13.99-15.99</t>
  </si>
  <si>
    <t>4/2 to 4/8</t>
  </si>
  <si>
    <t>loos/piece best yet, with only 73 units left, raiging beyond last week's increase, to $15.99-19.99, to sell the last out at a profit.</t>
  </si>
  <si>
    <t>4/9 to 4/15</t>
  </si>
  <si>
    <t>Per some of Sean's recommendations, priced at $14.99 (instead of 12 since we only have 72 units left and arent reordering this) with some light ppc</t>
  </si>
  <si>
    <t>4/16 to 4/22</t>
  </si>
  <si>
    <t>7DV is .86, loss/piece is low, maintaining</t>
  </si>
  <si>
    <t>4/23 to 4/29</t>
  </si>
  <si>
    <t xml:space="preserve">loss/piece is lowest. trying pausing PPC </t>
  </si>
  <si>
    <t>4/30 to 5/6</t>
  </si>
  <si>
    <t>profitable! maintaining.</t>
  </si>
  <si>
    <t>5/7 to 5/13</t>
  </si>
  <si>
    <t>5/14 to 5/20</t>
  </si>
  <si>
    <t>5/21 to 5/27</t>
  </si>
  <si>
    <t>Raising another $2 on remaining SKUs.</t>
  </si>
  <si>
    <t>5/28 to 6/3</t>
  </si>
  <si>
    <t>6/4 to 6/10</t>
  </si>
  <si>
    <t>PPEAK $17.99-19.99 for remaining units</t>
  </si>
  <si>
    <t>6/11 to 6/17</t>
  </si>
  <si>
    <t>6/18 to 6/24</t>
  </si>
  <si>
    <t>Raised PP to $17.99 to $29.99</t>
  </si>
  <si>
    <t>6/25 to 7/1</t>
  </si>
  <si>
    <t>7/2 to 7/8</t>
  </si>
  <si>
    <t>PPEAK $19.99-29.99</t>
  </si>
  <si>
    <t>7/9 to 7/15</t>
  </si>
  <si>
    <t>PPEAK $20.99-30.99</t>
  </si>
  <si>
    <t>7/16 to 7/22</t>
  </si>
  <si>
    <t>7/23 to 7/29</t>
  </si>
  <si>
    <t>7/30 to 8/5</t>
  </si>
  <si>
    <t>maintaining to sell out</t>
  </si>
  <si>
    <t>8/6 to 8/12</t>
  </si>
  <si>
    <t>8/13 to 8/19</t>
  </si>
  <si>
    <t>8/20 to 8/26</t>
  </si>
  <si>
    <t>8/27 to 9/2</t>
  </si>
  <si>
    <t>9/3 to 9/9</t>
  </si>
  <si>
    <t xml:space="preserve"> - </t>
  </si>
  <si>
    <t>-</t>
  </si>
  <si>
    <t>9/10 to 9/16</t>
  </si>
  <si>
    <t>9/17 to 9/23</t>
  </si>
  <si>
    <t>9/24 to 9/30</t>
  </si>
  <si>
    <t>10/1 to 10/7</t>
  </si>
  <si>
    <t>10/8 to 10/14</t>
  </si>
  <si>
    <t>PPEAK $19.99-22.99, working on optimiing images with creative team</t>
  </si>
  <si>
    <t>10/15 to 10/21</t>
  </si>
  <si>
    <t>Good conversion, PPEAK $18.9-21.99, ppc on $3/day</t>
  </si>
  <si>
    <t>10/22 to 10/28</t>
  </si>
  <si>
    <t>auto ppc on, PPEAK $17.99-21.99</t>
  </si>
  <si>
    <t>10/29 to 11/4</t>
  </si>
  <si>
    <t>I know we're going to be working on redoing images for this, but lowering price now, PPEAK $13.99-16.99 as loss leader with ads on for this and 2pk</t>
  </si>
  <si>
    <t>11/5 to 11/11</t>
  </si>
  <si>
    <t>1/day so far! improving. opt ppc</t>
  </si>
  <si>
    <t>11/12 to 11/18</t>
  </si>
  <si>
    <t>completely redid the titles, bullets, and added all keywords to long desciption to increase indexing. opt ppc for 1 pack, paused it here</t>
  </si>
  <si>
    <t>11/19 to 11/25</t>
  </si>
  <si>
    <t>2 sales in 7D, maintaining</t>
  </si>
  <si>
    <t>11/26 to 12/2</t>
  </si>
  <si>
    <t xml:space="preserve">5 sales in 7D, paused ppc, adding coupon </t>
  </si>
  <si>
    <t>PPEAK off, priced at $14.99, ppc off, $1 off coupon</t>
  </si>
  <si>
    <t>one sale, mainitning</t>
  </si>
  <si>
    <t>nothing here this week, PPEAK $14.99-16.99, adding coupon</t>
  </si>
  <si>
    <t>SS-DD-BAMBOO-CRIB-PAD-DEEP-2PK</t>
  </si>
  <si>
    <t>ppc on for 1pk</t>
  </si>
  <si>
    <t>Pricing at $23.99, adding $1 off coupon</t>
  </si>
  <si>
    <t>PPEAK $21.99-23.99 with ppc and $1 off coupon</t>
  </si>
  <si>
    <t>one sale, maintaining</t>
  </si>
  <si>
    <t>even better conversion rate than last week! maintining</t>
  </si>
  <si>
    <t>SS-DD-ORGANIC-FITTED-CRIB-182852E</t>
  </si>
  <si>
    <t>Optimizing PPC.</t>
  </si>
  <si>
    <t xml:space="preserve">generated competitor ASINs from ad report and made product targeting campaign </t>
  </si>
  <si>
    <t>raised PPEAK $30.99-32.99, and opt PPC</t>
  </si>
  <si>
    <t>Conversion not as high as at a lower range- $30.99 is the opt price. lowering PPEAK range to $28.99-30.99</t>
  </si>
  <si>
    <t>Raising PPEAK range to $28.99-38.99, opt ppc</t>
  </si>
  <si>
    <t>Raising PPEAK range to $28.99-38.99, trimmed  ppc for wasted spend</t>
  </si>
  <si>
    <t>Paused Manual with auto performing very well, boosted PPC bid a bit, maintianing at this price point</t>
  </si>
  <si>
    <t xml:space="preserve">PPC paused, after showing April 30th delivery. </t>
  </si>
  <si>
    <t>no PPC, and 7DV is already up to 5.14. Maintaining</t>
  </si>
  <si>
    <t>7DV 5.43, at 27% margin. Opt price in PPEAK is $29.99, the min. to improve conversion and reach towards taget velocity, lowering range to $26.99-36.99</t>
  </si>
  <si>
    <t>PPEAK max lowered to really give these a chance to test the lower segment of the price range for higher velocity: $26.99-30.99</t>
  </si>
  <si>
    <t>at target! tightened up range $28.99(otp price)-30.99, closing in on 30 per seans review</t>
  </si>
  <si>
    <t>Maintaining</t>
  </si>
  <si>
    <t>7DV is 8. PPEAK $28.99-32.99</t>
  </si>
  <si>
    <t>7Dv back to 6.29, maintaining</t>
  </si>
  <si>
    <t>Target 8.5, 7Dv is 8.71, maintaining</t>
  </si>
  <si>
    <t>On target! units inbound hitting later this week</t>
  </si>
  <si>
    <t>PPEAK $30.99-35.99, activating some PPC to improve profit and velocity, $3/day budget to start</t>
  </si>
  <si>
    <t>7DV 7.71! getting faster. Opt ppc</t>
  </si>
  <si>
    <t>7DV still below target- PPEAK $28.99-33.99 to accelerate, more price sensitive than responsive to advertising. pausing ppc</t>
  </si>
  <si>
    <t>PPEAK $27.99-29.99 to accelerate</t>
  </si>
  <si>
    <t>Lowered PP to $26.95 to $39.99. Added target of 9 (Splitly won't do 8.5 and I'd rather err on the high sales side)</t>
  </si>
  <si>
    <t>accelerating, 7.43 vs 8.5 target. lowering ppeak min $25.99-39.99</t>
  </si>
  <si>
    <t>Putting PPEAK back to  $28.99-32.99, where its bit target in the past</t>
  </si>
  <si>
    <t>7Dv 6.14, conversion rate up, $28.99-30.99</t>
  </si>
  <si>
    <t>PPEAK 6.86, conversion up, maintianing</t>
  </si>
  <si>
    <t>PPEAK $26.99-29.99 to speed up a bit</t>
  </si>
  <si>
    <t>PPEAK $24.99-27.99, target of 9 to improve</t>
  </si>
  <si>
    <t>Maintianing</t>
  </si>
  <si>
    <t>Disconnected from PPEAK, Priced at $26.99 to improve velocity/conversion.</t>
  </si>
  <si>
    <t>20% margin, $20 conversion, at 4.5-5/day.</t>
  </si>
  <si>
    <t>good conversion ,margin, and velocity. maintianing</t>
  </si>
  <si>
    <t>restock is in, maintaining</t>
  </si>
  <si>
    <t>receiving in restock, not yet available.</t>
  </si>
  <si>
    <t>3.57 velocity! going well. PPEAK $26.99-32.99</t>
  </si>
  <si>
    <t>picking up, headed to target, maintining</t>
  </si>
  <si>
    <t>PPEAK $25.99-32.99</t>
  </si>
  <si>
    <t>low ppc onto accelerate</t>
  </si>
  <si>
    <t>7DV 6.71! a bit fast</t>
  </si>
  <si>
    <t>maintianing</t>
  </si>
  <si>
    <t>conversion up, at target margin</t>
  </si>
  <si>
    <t>on target for margin and velocity</t>
  </si>
  <si>
    <t>PPEAK $28.99-31.99, PPC back on for when restock hits</t>
  </si>
  <si>
    <t>selling out</t>
  </si>
  <si>
    <t>out</t>
  </si>
  <si>
    <t>SS-DD-ORGANIC-FITTED-MATTRESS-182739E</t>
  </si>
  <si>
    <t>40% margin means we could  likely sell more of these at a lower price point, and make more profit overall. Lowering price $1 to $25.99.</t>
  </si>
  <si>
    <t>conversion dropped. increasing price could be fine but there could be better conversion in the future if we leave it here. Maintianing.</t>
  </si>
  <si>
    <t>paused PPC, raising PPEAK range $26.99-30.99</t>
  </si>
  <si>
    <t>conversion took a hit, margin is high, but we're stilla above target.</t>
  </si>
  <si>
    <t>PPEAK range raised, $24.99-34.99</t>
  </si>
  <si>
    <t>PPEAK has found $24.99 to be the optimal price, lowering range $1 to $23.99-33.99</t>
  </si>
  <si>
    <t>PPEAK shows $24.99 best price still $24.99, rasied PPEAK range $24.99-34.99.</t>
  </si>
  <si>
    <t>PPEAK $22.99-39.99</t>
  </si>
  <si>
    <t>Auto PPC campaign has a good lifetime ACoS. activatin at $7/day budget. PPEAK showing $24.19 as opt price, PPEAK $21.99-25.99 to test a bit lower prices and speed up.</t>
  </si>
  <si>
    <t>Auto PPC campaign didnt spend- raised bids a bit. PPEAK range is $20.99-25.99, but opt is at high end. To improve velocity, lowering range to $20.99-23.99</t>
  </si>
  <si>
    <t>With BE at $14.27, setting PPEAK range $17.99-20.99 to really force it to test lower prices, since its been sticking with opt pricing thats been at the top of the range, and pausing PPC since it did poorly.</t>
  </si>
  <si>
    <t>7DV 2.29, looking good and accelerating now, pausing PPC</t>
  </si>
  <si>
    <t>7DV 1.86- PPEAK max lowered to test lower prices $17.99-19.99</t>
  </si>
  <si>
    <t>7DV 2.14, opt price showing as $19.99</t>
  </si>
  <si>
    <t>conversion down a bit, but sales steady. maintianing</t>
  </si>
  <si>
    <t>7DV is 3.43, need to slow and improve margin. Raised PPEAK to improve profit, $19.99-24.99.</t>
  </si>
  <si>
    <t>above target velocity. PPEAK at high profit range of $24.99-29.99</t>
  </si>
  <si>
    <t>still a bit above target,PPEAK $27-32.99</t>
  </si>
  <si>
    <t>PPEAK $24.99-29.99 with more incoming</t>
  </si>
  <si>
    <t>Maintaining- shipment should arrive any day- shown in SC as "shipped" status</t>
  </si>
  <si>
    <t>7DV 1.57 vs 2.5 target- PPEKA $22.99-25.99 to accelerate</t>
  </si>
  <si>
    <t>Lowered PP to $18.50 to $29.99. Added target of 3</t>
  </si>
  <si>
    <t>7dv 2.71 vs 2.5 targetm looking in good shape,</t>
  </si>
  <si>
    <t>on track- maintaining</t>
  </si>
  <si>
    <t>above target- PPEAK target set to 2</t>
  </si>
  <si>
    <t>PPEAK $21.99-30.99, target set to 2</t>
  </si>
  <si>
    <t>no inventory</t>
  </si>
  <si>
    <t xml:space="preserve">7DV is .71, PPEAK on, $20.99-30.99, target of 2 </t>
  </si>
  <si>
    <t>increasing to target. PPEAK $20.99-22.99</t>
  </si>
  <si>
    <t>margin solid, none incoming, maintaining</t>
  </si>
  <si>
    <t>maintaining and selling out</t>
  </si>
  <si>
    <t>showing inbound, receiving soon according to ETA</t>
  </si>
  <si>
    <t>about 1/day now, PPEAK $18.99-20.99</t>
  </si>
  <si>
    <t>back in stock, selling</t>
  </si>
  <si>
    <t>turned on manual ppc</t>
  </si>
  <si>
    <t>2/day, ppc trimemd back a bit</t>
  </si>
  <si>
    <t>on target! maintining</t>
  </si>
  <si>
    <t>maintaining on ppeak</t>
  </si>
  <si>
    <t>repricing higher PPEAK $23.99-26.99, activated coupon</t>
  </si>
  <si>
    <t>good sales, conversion</t>
  </si>
  <si>
    <t>margin up a bit, better profit</t>
  </si>
  <si>
    <t>SS-DD-ORGANIC-FITTED-MINI-CRIB-182438E</t>
  </si>
  <si>
    <t>A bit above target velocity. Raised PPEAK range $1 to $21.99-23.99.</t>
  </si>
  <si>
    <t>A bit above target velocity. Raised PPEAK range $2 to $23.99-25.99.</t>
  </si>
  <si>
    <t>Profit went up, but 7DV is just about on target though we could make more at a lower price. adjusting velocity target higher to test lower prices.</t>
  </si>
  <si>
    <t>PPEAK range expanded to $19.99-29.99</t>
  </si>
  <si>
    <t>looking good, maintaining</t>
  </si>
  <si>
    <t>conversion rate up, maintaining</t>
  </si>
  <si>
    <t>non-amazon sales took this negative, but we're still short of goal. Lowering PPEAK range since opt price is at min, to $18.99-28.99</t>
  </si>
  <si>
    <t>With high DOH and PPEAK sticking around top end of range, lowering PPEAK range to force it to test lower prices, $18.99-22.99.</t>
  </si>
  <si>
    <t xml:space="preserve">7Dv is 2, almost at target, maintaining another week then seeing if $19 can work at target </t>
  </si>
  <si>
    <t>PPEAK $17.99-19.99, with $19.99 price point as max per seans recommendation. should increase conversion</t>
  </si>
  <si>
    <t>7DV 2.29, opt price showing as $19.99</t>
  </si>
  <si>
    <t>sales/conversion steady- maintaining</t>
  </si>
  <si>
    <t>Target 2.4, 7Dbv is 4.43. Improving margin/profit by increasing PPEAK, range $19.99-24.99</t>
  </si>
  <si>
    <t>Rasied PPEAK to $24.99-29.99 to improve margin</t>
  </si>
  <si>
    <t>converted really well. PPEAK $27/99-32.99 to opt profit with none incoming</t>
  </si>
  <si>
    <t>still converted well!</t>
  </si>
  <si>
    <t>Back in stock.  PPEAK $22.99-27.99 to accelerate</t>
  </si>
  <si>
    <t>Lowered PP to $19.95 to $29.99. Added target of 3</t>
  </si>
  <si>
    <t>7dv 2.29 vs 2.5 target, looking good.</t>
  </si>
  <si>
    <t>PPEAK $18.99-24.99</t>
  </si>
  <si>
    <t>PPEAK $18.99-22.99</t>
  </si>
  <si>
    <t>priced at 19.99</t>
  </si>
  <si>
    <t>PPEAK $22.99-29.99</t>
  </si>
  <si>
    <t>more arriving some time?</t>
  </si>
  <si>
    <t>units being received, should be available soon</t>
  </si>
  <si>
    <t>coming in</t>
  </si>
  <si>
    <t>accelerating, PPEAK $20.99-29.99</t>
  </si>
  <si>
    <t>accelerating, PPEAK $19.99-29.99</t>
  </si>
  <si>
    <t>accelerating, maintining price</t>
  </si>
  <si>
    <t>ppc on</t>
  </si>
  <si>
    <t>trimmed waste</t>
  </si>
  <si>
    <t>on target, opt ppc</t>
  </si>
  <si>
    <t>a little slower, but at target margin</t>
  </si>
  <si>
    <t>ppc off,  PPEAK $18.99-20.99</t>
  </si>
  <si>
    <t>PPEAK $20.99-23.99, coupon on</t>
  </si>
  <si>
    <t xml:space="preserve">coupons owrking </t>
  </si>
  <si>
    <t>couopons working, rerunning</t>
  </si>
  <si>
    <t>SS-DD-WM17X24-FBA-3PK-BG</t>
  </si>
  <si>
    <t>31% margin and just about at target 7DV. Activated PPEAK, range $20.99-22.99. Opt PPC.</t>
  </si>
  <si>
    <t>paused loose match to trim for waste. adjusted budget to hopfully be more efficient.</t>
  </si>
  <si>
    <t>PPC reactivated, PPEAK lowered to $18.99-21.99 to improve 7Dv</t>
  </si>
  <si>
    <t>opt ppc</t>
  </si>
  <si>
    <t>PPEAK range lowered to $14.99-22.99, and set target velocity in Splitly to 7/day.</t>
  </si>
  <si>
    <t>7DV is 1.71, PPEAK shows $18.99 as opt price. Set minimum to $18.99, max $28.99</t>
  </si>
  <si>
    <t>PPEAK paused. PPC minimalized, priced at $16.99</t>
  </si>
  <si>
    <t>sales up at this lower price nd conversion is among highest of the year! maintaining</t>
  </si>
  <si>
    <t>Price lowered $1 to $15.99, and PPC optimized</t>
  </si>
  <si>
    <t>Highest velocity of the year! 2.43/day. PPC spent about $10 in the past week, slightly lowering profit, but with increasing velocity, continuing at this price.</t>
  </si>
  <si>
    <t xml:space="preserve">7Dv is 3.29, highest of the year. Conversion is solid. Per Seans comments, PPEAK testing $15.99 and 17.99 to increase profitability. </t>
  </si>
  <si>
    <t>7DV is 8! profit is up, too! Noting on velocity reorder sheet</t>
  </si>
  <si>
    <t xml:space="preserve">7DV 6.43, 26 DOh remain. </t>
  </si>
  <si>
    <t>7DV is 7.57, conversion is good. Pricing at $16.99 to stay in stock</t>
  </si>
  <si>
    <t>7DV jumped to $10.43, target is just 6.5. PPEAk reactivated to slow to target, range $17.99-21.99. units should be hitting soon.</t>
  </si>
  <si>
    <t>sold out, more hitting later this week.</t>
  </si>
  <si>
    <t>7DV is 1.29. Restock hit. PPC reactivated $3/day and priced at $16.99.</t>
  </si>
  <si>
    <t>7Dv 3.57, accelerating. PPEAK $15.99-17.99 to accelerate</t>
  </si>
  <si>
    <t>accelerating, but short of target. PPC got one sale, meaning price is the factor here. PPEAK $14.99-16.99 to accelerate to target and paused ppc.</t>
  </si>
  <si>
    <t>8.14 vs 8 7DV target! PPEAK $15.99-19.99 to optimize profit, stabilize 7Dv.</t>
  </si>
  <si>
    <t>Increased target from 7 to 8. Lowered PP to $14.95 to $19.99. Removed .99 price decimal</t>
  </si>
  <si>
    <t>7dv still 6,ppeak $14.99-16.99 got us to target in the past- leaving this a week to see if target helps</t>
  </si>
  <si>
    <t>7dv is now 8! right on target! maintaining</t>
  </si>
  <si>
    <t>shot past target- PPEAK $15.99-23.99, set target of 8</t>
  </si>
  <si>
    <t>PPEAK $17.99-23.99</t>
  </si>
  <si>
    <t>on track</t>
  </si>
  <si>
    <t>on track, maintaining</t>
  </si>
  <si>
    <t>PPEAK $15.99-19.99 ot improve vellocity to target</t>
  </si>
  <si>
    <t>at target- maintaining</t>
  </si>
  <si>
    <t>PPEAK $14.99-16.99</t>
  </si>
  <si>
    <t>demand seems to be down as conversion and velocity drop with price dropping,.</t>
  </si>
  <si>
    <t>conv rate good, incoming not showing</t>
  </si>
  <si>
    <t>good conversion, margin on target, no more hit yet...?</t>
  </si>
  <si>
    <t>new units being received, on target with margin</t>
  </si>
  <si>
    <t>sold out new units being received</t>
  </si>
  <si>
    <t>already at 3/day! PPEAK $15.99-17.99</t>
  </si>
  <si>
    <t>at target, maintaining</t>
  </si>
  <si>
    <t>some ppc on, new auto campaign</t>
  </si>
  <si>
    <t>6/day above target by a bit, paused ppc, PPEAK $16.99-18.99</t>
  </si>
  <si>
    <t>at target, opt ppc</t>
  </si>
  <si>
    <t>PPEAK $15.99-18.99</t>
  </si>
  <si>
    <t>PPEAK $16.99-20.99, took auto camopaign converters and created manual ph/ex match manual</t>
  </si>
  <si>
    <t>opt ppc, PPEAK $17.99-20.99, coupon on</t>
  </si>
  <si>
    <t>margin up, opt ppc</t>
  </si>
  <si>
    <t>margin up more, ppc doing more for other skus than for itself</t>
  </si>
  <si>
    <t>SS-DD-WM17X24-FBA-BG</t>
  </si>
  <si>
    <t>at target velocity! maintaining.</t>
  </si>
  <si>
    <t>maintianining.</t>
  </si>
  <si>
    <t>PPEAK range raised $8.99-10.99</t>
  </si>
  <si>
    <t>only 70 units remaining. PPEAK range expanded to $7.99-14.99</t>
  </si>
  <si>
    <t>With conversion dropping to minimal levels, PPEAK range $6.99-10.99</t>
  </si>
  <si>
    <t>working! maintaining</t>
  </si>
  <si>
    <t>raised PPEAK min to opt price, $7.99-11.99</t>
  </si>
  <si>
    <t>Raised PPEAK range to $8.99-12.99, goal is staying in stock while staying under 3 pk</t>
  </si>
  <si>
    <t>Per Seans recommendation, pausing PPEAK and pricing at $7.99 for a week to improve velocity before raising it to $8.99 and keeping it there.</t>
  </si>
  <si>
    <t>7DV is 3.86! Noting on velocity reorder sheet</t>
  </si>
  <si>
    <t>1.71 7DV,  15 DOH resining, 198 is production but no ETA.</t>
  </si>
  <si>
    <t>Will be out temporarily now that ETA has been pushed back a few days.</t>
  </si>
  <si>
    <t>Out temporarily, but should be hitting shortly.</t>
  </si>
  <si>
    <t>7Dv .57 already since friday. restock hit. maintaining and seeing how it accelerates. can add PPC friday if needed,</t>
  </si>
  <si>
    <t>about half way to target, accelerating.</t>
  </si>
  <si>
    <t>7DV 3.71 - on target!</t>
  </si>
  <si>
    <t>right about on target- looking good.</t>
  </si>
  <si>
    <t>Close to target, maintaining</t>
  </si>
  <si>
    <t>sessions are up, lowering to $6.99 for a week to improve sessions and see how conversion rate fares</t>
  </si>
  <si>
    <t>up to 7Dv of 5! PPEAK $6.99-8.99 with a target of 3</t>
  </si>
  <si>
    <t>looking good! PPEAK $7.99-9.99, target of 3</t>
  </si>
  <si>
    <t>PPEAK $8.99-10.99</t>
  </si>
  <si>
    <t>PPEAK $7.99-10.99</t>
  </si>
  <si>
    <t>7Dv 1.14. PPEAK $9.99-10.99 and target of 3 added.</t>
  </si>
  <si>
    <t>PPEAK $6.99-8.99, target of 3.5 added</t>
  </si>
  <si>
    <t>PPEAK paused, $7.99 price point</t>
  </si>
  <si>
    <t>$7.99 gives us 10% margin, and conversion is ok, maintaining.</t>
  </si>
  <si>
    <t>highest conv in a while, margin at or above target</t>
  </si>
  <si>
    <t xml:space="preserve">we cant go lower in price- maintaining </t>
  </si>
  <si>
    <t>Trying out $6.99</t>
  </si>
  <si>
    <t>hit target, expecting the new units in any day now</t>
  </si>
  <si>
    <t>sold out, more showing inbound</t>
  </si>
  <si>
    <t>more now in FC transfer, becoming available</t>
  </si>
  <si>
    <t>1.29/day, improving</t>
  </si>
  <si>
    <t>nearly 2/day, maintaining</t>
  </si>
  <si>
    <t>a bit abovetarget, priced at $7.99</t>
  </si>
  <si>
    <t>out, more coming in</t>
  </si>
  <si>
    <t>selling 1/day in past 7 days! watchingfor continued acceleration towards targett</t>
  </si>
  <si>
    <t>coupon on</t>
  </si>
  <si>
    <t>coupons on</t>
  </si>
  <si>
    <t>coupon working, pricing up $8.99</t>
  </si>
  <si>
    <t>SS-DD-WMCP-FBA-3PK-BG</t>
  </si>
  <si>
    <t>Activated PPEAK, range $27.99-29.99</t>
  </si>
  <si>
    <t>margin rose, but profit fell a bit. 7DV is now 3, under target, so lowering PPEAK to $26.99-28.99.</t>
  </si>
  <si>
    <t>cutting back PPC to slow to target.</t>
  </si>
  <si>
    <t>Trimmed ppc spend back, to only  converters. PPEAK $24.99-34.99</t>
  </si>
  <si>
    <t>7DV is 5.71. PPC optimized and PPEAK raised to $26.99-36.99</t>
  </si>
  <si>
    <t>PPEAK raised to $27.99-37.99, optimized PPC</t>
  </si>
  <si>
    <t>PPEAK lowered to $23.99-26.99, ppc optimized</t>
  </si>
  <si>
    <t>PPC paused as this shows april 30th delivery.</t>
  </si>
  <si>
    <t>7DV 3.57, conversion rate is similar to how its bee, within a few points. maintaiing at 16% margin</t>
  </si>
  <si>
    <t>good margin, we could go faster but with only 12 incoming, maintaining.</t>
  </si>
  <si>
    <t>PPC reactivated, PPEAK range max lowered $1 to $22.99-25.99 to accelerate and test lower price points.</t>
  </si>
  <si>
    <t>7DV is already higher- 8.29. Maintaining another week to see profit and then considering raising price per Sean's review.</t>
  </si>
  <si>
    <t>7DV is 9.86! Noting on velocity reorder sheet, raising price per seans suggestion, PPEAK $23.99-28.99, opt ppc</t>
  </si>
  <si>
    <t>7DV is 16.14, PPC campaigns are at 14 and 12% ACoS. selling out in a day, 480 in production but no ETA</t>
  </si>
  <si>
    <t>7DV is 1.43. PPC reactivated, $4/day, opt ppc and added search terms from auto campaign.</t>
  </si>
  <si>
    <t>7Dv 3.14, accelerating nicely! ppc opt, PPEAK $22.99-26.99 to accelerate more</t>
  </si>
  <si>
    <t>7Dv 9.14, close to target! this puts DOH at about 41, so we're in good shape! Opt ppc</t>
  </si>
  <si>
    <t>Looking good vs 10 target. optimizing PPC spend.</t>
  </si>
  <si>
    <t>Optimized PPC. Raised budget $3 a day. Raied PP to $22.99 to $29.99 (max and optimum price were the same). Added target of 10</t>
  </si>
  <si>
    <t>7dv 8.14, under target. opt ppc, added ketwords and created  asin targeting</t>
  </si>
  <si>
    <t>7Dv 11, a bit above target- cut back on ppc a bit, PPEAK $23.99-29.99</t>
  </si>
  <si>
    <t>PPEAK $25.99-32.99, target 10, ppc trimmed</t>
  </si>
  <si>
    <t>need to slow more, $26.99-35.99, target 10</t>
  </si>
  <si>
    <t>ppc optimized, PPEAK $25.99-35.99, target of 10 added</t>
  </si>
  <si>
    <t>7DV 8.86 vs 10. PPEAK $23.99-26.99, target 10</t>
  </si>
  <si>
    <t>trimmed ppc for waste, none incoming, conv high- PPEAK $25.99-27.99</t>
  </si>
  <si>
    <t>above velocity and margin target! PPEAK $23.,99-25.99, trimmed ppc for wasted spend</t>
  </si>
  <si>
    <t>6.14 vs 8.5 target, above 10% margin target. optimizing ppc to improve velocity, PPEAK $22.99-24.99.</t>
  </si>
  <si>
    <t>PPC paused with no ETA showing for incoming</t>
  </si>
  <si>
    <t>new units being received</t>
  </si>
  <si>
    <t>no available, new units coming in</t>
  </si>
  <si>
    <t>7Dv 4.29 already, at 11% margin. maintaining to watch acceleration. activated a bit of targeted ppc</t>
  </si>
  <si>
    <t>6.12 7DV, increasing, at target margin</t>
  </si>
  <si>
    <t>7dv is 7, accelerating</t>
  </si>
  <si>
    <t>7Dv 9.14 vs target 10, maintining and looking good</t>
  </si>
  <si>
    <t>looking good, nearing target</t>
  </si>
  <si>
    <t>a bit under target,  maintining</t>
  </si>
  <si>
    <t>PPEAK $$23.99-25.99</t>
  </si>
  <si>
    <t>selling 4/day already! PPEAK $25.99-28.99, took terms from manual lifetime data and made new manual with only those terms</t>
  </si>
  <si>
    <t>opt ppc, PPEAK $24.99-28.99</t>
  </si>
  <si>
    <t>ppc high but incoming shouldbe hitting</t>
  </si>
  <si>
    <t>restocked now, ppc opt</t>
  </si>
  <si>
    <t>SS-DD-WMCP-FBA-BG</t>
  </si>
  <si>
    <t>Raising price to $12.99</t>
  </si>
  <si>
    <t>putting on PPEAK $14.99-16.99</t>
  </si>
  <si>
    <t>maintaining with only 18 units left</t>
  </si>
  <si>
    <t>PPEAK pricing range lost buy box. PPEAK now $9.99-13.99</t>
  </si>
  <si>
    <t>PPEAK $13.99-15.99 (made PPEAK opt price $13.99 the min)</t>
  </si>
  <si>
    <t>N/A</t>
  </si>
  <si>
    <t>more arriving in a week</t>
  </si>
  <si>
    <t>7Dv .14, now back in stock. priced at $13.99, PPEAK off.</t>
  </si>
  <si>
    <t>7Dv .86 vs 1 target, closing in. maintaining</t>
  </si>
  <si>
    <t>7Dv is .14, and, conv is low, and margin is high. Lowered $1.25 to $12.99</t>
  </si>
  <si>
    <t>right on target! maintaining at 1.</t>
  </si>
  <si>
    <t>Turned on Profit Peak from $9.99 to $15.99 with target of 1</t>
  </si>
  <si>
    <t>7dv 1.43, ppeak wasnt on somehow, so activated it to benefit from austins's 1/day target.</t>
  </si>
  <si>
    <t>PPEAK $9.99-12.99</t>
  </si>
  <si>
    <t>PPEAK $11.99-15.99</t>
  </si>
  <si>
    <t>PEAK $9.99-11.99 top accelerate to 10% margin</t>
  </si>
  <si>
    <t>1.43 7DV now- a bit above target but with 3pk coming in, should be fine</t>
  </si>
  <si>
    <t>a bit above, ppeak still on</t>
  </si>
  <si>
    <t>looking good</t>
  </si>
  <si>
    <t>ppeak $8.99-10.99</t>
  </si>
  <si>
    <t>same sales as at $10. repricing to $9.99-11.99 PPEAK</t>
  </si>
  <si>
    <t>raising prices</t>
  </si>
  <si>
    <t>ppeak $10.99-12.99</t>
  </si>
  <si>
    <t>SS-DD-WMO1-FBA-4PK-BG</t>
  </si>
  <si>
    <t>opt PPC</t>
  </si>
  <si>
    <t>7DV is now only a bit above target at 20.43. no ppc in the past week, and sales are still good. should be a great profit next week.</t>
  </si>
  <si>
    <t xml:space="preserve">with 24% margin and 29% conversion, and a lower-than-desired velocity, lowered PPEAK range $38.99-40.99 </t>
  </si>
  <si>
    <t>reactivated ppc, but optimized with lifetime data to see velocity improve.</t>
  </si>
  <si>
    <t>Running PPEAK $34.99-49.99 and optimized PPC</t>
  </si>
  <si>
    <t xml:space="preserve">PPEAK $37.99-42.99 and optimized PPC, increasing budgets to results from January. </t>
  </si>
  <si>
    <t>PPEAK shows $40.99 as most profitable, range now $40.99-49.99 and optimized PPC</t>
  </si>
  <si>
    <t>PPEAK paused, Priced at $37.99</t>
  </si>
  <si>
    <t>7DV is 10, with PPC optimized. Priced at $37.99</t>
  </si>
  <si>
    <t>PPC trimmed for wasted spend.</t>
  </si>
  <si>
    <t>lowest ppc in six weeks and higher sales with great conversion rate. 7DV is 17. trimmed ppc and pricing at $36.99</t>
  </si>
  <si>
    <t>PPC did really well this week! Added 17 keywords from auto to manual, optimized PPC.</t>
  </si>
  <si>
    <t>7Dv is 37.86! with high conversion rate, PPEAK $36.99-43.99 so we dont lose buy box</t>
  </si>
  <si>
    <t>7DV is 40.14! Noting on velocity reorder sheet, with very good conversion, PPEAK 37.99-43.99, opt ppc</t>
  </si>
  <si>
    <t>7DV is 62.71. PPC is at 15% ACoS. 12 DOH at current velocity. 912 units in production but no ETA.</t>
  </si>
  <si>
    <t xml:space="preserve">Raised PPEAK a bit to help make most of last units before we're out a few days before restock. ppc paused </t>
  </si>
  <si>
    <t>Blasting! Explosion in velocity has hit at the same times Bargoose is back ordered, so we're looking into whether Bargoose can repackage 1 packs as 4packs, shipping soon should be in my next monday</t>
  </si>
  <si>
    <t>sold out remaining units. sold out, more hitting later this week.</t>
  </si>
  <si>
    <t>7Dv is now .43. Restock hit. PPC reactivated, $7/day, opt ppc and added search terms from auto campaign.</t>
  </si>
  <si>
    <t>Arriving this week</t>
  </si>
  <si>
    <t>status showing now as "shipped," status and next status in the process is "receiving," so it should be in. Asked Robert about this again for an update.</t>
  </si>
  <si>
    <t>7Dv already almost 2 after arriving in stock! Reactivated PPC.</t>
  </si>
  <si>
    <t>Updated costs in Profit Peak. Range set to $39.95 to $45.99. Added target of 38. Lowered bid slightly, raised budget $3</t>
  </si>
  <si>
    <t>7dv 11.43, target is 50, but incoming 250 units will only last 22 days. raising ppeak $40.99-55.99, and trimming ppc back a bit</t>
  </si>
  <si>
    <t>7Dv is 19.71, continuing to improve! optimizing ppc</t>
  </si>
  <si>
    <t>Took converters from auto and added to. manual, activated manual</t>
  </si>
  <si>
    <t>PPEAK $36.99-45.99, target of 40 to accelerate</t>
  </si>
  <si>
    <t>PPEAK $32.99-36.99 and optimized ppc</t>
  </si>
  <si>
    <t>7Dv 20.14, speeding up! Opt ppc, PPEAK $30.99-33.99.</t>
  </si>
  <si>
    <t>7Dv 25.57 vs 50 target, PPEAK $32.99-36.99 and opt ppc</t>
  </si>
  <si>
    <t>7Dv 30! highest in a long time, opt ppc, PPEAK $36.99-39.99 with conversion so high</t>
  </si>
  <si>
    <t>862 QOH, 7DV is 24. Target is now 12 to improve profit on units we have. great conversion, but cutting back on PPC and raising PPEAK $36.99-46.99, target 12</t>
  </si>
  <si>
    <t>with high conversion, raised PPEAK $37.99-44.99, upped ppc - should stay around 10% margin and improve velocity</t>
  </si>
  <si>
    <t>PPEAK raised $39.99-45.99, migrated ppc terms to manual. auto still running a bit to transition</t>
  </si>
  <si>
    <t>PPEAK $36.99-39.99, trimemd and optimized ppc</t>
  </si>
  <si>
    <t>new units being received, ppc bids raised but will improve sales as new stock comes in</t>
  </si>
  <si>
    <t>$35.9-39.99, opt ppc</t>
  </si>
  <si>
    <t>concversion went up, so PPC played a lesser role. CUtting back ppc</t>
  </si>
  <si>
    <t>7DV 28.86, above target! Optimizing PPC, PPEAK $36.99-39.99</t>
  </si>
  <si>
    <t>opt ppc, raised PPEAK, below target</t>
  </si>
  <si>
    <t>PPC off! PPEAk $38.99-44.99</t>
  </si>
  <si>
    <t>wth eta on incoming, we're good to continue- ppc back on and PPEAK $</t>
  </si>
  <si>
    <t>PPEAK $34.99-36.99</t>
  </si>
  <si>
    <t>conv rate up! ppeak $30.99-34.99, opt ppc</t>
  </si>
  <si>
    <t>lowered for incoming, $30.99-34.99, ppc on</t>
  </si>
  <si>
    <t>147 sales in last 7 days, 21 7DV. PPEAK $32.99-35.99, took terms from manual lifetime data and made new manual with only those terms</t>
  </si>
  <si>
    <t>Lower price improved velocity, but lower price and ppc killed profit- ppc optimized/cut back and PPEAk $34.99-40.99</t>
  </si>
  <si>
    <t>improved conversion-</t>
  </si>
  <si>
    <t>PPEAK $37.99-42.99, opt ppc</t>
  </si>
  <si>
    <t>SS-DD-WMO1-FBA-BG</t>
  </si>
  <si>
    <t>WM01 multipack has good other SKU ppc sales, so cutting it here shouldnt hurt sales too badly. Pausing PPC and removing 500 units. This number we can store and then sell in JHS, following my talk with Amy. In the future more can be pulled back, but this is what space permits now.</t>
  </si>
  <si>
    <t>ppc paused, 7DV is 1.43</t>
  </si>
  <si>
    <t xml:space="preserve">Discontinued, profitable </t>
  </si>
  <si>
    <t>only 55 units, but conversion halved last week. Maintaining.</t>
  </si>
  <si>
    <t>PPEAK raised $1, to $14.99-17.99</t>
  </si>
  <si>
    <t>PPEAK shows $15.99 as opt price, $15.99 set as minimum, maximum $18.99</t>
  </si>
  <si>
    <t>7Dv is .86, PPEAK min lowered , range now$14.99-18.99</t>
  </si>
  <si>
    <t>Removed PPEAK decimals, raised min to topt price, range $15.99-18.99</t>
  </si>
  <si>
    <t>no stock</t>
  </si>
  <si>
    <t>order being put in today</t>
  </si>
  <si>
    <t>ordered</t>
  </si>
  <si>
    <t>Removed price decimal of 0. Raised PP to $18.43 to $29.99</t>
  </si>
  <si>
    <t>SS-DD-WMOL-FBA-2PK-BG</t>
  </si>
  <si>
    <t>cutting PPEAK range to $33.99-35.99 and activating PPC here, rather than 1-pack.</t>
  </si>
  <si>
    <t>cutting PPEAK range to $32.99-34.99 and optimized PPC</t>
  </si>
  <si>
    <t>Margin 26% and 30% conversion, but lower than desired 7DV.</t>
  </si>
  <si>
    <t>opt ppc, PPEAK $30.99-34.99 to improve velocity</t>
  </si>
  <si>
    <t>PPEAK $31.99-41.99 and opt ppc</t>
  </si>
  <si>
    <t>finished transfer of PPC over to 1-pack. PPEAK $31.99-41.99</t>
  </si>
  <si>
    <t>PPEAK shows $32.99 as opt,  range now $32.99-42.99</t>
  </si>
  <si>
    <t>PPEAK lowered to $27.99-29.99</t>
  </si>
  <si>
    <t>sales up! 7Dv is 8.57. Raised PPEAk min to opt price, range now $29.990-31.99</t>
  </si>
  <si>
    <t>best conversion rate of the year. PPEAK showing $30.73 as opt price. raising minimum to $29.99-35.99</t>
  </si>
  <si>
    <t>conversion goo but dropped a good bit from last week. with margin high and under target 7DV, lowering PPEAK range to $25.99-29.99, since we need a 30% velocity increase to get to target.</t>
  </si>
  <si>
    <t>Lowered range $2, now $24.99-28.99, $1 under optimal price, to test lower price's effect on converion and overall profit.</t>
  </si>
  <si>
    <t>7Dv is 18. Setting PPEAK range to $27.99-39.99 and setting a 17 units/day target in PPEAK</t>
  </si>
  <si>
    <t>7DV is 19.43 at 19% margin,  no PPC.</t>
  </si>
  <si>
    <t>7DV 25.86 with no PPC</t>
  </si>
  <si>
    <t>7Dv is 19, about on target0 good margin/profit and will stay in stock until restock</t>
  </si>
  <si>
    <t>should be in within next week</t>
  </si>
  <si>
    <t>7Dv 18.43, right about on target! a week or so on hand, so this should be replenished later this week and not selling out. PPEAK min raised to $30.99</t>
  </si>
  <si>
    <t>on target!</t>
  </si>
  <si>
    <t>7Dv 21.43, above target. PPEAK $33.99-39.99</t>
  </si>
  <si>
    <t>7Dv slowed over the weekend from 19.57 to 16.43 (needs to be 13 or under), after PPEAK increased to $36.99-44.99 to slow it down. increasing min $4, now to $40.99-44.99</t>
  </si>
  <si>
    <t>at current 7DV 7.57, DOh is 64, morethan enough to last to restock. PPEAK min lowered, $37.99-44.99</t>
  </si>
  <si>
    <t>PPEAK min lowered, $35.95-44.99</t>
  </si>
  <si>
    <t>7dv 13.29, accelerating. PPEAK minimum down to previously successful $33.99-44.99</t>
  </si>
  <si>
    <t>7Dv 15.14, margin and conversion are high, PPEAK $31.99-44.99</t>
  </si>
  <si>
    <t>PPEAK $30.99-39.99, added some ppc</t>
  </si>
  <si>
    <t>maintaining, near restock</t>
  </si>
  <si>
    <t>coming in a day or so, priced to climb again after restock</t>
  </si>
  <si>
    <t>Priced at PPEAK $24.99-28.99 to pick p- more arriving in a few days</t>
  </si>
  <si>
    <t>back in stock! 5.57 7dv already, PPEAK $27.99-34.99 and activated some ppc to boost back up</t>
  </si>
  <si>
    <t>7dv is 10.57! migrated auto terms to manual. with great conv, PPEAK</t>
  </si>
  <si>
    <t>PPEAK $30.99-40.99, opt ppc with none coming in imminently</t>
  </si>
  <si>
    <t>none incoming, ppc trimmed abck</t>
  </si>
  <si>
    <t>Pausing PPC and PPEAK $33.99-40.99</t>
  </si>
  <si>
    <t>7dv 11.49 iwth no ppc going, none on order, 43 doh, PPEAK $32.99-39.99</t>
  </si>
  <si>
    <t>increasing 7DV without ppc! 11.29</t>
  </si>
  <si>
    <t>PPEAK $34.99-39.99</t>
  </si>
  <si>
    <t xml:space="preserve">PPEAK min lowered to $31.99 to speed back up with </t>
  </si>
  <si>
    <t>top velocity happened at $31.37 so PPEAK $30.99-32.99</t>
  </si>
  <si>
    <t>ppeak $29.99-34.99</t>
  </si>
  <si>
    <t>improving velocity</t>
  </si>
  <si>
    <t>7DV up to 13.43</t>
  </si>
  <si>
    <t>PPEAK $31.99-39.99</t>
  </si>
  <si>
    <t>nicer profit</t>
  </si>
  <si>
    <t>PPEAK $34.99-40.99</t>
  </si>
  <si>
    <t>SS-DD-WMOL-FBA-BG</t>
  </si>
  <si>
    <t>cutting back PPC here (in favor of WMOL multipacks, and cutting price $2 to $15.99.</t>
  </si>
  <si>
    <t>7DV is 6.29, PPC not stopped for 1-pack, only on multipack now.</t>
  </si>
  <si>
    <t>to slow a bit, raised PPEAK range to $15.99-18.99</t>
  </si>
  <si>
    <t>on target, maintaining</t>
  </si>
  <si>
    <t>Putting on PPEAK, $15.99-25.99, opt ppc</t>
  </si>
  <si>
    <t>PPC trimmed for waste,  but some historically effective keywords' bids increased.</t>
  </si>
  <si>
    <t>PPEAK $13.99-15.99, PPC trimmed back.</t>
  </si>
  <si>
    <t>PPC cut</t>
  </si>
  <si>
    <t>PPC cut more, but 7D ACoS is 21%, doing great work for 2-pack</t>
  </si>
  <si>
    <t>PPC optimized, conversion was sexcond highest of the year. PPEAK shows $15.99 as opt price, raising PPEKA $15.99-17.99</t>
  </si>
  <si>
    <t>cutting PPC in half and putting on PPEAK $13.99-15.99</t>
  </si>
  <si>
    <t>With only 45 in stock, raising PPEAK range to $15.99(opt price)-17.99, and trimmed PPC a bit for some waste. ACoS 22.6%</t>
  </si>
  <si>
    <t>Pausing PPC per Seans recommendation.</t>
  </si>
  <si>
    <t>sold out profitably</t>
  </si>
  <si>
    <t>sold out for a few weeks. 168 in production, no ETA.</t>
  </si>
  <si>
    <t>more incoming later this week</t>
  </si>
  <si>
    <t>7DV .43, PPC activated $3/day budget to start.</t>
  </si>
  <si>
    <t>7Dv 2.86, nearing target! opt ppc</t>
  </si>
  <si>
    <t>7DV 1.71, halfway to target. PPC not helping much, pausing it and PPEAK $14.99-16.99</t>
  </si>
  <si>
    <t>about on target, opt ppc</t>
  </si>
  <si>
    <t>Opt and max price are same. Raised PP to $15.95 to $19.99</t>
  </si>
  <si>
    <t>about on target</t>
  </si>
  <si>
    <t>PPEAK $16,99-19.99 to opt profit at target</t>
  </si>
  <si>
    <t>PPEAK $17.99-20.99</t>
  </si>
  <si>
    <t>maintianing to sell out</t>
  </si>
  <si>
    <t>about on target, but not much coming in- PPEAK $18.99-22.99, target added of 2</t>
  </si>
  <si>
    <t>we’re at 21%  margin at target, but with the 2-pack back in stock, this should drop off, 3 should be good</t>
  </si>
  <si>
    <t>sold out, more units incoming</t>
  </si>
  <si>
    <t>1.14/day now, PPEAK $16.99-19.99</t>
  </si>
  <si>
    <t>about at target!</t>
  </si>
  <si>
    <t>on target</t>
  </si>
  <si>
    <t>PPEak hasnt been below $16.99-22.99, 4 pack ppc back on</t>
  </si>
  <si>
    <t>7DV 2, headed in right direction</t>
  </si>
  <si>
    <t>maintiannig</t>
  </si>
  <si>
    <t>PPEAK %14.99-19.99</t>
  </si>
  <si>
    <t>lowered PPEAK max, $15.99-17.99</t>
  </si>
  <si>
    <t>PPEAK $16.99-18.99</t>
  </si>
  <si>
    <t>higher 7DV</t>
  </si>
  <si>
    <t>maintining</t>
  </si>
  <si>
    <t>SS-DD-WMS1-FBA-2PK</t>
  </si>
  <si>
    <t>this is just about at target velocity, but per Bryans comments, this could sell more units at a lower price. Noted in velocity notes.</t>
  </si>
  <si>
    <t>low DOH, so maintaining, but 7DV can be faster ast a lower price. reorder has been done using new, faster velocity so future price can be lower and velocity higher</t>
  </si>
  <si>
    <t>lowered to $26.99 to slightly raise 7DV</t>
  </si>
  <si>
    <t>PPC activated for 2-pack</t>
  </si>
  <si>
    <t xml:space="preserve">PPC didnt work out , trimmed a bit and setting PPEAK $24.99-39.99 </t>
  </si>
  <si>
    <t>PPC off, PPEAK $25.99-35.99</t>
  </si>
  <si>
    <t>Opt price $27, PPEAK range $26.99-36.99</t>
  </si>
  <si>
    <t>PPEAK $23.99-26.99</t>
  </si>
  <si>
    <t>best conversion of the year. PPEAK shows $25.99 as opt price, raised PPEAK minimum $1 - now $24.99-26.99 (to keep as low as we can to maintain converion, but to also opt profit dollars)</t>
  </si>
  <si>
    <t>conversion tanked after PPEAK adjustment- lowering minimum, range now $22.99-24.99 to improve conversion and velocity, which is currently at 1.14.</t>
  </si>
  <si>
    <t>Improvment! 7DV is almost 2 as lower PPEAK range kicks sales upwards. Opt price showing as range's max, $24.99</t>
  </si>
  <si>
    <t>Expanding PPEAK range to $20.99-30.99 to test more prices.</t>
  </si>
  <si>
    <t>7Dv is 4.57 (2020 high), maintaining as sales are coming from other SKUs' increasing traffic</t>
  </si>
  <si>
    <t>7DV 5.43 (new high). 11 DOH. 198 units coming in</t>
  </si>
  <si>
    <t>will be out for a week, ETA is delayed a few days</t>
  </si>
  <si>
    <t>7DV .71. Maintaining and watching acceleration</t>
  </si>
  <si>
    <t>7Dv 2.43, accelerating. PPEAK $20.99-26.99 to accelerate</t>
  </si>
  <si>
    <t>PPEAK $20.99-25.99</t>
  </si>
  <si>
    <t>nearing target! on track, keeping a bit of DOH overlap since these shipments seem to be delayed</t>
  </si>
  <si>
    <t>Turned PPC off. Increased PP range to $20.95 to $29.99 (max and opt were same). Added target of 4</t>
  </si>
  <si>
    <t>7dv 4.29, looking good</t>
  </si>
  <si>
    <t>7Dv 3.57 vs 4 target- PPEAK $19.99-29.99</t>
  </si>
  <si>
    <t>PPEAK $21.99-29.99</t>
  </si>
  <si>
    <t>PPEAK $22.99-30.99</t>
  </si>
  <si>
    <t>7Dv 3.43 looking good</t>
  </si>
  <si>
    <t>PPEAK cant connect... priced at $25.99 because of good conversion and low DOH</t>
  </si>
  <si>
    <t>7DV is 3, PPC is doing Great (8 sales 12% acos) with high conversion rate, opt ppc and raising PPEAK $22.99-29.99, target 3</t>
  </si>
  <si>
    <t>PPC optimized, PPEAK $24.99-32.99, target of 3.5 added</t>
  </si>
  <si>
    <t>somehow the 2-pack and 1-pack's PPEAK was the same range. I have changed and verified that this is now at $24.99-32.99, and repriced hte SKU for when the restock hits, but im not clear on how this happened.</t>
  </si>
  <si>
    <t>spoke to sean about the PPEAK range being low again- he said he's seen PPEAK take other children randomly and apply changes, so in this case, the 1-pack changes adjusted this 2-packs range to match it. I found the incorrectly selected child sku and deactivated it.</t>
  </si>
  <si>
    <t>sold out, more receiving in</t>
  </si>
  <si>
    <t>arrived, in stock, 2/day now - maintianing as it improves</t>
  </si>
  <si>
    <t xml:space="preserve">the same PPEAK issue happened here again!!! </t>
  </si>
  <si>
    <t>fixed price on 11/5, has sold for $24.99+ since then-more coming in  2 weeks</t>
  </si>
  <si>
    <t>back in stock, 1.14 7DV. PPEAK $25.99-29.99, took old campaigns and made new manual campaign</t>
  </si>
  <si>
    <t>back in stock, selling, PPEAK $26.99-29.99 opt ppc</t>
  </si>
  <si>
    <t>SS-DD-WMS1-FBA-BG</t>
  </si>
  <si>
    <t>PPC contribution to sales is minimal, and 7DV is at target. optimizing ppc</t>
  </si>
  <si>
    <t>trying out $1 lower price, $14.99, to see if persistant improvement can be realized.</t>
  </si>
  <si>
    <t>PPEAK range raised to $16.99-18.99</t>
  </si>
  <si>
    <t>PPEAK, $13.99-15.99</t>
  </si>
  <si>
    <t>PPC off, PPEAK range $13.99-20.99</t>
  </si>
  <si>
    <t>PPEAK shows opt $17.99, range noe raised to $17.99-27.99</t>
  </si>
  <si>
    <t>PPEAK $16.99-22.99</t>
  </si>
  <si>
    <t>PPEAK $14.99-17.99 after margin rose and sales dropped off</t>
  </si>
  <si>
    <t>PPEAK $12.99-15.99 to improve conversion rate and possibly velocity.</t>
  </si>
  <si>
    <t>7Dv is .57. 123 DOH. Lowering max to $14.99, range $12.99-14.99</t>
  </si>
  <si>
    <t>PPEAK set to $10 range to test more prices, $14.99(opt price) -24.99</t>
  </si>
  <si>
    <t>PPEAK range tightened again to $14.99-18.99</t>
  </si>
  <si>
    <t>7Dv 1.14, 50ish DOH.</t>
  </si>
  <si>
    <t>7Dv 1.14, maintaining</t>
  </si>
  <si>
    <t>2.71, vs 2 target. above target, PPEAK $17.99-19.99 to slow</t>
  </si>
  <si>
    <t>more inventory incoming later this week</t>
  </si>
  <si>
    <t>Restock hit. activating some PPC, $20/week budget to start</t>
  </si>
  <si>
    <t>PPEAK $14.99-17.99 and ppc increased to actually spend</t>
  </si>
  <si>
    <t>Worked! 7Dv 2.57, accelerating. 78 DOH now, PPEAK $14.99-16.99</t>
  </si>
  <si>
    <t>Activated Auto campaign to accelrerate</t>
  </si>
  <si>
    <t>Lowered PP to $13.95 to $19.99. Added target of 4</t>
  </si>
  <si>
    <t>7dv 1.57, maintaining with 4 target to watch progress</t>
  </si>
  <si>
    <t>PPEAK $13.99-17.99</t>
  </si>
  <si>
    <t>PPEAK $12.99-14.99</t>
  </si>
  <si>
    <t>PPEAK $14.99-18.99, activated PPC that has worked in the past</t>
  </si>
  <si>
    <t xml:space="preserve">PPEAK $13.99-16.99, opt ppc </t>
  </si>
  <si>
    <t>PPEAk didnt take last week, got spooky error. fixed now</t>
  </si>
  <si>
    <t>PPEAK $14.99-19.99, target 3, paused ppc</t>
  </si>
  <si>
    <t>ppc is off, PPEAK is $14.99-16.99</t>
  </si>
  <si>
    <t xml:space="preserve">activated and opt ppc </t>
  </si>
  <si>
    <t>ppc was a waste. Paused, adding coupon</t>
  </si>
  <si>
    <t>getting units moving, opt ppc</t>
  </si>
  <si>
    <t>3.43 velocity!  PPEAK $14.99-17.99</t>
  </si>
  <si>
    <t>PPEAK $15.99-17.99 as storage increases</t>
  </si>
  <si>
    <t>PPEAK $16.99-19.99</t>
  </si>
  <si>
    <t>PPEAK $15.99-17.99</t>
  </si>
  <si>
    <t>above target, bt less so. maintaining</t>
  </si>
  <si>
    <t>about at target</t>
  </si>
  <si>
    <t>boosted ppc bids</t>
  </si>
  <si>
    <t>added coupon</t>
  </si>
  <si>
    <t>coupon worked</t>
  </si>
  <si>
    <t>coupon worked, rerunning, pricing at $15.99-17.99</t>
  </si>
  <si>
    <t>SS-DD-WMS3-FBA-BG</t>
  </si>
  <si>
    <t>PPC cut to improve profits and DOH. Put on PPEAK, now at $21.99-24.99. Talked to robert about 2-packs, and he's reached out to bargoose.</t>
  </si>
  <si>
    <t>7DV is 2.14. Paused auto after only 4 sales, but manual ACoS is 20%. Optimized and trimmed as much for waste as I could</t>
  </si>
  <si>
    <t>PPC spend trimmed for waste, opt to increased 7DV a little bit to target</t>
  </si>
  <si>
    <t>near target. PPC too high. trimming.</t>
  </si>
  <si>
    <t>still a good ppc carrier, but losing money. ppc trimmed for any waste to improve performance and overall contribution</t>
  </si>
  <si>
    <t>PPC trimmed for waste</t>
  </si>
  <si>
    <t>PPEAK $18.99-23.99, PPC cut down</t>
  </si>
  <si>
    <t>PPC paused</t>
  </si>
  <si>
    <t>maintaining at nearly highest level of conversion this year</t>
  </si>
  <si>
    <t>Lowering PPEAk minimum to improve conversion rate, but margin is good and we're at target velocity. Range $16.99-22.99</t>
  </si>
  <si>
    <t>Highest 7DV in months! 2.71, above target. Lowered max to optimal price to test lower prices in the range, $16.99-20.99</t>
  </si>
  <si>
    <t>Per peer review, PPEAK range expanded $18.99-25.99</t>
  </si>
  <si>
    <t>PPEAK $18.99-21.99 (opt price)</t>
  </si>
  <si>
    <t>7Dv 3.57, really improving. 18 DOH with 162 in production but no ETA.</t>
  </si>
  <si>
    <t>7Dv is 3.43, on target, maintaining</t>
  </si>
  <si>
    <t>on target- restock should be in next week</t>
  </si>
  <si>
    <t>restock hit. ppc activated, $5/day budget</t>
  </si>
  <si>
    <t>7Dv 1,opt ppc $17.99-19.99</t>
  </si>
  <si>
    <t>PPC helped only other SKUs- trimmed spend and for waste. PPEAK $16.99-18.99</t>
  </si>
  <si>
    <t>7Dv 3,57 vs 4,5 target, needs to slow to stay in stock. PPC off, PPEAK $18.99-23.99</t>
  </si>
  <si>
    <t>Raised PP to $19.95 to $29.99</t>
  </si>
  <si>
    <t>needs to slow down to stay in stock. PPEAK $20.99-35.99</t>
  </si>
  <si>
    <t>7Dv 1.86, below target- with high margin, PPEAK $18.99-29.99</t>
  </si>
  <si>
    <t>maintaining to stay in stock</t>
  </si>
  <si>
    <t>maintaining to restock</t>
  </si>
  <si>
    <t>waiting for restock</t>
  </si>
  <si>
    <t>stock has hit- 7DV is 1.29 already, and with no PPC while at 20%+ margin! PPEAK $15.99-19.99</t>
  </si>
  <si>
    <t>1.86 velocity at 18% margin. Priced at $15.99</t>
  </si>
  <si>
    <t>PPEAK $14.99-17.99</t>
  </si>
  <si>
    <t>1.14 7Dv, accelerating</t>
  </si>
  <si>
    <t>PPEAk $17.99-19.99, activated ppc</t>
  </si>
  <si>
    <t>PPEAk $18.99-20.99, ppc off</t>
  </si>
  <si>
    <t>paused ppc, on target</t>
  </si>
  <si>
    <t>good margin now, slower though- PPEAK $16.99-20.99</t>
  </si>
  <si>
    <t>ppc on a little bit, PPEAK $17.99-19.99</t>
  </si>
  <si>
    <t>1.14/day, some ppc on</t>
  </si>
  <si>
    <t>ppc worked great- pped budget</t>
  </si>
  <si>
    <t>ppc off, running on new campaign in 2-pack</t>
  </si>
  <si>
    <t>almost 2/day velocity! 13 sold in last 7 days. ppc paused</t>
  </si>
  <si>
    <t>conv rate low, lowering price a bit</t>
  </si>
  <si>
    <t>conv up,  margin good- restock in. PPEK $18.99-21.99</t>
  </si>
  <si>
    <t>SS-DD-WMS3-FBA-BG-2PK</t>
  </si>
  <si>
    <t>Priced at $38.99, slightly les than 2x the single pack price</t>
  </si>
  <si>
    <t>7Dv is .29. PPEAK activated, $29.99-34.99, to test prices</t>
  </si>
  <si>
    <t>Lowering PPEAK range to $27.99-30.99 to kick start.</t>
  </si>
  <si>
    <t>7DV ia 1.14! PPEAK range tightened to $27.99-29.99, with max $1 under opt price, to improve conversion and velocity.</t>
  </si>
  <si>
    <t>Priced per sean at $25.99 and scaling up as 7Dv increases</t>
  </si>
  <si>
    <t>7Dv 1. PPEAK kicked this back up after being deactivated. now at $25.99</t>
  </si>
  <si>
    <t>7DV is 4, new high. none incoming/in production</t>
  </si>
  <si>
    <t>adjusting price higher to slow</t>
  </si>
  <si>
    <t>product targeting campaign spent some dollars, so paused it. conversion decent so raisd price $1 to $26.99</t>
  </si>
  <si>
    <t>7Dv 2.71, above target. on PPEAK $27.99-32.99</t>
  </si>
  <si>
    <t>conversion good hte last few weeks. PPEAK $28.99-35.99</t>
  </si>
  <si>
    <t>near target, PPEAK $27.99-33.99</t>
  </si>
  <si>
    <t>7Dv 2, giving us 31 DOH, need to slow- PPEAK $34.99-42.99</t>
  </si>
  <si>
    <t>slowed to stay in stock, 7Dv at 1</t>
  </si>
  <si>
    <t>Continue with Profit Peak</t>
  </si>
  <si>
    <t>7dv 1.14, only 40 or so units remain. maintaining on ppeak</t>
  </si>
  <si>
    <t>back in stock, 5 units sold so far. reconnected to PPEAK, $25.99-29.99</t>
  </si>
  <si>
    <t>7Dv 2.14. maintianing</t>
  </si>
  <si>
    <t>PPEAK $26.99-32.99</t>
  </si>
  <si>
    <t>PPEAK $27.99-32.99</t>
  </si>
  <si>
    <t>receiving in more units, PPEAK $29.99-32.99</t>
  </si>
  <si>
    <t>sold out more incoming</t>
  </si>
  <si>
    <t>selling 1/day and it just got back in. PPEAK $27.99-30.99</t>
  </si>
  <si>
    <t>4.71 7DV. PPEAK $29.99-32.99</t>
  </si>
  <si>
    <t>sped up too fast- PPEAK $32.99-36.99</t>
  </si>
  <si>
    <t>2.14 7DV, maintaining</t>
  </si>
  <si>
    <t>PPEAK $32.99-34.99 to support new ppc campaign</t>
  </si>
  <si>
    <t>ppc optimized, ppeak $33.99-35.99</t>
  </si>
  <si>
    <t>ppc worked really well- opt ppc</t>
  </si>
  <si>
    <t>SS-DD-WMXL-BG</t>
  </si>
  <si>
    <t>PPEAK raised to $26.99-29.99, and paused PPC.</t>
  </si>
  <si>
    <t>one campaign of PPC was still running, helping other SKUs. paused now.</t>
  </si>
  <si>
    <t>back in stock, ractivated PPC.</t>
  </si>
  <si>
    <t>7Dv is 5.29, with a 7 target. opt ppc.</t>
  </si>
  <si>
    <t>opts ppc, PPEAK $22.99-30.99</t>
  </si>
  <si>
    <t>PPEAK $20.99-26.99, ppc optimized</t>
  </si>
  <si>
    <t>PPC optimized. $17.99 is opt price, range uppsed to $17.99-22.99</t>
  </si>
  <si>
    <t>PPEAK $19.99-22.99 pp trimmed back</t>
  </si>
  <si>
    <t xml:space="preserve">ppc trimmed </t>
  </si>
  <si>
    <t>PPC trimmed again for waste</t>
  </si>
  <si>
    <t>best conversion in a while. PPC spend is high. paused Auto and maintaining manual. opt ppc</t>
  </si>
  <si>
    <t>7Dv is 4.14. PPC optimized and PPEAK range $18.99-21.99 to improve conversion rate and velocity.</t>
  </si>
  <si>
    <t>PPC optimized, terms taken from auto and put into manual. PPEAK range $18.99-20.99 to improve velocity.</t>
  </si>
  <si>
    <t>7Dv is 5.57 and rising! Product targeting PPC campaign I made last week looks really good- 10% acos so far. Opt ppc and per sean, PPEAK $18.99($2 under opt price)-26.99, setting daily target of 7</t>
  </si>
  <si>
    <t>opt ppc, lowered max because it wont sell that high, range $18.99 (opt prie) to 21.99</t>
  </si>
  <si>
    <t>7Dv 6.86 at 6% margin. velocity and margin was higher in january with more ppc. none showing in production or incoming</t>
  </si>
  <si>
    <t>7Dv is 6.29, rising.</t>
  </si>
  <si>
    <t>7Dv is 7.43, and conversion is good. PPEAK $19.99-24.99 to slow to target</t>
  </si>
  <si>
    <t>7Dv is 7.14 again above target. PPEAK $22.99-28.99 to slow</t>
  </si>
  <si>
    <t>raising PPEAK, target 4. PPEAK $26.99-32.99, pausing ppc</t>
  </si>
  <si>
    <t>slowing as desired, PPEAK $22.99-30.99, opt ppc</t>
  </si>
  <si>
    <t>conversion dropped at higher prices, ppc got only one sale, opt ppc</t>
  </si>
  <si>
    <t>7Dv 3.29, closing in on target 4. opt ppc</t>
  </si>
  <si>
    <t>Nearly at target, maintaining</t>
  </si>
  <si>
    <t>7dv 2.86, but only 52 DOH left and none incoming, maintaining</t>
  </si>
  <si>
    <t>strong margin but not meeting target- PPEAN $19.99-29.99</t>
  </si>
  <si>
    <t>looks good, maintaining</t>
  </si>
  <si>
    <t>maintaining on target</t>
  </si>
  <si>
    <t>7Dv 2! PPEAK #27.99-30.99 as doh is low</t>
  </si>
  <si>
    <t>PPEAK $19.99-24.99, target 4/day</t>
  </si>
  <si>
    <t>7dv 2.29, at 31% margin- these are being broken off onto their own XL listing, so that will likely help things here.</t>
  </si>
  <si>
    <t>on its own listing - activated ppc</t>
  </si>
  <si>
    <t>conv rate solid, ppc wasted, now paused. PPEAK $19.99-22.99</t>
  </si>
  <si>
    <t>at target margin, and velocity. PPEAK $21.99-24.99</t>
  </si>
  <si>
    <t>7dv is 2.43</t>
  </si>
  <si>
    <t>readded to PPEAK</t>
  </si>
  <si>
    <t>PPEAK $18.99-20.99 to accelerate</t>
  </si>
  <si>
    <t>accelerating</t>
  </si>
  <si>
    <t>4.71, nbeed to slow a bit`</t>
  </si>
  <si>
    <t>4 weeks of conversion improvment- PPEAK $23.99-25.99, $1 coupon</t>
  </si>
  <si>
    <t>restock hit, maintaining</t>
  </si>
  <si>
    <t>SS-IL-BTL16C-12-A</t>
  </si>
  <si>
    <t>ppeak has been set at $37.99-45.99</t>
  </si>
  <si>
    <t>UsSmallOversize</t>
  </si>
  <si>
    <t>SS-DD-WMXL-TUCK-FBA-BG</t>
  </si>
  <si>
    <t>WIth such a strong conversion, raising PPEAK to $27.99-30.99 and optimizing PPC.</t>
  </si>
  <si>
    <t>PPC not super helpful, but trimmed anyway.. PPEAK range dropped to $26.99-28.99 to help improve DOH.</t>
  </si>
  <si>
    <t>PPC optimized, $25.99-27.99</t>
  </si>
  <si>
    <t>7Dv is 7, target 10. Opt PPC</t>
  </si>
  <si>
    <t>trimemd ppc for wasted spend, PPEAK $22.99-29.99</t>
  </si>
  <si>
    <t>lastweeks PPEAK range confirms that opt price is $27-28.99, PPEAK range set $27.99-37.99 and PPc opt</t>
  </si>
  <si>
    <t>PPC cut back more, PPEAK range increased $30.99-40.99 after $30.99 found to be opt price</t>
  </si>
  <si>
    <t>PPEAK lowered to $24.99-27.99, PPC trimmed back</t>
  </si>
  <si>
    <t>ppc trimmed</t>
  </si>
  <si>
    <t>PPC optimized, maintaining $25.99-27.99</t>
  </si>
  <si>
    <t>improvement in conversion. lots of room in the ppc campaigns for improvement- optimized ppc.</t>
  </si>
  <si>
    <t>PPC trimmed, PPEAK $22.99-25.99 to improve conversion and velocity</t>
  </si>
  <si>
    <t>PPC got an additional other SKU sale, spend optimized/trimmed a bit. New product targeting campaign started. PPEAK range $21.99-23.99 to improve velocity and conversion</t>
  </si>
  <si>
    <t>7Dv is 4.43- prod targeting working well. Raised PPEAK $23.99(opt price)-33.99. opt ppc</t>
  </si>
  <si>
    <t>This was closed due to pesticide, justin reopened it, "spooky" alert appeared in PPEAK, so reactivated there.</t>
  </si>
  <si>
    <t>7DV is 2.71, 314 DOH. trimming PPC back, none showing in production</t>
  </si>
  <si>
    <t>opt ppc, trimmed for waste. PPEAK $21.99-31.99</t>
  </si>
  <si>
    <t>trimmed PPC for waste, added converting ASINs to prodtarg- range $24.99-33.99 (opt price $25.67) to better support PPC/other SKU sales</t>
  </si>
  <si>
    <t>7Dv is 4, highest in months. Optimized PPC. Conversion not great- PPEAK max dropped, range $25.99-29.99</t>
  </si>
  <si>
    <t>target 4.5, opt ppc to improve velocity</t>
  </si>
  <si>
    <t>PPEAK $21.99-24.99 to accelerate to target, opt ppc</t>
  </si>
  <si>
    <t>7Dv 3.71, accelerating nicely toward target. Opt ppc.</t>
  </si>
  <si>
    <t>about at target! optimizing ppc</t>
  </si>
  <si>
    <t>Added target of 5</t>
  </si>
  <si>
    <t>7dv up to 3.43! maintaining with new target and watching for continued improvement</t>
  </si>
  <si>
    <t>7Dv 4.57, right on target!</t>
  </si>
  <si>
    <t>TELL BRYAN HOW IT PANNED OUT: Set to $17.99, $.70 under break even. PPC is minimal, but effective- 7D ACoS is 11.37%</t>
  </si>
  <si>
    <t>30 sales in last 7 days per SC Order Manager. Activated Auto and manual ppc. 6.5/day would sell out in 90 days. Per bryan this is likely the biggest problem SKU we have in getting to IPI 500.</t>
  </si>
  <si>
    <t>ppc trimmed way back, PPEAK $18.99-22.99, ppc budget $4/day</t>
  </si>
  <si>
    <t>7DV is 3.29, boosted PPC</t>
  </si>
  <si>
    <t>dunno where data is, but selling through more. opt ppc</t>
  </si>
  <si>
    <t>3.57 vs target 4.,5- ppc playing substantial roll. PPEAK $22.99-27.99, opt ppc and these are being broken off onto their own listing so that should help</t>
  </si>
  <si>
    <t>deactivated auto Bppc, activated better converting auto A</t>
  </si>
  <si>
    <t>PPEAK $25.99-30.99, broke out keywords into keyword isolation campaign</t>
  </si>
  <si>
    <t>$5/week ppc activated, rest is trimmed</t>
  </si>
  <si>
    <t>ppc optimized, maintianing low $15.97 price point and checking back on it later in week</t>
  </si>
  <si>
    <t>ppc paused. Priced PPEAk $19.99-23.99</t>
  </si>
  <si>
    <t>raised price last week to $20.99-25.99, 7DV currently 21 DOH at current 7dv. all old units gone. now ppeak $23.99-29.99</t>
  </si>
  <si>
    <t>price increase helped profitability, nearly at 10% target PPEAK $24.99-29.99</t>
  </si>
  <si>
    <t>above target,but because the removal was canceled and old inventory needed to move still. now  PPEAK $20.99-23.99</t>
  </si>
  <si>
    <t>PPEAK $19.99-21.99</t>
  </si>
  <si>
    <t>PPEAK $21.99-23.99 to be profitable again</t>
  </si>
  <si>
    <t xml:space="preserve">7Dv 3, priced above BE, </t>
  </si>
  <si>
    <t>ppeak $19.99-21.99</t>
  </si>
  <si>
    <t>Priced at a fixed $21.99 nad ppc optimized- should break even next week but get rid of most old units.</t>
  </si>
  <si>
    <t>conversion down, cut ppc back</t>
  </si>
  <si>
    <t>conv better, opt ppc</t>
  </si>
  <si>
    <t>SS-HC-BLOCKING9G</t>
  </si>
  <si>
    <t>maintain</t>
  </si>
  <si>
    <t>enable profit peak, optimize ppc spend</t>
  </si>
  <si>
    <t>lowered profit peak min to 24.90 - Price schedule through wednesday at 25.99</t>
  </si>
  <si>
    <t>maintain - Thurs, lowering min $1 on PP - 23.95</t>
  </si>
  <si>
    <t>maintain, optimize ppc</t>
  </si>
  <si>
    <t>lower $1 to get velocity up</t>
  </si>
  <si>
    <t>Cheers to Ewe cutting into our sales at 16.99, will drop price to 23.99 via price schedule, range changed to 21.95 to 34.99</t>
  </si>
  <si>
    <t>added a daily velocity target to test</t>
  </si>
  <si>
    <t>optimize ppc, will maintain on PP</t>
  </si>
  <si>
    <t>trimming back ppc</t>
  </si>
  <si>
    <t>enabled ppc again</t>
  </si>
  <si>
    <t>maintain on PP, optimize ppc</t>
  </si>
  <si>
    <t>raising to 23.99</t>
  </si>
  <si>
    <t>increase min on PP to 25</t>
  </si>
  <si>
    <t>raise $1</t>
  </si>
  <si>
    <t>raise min to 27</t>
  </si>
  <si>
    <t>raise min to 28</t>
  </si>
  <si>
    <t>maintain BUT new stock is going to OS</t>
  </si>
  <si>
    <t>maintain hitting OS today</t>
  </si>
  <si>
    <t>75 left, maintain going to OS</t>
  </si>
  <si>
    <t>24 left, maintain new stock going into OS</t>
  </si>
  <si>
    <t>9 left, maintain</t>
  </si>
  <si>
    <t>sold out - more next week into OS</t>
  </si>
  <si>
    <t>DL sku selling - I placed into PPEak</t>
  </si>
  <si>
    <t>SS-IL-BTL32A-6PK</t>
  </si>
  <si>
    <t>PPEAK $24.99-29.99</t>
  </si>
  <si>
    <t>SS-J-W6F12-FBA-FBA</t>
  </si>
  <si>
    <t>looks good</t>
  </si>
  <si>
    <t>PPEAK $23.99-25.99, ppc on</t>
  </si>
  <si>
    <t>ppc running, PPEAK $20.99-23.99, coupon on</t>
  </si>
  <si>
    <t>PPEAK $25.99-29.99</t>
  </si>
  <si>
    <t>SS-J-W6F16-FBA</t>
  </si>
  <si>
    <t>Priced $23.99, crearted auto campaign</t>
  </si>
  <si>
    <t>PPEAK $22.99-26.99 in both FBA and FBM (ppc wasnt spending because FBM's lower price had the buy box</t>
  </si>
  <si>
    <t>Priced below FBM (which is also out of stock)- turned on some auto ppc ($20/week), adding coupon</t>
  </si>
  <si>
    <t>Spooky error- not worth ppeak now with all these errors. paused and pricing at $22.99 with ppc, raised bids</t>
  </si>
  <si>
    <t>ppc helping other skus, conv rising, but margin low. PPEAK $24.99-28.99</t>
  </si>
  <si>
    <t>SS-J-W6F9-FBA</t>
  </si>
  <si>
    <t>solid conv,, maintining</t>
  </si>
  <si>
    <t>SS-J-W6PS-FBA</t>
  </si>
  <si>
    <t>Created PPC auto PPC, price $13.99</t>
  </si>
  <si>
    <t>UsSmallStandardSize</t>
  </si>
  <si>
    <t>priced at $13.99</t>
  </si>
  <si>
    <t>priced at $13.99 in both FBA and FBM (ppc wasnt spending because FBM's lower price had the buy box, adding coupon</t>
  </si>
  <si>
    <t>8 sold in last 3 days! ppc is driving a lot of impressions, but the price may be too high- lowered to $11.99</t>
  </si>
  <si>
    <t>ppc off, had to be repriced to $13.99 to match FBM sku</t>
  </si>
  <si>
    <t>SS-J-W6FQ-FBA</t>
  </si>
  <si>
    <t>maintining, decent conv</t>
  </si>
  <si>
    <t>SS-J-W6Q12-FBA</t>
  </si>
  <si>
    <t>FBA/FBM priced at $19.99, ppc created</t>
  </si>
  <si>
    <t>Annoying spooky error- ppeak fixed</t>
  </si>
  <si>
    <t>ppc paused, PPEAK $24.99-26.99, coupon on</t>
  </si>
  <si>
    <t>PPEAK $26.99-30.99</t>
  </si>
  <si>
    <t>SS-J-W6Q16-FBA</t>
  </si>
  <si>
    <t>SS-J-W6T12-FBA</t>
  </si>
  <si>
    <t>PPEAK $13.99-16.99, ppc on</t>
  </si>
  <si>
    <t>PPEAK $16.99-20.99, coupon on</t>
  </si>
  <si>
    <t>5 sales showing in last 7 days in roder manager</t>
  </si>
  <si>
    <t>SS-J-W6T16-FBA</t>
  </si>
  <si>
    <t xml:space="preserve">both fbm fba priced at the same time </t>
  </si>
  <si>
    <t>Priced both FBM/FBA at $19.99, adding coupon</t>
  </si>
  <si>
    <t>6 sales in last 7 days- opt ppc, PPEAK $19.99-24.99</t>
  </si>
  <si>
    <t>ppc off, hurting margin</t>
  </si>
  <si>
    <t>SS-J-W6X12-FBA</t>
  </si>
  <si>
    <t>FBA/FBM priced at $21.99, ppc created</t>
  </si>
  <si>
    <t>had to wait for the SKU to show up in PPEAK, now on along with FBM sku, ppc on</t>
  </si>
  <si>
    <t>PPEAK $19.99-22.99, coupon on</t>
  </si>
  <si>
    <t>opt ppc, PPEAK $</t>
  </si>
  <si>
    <t>SS-J-W6X16-FBA</t>
  </si>
  <si>
    <t>Raised price to $21.99, activated some auto ppc</t>
  </si>
  <si>
    <t>opt ppc by raising bids to spend</t>
  </si>
  <si>
    <t>SS-J-W6X9-FBA</t>
  </si>
  <si>
    <t>Created PPC auto PPC, price $23.99</t>
  </si>
  <si>
    <t>Priced at $19.99, opt ppc</t>
  </si>
  <si>
    <t>spooky error, paused ppc, adding coupon</t>
  </si>
  <si>
    <t>price might be too high, good impressions and clicks from ppc. PPEAK $16.99-19.99</t>
  </si>
  <si>
    <t>good conv, maintaining</t>
  </si>
  <si>
    <t>SS-J-WCPQ-FBA</t>
  </si>
  <si>
    <t>priced at $13.99 in both FBA and FBM (ppc wasnt spending because FBM's lower price had the buy box</t>
  </si>
  <si>
    <t>adding coupon, trimmed ppc</t>
  </si>
  <si>
    <t>7D ppc has 12% acos- cut waste and raised converting bid- PPEAK $13.99-16.99</t>
  </si>
  <si>
    <t>PPEAK $14.99-17.99, ppc off</t>
  </si>
  <si>
    <t>SS-J-W6FT-FBA</t>
  </si>
  <si>
    <t>SS-DD-WMO1-FBA-BG-DL</t>
  </si>
  <si>
    <t>Created auto ppc</t>
  </si>
  <si>
    <t>$17.99 both FBA and FBM no so ppc should spend</t>
  </si>
  <si>
    <t>priced at $14.99,  adding coupon</t>
  </si>
  <si>
    <t>opt ppc to spend a bit more, PPEAK $15.99-19.99</t>
  </si>
  <si>
    <t>dont have buy box vs FBM, lowered ppeak max to keep us in buy box</t>
  </si>
  <si>
    <t>SS-WMS1-FBA</t>
  </si>
  <si>
    <t>SS-J-W6T9-FBA</t>
  </si>
  <si>
    <t>coupon on, cole will be verifying costs to make sure landed is right</t>
  </si>
  <si>
    <t>SS-J-LJR-L-FBA</t>
  </si>
  <si>
    <t>SS-PUN-TS</t>
  </si>
  <si>
    <t>SS-PUN-TS-A</t>
  </si>
  <si>
    <t>raising to just above B/E at 13.99</t>
  </si>
  <si>
    <t>Testing prices with PRofit peak, 13.99 to 18.99</t>
  </si>
  <si>
    <t>raise $2</t>
  </si>
  <si>
    <t>SS-PUN-TS-B</t>
  </si>
  <si>
    <t>increase to 18.99, all units in transfer</t>
  </si>
  <si>
    <t>close</t>
  </si>
  <si>
    <t>raise to 19.99</t>
  </si>
  <si>
    <t>optimizing ppc</t>
  </si>
  <si>
    <t>increase min to 24, daily target of 6</t>
  </si>
  <si>
    <t>increased daily target to 12</t>
  </si>
  <si>
    <t>lowered min to23, daily target of 11</t>
  </si>
  <si>
    <t>raise min to 24.98</t>
  </si>
  <si>
    <t>raise min to 25</t>
  </si>
  <si>
    <t>raise min to 26</t>
  </si>
  <si>
    <t>raise min to 27, ppc off</t>
  </si>
  <si>
    <t>9 left maintain</t>
  </si>
  <si>
    <t>sold out close</t>
  </si>
  <si>
    <t>SS-PUN-TS-HD-A</t>
  </si>
  <si>
    <t>maintianing - ppc is now on</t>
  </si>
  <si>
    <t>raised to 21.99</t>
  </si>
  <si>
    <t>not doing great with negative review. going to t</t>
  </si>
  <si>
    <t>range now 26 to 36, daily target of 3</t>
  </si>
  <si>
    <t>increase ppc</t>
  </si>
  <si>
    <t>lowered min to 25.99</t>
  </si>
  <si>
    <t>maintain on PP</t>
  </si>
  <si>
    <t>raise min to 29</t>
  </si>
  <si>
    <t>50 left, ppc is off</t>
  </si>
  <si>
    <t>18 left, at 29, maintain</t>
  </si>
  <si>
    <t>2 left maintian</t>
  </si>
  <si>
    <t>2 left, maintain one more week</t>
  </si>
  <si>
    <t>SS-PUN-TS-HD</t>
  </si>
  <si>
    <t>optimize ppc, raise $2 closer to B/E</t>
  </si>
  <si>
    <t>enabling profit peak from 12.99 to 19.99 - looking to test some prices</t>
  </si>
  <si>
    <t>increasing min on PP to b/E</t>
  </si>
  <si>
    <t>maintain to see if this is picking up - will see what happens and raise accordingly</t>
  </si>
  <si>
    <t>pause ppc</t>
  </si>
  <si>
    <t>SS-PP-B20X20TRD-RBYG</t>
  </si>
  <si>
    <t>SS-PP-CRQT-6BALL</t>
  </si>
  <si>
    <t>SS-PUN-CH-BLBK</t>
  </si>
  <si>
    <t>sold out, close</t>
  </si>
  <si>
    <t xml:space="preserve">Raise to 15.99, enable light PPC </t>
  </si>
  <si>
    <t>lower $1</t>
  </si>
  <si>
    <t>enable profit peak 14.90 to 19.99, optimize</t>
  </si>
  <si>
    <t>increase PP max to 21</t>
  </si>
  <si>
    <t>lower pp min to 15</t>
  </si>
  <si>
    <t>enable ppc</t>
  </si>
  <si>
    <t>pausing ppc</t>
  </si>
  <si>
    <t>ppc is off, maintain</t>
  </si>
  <si>
    <t>min raised to 16</t>
  </si>
  <si>
    <t>raise min to 18</t>
  </si>
  <si>
    <t>raise min to 19</t>
  </si>
  <si>
    <t>lower min back to 18</t>
  </si>
  <si>
    <t>lower min to 17</t>
  </si>
  <si>
    <t>increase PP min to 18</t>
  </si>
  <si>
    <t>enabled PP 17-28</t>
  </si>
  <si>
    <t>lower min to 16</t>
  </si>
  <si>
    <t>adding ppc</t>
  </si>
  <si>
    <t>oprimize ppc, trim ppc</t>
  </si>
  <si>
    <t>lower min to 14</t>
  </si>
  <si>
    <t>price scheudle at 14</t>
  </si>
  <si>
    <t>raise min to 16</t>
  </si>
  <si>
    <t>lower min to 15</t>
  </si>
  <si>
    <t>SS-PUN-CH-BLGY</t>
  </si>
  <si>
    <t>pricing at 15.99, low level ppc again here</t>
  </si>
  <si>
    <t>trim back on ppc</t>
  </si>
  <si>
    <t>ppc is off, maintian</t>
  </si>
  <si>
    <t>raise to 15.99</t>
  </si>
  <si>
    <t>miantian at 15.99</t>
  </si>
  <si>
    <t>range 16-27, target of 2</t>
  </si>
  <si>
    <t>enabled ppeak 16-27</t>
  </si>
  <si>
    <t>lowered min to 15</t>
  </si>
  <si>
    <t>increase min to 17</t>
  </si>
  <si>
    <t>increase min to 16</t>
  </si>
  <si>
    <t>enable auto ppc</t>
  </si>
  <si>
    <t>price schedule at 14.99</t>
  </si>
  <si>
    <t>range updated 15.21</t>
  </si>
  <si>
    <t>paused ppc</t>
  </si>
  <si>
    <t>SS-PUN-CH-FLAG</t>
  </si>
  <si>
    <t>maintian</t>
  </si>
  <si>
    <t>going to enable profit peak, 14.90 to 19.99</t>
  </si>
  <si>
    <t>will price schedule at 15.99</t>
  </si>
  <si>
    <t>min raised to 16, decimals removed</t>
  </si>
  <si>
    <t>raise min to 17</t>
  </si>
  <si>
    <t>raise min to 21</t>
  </si>
  <si>
    <t>add daily target of 2</t>
  </si>
  <si>
    <t>lower min to 20</t>
  </si>
  <si>
    <t>lower min to 18</t>
  </si>
  <si>
    <t>lost sku, reenabled</t>
  </si>
  <si>
    <t>increase min to 20</t>
  </si>
  <si>
    <t>increase min to 21</t>
  </si>
  <si>
    <t>sold out, closed</t>
  </si>
  <si>
    <t>enabled ppeak 19-29, enabled ppc</t>
  </si>
  <si>
    <t>lowered min to 16, add ppc</t>
  </si>
  <si>
    <t>maintaining, enable ppc</t>
  </si>
  <si>
    <t>range 16-26, add ppc back</t>
  </si>
  <si>
    <t>enable manual ppc</t>
  </si>
  <si>
    <t>increase price ppc</t>
  </si>
  <si>
    <t>pause ppc, price scheule at 14</t>
  </si>
  <si>
    <t>continue on ppeak</t>
  </si>
  <si>
    <t>SS-PUN-CH-ORBK</t>
  </si>
  <si>
    <t>maintain until new inventory</t>
  </si>
  <si>
    <t>raise $1, enable light ppc</t>
  </si>
  <si>
    <t>trim ppc</t>
  </si>
  <si>
    <t>turned ppc back on</t>
  </si>
  <si>
    <t>maintian with ppc off</t>
  </si>
  <si>
    <t>enable PP, range 16-24</t>
  </si>
  <si>
    <t>raise min to 22</t>
  </si>
  <si>
    <t>min baxck to 21</t>
  </si>
  <si>
    <t>lower min to 19</t>
  </si>
  <si>
    <t>added stock deplete</t>
  </si>
  <si>
    <t>raise min to 23</t>
  </si>
  <si>
    <t>enabled ppeak 18-23</t>
  </si>
  <si>
    <t>lowered range to 16-22</t>
  </si>
  <si>
    <t>priced schedule at 16, add ppc</t>
  </si>
  <si>
    <t>pause ppc, lower min to 15</t>
  </si>
  <si>
    <t>maintain without ppc</t>
  </si>
  <si>
    <t>price schedule at 15.99</t>
  </si>
  <si>
    <t>add ppc back in</t>
  </si>
  <si>
    <t xml:space="preserve">range set 15-22, ppcon </t>
  </si>
  <si>
    <t>pause ppc, lower min to 13</t>
  </si>
  <si>
    <t xml:space="preserve"> </t>
  </si>
  <si>
    <t>ppc is off now, lower min to 14</t>
  </si>
  <si>
    <t>schedule at 14.99</t>
  </si>
  <si>
    <t>SS-PUN-CH-ORBL</t>
  </si>
  <si>
    <t>maintain, will give a week and see if we need additional ppc</t>
  </si>
  <si>
    <t>enable pp 14.90 to 19.99</t>
  </si>
  <si>
    <t>added daily target of 2</t>
  </si>
  <si>
    <t>add stock deplete</t>
  </si>
  <si>
    <t>enabled PP 19-26</t>
  </si>
  <si>
    <t>range lowered 15-21</t>
  </si>
  <si>
    <t>price schedule at 15.99, add ppc</t>
  </si>
  <si>
    <t>pausing ppc, fell off ppeak, fixed</t>
  </si>
  <si>
    <t>maintain without ppc - lower to 16</t>
  </si>
  <si>
    <t>price schedule at 16.99</t>
  </si>
  <si>
    <t>maintain on ppeak</t>
  </si>
  <si>
    <t>lower via price schedule to 14</t>
  </si>
  <si>
    <t>schedule at 14.49</t>
  </si>
  <si>
    <t>SS-PUN-CH-REBK</t>
  </si>
  <si>
    <t>going to P 14.90 to 19.99</t>
  </si>
  <si>
    <t>price schedule to 14.99</t>
  </si>
  <si>
    <t>lower to 14.99</t>
  </si>
  <si>
    <t>lower to 16.99</t>
  </si>
  <si>
    <t>raised min to 16</t>
  </si>
  <si>
    <t>sold out clsoe</t>
  </si>
  <si>
    <t>enabled ppc 19-26</t>
  </si>
  <si>
    <t>lowered min to 16</t>
  </si>
  <si>
    <t>price schedule at 17</t>
  </si>
  <si>
    <t>pause ppc, lower to 16</t>
  </si>
  <si>
    <t>add ppc back</t>
  </si>
  <si>
    <t>lower via price echedule to 14</t>
  </si>
  <si>
    <t>SS-PUN-CH-REBL</t>
  </si>
  <si>
    <t>need to enable some ppc for this one</t>
  </si>
  <si>
    <t>maintain until thursday</t>
  </si>
  <si>
    <t>maintain hope velocity picks up with increased ppc and new inventory. enabling PP, 14.90 to 19.99</t>
  </si>
  <si>
    <t>enable pp with price target at 14.99 (range 14.90 to 19.99)</t>
  </si>
  <si>
    <t>range updated 15.90 to 21.99</t>
  </si>
  <si>
    <t>raise to 21</t>
  </si>
  <si>
    <t>PP lost sku, pricing at 17.99</t>
  </si>
  <si>
    <t>PPEak 15-21</t>
  </si>
  <si>
    <t>maintain another week to manage inventory</t>
  </si>
  <si>
    <t>SS-PUN-CH-REGR</t>
  </si>
  <si>
    <t>maintain at lower price</t>
  </si>
  <si>
    <t>maintain at 14.99, no ppc, will see what happens in first week</t>
  </si>
  <si>
    <t>enable pp 14.90 to 21.99</t>
  </si>
  <si>
    <t>maintina</t>
  </si>
  <si>
    <t>increase to 15.99</t>
  </si>
  <si>
    <t>enable pp, range of 17 to 25</t>
  </si>
  <si>
    <t>raise min to 20</t>
  </si>
  <si>
    <t>enacle ppc</t>
  </si>
  <si>
    <t>lost sku, re-enabled ppeak</t>
  </si>
  <si>
    <t>PPeak 18-25</t>
  </si>
  <si>
    <t>lowered mrange 15-21</t>
  </si>
  <si>
    <t>ppeak was off - re-enabled 15-21</t>
  </si>
  <si>
    <t>pause ppc, lower range 14-19</t>
  </si>
  <si>
    <t>at 14, maintain</t>
  </si>
  <si>
    <t>PPeak lost sku, fixed 14-19</t>
  </si>
  <si>
    <t>ppc off late last week, maintain</t>
  </si>
  <si>
    <t>increase min to 15</t>
  </si>
  <si>
    <t>lower via schedule to 13.99</t>
  </si>
  <si>
    <t>maintain via ppeak should be posiitive</t>
  </si>
  <si>
    <t>SS-PUN-CH-SLBK</t>
  </si>
  <si>
    <t>maintain for a week and see what happens with PPC on 4 other SKUS</t>
  </si>
  <si>
    <t>enable pp 14.90 to 19.99, optimize</t>
  </si>
  <si>
    <t>trimming ppc</t>
  </si>
  <si>
    <t>maintian - like others because conversion rates dropped</t>
  </si>
  <si>
    <t>lower to 18</t>
  </si>
  <si>
    <t>PPeak 21-29</t>
  </si>
  <si>
    <t>lowering min to 16, add ppc</t>
  </si>
  <si>
    <t>lower min to 15.49</t>
  </si>
  <si>
    <t>at 19, maintian</t>
  </si>
  <si>
    <t>add ppc again</t>
  </si>
  <si>
    <t>raise min to 15</t>
  </si>
  <si>
    <t>135 availalbe maintain this week</t>
  </si>
  <si>
    <t>SS-PUN-CHC-BLBK</t>
  </si>
  <si>
    <t>maintian, seems up and down</t>
  </si>
  <si>
    <t>enabling profit peak</t>
  </si>
  <si>
    <t>raising min to 20</t>
  </si>
  <si>
    <t>lower to 19</t>
  </si>
  <si>
    <t>SS-PUN-CHC-BLGY</t>
  </si>
  <si>
    <t>maintian until Thursday</t>
  </si>
  <si>
    <t>SS-PUN-CHC-FLAG</t>
  </si>
  <si>
    <t>increase ppc spend - just need to get this moving</t>
  </si>
  <si>
    <t>increase ppc need to get moving</t>
  </si>
  <si>
    <t>lowering to 15.99</t>
  </si>
  <si>
    <t>optimizing ppc, enable profit peak, 17.99 to 22.99</t>
  </si>
  <si>
    <t>enable PP 17.90 to 23.99, trim ppc</t>
  </si>
  <si>
    <t>maintian with ppc on others</t>
  </si>
  <si>
    <t>lower pp max to 21, add daily target of 4</t>
  </si>
  <si>
    <t>increased range to 18-26</t>
  </si>
  <si>
    <t>increase min to 19</t>
  </si>
  <si>
    <t>SS-PUN-CHC-ORBK</t>
  </si>
  <si>
    <t>lower to 15.99</t>
  </si>
  <si>
    <t>maintain, just looking to keep moving</t>
  </si>
  <si>
    <t>enable PP 16.90 to 21.99</t>
  </si>
  <si>
    <t>lowe min to 15 via PP</t>
  </si>
  <si>
    <t>maitain</t>
  </si>
  <si>
    <t>increase min to 18</t>
  </si>
  <si>
    <t>SS-PUN-CHC-REBK</t>
  </si>
  <si>
    <t>maintain with increased ppc on other skus/listing</t>
  </si>
  <si>
    <t>maintainn, will increase bid looking to move faster</t>
  </si>
  <si>
    <t>will increase ppc, no spend</t>
  </si>
  <si>
    <t>maintian, increase ppc - no spend</t>
  </si>
  <si>
    <t>maintain for a week and see what happens</t>
  </si>
  <si>
    <t>enable pp 16.90 to 21.99</t>
  </si>
  <si>
    <t>ppc is off, maintain on PP</t>
  </si>
  <si>
    <t>ENABLE PPC</t>
  </si>
  <si>
    <t>maintain, hope this picks up conversio is good</t>
  </si>
  <si>
    <t>add stock depelete</t>
  </si>
  <si>
    <t>SS-PUN-CHC-REBL</t>
  </si>
  <si>
    <t>enabling ppc</t>
  </si>
  <si>
    <t>increasing ppc</t>
  </si>
  <si>
    <t>maintian, hoping increase spend to listing helps - dont want to spend too heavily</t>
  </si>
  <si>
    <t>maintain another week</t>
  </si>
  <si>
    <t>pause ppc, lower to 15.99</t>
  </si>
  <si>
    <t>pause ppc, enable pp 16.90 to 21.99</t>
  </si>
  <si>
    <t>removed decimals, and added a daily target via PP</t>
  </si>
  <si>
    <t>SS-PUN-CHC-REGR</t>
  </si>
  <si>
    <t>maintain, hoping this bounces back</t>
  </si>
  <si>
    <t>raise to 16.99</t>
  </si>
  <si>
    <t>raise to 17.99</t>
  </si>
  <si>
    <t>lowering to 16.99</t>
  </si>
  <si>
    <t>pause ppc, raise min to 19</t>
  </si>
  <si>
    <t>maintian without ppc</t>
  </si>
  <si>
    <t>SS-PUN-CHC-SLBK</t>
  </si>
  <si>
    <t>maintain - seemingly down week</t>
  </si>
  <si>
    <t>lower to break even</t>
  </si>
  <si>
    <t>going back to 16.99</t>
  </si>
  <si>
    <t>raise to 17.99, willl add ppc thursday</t>
  </si>
  <si>
    <t>enable PPC</t>
  </si>
  <si>
    <t>increase ppc bids - no spend</t>
  </si>
  <si>
    <t>lowered min to 15 via pp, removed decimals</t>
  </si>
  <si>
    <t>lower to 17.99</t>
  </si>
  <si>
    <t>SS-PUN-CHC-YEBK</t>
  </si>
  <si>
    <t>pausing ppc on this one, as it will move to skus with better conversion rates</t>
  </si>
  <si>
    <t xml:space="preserve">range </t>
  </si>
  <si>
    <t>will try some ppc again - hoping to help other skus too</t>
  </si>
  <si>
    <t>maintain until Thursday</t>
  </si>
  <si>
    <t>profit peak 16.90 to 21.99, maintainiong low ppc</t>
  </si>
  <si>
    <t>ppc paused, maintain</t>
  </si>
  <si>
    <t>maintain with ppc off - ppc to others</t>
  </si>
  <si>
    <t>lower min $1</t>
  </si>
  <si>
    <t>SS-WMXL-2PK</t>
  </si>
  <si>
    <t>sold out but units are inbound.</t>
  </si>
  <si>
    <t>back in stock, PPEAK set to $40.99-43.99 to speed up</t>
  </si>
  <si>
    <t>2.14 7Dv vs target of 6. Margin high, so dropping PPEAK to $37.99-40.99</t>
  </si>
  <si>
    <t>PPEAK $30.99-47.99</t>
  </si>
  <si>
    <t>PPEAK $29.99-39.99, after PPEAk shows lower end of last week's range as optimal</t>
  </si>
  <si>
    <t>Trying PPEAK lower limit $28.99-39.99</t>
  </si>
  <si>
    <t>Conversion rate is awesome, raising PPEAK $32.99-42.99</t>
  </si>
  <si>
    <t>PPEAK $35.99-45.99</t>
  </si>
  <si>
    <t>Opt price was min, lowered PPEAk price, range now $32.99-45.99 to test lower prices' effect on profit dollars</t>
  </si>
  <si>
    <t>solid conversion, margin solid but 7DV only 3. PPEAK lowered to improve velocity and conversion more- $28.99-38.99</t>
  </si>
  <si>
    <t>7Dv 4.86 as conversion rises. Product targeting campaign started, PPEAK range showing PPEAK min as optimal- raising min $1, range $29.99-37.99</t>
  </si>
  <si>
    <t>7Dv is 6, opt prod targeting campaign. high conversion PPEAK range $26.99-36.99. opt ppc</t>
  </si>
  <si>
    <t>7Dv 9.29! (2020 high), margin at 11%. Opt ppc</t>
  </si>
  <si>
    <t>7DV 8.43, solid converision rate. 33 DOH</t>
  </si>
  <si>
    <t>7DV 7.43, a bit above target. margin low with PPC. Trimming PPC/depending more on 1 pack to drive sales to the multipacks. Conversion good, raising PPEAK min, range $28.99-36.99.</t>
  </si>
  <si>
    <t>paused ppc, PPEAK $30.99-36.99, more due in next week.</t>
  </si>
  <si>
    <t>raising PPEAK, target 5. PPEAK $32.99-39.99</t>
  </si>
  <si>
    <t>7Dv 4.43, target 5. profit up, PPEAK $33.99-39.99</t>
  </si>
  <si>
    <t>a bit under target, PPEAK $32.99-39.99</t>
  </si>
  <si>
    <t>just a bit under target, opt ppc</t>
  </si>
  <si>
    <t>Updated costs and added target of 5</t>
  </si>
  <si>
    <t>7dv up to 4, nearing target of 5. opt ppc</t>
  </si>
  <si>
    <t>7Dv 4.86, on target-</t>
  </si>
  <si>
    <t>7Dv 4.86, on target- maintaining</t>
  </si>
  <si>
    <t>PPEAK $35.99-42.99</t>
  </si>
  <si>
    <t>ppc off</t>
  </si>
  <si>
    <t>bullets were missing from justin fixing listing.fixed and  activated auto ppc to improve sessions</t>
  </si>
  <si>
    <t>PPEAK $30.99-32.99</t>
  </si>
  <si>
    <t>already 3.57 7DV! opt ppc</t>
  </si>
  <si>
    <t>4/day opt ppc - $32.99-35.99</t>
  </si>
  <si>
    <t>PPEAK $32.99-34.99</t>
  </si>
  <si>
    <t xml:space="preserve"> PPEAK $36.99-38.99</t>
  </si>
  <si>
    <t>SS-WMXL-Tuck-2PK</t>
  </si>
  <si>
    <t>only a few units, almost sold out but units are inbound.</t>
  </si>
  <si>
    <t>PPEAK dropped iwth new inventory, back to good margin level, range now $46.99-51.99</t>
  </si>
  <si>
    <t>PPEAK dropped to $46.99-48.99</t>
  </si>
  <si>
    <t>7DV is 1, target 7. Lowered PPEAK to $42.99-46.99</t>
  </si>
  <si>
    <t>PPEAk $32.99-49.99, activated some PPX</t>
  </si>
  <si>
    <t>PPEAK says $40.81 opt price. raising PPEAK $40.99-50.99.</t>
  </si>
  <si>
    <t>putting back to $34.99-44.99 since the conversion dropped a lot with the increase this past week.</t>
  </si>
  <si>
    <t>Conversion rate is awesome, raising PPEAK $37.99-39.99</t>
  </si>
  <si>
    <t>opt ppc, which is really low (2% ACoS),</t>
  </si>
  <si>
    <t>PPEAK $34.99-38.99</t>
  </si>
  <si>
    <t>7DV 4.43, continuing to climb! Lowering PPEAK range to increase conversion $33.99-36.99 and timmed ppc spend</t>
  </si>
  <si>
    <t>7Dv 4.86 as conversion rises. Product targeting campaign started, PPEAK range showing PPEAK max as optimal- Lowering max $1, range $33.99-35.99 to improve velocity.</t>
  </si>
  <si>
    <t>7Dv still 4.86, product targeting campaign working. opt ppc</t>
  </si>
  <si>
    <t>optimizing PPC</t>
  </si>
  <si>
    <t>7DV 4.86, 225 in production, opt ppc</t>
  </si>
  <si>
    <t>opt ppc, PPEAK $31.99-36.99</t>
  </si>
  <si>
    <t>7Dv 3.14. PPEAK $29.99-34.99 and trimmed PPC to improve velocity, aiming for 10% margin</t>
  </si>
  <si>
    <t>7DV 4.29, conversion rate good. addressing revising target velocity. PPEAK $32.99-36.99 and opt ppc to improve 7Dv, adding convertind ASINs to prodtarg</t>
  </si>
  <si>
    <t>target 7, opt ppc to improve velocity</t>
  </si>
  <si>
    <t>7Dv 4.14, increased low ACoS ppc</t>
  </si>
  <si>
    <t>7Dv is 4.71, vs 7 target. opt ppc</t>
  </si>
  <si>
    <t>Set PP to $30.99 to $39.99. Added target of 7. Trimmed PPC bid slightly</t>
  </si>
  <si>
    <t>7dv unchanged- opt ppc, activating product targeting campaign</t>
  </si>
  <si>
    <t>ppc did really well- opt ppc and PPEAK $32.99-42.99</t>
  </si>
  <si>
    <t>7Dv 6.43, near target-</t>
  </si>
  <si>
    <t>maintianing, near target, opt ppc</t>
  </si>
  <si>
    <t>ppc optimized, waiting on incoming</t>
  </si>
  <si>
    <t>great conversion, margin could be a lot higher with none incoming.</t>
  </si>
  <si>
    <t>no ppc, 10% margin, and conv still high. with no more incoming, PPEAK $37.99-49.99</t>
  </si>
  <si>
    <t>none coming in, maintaining</t>
  </si>
  <si>
    <t>now some is coming in !</t>
  </si>
  <si>
    <t>PPEKA $30.99-39.99</t>
  </si>
  <si>
    <t>5.42, heading in the right direction. conv rate is high, ppeak $</t>
  </si>
  <si>
    <t>none incoming, priced $36.99</t>
  </si>
  <si>
    <t>PPEAK $32.99-39.99, activated auto ppc</t>
  </si>
  <si>
    <t>5% coupon</t>
  </si>
  <si>
    <t>SS-IL-WB48X72-15LB-A</t>
  </si>
  <si>
    <t>More coming in. Priced to above break even at $62.99</t>
  </si>
  <si>
    <t>1 sale in past 7 days, maintaining.</t>
  </si>
  <si>
    <t>raising price $2 to $64.99</t>
  </si>
  <si>
    <t>lowering to BE, $62.99</t>
  </si>
  <si>
    <t>maintaining with 10 left</t>
  </si>
  <si>
    <t>9 left, maintaining</t>
  </si>
  <si>
    <t>4 sold in last week according to sellics, only 5 remain. maintaining</t>
  </si>
  <si>
    <t>SS-IL-WB60X80-15LB-A</t>
  </si>
  <si>
    <t>More coming in. Priced to above break even at $66.99</t>
  </si>
  <si>
    <t>2 sales in the past 7 days, maintianing.</t>
  </si>
  <si>
    <t>SS-IL-WB60X80-18LB-A</t>
  </si>
  <si>
    <t>More coming in. Priced to above break even at $67.99</t>
  </si>
  <si>
    <t>3  sales in the past 7 days, maintianing.</t>
  </si>
  <si>
    <t>raising price $2 to $69.99</t>
  </si>
  <si>
    <t>SS-PP-INPONGR</t>
  </si>
  <si>
    <t>SS-DD-ORGANIC-FITTED-COTTON-MATTRESS-FN</t>
  </si>
  <si>
    <t>low DOH, low conversion rate, 9 units left. Maintaining.</t>
  </si>
  <si>
    <t>4 remaining, maintianing</t>
  </si>
  <si>
    <t>3 sold in last 7 days- maintaining</t>
  </si>
  <si>
    <t>ppc off, combined 7DV with this and 7DV 2.29, looking good and accelerating now, pausing PPC</t>
  </si>
  <si>
    <t>SS-J-DDPL24-FBA</t>
  </si>
  <si>
    <t>one left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</si>
</sst>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8" formatCode="&quot;$&quot;#,##0.00_);[Red]\(&quot;$&quot;#,##0.00\)"/>
    <numFmt numFmtId="44" formatCode="_(&quot;$&quot;* #,##0.00_);_(&quot;$&quot;* \(#,##0.00\);_(&quot;$&quot;* &quot;-&quot;??_);_(@_)"/>
    <numFmt numFmtId="164" formatCode="&quot;$&quot;#,##0.00"/>
    <numFmt numFmtId="165" formatCode="0.0%"/>
  </numFmts>
  <fonts count="13">
    <font>
      <sz val="11"/>
      <color rgb="FF000000"/>
      <name val="Calibri"/>
    </font>
    <font>
      <sz val="11"/>
      <color theme="1"/>
      <name val="Calibri"/>
    </font>
    <font>
      <sz val="10"/>
      <color rgb="FF000000"/>
      <name val="Calibri"/>
    </font>
    <font>
      <b/>
      <sz val="12"/>
      <color rgb="FF000000"/>
      <name val="Calibri"/>
    </font>
    <font>
      <sz val="11"/>
      <name val="Calibri"/>
    </font>
    <font>
      <b/>
      <sz val="11"/>
      <color rgb="FF3F3F3F"/>
      <name val="Calibri"/>
    </font>
    <font>
      <b/>
      <sz val="11"/>
      <color rgb="FFFFFFFF"/>
      <name val="Calibri"/>
    </font>
    <font>
      <b/>
      <sz val="11"/>
      <color rgb="FFF2F2F2"/>
      <name val="Calibri"/>
    </font>
    <font>
      <sz val="11"/>
      <color rgb="FF000000"/>
      <name val="Roboto"/>
    </font>
    <font>
      <sz val="12"/>
      <color rgb="FF000000"/>
      <name val="Calibri"/>
    </font>
    <font>
      <sz val="10"/>
      <color rgb="FF000000"/>
      <name val="Arial"/>
    </font>
    <font>
      <sz val="11"/>
      <color theme="1"/>
      <name val="Calibri"/>
    </font>
    <font>
      <sz val="9"/>
      <color rgb="FF000000"/>
      <name val="Calibri"/>
    </font>
  </fonts>
  <fills count="7">
    <fill>
      <patternFill patternType="none"/>
    </fill>
    <fill>
      <patternFill patternType="gray125"/>
    </fill>
    <fill>
      <patternFill patternType="solid">
        <fgColor rgb="FFF5F5F1"/>
        <bgColor rgb="FFF5F5F1"/>
      </patternFill>
    </fill>
    <fill>
      <patternFill patternType="solid">
        <fgColor rgb="FFF2F2F2"/>
        <bgColor rgb="FFF2F2F2"/>
      </patternFill>
    </fill>
    <fill>
      <patternFill patternType="solid">
        <fgColor rgb="FF002060"/>
        <bgColor rgb="FF002060"/>
      </patternFill>
    </fill>
    <fill>
      <patternFill patternType="solid">
        <fgColor rgb="FFFFFF00"/>
        <bgColor rgb="FFFFFF00"/>
      </patternFill>
    </fill>
    <fill>
      <patternFill patternType="solid">
        <fgColor rgb="FFFFFFFF"/>
        <bgColor rgb="FFFFFFFF"/>
      </patternFill>
    </fill>
  </fills>
  <borders count="9">
    <border>
      <left/>
      <right/>
      <top/>
      <bottom/>
      <diagonal/>
    </border>
    <border>
      <left/>
      <right/>
      <top/>
      <bottom/>
      <diagonal/>
    </border>
    <border>
      <left/>
      <right/>
      <top/>
      <bottom/>
      <diagonal/>
    </border>
    <border>
      <left/>
      <right/>
      <top/>
      <bottom style="thin">
        <color rgb="FF000000"/>
      </bottom>
      <diagonal/>
    </border>
    <border>
      <left/>
      <right/>
      <top/>
      <bottom style="thin">
        <color rgb="FF3F3F3F"/>
      </bottom>
      <diagonal/>
    </border>
    <border>
      <left/>
      <right/>
      <top/>
      <bottom style="thin">
        <color rgb="FF3F3F3F"/>
      </bottom>
      <diagonal/>
    </border>
    <border>
      <left/>
      <right/>
      <top/>
      <bottom style="thin">
        <color rgb="FF000000"/>
      </bottom>
      <diagonal/>
    </border>
    <border>
      <left/>
      <right/>
      <top style="thin">
        <color rgb="FF000000"/>
      </top>
      <bottom style="medium">
        <color rgb="FF000000"/>
      </bottom>
      <diagonal/>
    </border>
    <border>
      <left/>
      <right/>
      <top/>
      <bottom/>
      <diagonal/>
    </border>
  </borders>
  <cellStyleXfs count="1">
    <xf numFmtId="0" fontId="0" fillId="0" borderId="0"/>
  </cellStyleXfs>
  <cellXfs count="62">
    <xf numFmtId="0" fontId="0" fillId="0" borderId="0" xfId="0" applyFont="1" applyAlignment="1"/>
    <xf numFmtId="0" fontId="0" fillId="0" borderId="0" xfId="0" applyFont="1" applyAlignment="1">
      <alignment horizontal="left"/>
    </xf>
    <xf numFmtId="0" fontId="0" fillId="0" borderId="0" xfId="0" applyFont="1"/>
    <xf numFmtId="0" fontId="0" fillId="0" borderId="0" xfId="0" applyFont="1" applyAlignment="1">
      <alignment horizontal="center"/>
    </xf>
    <xf numFmtId="0" fontId="3" fillId="0" borderId="0" xfId="0" applyFont="1" applyAlignment="1">
      <alignment horizontal="center"/>
    </xf>
    <xf numFmtId="0" fontId="5" fillId="3" borderId="7" xfId="0" applyFont="1" applyFill="1" applyBorder="1" applyAlignment="1">
      <alignment horizontal="left"/>
    </xf>
    <xf numFmtId="0" fontId="6" fillId="4" borderId="7" xfId="0" applyFont="1" applyFill="1" applyBorder="1" applyAlignment="1">
      <alignment horizontal="center"/>
    </xf>
    <xf numFmtId="164" fontId="5" fillId="3" borderId="7" xfId="0" applyNumberFormat="1" applyFont="1" applyFill="1" applyBorder="1" applyAlignment="1">
      <alignment horizontal="center"/>
    </xf>
    <xf numFmtId="0" fontId="5" fillId="3" borderId="7" xfId="0" applyFont="1" applyFill="1" applyBorder="1" applyAlignment="1">
      <alignment horizontal="center" wrapText="1"/>
    </xf>
    <xf numFmtId="44" fontId="5" fillId="3" borderId="7" xfId="0" applyNumberFormat="1" applyFont="1" applyFill="1" applyBorder="1" applyAlignment="1">
      <alignment horizontal="center" wrapText="1"/>
    </xf>
    <xf numFmtId="9" fontId="5" fillId="3" borderId="7" xfId="0" applyNumberFormat="1" applyFont="1" applyFill="1" applyBorder="1" applyAlignment="1">
      <alignment horizontal="center" wrapText="1"/>
    </xf>
    <xf numFmtId="9" fontId="5" fillId="3" borderId="7" xfId="0" applyNumberFormat="1" applyFont="1" applyFill="1" applyBorder="1" applyAlignment="1">
      <alignment horizontal="center"/>
    </xf>
    <xf numFmtId="165" fontId="5" fillId="3" borderId="7" xfId="0" applyNumberFormat="1" applyFont="1" applyFill="1" applyBorder="1" applyAlignment="1">
      <alignment horizontal="center" wrapText="1"/>
    </xf>
    <xf numFmtId="0" fontId="5" fillId="3" borderId="7" xfId="0" applyFont="1" applyFill="1" applyBorder="1" applyAlignment="1">
      <alignment horizontal="center"/>
    </xf>
    <xf numFmtId="14" fontId="7" fillId="3" borderId="7" xfId="0" applyNumberFormat="1" applyFont="1" applyFill="1" applyBorder="1" applyAlignment="1">
      <alignment horizontal="center" wrapText="1"/>
    </xf>
    <xf numFmtId="44" fontId="5" fillId="3" borderId="7" xfId="0" applyNumberFormat="1" applyFont="1" applyFill="1" applyBorder="1" applyAlignment="1">
      <alignment horizontal="center"/>
    </xf>
    <xf numFmtId="2" fontId="5" fillId="3" borderId="7" xfId="0" applyNumberFormat="1" applyFont="1" applyFill="1" applyBorder="1" applyAlignment="1">
      <alignment horizontal="center" wrapText="1"/>
    </xf>
    <xf numFmtId="0" fontId="1" fillId="0" borderId="0" xfId="0" applyFont="1"/>
    <xf numFmtId="0" fontId="0" fillId="2" borderId="8" xfId="0" applyFont="1" applyFill="1" applyBorder="1" applyAlignment="1">
      <alignment horizontal="center"/>
    </xf>
    <xf numFmtId="44" fontId="0" fillId="2" borderId="8" xfId="0" applyNumberFormat="1" applyFont="1" applyFill="1" applyBorder="1" applyAlignment="1">
      <alignment horizontal="center"/>
    </xf>
    <xf numFmtId="165" fontId="0" fillId="2" borderId="8" xfId="0" applyNumberFormat="1" applyFont="1" applyFill="1" applyBorder="1" applyAlignment="1">
      <alignment horizontal="center"/>
    </xf>
    <xf numFmtId="0" fontId="0" fillId="0" borderId="0" xfId="0" applyFont="1" applyAlignment="1">
      <alignment horizontal="right"/>
    </xf>
    <xf numFmtId="44" fontId="0" fillId="0" borderId="0" xfId="0" applyNumberFormat="1" applyFont="1"/>
    <xf numFmtId="2" fontId="0" fillId="0" borderId="0" xfId="0" applyNumberFormat="1" applyFont="1"/>
    <xf numFmtId="164" fontId="0" fillId="2" borderId="8" xfId="0" applyNumberFormat="1" applyFont="1" applyFill="1" applyBorder="1" applyAlignment="1">
      <alignment horizontal="center"/>
    </xf>
    <xf numFmtId="8" fontId="0" fillId="2" borderId="8" xfId="0" applyNumberFormat="1" applyFont="1" applyFill="1" applyBorder="1" applyAlignment="1">
      <alignment horizontal="center"/>
    </xf>
    <xf numFmtId="0" fontId="0" fillId="6" borderId="8" xfId="0" applyFont="1" applyFill="1" applyBorder="1" applyAlignment="1">
      <alignment horizontal="left"/>
    </xf>
    <xf numFmtId="0" fontId="8" fillId="6" borderId="8" xfId="0" applyFont="1" applyFill="1" applyBorder="1"/>
    <xf numFmtId="0" fontId="9" fillId="6" borderId="8" xfId="0" applyFont="1" applyFill="1" applyBorder="1" applyAlignment="1">
      <alignment horizontal="center"/>
    </xf>
    <xf numFmtId="0" fontId="9" fillId="0" borderId="0" xfId="0" applyFont="1"/>
    <xf numFmtId="0" fontId="11" fillId="0" borderId="0" xfId="0" applyFont="1"/>
    <xf numFmtId="0" fontId="0" fillId="0" borderId="0" xfId="0" applyFont="1" applyAlignment="1"/>
    <xf numFmtId="0" fontId="12" fillId="6" borderId="8" xfId="0" applyFont="1" applyFill="1" applyBorder="1" applyAlignment="1">
      <alignment horizontal="left"/>
    </xf>
    <xf numFmtId="164" fontId="0" fillId="2" borderId="1" xfId="0" applyNumberFormat="1" applyFont="1" applyFill="1" applyBorder="1" applyAlignment="1">
      <alignment horizontal="center" vertical="center" wrapText="1"/>
    </xf>
    <xf numFmtId="0" fontId="4" fillId="0" borderId="2" xfId="0" applyFont="1" applyBorder="1"/>
    <xf numFmtId="0" fontId="0" fillId="2" borderId="1" xfId="0" applyFont="1" applyFill="1" applyBorder="1" applyAlignment="1">
      <alignment horizontal="center" vertical="center" wrapText="1"/>
    </xf>
    <xf numFmtId="0" fontId="4" fillId="0" borderId="3" xfId="0" applyFont="1" applyBorder="1"/>
    <xf numFmtId="44" fontId="0" fillId="2" borderId="1" xfId="0" applyNumberFormat="1" applyFont="1" applyFill="1" applyBorder="1" applyAlignment="1">
      <alignment horizontal="center" vertical="center"/>
    </xf>
    <xf numFmtId="44" fontId="0" fillId="2" borderId="1" xfId="0" applyNumberFormat="1" applyFont="1" applyFill="1" applyBorder="1" applyAlignment="1">
      <alignment horizontal="center" vertical="center" wrapText="1"/>
    </xf>
    <xf numFmtId="0" fontId="4" fillId="0" borderId="4" xfId="0" applyFont="1" applyBorder="1"/>
    <xf numFmtId="165" fontId="0" fillId="2" borderId="1" xfId="0" applyNumberFormat="1" applyFont="1" applyFill="1" applyBorder="1" applyAlignment="1">
      <alignment horizontal="center" vertical="center" wrapText="1"/>
    </xf>
    <xf numFmtId="0" fontId="0" fillId="2" borderId="1" xfId="0" applyFont="1" applyFill="1" applyBorder="1" applyAlignment="1">
      <alignment horizontal="center" vertical="center"/>
    </xf>
    <xf numFmtId="0" fontId="0" fillId="0" borderId="0" xfId="0" applyFont="1" applyAlignment="1">
      <alignment horizontal="center" vertical="center" wrapText="1"/>
    </xf>
    <xf numFmtId="0" fontId="0" fillId="0" borderId="0" xfId="0" applyFont="1" applyAlignment="1"/>
    <xf numFmtId="0" fontId="4" fillId="0" borderId="5" xfId="0" applyFont="1" applyBorder="1"/>
    <xf numFmtId="44" fontId="0" fillId="0" borderId="0" xfId="0" applyNumberFormat="1" applyFont="1" applyAlignment="1">
      <alignment horizontal="center" vertical="center" wrapText="1"/>
    </xf>
    <xf numFmtId="0" fontId="4" fillId="0" borderId="6" xfId="0" applyFont="1" applyBorder="1"/>
    <xf numFmtId="2" fontId="0" fillId="0" borderId="0" xfId="0" applyNumberFormat="1" applyFont="1" applyAlignment="1">
      <alignment horizontal="center" vertical="center" wrapText="1"/>
    </xf>
    <xf numFmtId="0" fontId="1" fillId="0" borderId="0" xfId="0" applyFont="1" applyAlignment="1">
      <alignment horizontal="center" vertical="center" wrapText="1"/>
    </xf>
    <xf numFmtId="44" fontId="2" fillId="0" borderId="0" xfId="0" applyNumberFormat="1" applyFont="1" applyAlignment="1">
      <alignment horizontal="center" vertical="center" wrapText="1"/>
    </xf>
    <xf numFmtId="0" fontId="0" fillId="2" borderId="8" xfId="0" applyNumberFormat="1" applyFont="1" applyFill="1" applyBorder="1" applyAlignment="1">
      <alignment horizontal="center" vertical="center" wrapText="1"/>
    </xf>
    <xf numFmtId="0" fontId="0" fillId="2" borderId="8" xfId="0" applyNumberFormat="1" applyFont="1" applyFill="1" applyBorder="1" applyAlignment="1">
      <alignment horizontal="center"/>
    </xf>
    <xf numFmtId="0" fontId="1" fillId="0" borderId="0" xfId="0" applyNumberFormat="1" applyFont="1"/>
    <xf numFmtId="0" fontId="0" fillId="0" borderId="0" xfId="0" applyNumberFormat="1" applyFont="1" applyAlignment="1">
      <alignment horizontal="right"/>
    </xf>
    <xf numFmtId="0" fontId="0" fillId="0" borderId="0" xfId="0" applyNumberFormat="1" applyFont="1" applyAlignment="1">
      <alignment horizontal="left"/>
    </xf>
    <xf numFmtId="0" fontId="0" fillId="0" borderId="0" xfId="0" applyNumberFormat="1" applyFont="1"/>
    <xf numFmtId="0" fontId="0" fillId="0" borderId="0" xfId="0" applyNumberFormat="1" applyFont="1" applyAlignment="1">
      <alignment horizontal="center"/>
    </xf>
    <xf numFmtId="0" fontId="0" fillId="0" borderId="0" xfId="0" applyNumberFormat="1" applyFont="1" applyAlignment="1"/>
    <xf numFmtId="0" fontId="0" fillId="5" borderId="8" xfId="0" applyNumberFormat="1" applyFont="1" applyFill="1" applyBorder="1"/>
    <xf numFmtId="0" fontId="11" fillId="0" borderId="0" xfId="0" applyNumberFormat="1" applyFont="1"/>
    <xf numFmtId="0" fontId="10" fillId="0" borderId="0" xfId="0" applyNumberFormat="1" applyFont="1"/>
    <xf numFmtId="0" fontId="1" fillId="2" borderId="8" xfId="0" applyNumberFormat="1" applyFont="1" applyFill="1" applyBorder="1" applyAlignment="1">
      <alignment horizontal="center"/>
    </xf>
  </cellXfs>
  <cellStyles count="1">
    <cellStyle name="Normal" xfId="0" builtinId="0"/>
  </cellStyles>
  <dxfs count="535">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none"/>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31.xml"/><Relationship Id="rId1" Type="http://schemas.openxmlformats.org/officeDocument/2006/relationships/vmlDrawing" Target="../drawings/vmlDrawing31.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32.xml"/><Relationship Id="rId1" Type="http://schemas.openxmlformats.org/officeDocument/2006/relationships/vmlDrawing" Target="../drawings/vmlDrawing32.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34.xml"/><Relationship Id="rId1" Type="http://schemas.openxmlformats.org/officeDocument/2006/relationships/vmlDrawing" Target="../drawings/vmlDrawing34.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35.xml"/><Relationship Id="rId1" Type="http://schemas.openxmlformats.org/officeDocument/2006/relationships/vmlDrawing" Target="../drawings/vmlDrawing35.vml"/></Relationships>
</file>

<file path=xl/worksheets/_rels/sheet36.xml.rels><?xml version="1.0" encoding="UTF-8" standalone="yes"?>
<Relationships xmlns="http://schemas.openxmlformats.org/package/2006/relationships"><Relationship Id="rId2" Type="http://schemas.openxmlformats.org/officeDocument/2006/relationships/comments" Target="../comments36.xml"/><Relationship Id="rId1" Type="http://schemas.openxmlformats.org/officeDocument/2006/relationships/vmlDrawing" Target="../drawings/vmlDrawing36.vml"/></Relationships>
</file>

<file path=xl/worksheets/_rels/sheet37.xml.rels><?xml version="1.0" encoding="UTF-8" standalone="yes"?>
<Relationships xmlns="http://schemas.openxmlformats.org/package/2006/relationships"><Relationship Id="rId2" Type="http://schemas.openxmlformats.org/officeDocument/2006/relationships/comments" Target="../comments37.xml"/><Relationship Id="rId1" Type="http://schemas.openxmlformats.org/officeDocument/2006/relationships/vmlDrawing" Target="../drawings/vmlDrawing37.vml"/></Relationships>
</file>

<file path=xl/worksheets/_rels/sheet38.xml.rels><?xml version="1.0" encoding="UTF-8" standalone="yes"?>
<Relationships xmlns="http://schemas.openxmlformats.org/package/2006/relationships"><Relationship Id="rId2" Type="http://schemas.openxmlformats.org/officeDocument/2006/relationships/comments" Target="../comments38.xml"/><Relationship Id="rId1" Type="http://schemas.openxmlformats.org/officeDocument/2006/relationships/vmlDrawing" Target="../drawings/vmlDrawing38.vml"/></Relationships>
</file>

<file path=xl/worksheets/_rels/sheet39.xml.rels><?xml version="1.0" encoding="UTF-8" standalone="yes"?>
<Relationships xmlns="http://schemas.openxmlformats.org/package/2006/relationships"><Relationship Id="rId2" Type="http://schemas.openxmlformats.org/officeDocument/2006/relationships/comments" Target="../comments39.xml"/><Relationship Id="rId1" Type="http://schemas.openxmlformats.org/officeDocument/2006/relationships/vmlDrawing" Target="../drawings/vmlDrawing39.vml"/></Relationships>
</file>

<file path=xl/worksheets/_rels/sheet40.xml.rels><?xml version="1.0" encoding="UTF-8" standalone="yes"?>
<Relationships xmlns="http://schemas.openxmlformats.org/package/2006/relationships"><Relationship Id="rId2" Type="http://schemas.openxmlformats.org/officeDocument/2006/relationships/comments" Target="../comments40.xml"/><Relationship Id="rId1" Type="http://schemas.openxmlformats.org/officeDocument/2006/relationships/vmlDrawing" Target="../drawings/vmlDrawing40.vml"/></Relationships>
</file>

<file path=xl/worksheets/_rels/sheet41.xml.rels><?xml version="1.0" encoding="UTF-8" standalone="yes"?>
<Relationships xmlns="http://schemas.openxmlformats.org/package/2006/relationships"><Relationship Id="rId2" Type="http://schemas.openxmlformats.org/officeDocument/2006/relationships/comments" Target="../comments41.xml"/><Relationship Id="rId1" Type="http://schemas.openxmlformats.org/officeDocument/2006/relationships/vmlDrawing" Target="../drawings/vmlDrawing41.vml"/></Relationships>
</file>

<file path=xl/worksheets/_rels/sheet42.xml.rels><?xml version="1.0" encoding="UTF-8" standalone="yes"?>
<Relationships xmlns="http://schemas.openxmlformats.org/package/2006/relationships"><Relationship Id="rId2" Type="http://schemas.openxmlformats.org/officeDocument/2006/relationships/comments" Target="../comments42.xml"/><Relationship Id="rId1" Type="http://schemas.openxmlformats.org/officeDocument/2006/relationships/vmlDrawing" Target="../drawings/vmlDrawing42.vml"/></Relationships>
</file>

<file path=xl/worksheets/_rels/sheet43.xml.rels><?xml version="1.0" encoding="UTF-8" standalone="yes"?>
<Relationships xmlns="http://schemas.openxmlformats.org/package/2006/relationships"><Relationship Id="rId2" Type="http://schemas.openxmlformats.org/officeDocument/2006/relationships/comments" Target="../comments43.xml"/><Relationship Id="rId1" Type="http://schemas.openxmlformats.org/officeDocument/2006/relationships/vmlDrawing" Target="../drawings/vmlDrawing43.vml"/></Relationships>
</file>

<file path=xl/worksheets/_rels/sheet44.xml.rels><?xml version="1.0" encoding="UTF-8" standalone="yes"?>
<Relationships xmlns="http://schemas.openxmlformats.org/package/2006/relationships"><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8.xml.rels><?xml version="1.0" encoding="UTF-8" standalone="yes"?>
<Relationships xmlns="http://schemas.openxmlformats.org/package/2006/relationships"><Relationship Id="rId2" Type="http://schemas.openxmlformats.org/officeDocument/2006/relationships/comments" Target="../comments48.xml"/><Relationship Id="rId1" Type="http://schemas.openxmlformats.org/officeDocument/2006/relationships/vmlDrawing" Target="../drawings/vmlDrawing48.vml"/></Relationships>
</file>

<file path=xl/worksheets/_rels/sheet49.xml.rels><?xml version="1.0" encoding="UTF-8" standalone="yes"?>
<Relationships xmlns="http://schemas.openxmlformats.org/package/2006/relationships"><Relationship Id="rId2" Type="http://schemas.openxmlformats.org/officeDocument/2006/relationships/comments" Target="../comments49.xml"/><Relationship Id="rId1" Type="http://schemas.openxmlformats.org/officeDocument/2006/relationships/vmlDrawing" Target="../drawings/vmlDrawing49.vml"/></Relationships>
</file>

<file path=xl/worksheets/_rels/sheet50.xml.rels><?xml version="1.0" encoding="UTF-8" standalone="yes"?>
<Relationships xmlns="http://schemas.openxmlformats.org/package/2006/relationships"><Relationship Id="rId2" Type="http://schemas.openxmlformats.org/officeDocument/2006/relationships/comments" Target="../comments50.xml"/><Relationship Id="rId1" Type="http://schemas.openxmlformats.org/officeDocument/2006/relationships/vmlDrawing" Target="../drawings/vmlDrawing50.vml"/></Relationships>
</file>

<file path=xl/worksheets/_rels/sheet51.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2.xml.rels><?xml version="1.0" encoding="UTF-8" standalone="yes"?>
<Relationships xmlns="http://schemas.openxmlformats.org/package/2006/relationships"><Relationship Id="rId2" Type="http://schemas.openxmlformats.org/officeDocument/2006/relationships/comments" Target="../comments52.xml"/><Relationship Id="rId1" Type="http://schemas.openxmlformats.org/officeDocument/2006/relationships/vmlDrawing" Target="../drawings/vmlDrawing52.vml"/></Relationships>
</file>

<file path=xl/worksheets/_rels/sheet53.xml.rels><?xml version="1.0" encoding="UTF-8" standalone="yes"?>
<Relationships xmlns="http://schemas.openxmlformats.org/package/2006/relationships"><Relationship Id="rId2" Type="http://schemas.openxmlformats.org/officeDocument/2006/relationships/comments" Target="../comments53.xml"/><Relationship Id="rId1" Type="http://schemas.openxmlformats.org/officeDocument/2006/relationships/vmlDrawing" Target="../drawings/vmlDrawing53.vml"/></Relationships>
</file>

<file path=xl/worksheets/_rels/sheet54.xml.rels><?xml version="1.0" encoding="UTF-8" standalone="yes"?>
<Relationships xmlns="http://schemas.openxmlformats.org/package/2006/relationships"><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2" Type="http://schemas.openxmlformats.org/officeDocument/2006/relationships/comments" Target="../comments55.xml"/><Relationship Id="rId1" Type="http://schemas.openxmlformats.org/officeDocument/2006/relationships/vmlDrawing" Target="../drawings/vmlDrawing55.vml"/></Relationships>
</file>

<file path=xl/worksheets/_rels/sheet56.xml.rels><?xml version="1.0" encoding="UTF-8" standalone="yes"?>
<Relationships xmlns="http://schemas.openxmlformats.org/package/2006/relationships"><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7.xml.rels><?xml version="1.0" encoding="UTF-8" standalone="yes"?>
<Relationships xmlns="http://schemas.openxmlformats.org/package/2006/relationships"><Relationship Id="rId2" Type="http://schemas.openxmlformats.org/officeDocument/2006/relationships/comments" Target="../comments57.xml"/><Relationship Id="rId1" Type="http://schemas.openxmlformats.org/officeDocument/2006/relationships/vmlDrawing" Target="../drawings/vmlDrawing57.vml"/></Relationships>
</file>

<file path=xl/worksheets/_rels/sheet58.xml.rels><?xml version="1.0" encoding="UTF-8" standalone="yes"?>
<Relationships xmlns="http://schemas.openxmlformats.org/package/2006/relationships"><Relationship Id="rId2" Type="http://schemas.openxmlformats.org/officeDocument/2006/relationships/comments" Target="../comments58.xml"/><Relationship Id="rId1" Type="http://schemas.openxmlformats.org/officeDocument/2006/relationships/vmlDrawing" Target="../drawings/vmlDrawing58.vml"/></Relationships>
</file>

<file path=xl/worksheets/_rels/sheet59.xml.rels><?xml version="1.0" encoding="UTF-8" standalone="yes"?>
<Relationships xmlns="http://schemas.openxmlformats.org/package/2006/relationships"><Relationship Id="rId2" Type="http://schemas.openxmlformats.org/officeDocument/2006/relationships/comments" Target="../comments59.xml"/><Relationship Id="rId1" Type="http://schemas.openxmlformats.org/officeDocument/2006/relationships/vmlDrawing" Target="../drawings/vmlDrawing59.vml"/></Relationships>
</file>

<file path=xl/worksheets/_rels/sheet60.xml.rels><?xml version="1.0" encoding="UTF-8" standalone="yes"?>
<Relationships xmlns="http://schemas.openxmlformats.org/package/2006/relationships"><Relationship Id="rId2" Type="http://schemas.openxmlformats.org/officeDocument/2006/relationships/comments" Target="../comments60.xml"/><Relationship Id="rId1" Type="http://schemas.openxmlformats.org/officeDocument/2006/relationships/vmlDrawing" Target="../drawings/vmlDrawing60.vml"/></Relationships>
</file>

<file path=xl/worksheets/_rels/sheet61.xml.rels><?xml version="1.0" encoding="UTF-8" standalone="yes"?>
<Relationships xmlns="http://schemas.openxmlformats.org/package/2006/relationships"><Relationship Id="rId2" Type="http://schemas.openxmlformats.org/officeDocument/2006/relationships/comments" Target="../comments61.xml"/><Relationship Id="rId1" Type="http://schemas.openxmlformats.org/officeDocument/2006/relationships/vmlDrawing" Target="../drawings/vmlDrawing61.vml"/></Relationships>
</file>

<file path=xl/worksheets/_rels/sheet62.xml.rels><?xml version="1.0" encoding="UTF-8" standalone="yes"?>
<Relationships xmlns="http://schemas.openxmlformats.org/package/2006/relationships"><Relationship Id="rId2" Type="http://schemas.openxmlformats.org/officeDocument/2006/relationships/comments" Target="../comments62.xml"/><Relationship Id="rId1" Type="http://schemas.openxmlformats.org/officeDocument/2006/relationships/vmlDrawing" Target="../drawings/vmlDrawing62.vml"/></Relationships>
</file>

<file path=xl/worksheets/_rels/sheet63.xml.rels><?xml version="1.0" encoding="UTF-8" standalone="yes"?>
<Relationships xmlns="http://schemas.openxmlformats.org/package/2006/relationships"><Relationship Id="rId2" Type="http://schemas.openxmlformats.org/officeDocument/2006/relationships/comments" Target="../comments63.xml"/><Relationship Id="rId1" Type="http://schemas.openxmlformats.org/officeDocument/2006/relationships/vmlDrawing" Target="../drawings/vmlDrawing63.vml"/></Relationships>
</file>

<file path=xl/worksheets/_rels/sheet64.xml.rels><?xml version="1.0" encoding="UTF-8" standalone="yes"?>
<Relationships xmlns="http://schemas.openxmlformats.org/package/2006/relationships"><Relationship Id="rId2" Type="http://schemas.openxmlformats.org/officeDocument/2006/relationships/comments" Target="../comments64.xml"/><Relationship Id="rId1" Type="http://schemas.openxmlformats.org/officeDocument/2006/relationships/vmlDrawing" Target="../drawings/vmlDrawing64.vml"/></Relationships>
</file>

<file path=xl/worksheets/_rels/sheet65.xml.rels><?xml version="1.0" encoding="UTF-8" standalone="yes"?>
<Relationships xmlns="http://schemas.openxmlformats.org/package/2006/relationships"><Relationship Id="rId2" Type="http://schemas.openxmlformats.org/officeDocument/2006/relationships/comments" Target="../comments65.xml"/><Relationship Id="rId1" Type="http://schemas.openxmlformats.org/officeDocument/2006/relationships/vmlDrawing" Target="../drawings/vmlDrawing65.vml"/></Relationships>
</file>

<file path=xl/worksheets/_rels/sheet66.xml.rels><?xml version="1.0" encoding="UTF-8" standalone="yes"?>
<Relationships xmlns="http://schemas.openxmlformats.org/package/2006/relationships"><Relationship Id="rId2" Type="http://schemas.openxmlformats.org/officeDocument/2006/relationships/comments" Target="../comments66.xml"/><Relationship Id="rId1" Type="http://schemas.openxmlformats.org/officeDocument/2006/relationships/vmlDrawing" Target="../drawings/vmlDrawing66.vml"/></Relationships>
</file>

<file path=xl/worksheets/_rels/sheet67.xml.rels><?xml version="1.0" encoding="UTF-8" standalone="yes"?>
<Relationships xmlns="http://schemas.openxmlformats.org/package/2006/relationships"><Relationship Id="rId2" Type="http://schemas.openxmlformats.org/officeDocument/2006/relationships/comments" Target="../comments67.xml"/><Relationship Id="rId1" Type="http://schemas.openxmlformats.org/officeDocument/2006/relationships/vmlDrawing" Target="../drawings/vmlDrawing67.vml"/></Relationships>
</file>

<file path=xl/worksheets/_rels/sheet68.xml.rels><?xml version="1.0" encoding="UTF-8" standalone="yes"?>
<Relationships xmlns="http://schemas.openxmlformats.org/package/2006/relationships"><Relationship Id="rId2" Type="http://schemas.openxmlformats.org/officeDocument/2006/relationships/comments" Target="../comments68.xml"/><Relationship Id="rId1" Type="http://schemas.openxmlformats.org/officeDocument/2006/relationships/vmlDrawing" Target="../drawings/vmlDrawing68.vml"/></Relationships>
</file>

<file path=xl/worksheets/_rels/sheet69.xml.rels><?xml version="1.0" encoding="UTF-8" standalone="yes"?>
<Relationships xmlns="http://schemas.openxmlformats.org/package/2006/relationships"><Relationship Id="rId2" Type="http://schemas.openxmlformats.org/officeDocument/2006/relationships/comments" Target="../comments69.xml"/><Relationship Id="rId1" Type="http://schemas.openxmlformats.org/officeDocument/2006/relationships/vmlDrawing" Target="../drawings/vmlDrawing69.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70.xml"/><Relationship Id="rId1" Type="http://schemas.openxmlformats.org/officeDocument/2006/relationships/vmlDrawing" Target="../drawings/vmlDrawing70.vml"/></Relationships>
</file>

<file path=xl/worksheets/_rels/sheet71.xml.rels><?xml version="1.0" encoding="UTF-8" standalone="yes"?>
<Relationships xmlns="http://schemas.openxmlformats.org/package/2006/relationships"><Relationship Id="rId2" Type="http://schemas.openxmlformats.org/officeDocument/2006/relationships/comments" Target="../comments71.xml"/><Relationship Id="rId1" Type="http://schemas.openxmlformats.org/officeDocument/2006/relationships/vmlDrawing" Target="../drawings/vmlDrawing71.vml"/></Relationships>
</file>

<file path=xl/worksheets/_rels/sheet72.xml.rels><?xml version="1.0" encoding="UTF-8" standalone="yes"?>
<Relationships xmlns="http://schemas.openxmlformats.org/package/2006/relationships"><Relationship Id="rId2" Type="http://schemas.openxmlformats.org/officeDocument/2006/relationships/comments" Target="../comments72.xml"/><Relationship Id="rId1" Type="http://schemas.openxmlformats.org/officeDocument/2006/relationships/vmlDrawing" Target="../drawings/vmlDrawing72.vml"/></Relationships>
</file>

<file path=xl/worksheets/_rels/sheet73.xml.rels><?xml version="1.0" encoding="UTF-8" standalone="yes"?>
<Relationships xmlns="http://schemas.openxmlformats.org/package/2006/relationships"><Relationship Id="rId2" Type="http://schemas.openxmlformats.org/officeDocument/2006/relationships/comments" Target="../comments73.xml"/><Relationship Id="rId1" Type="http://schemas.openxmlformats.org/officeDocument/2006/relationships/vmlDrawing" Target="../drawings/vmlDrawing73.vml"/></Relationships>
</file>

<file path=xl/worksheets/_rels/sheet74.xml.rels><?xml version="1.0" encoding="UTF-8" standalone="yes"?>
<Relationships xmlns="http://schemas.openxmlformats.org/package/2006/relationships"><Relationship Id="rId2" Type="http://schemas.openxmlformats.org/officeDocument/2006/relationships/comments" Target="../comments74.xml"/><Relationship Id="rId1" Type="http://schemas.openxmlformats.org/officeDocument/2006/relationships/vmlDrawing" Target="../drawings/vmlDrawing74.vml"/></Relationships>
</file>

<file path=xl/worksheets/_rels/sheet75.xml.rels><?xml version="1.0" encoding="UTF-8" standalone="yes"?>
<Relationships xmlns="http://schemas.openxmlformats.org/package/2006/relationships"><Relationship Id="rId2" Type="http://schemas.openxmlformats.org/officeDocument/2006/relationships/comments" Target="../comments75.xml"/><Relationship Id="rId1" Type="http://schemas.openxmlformats.org/officeDocument/2006/relationships/vmlDrawing" Target="../drawings/vmlDrawing7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00"/>
  <sheetViews>
    <sheetView tabSelected="1" workbookViewId="0">
      <pane xSplit="2" ySplit="3" topLeftCell="C53"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4.6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Info!B1:BJ5000""),4,FALSE),"""")"),"200 Piece Windows, Doors, and Roof Tops Set - Building Brick Compatible Play Kit")</f>
        <v>200 Piece Windows, Doors, and Roof Tops Set - Building Brick Compatible Play Kit</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Info!B1:BJ5000""),3,FALSE),"""")"),"B07B7PHXNP")</f>
        <v>B07B7PHXNP</v>
      </c>
      <c r="B2" s="4" t="s">
        <v>30</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7.7360524064171052</v>
      </c>
      <c r="D3" s="8">
        <f>SUM(D4:D99819)</f>
        <v>18</v>
      </c>
      <c r="E3" s="8"/>
      <c r="F3" s="9">
        <f t="shared" ref="F3:G3" si="0">SUM(F4:F99819)</f>
        <v>309.82000000000005</v>
      </c>
      <c r="G3" s="9">
        <f t="shared" si="0"/>
        <v>-0.78</v>
      </c>
      <c r="H3" s="10">
        <f>G3/F3*-1</f>
        <v>2.5175908592085725E-3</v>
      </c>
      <c r="I3" s="11">
        <f>J3/F3</f>
        <v>0.41134377271847017</v>
      </c>
      <c r="J3" s="9">
        <f>SUM(J4:J99819)</f>
        <v>127.44252766363644</v>
      </c>
      <c r="K3" s="9">
        <f>J3/D3</f>
        <v>7.0801404257575804</v>
      </c>
      <c r="L3" s="8"/>
      <c r="M3" s="12"/>
      <c r="N3" s="13"/>
      <c r="O3" s="8" t="str">
        <f ca="1">IFERROR(__xludf.DUMMYFUNCTION("IFERROR(VLOOKUP(B2,IMPORTRANGE(""https://docs.google.com/spreadsheets/d/1owCo6kL_VFQ5nPTdNogErmCBLjNiktT1m3SzTrxu3R0/edit#gid=2146806407"",""Second Star - Compiled!b1:g5000""),2,FALSE),"""")"),"")</f>
        <v/>
      </c>
      <c r="P3" s="8"/>
      <c r="Q3" s="14"/>
      <c r="R3" s="13"/>
      <c r="S3" s="13"/>
      <c r="T3" s="13"/>
      <c r="U3" s="8">
        <f>SUM(U4:U99819)</f>
        <v>0</v>
      </c>
      <c r="V3" s="10">
        <f>AVERAGE(V4:V99819)</f>
        <v>0</v>
      </c>
      <c r="W3" s="9">
        <f>ROUND(AVERAGE(W4:W99819),2)</f>
        <v>0</v>
      </c>
      <c r="X3" s="8"/>
      <c r="Y3" s="8"/>
      <c r="Z3" s="8"/>
      <c r="AA3" s="8"/>
      <c r="AB3" s="8"/>
      <c r="AC3" s="15"/>
      <c r="AD3" s="9"/>
      <c r="AE3" s="9">
        <f>SUM(AE4:AE99819)</f>
        <v>0</v>
      </c>
      <c r="AF3" s="16"/>
    </row>
    <row r="4" spans="1:32" s="57" customFormat="1" hidden="1">
      <c r="A4" s="17"/>
      <c r="B4" s="17"/>
      <c r="C4" s="50"/>
      <c r="D4" s="51"/>
      <c r="E4" s="51"/>
      <c r="F4" s="51"/>
      <c r="G4" s="51"/>
      <c r="H4" s="51"/>
      <c r="I4" s="51"/>
      <c r="J4" s="51"/>
      <c r="K4" s="51"/>
      <c r="L4" s="51"/>
      <c r="M4" s="51"/>
      <c r="N4" s="51"/>
      <c r="O4" s="51"/>
      <c r="P4" s="51"/>
      <c r="Q4" s="51"/>
      <c r="R4" s="52"/>
      <c r="S4" s="53"/>
      <c r="T4" s="54"/>
      <c r="U4" s="52"/>
      <c r="V4" s="55"/>
      <c r="W4" s="55"/>
      <c r="X4" s="52"/>
      <c r="Y4" s="56"/>
      <c r="Z4" s="56"/>
      <c r="AA4" s="55"/>
      <c r="AB4" s="55"/>
      <c r="AC4" s="55"/>
      <c r="AD4" s="55"/>
      <c r="AE4" s="55"/>
      <c r="AF4" s="55"/>
    </row>
    <row r="5" spans="1:32" s="57" customFormat="1" ht="15.75" hidden="1" customHeight="1">
      <c r="A5" s="17"/>
      <c r="B5" s="2"/>
      <c r="C5" s="51"/>
      <c r="D5" s="51"/>
      <c r="E5" s="51"/>
      <c r="F5" s="51"/>
      <c r="G5" s="51"/>
      <c r="H5" s="51"/>
      <c r="I5" s="51"/>
      <c r="J5" s="51"/>
      <c r="K5" s="51"/>
      <c r="L5" s="51"/>
      <c r="M5" s="51"/>
      <c r="N5" s="51"/>
      <c r="O5" s="51"/>
      <c r="P5" s="51"/>
      <c r="Q5" s="51"/>
      <c r="R5" s="52"/>
      <c r="S5" s="53"/>
      <c r="T5" s="54"/>
      <c r="U5" s="52"/>
      <c r="V5" s="55"/>
      <c r="W5" s="55"/>
      <c r="X5" s="52"/>
      <c r="Y5" s="52"/>
      <c r="Z5" s="56"/>
      <c r="AA5" s="55"/>
      <c r="AB5" s="55"/>
      <c r="AC5" s="55"/>
      <c r="AD5" s="55"/>
      <c r="AE5" s="55"/>
      <c r="AF5" s="55"/>
    </row>
    <row r="6" spans="1:32" s="57" customFormat="1" ht="15.75" hidden="1" customHeight="1">
      <c r="A6" s="17"/>
      <c r="B6" s="2"/>
      <c r="C6" s="51"/>
      <c r="D6" s="51"/>
      <c r="E6" s="51"/>
      <c r="F6" s="51"/>
      <c r="G6" s="51"/>
      <c r="H6" s="51"/>
      <c r="I6" s="51"/>
      <c r="J6" s="51"/>
      <c r="K6" s="51"/>
      <c r="L6" s="51"/>
      <c r="M6" s="51"/>
      <c r="N6" s="51"/>
      <c r="O6" s="51"/>
      <c r="P6" s="51"/>
      <c r="Q6" s="51"/>
      <c r="R6" s="52"/>
      <c r="S6" s="53"/>
      <c r="T6" s="54"/>
      <c r="U6" s="52"/>
      <c r="V6" s="55"/>
      <c r="W6" s="55"/>
      <c r="X6" s="52"/>
      <c r="Y6" s="52"/>
      <c r="Z6" s="56"/>
      <c r="AA6" s="55"/>
      <c r="AB6" s="55"/>
      <c r="AC6" s="55"/>
      <c r="AD6" s="55"/>
      <c r="AE6" s="55"/>
      <c r="AF6" s="55"/>
    </row>
    <row r="7" spans="1:32" s="57" customFormat="1" ht="15.75" hidden="1" customHeight="1">
      <c r="A7" s="17"/>
      <c r="B7" s="2"/>
      <c r="C7" s="51"/>
      <c r="D7" s="51"/>
      <c r="E7" s="51"/>
      <c r="F7" s="51"/>
      <c r="G7" s="51"/>
      <c r="H7" s="51"/>
      <c r="I7" s="51"/>
      <c r="J7" s="51"/>
      <c r="K7" s="51"/>
      <c r="L7" s="51"/>
      <c r="M7" s="51"/>
      <c r="N7" s="51"/>
      <c r="O7" s="51"/>
      <c r="P7" s="51"/>
      <c r="Q7" s="51"/>
      <c r="R7" s="52"/>
      <c r="S7" s="53"/>
      <c r="T7" s="54"/>
      <c r="U7" s="52"/>
      <c r="V7" s="55"/>
      <c r="W7" s="55"/>
      <c r="X7" s="52"/>
      <c r="Y7" s="52"/>
      <c r="Z7" s="56"/>
      <c r="AA7" s="55"/>
      <c r="AB7" s="55"/>
      <c r="AC7" s="55"/>
      <c r="AD7" s="55"/>
      <c r="AE7" s="55"/>
      <c r="AF7" s="55"/>
    </row>
    <row r="8" spans="1:32" s="57" customFormat="1" ht="15.75" hidden="1" customHeight="1">
      <c r="A8" s="17"/>
      <c r="B8" s="2"/>
      <c r="C8" s="51"/>
      <c r="D8" s="51"/>
      <c r="E8" s="51"/>
      <c r="F8" s="51"/>
      <c r="G8" s="51"/>
      <c r="H8" s="51"/>
      <c r="I8" s="51"/>
      <c r="J8" s="51"/>
      <c r="K8" s="51"/>
      <c r="L8" s="51"/>
      <c r="M8" s="51"/>
      <c r="N8" s="51"/>
      <c r="O8" s="51"/>
      <c r="P8" s="51"/>
      <c r="Q8" s="51"/>
      <c r="R8" s="52"/>
      <c r="S8" s="53"/>
      <c r="T8" s="54"/>
      <c r="U8" s="52"/>
      <c r="V8" s="55"/>
      <c r="W8" s="55"/>
      <c r="X8" s="52"/>
      <c r="Y8" s="52"/>
      <c r="Z8" s="56"/>
      <c r="AA8" s="55"/>
      <c r="AB8" s="55"/>
      <c r="AC8" s="55"/>
      <c r="AD8" s="55"/>
      <c r="AE8" s="55"/>
      <c r="AF8" s="55"/>
    </row>
    <row r="9" spans="1:32" s="57" customFormat="1" ht="15.75" hidden="1" customHeight="1">
      <c r="A9" s="17"/>
      <c r="B9" s="2"/>
      <c r="C9" s="51"/>
      <c r="D9" s="51"/>
      <c r="E9" s="51"/>
      <c r="F9" s="51"/>
      <c r="G9" s="51"/>
      <c r="H9" s="51"/>
      <c r="I9" s="51"/>
      <c r="J9" s="51"/>
      <c r="K9" s="51"/>
      <c r="L9" s="51"/>
      <c r="M9" s="51"/>
      <c r="N9" s="51"/>
      <c r="O9" s="51"/>
      <c r="P9" s="51"/>
      <c r="Q9" s="51"/>
      <c r="R9" s="52"/>
      <c r="S9" s="53"/>
      <c r="T9" s="54"/>
      <c r="U9" s="52"/>
      <c r="V9" s="55"/>
      <c r="W9" s="55"/>
      <c r="X9" s="52"/>
      <c r="Y9" s="52"/>
      <c r="Z9" s="56"/>
      <c r="AA9" s="55"/>
      <c r="AB9" s="55"/>
      <c r="AC9" s="55"/>
      <c r="AD9" s="55"/>
      <c r="AE9" s="55"/>
      <c r="AF9" s="55"/>
    </row>
    <row r="10" spans="1:32" s="57" customFormat="1" ht="15.75" hidden="1" customHeight="1">
      <c r="A10" s="17"/>
      <c r="B10" s="2"/>
      <c r="C10" s="51"/>
      <c r="D10" s="51"/>
      <c r="E10" s="51"/>
      <c r="F10" s="51"/>
      <c r="G10" s="51"/>
      <c r="H10" s="51"/>
      <c r="I10" s="51"/>
      <c r="J10" s="51"/>
      <c r="K10" s="51"/>
      <c r="L10" s="51"/>
      <c r="M10" s="51"/>
      <c r="N10" s="51"/>
      <c r="O10" s="51"/>
      <c r="P10" s="51"/>
      <c r="Q10" s="51"/>
      <c r="R10" s="52"/>
      <c r="S10" s="53"/>
      <c r="T10" s="54"/>
      <c r="U10" s="52"/>
      <c r="V10" s="55"/>
      <c r="W10" s="55"/>
      <c r="X10" s="52"/>
      <c r="Y10" s="52"/>
      <c r="Z10" s="56"/>
      <c r="AA10" s="55"/>
      <c r="AB10" s="55"/>
      <c r="AC10" s="55"/>
      <c r="AD10" s="55"/>
      <c r="AE10" s="55"/>
      <c r="AF10" s="55"/>
    </row>
    <row r="11" spans="1:32" s="57" customFormat="1" ht="15.75" hidden="1" customHeight="1">
      <c r="A11" s="17"/>
      <c r="B11" s="17"/>
      <c r="C11" s="51"/>
      <c r="D11" s="51"/>
      <c r="E11" s="51"/>
      <c r="F11" s="51"/>
      <c r="G11" s="51"/>
      <c r="H11" s="51"/>
      <c r="I11" s="51"/>
      <c r="J11" s="51"/>
      <c r="K11" s="51"/>
      <c r="L11" s="51"/>
      <c r="M11" s="51"/>
      <c r="N11" s="51"/>
      <c r="O11" s="51"/>
      <c r="P11" s="51"/>
      <c r="Q11" s="51"/>
      <c r="R11" s="52"/>
      <c r="S11" s="53"/>
      <c r="T11" s="54"/>
      <c r="U11" s="52"/>
      <c r="V11" s="55"/>
      <c r="W11" s="55"/>
      <c r="X11" s="52"/>
      <c r="Y11" s="52"/>
      <c r="Z11" s="56"/>
      <c r="AA11" s="55"/>
      <c r="AB11" s="55"/>
      <c r="AC11" s="55"/>
      <c r="AD11" s="55"/>
      <c r="AE11" s="55"/>
      <c r="AF11" s="55"/>
    </row>
    <row r="12" spans="1:32" s="57" customFormat="1" ht="15.75" hidden="1" customHeight="1">
      <c r="A12" s="17"/>
      <c r="B12" s="2"/>
      <c r="C12" s="51"/>
      <c r="D12" s="51"/>
      <c r="E12" s="51"/>
      <c r="F12" s="51"/>
      <c r="G12" s="51"/>
      <c r="H12" s="51"/>
      <c r="I12" s="51"/>
      <c r="J12" s="51"/>
      <c r="K12" s="51"/>
      <c r="L12" s="51"/>
      <c r="M12" s="51"/>
      <c r="N12" s="51"/>
      <c r="O12" s="51"/>
      <c r="P12" s="51"/>
      <c r="Q12" s="51"/>
      <c r="R12" s="52"/>
      <c r="S12" s="53"/>
      <c r="T12" s="54"/>
      <c r="U12" s="52"/>
      <c r="V12" s="55"/>
      <c r="W12" s="55"/>
      <c r="X12" s="52"/>
      <c r="Y12" s="52"/>
      <c r="Z12" s="56"/>
      <c r="AA12" s="55"/>
      <c r="AB12" s="55"/>
      <c r="AC12" s="55"/>
      <c r="AD12" s="55"/>
      <c r="AE12" s="55"/>
      <c r="AF12" s="55"/>
    </row>
    <row r="13" spans="1:32" s="57" customFormat="1" ht="15.75" hidden="1" customHeight="1">
      <c r="A13" s="17"/>
      <c r="B13" s="2"/>
      <c r="C13" s="51"/>
      <c r="D13" s="51"/>
      <c r="E13" s="51"/>
      <c r="F13" s="51"/>
      <c r="G13" s="51"/>
      <c r="H13" s="51"/>
      <c r="I13" s="51"/>
      <c r="J13" s="51"/>
      <c r="K13" s="51"/>
      <c r="L13" s="51"/>
      <c r="M13" s="51"/>
      <c r="N13" s="51"/>
      <c r="O13" s="51"/>
      <c r="P13" s="51"/>
      <c r="Q13" s="51"/>
      <c r="R13" s="52"/>
      <c r="S13" s="53"/>
      <c r="T13" s="54"/>
      <c r="U13" s="52"/>
      <c r="V13" s="55"/>
      <c r="W13" s="55"/>
      <c r="X13" s="52"/>
      <c r="Y13" s="52"/>
      <c r="Z13" s="56"/>
      <c r="AA13" s="55"/>
      <c r="AB13" s="55"/>
      <c r="AC13" s="55"/>
      <c r="AD13" s="55"/>
      <c r="AE13" s="55"/>
      <c r="AF13" s="55"/>
    </row>
    <row r="14" spans="1:32" s="57" customFormat="1" ht="15.75" hidden="1" customHeight="1">
      <c r="A14" s="17"/>
      <c r="B14" s="2"/>
      <c r="C14" s="51"/>
      <c r="D14" s="51"/>
      <c r="E14" s="51"/>
      <c r="F14" s="51"/>
      <c r="G14" s="51"/>
      <c r="H14" s="51"/>
      <c r="I14" s="51"/>
      <c r="J14" s="51"/>
      <c r="K14" s="51"/>
      <c r="L14" s="51"/>
      <c r="M14" s="51"/>
      <c r="N14" s="51"/>
      <c r="O14" s="51"/>
      <c r="P14" s="51"/>
      <c r="Q14" s="51"/>
      <c r="R14" s="52"/>
      <c r="S14" s="53"/>
      <c r="T14" s="54"/>
      <c r="U14" s="52"/>
      <c r="V14" s="55"/>
      <c r="W14" s="55"/>
      <c r="X14" s="52"/>
      <c r="Y14" s="52"/>
      <c r="Z14" s="56"/>
      <c r="AA14" s="55"/>
      <c r="AB14" s="55"/>
      <c r="AC14" s="55"/>
      <c r="AD14" s="55"/>
      <c r="AE14" s="55"/>
      <c r="AF14" s="55"/>
    </row>
    <row r="15" spans="1:32" s="57" customFormat="1" ht="15.75" hidden="1" customHeight="1">
      <c r="A15" s="17"/>
      <c r="B15" s="2"/>
      <c r="C15" s="51"/>
      <c r="D15" s="51"/>
      <c r="E15" s="51"/>
      <c r="F15" s="51"/>
      <c r="G15" s="51"/>
      <c r="H15" s="51"/>
      <c r="I15" s="51"/>
      <c r="J15" s="51"/>
      <c r="K15" s="51"/>
      <c r="L15" s="51"/>
      <c r="M15" s="51"/>
      <c r="N15" s="51"/>
      <c r="O15" s="51"/>
      <c r="P15" s="51"/>
      <c r="Q15" s="51"/>
      <c r="R15" s="52"/>
      <c r="S15" s="53"/>
      <c r="T15" s="54"/>
      <c r="U15" s="52"/>
      <c r="V15" s="55"/>
      <c r="W15" s="55"/>
      <c r="X15" s="52"/>
      <c r="Y15" s="52"/>
      <c r="Z15" s="56"/>
      <c r="AA15" s="55"/>
      <c r="AB15" s="55"/>
      <c r="AC15" s="55"/>
      <c r="AD15" s="55"/>
      <c r="AE15" s="55"/>
      <c r="AF15" s="55"/>
    </row>
    <row r="16" spans="1:32" s="57" customFormat="1" ht="15.75" hidden="1" customHeight="1">
      <c r="A16" s="17"/>
      <c r="B16" s="2"/>
      <c r="C16" s="51"/>
      <c r="D16" s="51"/>
      <c r="E16" s="51"/>
      <c r="F16" s="51"/>
      <c r="G16" s="51"/>
      <c r="H16" s="51"/>
      <c r="I16" s="51"/>
      <c r="J16" s="51"/>
      <c r="K16" s="51"/>
      <c r="L16" s="51"/>
      <c r="M16" s="51"/>
      <c r="N16" s="51"/>
      <c r="O16" s="51"/>
      <c r="P16" s="51"/>
      <c r="Q16" s="51"/>
      <c r="R16" s="52"/>
      <c r="S16" s="53"/>
      <c r="T16" s="54"/>
      <c r="U16" s="52"/>
      <c r="V16" s="55"/>
      <c r="W16" s="55"/>
      <c r="X16" s="52"/>
      <c r="Y16" s="52"/>
      <c r="Z16" s="56"/>
      <c r="AA16" s="55"/>
      <c r="AB16" s="55"/>
      <c r="AC16" s="55"/>
      <c r="AD16" s="55"/>
      <c r="AE16" s="55"/>
      <c r="AF16" s="55"/>
    </row>
    <row r="17" spans="1:32" s="57" customFormat="1" ht="15.75" hidden="1" customHeight="1">
      <c r="A17" s="17"/>
      <c r="B17" s="2"/>
      <c r="C17" s="51"/>
      <c r="D17" s="51"/>
      <c r="E17" s="51"/>
      <c r="F17" s="51"/>
      <c r="G17" s="51"/>
      <c r="H17" s="51"/>
      <c r="I17" s="51"/>
      <c r="J17" s="51"/>
      <c r="K17" s="51"/>
      <c r="L17" s="51"/>
      <c r="M17" s="51"/>
      <c r="N17" s="51"/>
      <c r="O17" s="51"/>
      <c r="P17" s="51"/>
      <c r="Q17" s="51"/>
      <c r="R17" s="52"/>
      <c r="S17" s="53"/>
      <c r="T17" s="54"/>
      <c r="U17" s="52"/>
      <c r="V17" s="55"/>
      <c r="W17" s="55"/>
      <c r="X17" s="52"/>
      <c r="Y17" s="52"/>
      <c r="Z17" s="56"/>
      <c r="AA17" s="55"/>
      <c r="AB17" s="55"/>
      <c r="AC17" s="55"/>
      <c r="AD17" s="55"/>
      <c r="AE17" s="55"/>
      <c r="AF17" s="55"/>
    </row>
    <row r="18" spans="1:32" s="57" customFormat="1" ht="15.75" hidden="1" customHeight="1">
      <c r="A18" s="2"/>
      <c r="B18" s="2"/>
      <c r="C18" s="51"/>
      <c r="D18" s="51"/>
      <c r="E18" s="51"/>
      <c r="F18" s="51"/>
      <c r="G18" s="51"/>
      <c r="H18" s="51"/>
      <c r="I18" s="51"/>
      <c r="J18" s="51"/>
      <c r="K18" s="51"/>
      <c r="L18" s="51"/>
      <c r="M18" s="51"/>
      <c r="N18" s="51"/>
      <c r="O18" s="51"/>
      <c r="P18" s="51"/>
      <c r="Q18" s="51"/>
      <c r="R18" s="55"/>
      <c r="S18" s="53"/>
      <c r="T18" s="54"/>
      <c r="U18" s="55"/>
      <c r="V18" s="55"/>
      <c r="W18" s="55"/>
      <c r="X18" s="55"/>
      <c r="Y18" s="55"/>
      <c r="Z18" s="56"/>
      <c r="AA18" s="55"/>
      <c r="AB18" s="58"/>
      <c r="AC18" s="55"/>
      <c r="AD18" s="55"/>
      <c r="AE18" s="55"/>
      <c r="AF18" s="55"/>
    </row>
    <row r="19" spans="1:32" s="57" customFormat="1" ht="15.75" hidden="1" customHeight="1">
      <c r="A19" s="17"/>
      <c r="B19" s="2"/>
      <c r="C19" s="51"/>
      <c r="D19" s="51"/>
      <c r="E19" s="51"/>
      <c r="F19" s="51"/>
      <c r="G19" s="51"/>
      <c r="H19" s="51"/>
      <c r="I19" s="51"/>
      <c r="J19" s="51"/>
      <c r="K19" s="51"/>
      <c r="L19" s="51"/>
      <c r="M19" s="51"/>
      <c r="N19" s="51"/>
      <c r="O19" s="51"/>
      <c r="P19" s="51"/>
      <c r="Q19" s="51"/>
      <c r="R19" s="52"/>
      <c r="S19" s="53"/>
      <c r="T19" s="54"/>
      <c r="U19" s="55"/>
      <c r="V19" s="55"/>
      <c r="W19" s="55"/>
      <c r="X19" s="52"/>
      <c r="Y19" s="52"/>
      <c r="Z19" s="56"/>
      <c r="AA19" s="55"/>
      <c r="AB19" s="55"/>
      <c r="AC19" s="55"/>
      <c r="AD19" s="55"/>
      <c r="AE19" s="55"/>
      <c r="AF19" s="55"/>
    </row>
    <row r="20" spans="1:32" s="57" customFormat="1" ht="15.75" hidden="1" customHeight="1">
      <c r="A20" s="17"/>
      <c r="B20" s="2"/>
      <c r="C20" s="51"/>
      <c r="D20" s="51"/>
      <c r="E20" s="51"/>
      <c r="F20" s="51"/>
      <c r="G20" s="51"/>
      <c r="H20" s="51"/>
      <c r="I20" s="51"/>
      <c r="J20" s="51"/>
      <c r="K20" s="51"/>
      <c r="L20" s="51"/>
      <c r="M20" s="51"/>
      <c r="N20" s="51"/>
      <c r="O20" s="51"/>
      <c r="P20" s="51"/>
      <c r="Q20" s="51"/>
      <c r="R20" s="52"/>
      <c r="S20" s="53"/>
      <c r="T20" s="54"/>
      <c r="U20" s="52"/>
      <c r="V20" s="55"/>
      <c r="W20" s="55"/>
      <c r="X20" s="52"/>
      <c r="Y20" s="52"/>
      <c r="Z20" s="56"/>
      <c r="AA20" s="55"/>
      <c r="AB20" s="55"/>
      <c r="AC20" s="55"/>
      <c r="AD20" s="55"/>
      <c r="AE20" s="55"/>
      <c r="AF20" s="55"/>
    </row>
    <row r="21" spans="1:32" s="57" customFormat="1" ht="15.75" hidden="1" customHeight="1">
      <c r="A21" s="17"/>
      <c r="B21" s="2"/>
      <c r="C21" s="51"/>
      <c r="D21" s="51"/>
      <c r="E21" s="51"/>
      <c r="F21" s="51"/>
      <c r="G21" s="51"/>
      <c r="H21" s="51"/>
      <c r="I21" s="51"/>
      <c r="J21" s="51"/>
      <c r="K21" s="51"/>
      <c r="L21" s="51"/>
      <c r="M21" s="51"/>
      <c r="N21" s="51"/>
      <c r="O21" s="51"/>
      <c r="P21" s="51"/>
      <c r="Q21" s="51"/>
      <c r="R21" s="52"/>
      <c r="S21" s="53"/>
      <c r="T21" s="54"/>
      <c r="U21" s="52"/>
      <c r="V21" s="55"/>
      <c r="W21" s="55"/>
      <c r="X21" s="52"/>
      <c r="Y21" s="52"/>
      <c r="Z21" s="56"/>
      <c r="AA21" s="55"/>
      <c r="AB21" s="55"/>
      <c r="AC21" s="55"/>
      <c r="AD21" s="55"/>
      <c r="AE21" s="55"/>
      <c r="AF21" s="55"/>
    </row>
    <row r="22" spans="1:32" s="57" customFormat="1" ht="15.75" hidden="1" customHeight="1">
      <c r="A22" s="17"/>
      <c r="B22" s="2"/>
      <c r="C22" s="51"/>
      <c r="D22" s="51"/>
      <c r="E22" s="51"/>
      <c r="F22" s="51"/>
      <c r="G22" s="51"/>
      <c r="H22" s="51"/>
      <c r="I22" s="51"/>
      <c r="J22" s="51"/>
      <c r="K22" s="51"/>
      <c r="L22" s="51"/>
      <c r="M22" s="51"/>
      <c r="N22" s="51"/>
      <c r="O22" s="51"/>
      <c r="P22" s="51"/>
      <c r="Q22" s="51"/>
      <c r="R22" s="52"/>
      <c r="S22" s="53"/>
      <c r="T22" s="54"/>
      <c r="U22" s="52"/>
      <c r="V22" s="55"/>
      <c r="W22" s="55"/>
      <c r="X22" s="52"/>
      <c r="Y22" s="52"/>
      <c r="Z22" s="56"/>
      <c r="AA22" s="55"/>
      <c r="AB22" s="55"/>
      <c r="AC22" s="55"/>
      <c r="AD22" s="55"/>
      <c r="AE22" s="55"/>
      <c r="AF22" s="55"/>
    </row>
    <row r="23" spans="1:32" s="57" customFormat="1" ht="15.75" hidden="1" customHeight="1">
      <c r="A23" s="17"/>
      <c r="B23" s="2"/>
      <c r="C23" s="51"/>
      <c r="D23" s="51"/>
      <c r="E23" s="51"/>
      <c r="F23" s="51"/>
      <c r="G23" s="51"/>
      <c r="H23" s="51"/>
      <c r="I23" s="51"/>
      <c r="J23" s="51"/>
      <c r="K23" s="51"/>
      <c r="L23" s="51"/>
      <c r="M23" s="51"/>
      <c r="N23" s="51"/>
      <c r="O23" s="51"/>
      <c r="P23" s="51"/>
      <c r="Q23" s="51"/>
      <c r="R23" s="52"/>
      <c r="S23" s="53"/>
      <c r="T23" s="54"/>
      <c r="U23" s="52"/>
      <c r="V23" s="55"/>
      <c r="W23" s="55"/>
      <c r="X23" s="52"/>
      <c r="Y23" s="52"/>
      <c r="Z23" s="56"/>
      <c r="AA23" s="55"/>
      <c r="AB23" s="55"/>
      <c r="AC23" s="55"/>
      <c r="AD23" s="55"/>
      <c r="AE23" s="55"/>
      <c r="AF23" s="55"/>
    </row>
    <row r="24" spans="1:32" s="57" customFormat="1" ht="15.75" hidden="1" customHeight="1">
      <c r="A24" s="17"/>
      <c r="B24" s="2"/>
      <c r="C24" s="51"/>
      <c r="D24" s="51"/>
      <c r="E24" s="51"/>
      <c r="F24" s="51"/>
      <c r="G24" s="51"/>
      <c r="H24" s="51"/>
      <c r="I24" s="51"/>
      <c r="J24" s="51"/>
      <c r="K24" s="51"/>
      <c r="L24" s="51"/>
      <c r="M24" s="51"/>
      <c r="N24" s="51"/>
      <c r="O24" s="51"/>
      <c r="P24" s="51"/>
      <c r="Q24" s="51"/>
      <c r="R24" s="52"/>
      <c r="S24" s="53"/>
      <c r="T24" s="54"/>
      <c r="U24" s="52"/>
      <c r="V24" s="55"/>
      <c r="W24" s="55"/>
      <c r="X24" s="52"/>
      <c r="Y24" s="52"/>
      <c r="Z24" s="56"/>
      <c r="AA24" s="55"/>
      <c r="AB24" s="55"/>
      <c r="AC24" s="55"/>
      <c r="AD24" s="55"/>
      <c r="AE24" s="55"/>
      <c r="AF24" s="55"/>
    </row>
    <row r="25" spans="1:32" s="57" customFormat="1" ht="15.75" hidden="1" customHeight="1">
      <c r="A25" s="17"/>
      <c r="B25" s="2"/>
      <c r="C25" s="51"/>
      <c r="D25" s="51"/>
      <c r="E25" s="51"/>
      <c r="F25" s="51"/>
      <c r="G25" s="51"/>
      <c r="H25" s="51"/>
      <c r="I25" s="51"/>
      <c r="J25" s="51"/>
      <c r="K25" s="51"/>
      <c r="L25" s="51"/>
      <c r="M25" s="51"/>
      <c r="N25" s="51"/>
      <c r="O25" s="51"/>
      <c r="P25" s="51"/>
      <c r="Q25" s="51"/>
      <c r="R25" s="52"/>
      <c r="S25" s="53"/>
      <c r="T25" s="54"/>
      <c r="U25" s="52"/>
      <c r="V25" s="55"/>
      <c r="W25" s="55"/>
      <c r="X25" s="52"/>
      <c r="Y25" s="52"/>
      <c r="Z25" s="56"/>
      <c r="AA25" s="55"/>
      <c r="AB25" s="55"/>
      <c r="AC25" s="55"/>
      <c r="AD25" s="55"/>
      <c r="AE25" s="55"/>
      <c r="AF25" s="55"/>
    </row>
    <row r="26" spans="1:32" s="57" customFormat="1" ht="15.75" hidden="1" customHeight="1">
      <c r="A26" s="17"/>
      <c r="B26" s="2"/>
      <c r="C26" s="51"/>
      <c r="D26" s="51"/>
      <c r="E26" s="51"/>
      <c r="F26" s="51"/>
      <c r="G26" s="51"/>
      <c r="H26" s="51"/>
      <c r="I26" s="51"/>
      <c r="J26" s="51"/>
      <c r="K26" s="51"/>
      <c r="L26" s="51"/>
      <c r="M26" s="51"/>
      <c r="N26" s="51"/>
      <c r="O26" s="51"/>
      <c r="P26" s="51"/>
      <c r="Q26" s="51"/>
      <c r="R26" s="52"/>
      <c r="S26" s="53"/>
      <c r="T26" s="54"/>
      <c r="U26" s="52"/>
      <c r="V26" s="55"/>
      <c r="W26" s="55"/>
      <c r="X26" s="52"/>
      <c r="Y26" s="52"/>
      <c r="Z26" s="56"/>
      <c r="AA26" s="55"/>
      <c r="AB26" s="55"/>
      <c r="AC26" s="55"/>
      <c r="AD26" s="55"/>
      <c r="AE26" s="55"/>
      <c r="AF26" s="55"/>
    </row>
    <row r="27" spans="1:32" s="57" customFormat="1" ht="15.75" hidden="1" customHeight="1">
      <c r="A27" s="17"/>
      <c r="B27" s="2"/>
      <c r="C27" s="51"/>
      <c r="D27" s="51"/>
      <c r="E27" s="51"/>
      <c r="F27" s="51"/>
      <c r="G27" s="51"/>
      <c r="H27" s="51"/>
      <c r="I27" s="51"/>
      <c r="J27" s="51"/>
      <c r="K27" s="51"/>
      <c r="L27" s="51"/>
      <c r="M27" s="51"/>
      <c r="N27" s="51"/>
      <c r="O27" s="51"/>
      <c r="P27" s="51"/>
      <c r="Q27" s="51"/>
      <c r="R27" s="52"/>
      <c r="S27" s="53"/>
      <c r="T27" s="54"/>
      <c r="U27" s="52"/>
      <c r="V27" s="55"/>
      <c r="W27" s="55"/>
      <c r="X27" s="52"/>
      <c r="Y27" s="52"/>
      <c r="Z27" s="56"/>
      <c r="AA27" s="55"/>
      <c r="AB27" s="55"/>
      <c r="AC27" s="55"/>
      <c r="AD27" s="55"/>
      <c r="AE27" s="55"/>
      <c r="AF27" s="55"/>
    </row>
    <row r="28" spans="1:32" s="57" customFormat="1" ht="15.75" hidden="1" customHeight="1">
      <c r="A28" s="17"/>
      <c r="B28" s="2"/>
      <c r="C28" s="51"/>
      <c r="D28" s="51"/>
      <c r="E28" s="51"/>
      <c r="F28" s="51"/>
      <c r="G28" s="51"/>
      <c r="H28" s="51"/>
      <c r="I28" s="51"/>
      <c r="J28" s="51"/>
      <c r="K28" s="51"/>
      <c r="L28" s="51"/>
      <c r="M28" s="51"/>
      <c r="N28" s="51"/>
      <c r="O28" s="51"/>
      <c r="P28" s="51"/>
      <c r="Q28" s="51"/>
      <c r="R28" s="52"/>
      <c r="S28" s="53"/>
      <c r="T28" s="54"/>
      <c r="U28" s="52"/>
      <c r="V28" s="55"/>
      <c r="W28" s="55"/>
      <c r="X28" s="52"/>
      <c r="Y28" s="52"/>
      <c r="Z28" s="56"/>
      <c r="AA28" s="55"/>
      <c r="AB28" s="55"/>
      <c r="AC28" s="55"/>
      <c r="AD28" s="55"/>
      <c r="AE28" s="55"/>
      <c r="AF28" s="55"/>
    </row>
    <row r="29" spans="1:32" s="57" customFormat="1" ht="15.75" hidden="1" customHeight="1">
      <c r="A29" s="17"/>
      <c r="B29" s="2"/>
      <c r="C29" s="51"/>
      <c r="D29" s="51"/>
      <c r="E29" s="51"/>
      <c r="F29" s="51"/>
      <c r="G29" s="51"/>
      <c r="H29" s="51"/>
      <c r="I29" s="51"/>
      <c r="J29" s="51"/>
      <c r="K29" s="51"/>
      <c r="L29" s="51"/>
      <c r="M29" s="51"/>
      <c r="N29" s="51"/>
      <c r="O29" s="51"/>
      <c r="P29" s="51"/>
      <c r="Q29" s="51"/>
      <c r="R29" s="52"/>
      <c r="S29" s="53"/>
      <c r="T29" s="54"/>
      <c r="U29" s="52"/>
      <c r="V29" s="55"/>
      <c r="W29" s="55"/>
      <c r="X29" s="52"/>
      <c r="Y29" s="52"/>
      <c r="Z29" s="56"/>
      <c r="AA29" s="55"/>
      <c r="AB29" s="55"/>
      <c r="AC29" s="55"/>
      <c r="AD29" s="55"/>
      <c r="AE29" s="55"/>
      <c r="AF29" s="55"/>
    </row>
    <row r="30" spans="1:32" s="57" customFormat="1" ht="15.75" hidden="1" customHeight="1">
      <c r="A30" s="17"/>
      <c r="B30" s="2"/>
      <c r="C30" s="51"/>
      <c r="D30" s="51"/>
      <c r="E30" s="51"/>
      <c r="F30" s="51"/>
      <c r="G30" s="51"/>
      <c r="H30" s="51"/>
      <c r="I30" s="51"/>
      <c r="J30" s="51"/>
      <c r="K30" s="51"/>
      <c r="L30" s="51"/>
      <c r="M30" s="51"/>
      <c r="N30" s="51"/>
      <c r="O30" s="51"/>
      <c r="P30" s="51"/>
      <c r="Q30" s="51"/>
      <c r="R30" s="52"/>
      <c r="S30" s="53"/>
      <c r="T30" s="54"/>
      <c r="U30" s="52"/>
      <c r="V30" s="55"/>
      <c r="W30" s="55"/>
      <c r="X30" s="52"/>
      <c r="Y30" s="52"/>
      <c r="Z30" s="56"/>
      <c r="AA30" s="55"/>
      <c r="AB30" s="55"/>
      <c r="AC30" s="55"/>
      <c r="AD30" s="55"/>
      <c r="AE30" s="55"/>
      <c r="AF30" s="55"/>
    </row>
    <row r="31" spans="1:32" s="57" customFormat="1" ht="15.75" hidden="1" customHeight="1">
      <c r="A31" s="17"/>
      <c r="B31" s="2"/>
      <c r="C31" s="51"/>
      <c r="D31" s="51"/>
      <c r="E31" s="51"/>
      <c r="F31" s="51"/>
      <c r="G31" s="51"/>
      <c r="H31" s="51"/>
      <c r="I31" s="51"/>
      <c r="J31" s="51"/>
      <c r="K31" s="51"/>
      <c r="L31" s="51"/>
      <c r="M31" s="51"/>
      <c r="N31" s="51"/>
      <c r="O31" s="51"/>
      <c r="P31" s="51"/>
      <c r="Q31" s="51"/>
      <c r="R31" s="52"/>
      <c r="S31" s="53"/>
      <c r="T31" s="54"/>
      <c r="U31" s="52"/>
      <c r="V31" s="55"/>
      <c r="W31" s="55"/>
      <c r="X31" s="52"/>
      <c r="Y31" s="52"/>
      <c r="Z31" s="56"/>
      <c r="AA31" s="55"/>
      <c r="AB31" s="55"/>
      <c r="AC31" s="55"/>
      <c r="AD31" s="55"/>
      <c r="AE31" s="55"/>
      <c r="AF31" s="55"/>
    </row>
    <row r="32" spans="1:32" s="57" customFormat="1" ht="15.75" hidden="1" customHeight="1">
      <c r="A32" s="17"/>
      <c r="B32" s="2"/>
      <c r="C32" s="51"/>
      <c r="D32" s="51"/>
      <c r="E32" s="51"/>
      <c r="F32" s="51"/>
      <c r="G32" s="51"/>
      <c r="H32" s="51"/>
      <c r="I32" s="51"/>
      <c r="J32" s="51"/>
      <c r="K32" s="51"/>
      <c r="L32" s="51"/>
      <c r="M32" s="51"/>
      <c r="N32" s="51"/>
      <c r="O32" s="51"/>
      <c r="P32" s="51"/>
      <c r="Q32" s="51"/>
      <c r="R32" s="52"/>
      <c r="S32" s="53"/>
      <c r="T32" s="54"/>
      <c r="U32" s="52"/>
      <c r="V32" s="55"/>
      <c r="W32" s="55"/>
      <c r="X32" s="52"/>
      <c r="Y32" s="52"/>
      <c r="Z32" s="56"/>
      <c r="AA32" s="55"/>
      <c r="AB32" s="55"/>
      <c r="AC32" s="55"/>
      <c r="AD32" s="55"/>
      <c r="AE32" s="55"/>
      <c r="AF32" s="52"/>
    </row>
    <row r="33" spans="1:32" s="57" customFormat="1" ht="15.75" hidden="1" customHeight="1">
      <c r="A33" s="17"/>
      <c r="B33" s="2"/>
      <c r="C33" s="51"/>
      <c r="D33" s="51"/>
      <c r="E33" s="51"/>
      <c r="F33" s="51"/>
      <c r="G33" s="51"/>
      <c r="H33" s="51"/>
      <c r="I33" s="51"/>
      <c r="J33" s="51"/>
      <c r="K33" s="51"/>
      <c r="L33" s="51"/>
      <c r="M33" s="51"/>
      <c r="N33" s="51"/>
      <c r="O33" s="51"/>
      <c r="P33" s="51"/>
      <c r="Q33" s="51"/>
      <c r="R33" s="52"/>
      <c r="S33" s="53"/>
      <c r="T33" s="54"/>
      <c r="U33" s="52"/>
      <c r="V33" s="55"/>
      <c r="W33" s="55"/>
      <c r="X33" s="52"/>
      <c r="Y33" s="52"/>
      <c r="Z33" s="56"/>
      <c r="AA33" s="55"/>
      <c r="AB33" s="55"/>
      <c r="AC33" s="55"/>
      <c r="AD33" s="55"/>
      <c r="AE33" s="55"/>
      <c r="AF33" s="55"/>
    </row>
    <row r="34" spans="1:32" s="57" customFormat="1" ht="15.75" hidden="1" customHeight="1">
      <c r="A34" s="17"/>
      <c r="B34" s="2"/>
      <c r="C34" s="51"/>
      <c r="D34" s="51"/>
      <c r="E34" s="51"/>
      <c r="F34" s="51"/>
      <c r="G34" s="51"/>
      <c r="H34" s="51"/>
      <c r="I34" s="51"/>
      <c r="J34" s="51"/>
      <c r="K34" s="51"/>
      <c r="L34" s="51"/>
      <c r="M34" s="51"/>
      <c r="N34" s="51"/>
      <c r="O34" s="51"/>
      <c r="P34" s="51"/>
      <c r="Q34" s="51"/>
      <c r="R34" s="55"/>
      <c r="S34" s="53"/>
      <c r="T34" s="54"/>
      <c r="U34" s="52"/>
      <c r="V34" s="55"/>
      <c r="W34" s="55"/>
      <c r="X34" s="52"/>
      <c r="Y34" s="52"/>
      <c r="Z34" s="56"/>
      <c r="AA34" s="55"/>
      <c r="AB34" s="55"/>
      <c r="AC34" s="55"/>
      <c r="AD34" s="55"/>
      <c r="AE34" s="55"/>
      <c r="AF34" s="55"/>
    </row>
    <row r="35" spans="1:32" s="57" customFormat="1" ht="15.75" hidden="1" customHeight="1">
      <c r="A35" s="17"/>
      <c r="B35" s="2"/>
      <c r="C35" s="51"/>
      <c r="D35" s="51"/>
      <c r="E35" s="51"/>
      <c r="F35" s="51"/>
      <c r="G35" s="51"/>
      <c r="H35" s="51"/>
      <c r="I35" s="51"/>
      <c r="J35" s="51"/>
      <c r="K35" s="51"/>
      <c r="L35" s="51"/>
      <c r="M35" s="51"/>
      <c r="N35" s="51"/>
      <c r="O35" s="51"/>
      <c r="P35" s="51"/>
      <c r="Q35" s="51"/>
      <c r="R35" s="55"/>
      <c r="S35" s="53"/>
      <c r="T35" s="54"/>
      <c r="U35" s="52"/>
      <c r="V35" s="55"/>
      <c r="W35" s="55"/>
      <c r="X35" s="52"/>
      <c r="Y35" s="52"/>
      <c r="Z35" s="56"/>
      <c r="AA35" s="55"/>
      <c r="AB35" s="55"/>
      <c r="AC35" s="55"/>
      <c r="AD35" s="55"/>
      <c r="AE35" s="55"/>
      <c r="AF35" s="55"/>
    </row>
    <row r="36" spans="1:32" s="57" customFormat="1" ht="15.75" hidden="1" customHeight="1">
      <c r="A36" s="17"/>
      <c r="B36" s="2"/>
      <c r="C36" s="51"/>
      <c r="D36" s="51"/>
      <c r="E36" s="51"/>
      <c r="F36" s="51"/>
      <c r="G36" s="51"/>
      <c r="H36" s="51"/>
      <c r="I36" s="51"/>
      <c r="J36" s="51"/>
      <c r="K36" s="51"/>
      <c r="L36" s="51"/>
      <c r="M36" s="51"/>
      <c r="N36" s="51"/>
      <c r="O36" s="51"/>
      <c r="P36" s="51"/>
      <c r="Q36" s="51"/>
      <c r="R36" s="55"/>
      <c r="S36" s="53"/>
      <c r="T36" s="54"/>
      <c r="U36" s="55"/>
      <c r="V36" s="55"/>
      <c r="W36" s="55"/>
      <c r="X36" s="55"/>
      <c r="Y36" s="52"/>
      <c r="Z36" s="56"/>
      <c r="AA36" s="55"/>
      <c r="AB36" s="55"/>
      <c r="AC36" s="55"/>
      <c r="AD36" s="55"/>
      <c r="AE36" s="55"/>
      <c r="AF36" s="55"/>
    </row>
    <row r="37" spans="1:32" s="57" customFormat="1" ht="15.75" hidden="1" customHeight="1">
      <c r="A37" s="17"/>
      <c r="B37" s="2"/>
      <c r="C37" s="51"/>
      <c r="D37" s="51"/>
      <c r="E37" s="51"/>
      <c r="F37" s="51"/>
      <c r="G37" s="51"/>
      <c r="H37" s="51"/>
      <c r="I37" s="51"/>
      <c r="J37" s="51"/>
      <c r="K37" s="51"/>
      <c r="L37" s="51"/>
      <c r="M37" s="51"/>
      <c r="N37" s="51"/>
      <c r="O37" s="51"/>
      <c r="P37" s="51"/>
      <c r="Q37" s="51"/>
      <c r="R37" s="55"/>
      <c r="S37" s="53"/>
      <c r="T37" s="54"/>
      <c r="U37" s="52"/>
      <c r="V37" s="55"/>
      <c r="W37" s="55"/>
      <c r="X37" s="52"/>
      <c r="Y37" s="52"/>
      <c r="Z37" s="56"/>
      <c r="AA37" s="55"/>
      <c r="AB37" s="55"/>
      <c r="AC37" s="55"/>
      <c r="AD37" s="55"/>
      <c r="AE37" s="55"/>
      <c r="AF37" s="55"/>
    </row>
    <row r="38" spans="1:32" s="57" customFormat="1" ht="15.75" hidden="1" customHeight="1">
      <c r="A38" s="17"/>
      <c r="B38" s="2"/>
      <c r="C38" s="51"/>
      <c r="D38" s="51"/>
      <c r="E38" s="51"/>
      <c r="F38" s="51"/>
      <c r="G38" s="51"/>
      <c r="H38" s="51"/>
      <c r="I38" s="51"/>
      <c r="J38" s="51"/>
      <c r="K38" s="51"/>
      <c r="L38" s="51"/>
      <c r="M38" s="51"/>
      <c r="N38" s="51"/>
      <c r="O38" s="51"/>
      <c r="P38" s="51"/>
      <c r="Q38" s="51"/>
      <c r="R38" s="52"/>
      <c r="S38" s="53"/>
      <c r="T38" s="54"/>
      <c r="U38" s="52"/>
      <c r="V38" s="55"/>
      <c r="W38" s="55"/>
      <c r="X38" s="52"/>
      <c r="Y38" s="52"/>
      <c r="Z38" s="56"/>
      <c r="AA38" s="55"/>
      <c r="AB38" s="55"/>
      <c r="AC38" s="55"/>
      <c r="AD38" s="55"/>
      <c r="AE38" s="55"/>
      <c r="AF38" s="55"/>
    </row>
    <row r="39" spans="1:32" s="57" customFormat="1" ht="15.75" hidden="1" customHeight="1">
      <c r="A39" s="17"/>
      <c r="B39" s="2"/>
      <c r="C39" s="51"/>
      <c r="D39" s="51"/>
      <c r="E39" s="51"/>
      <c r="F39" s="51"/>
      <c r="G39" s="51"/>
      <c r="H39" s="51"/>
      <c r="I39" s="51"/>
      <c r="J39" s="51"/>
      <c r="K39" s="51"/>
      <c r="L39" s="51"/>
      <c r="M39" s="51"/>
      <c r="N39" s="51"/>
      <c r="O39" s="51"/>
      <c r="P39" s="51"/>
      <c r="Q39" s="51"/>
      <c r="R39" s="55"/>
      <c r="S39" s="53"/>
      <c r="T39" s="54"/>
      <c r="U39" s="52"/>
      <c r="V39" s="55"/>
      <c r="W39" s="55"/>
      <c r="X39" s="52"/>
      <c r="Y39" s="52"/>
      <c r="Z39" s="56"/>
      <c r="AA39" s="52"/>
      <c r="AB39" s="55"/>
      <c r="AC39" s="55"/>
      <c r="AD39" s="55"/>
      <c r="AE39" s="55"/>
      <c r="AF39" s="55"/>
    </row>
    <row r="40" spans="1:32" s="57" customFormat="1" ht="15.75" hidden="1" customHeight="1">
      <c r="A40" s="17"/>
      <c r="B40" s="2"/>
      <c r="C40" s="51"/>
      <c r="D40" s="51"/>
      <c r="E40" s="51"/>
      <c r="F40" s="51"/>
      <c r="G40" s="51"/>
      <c r="H40" s="51"/>
      <c r="I40" s="51"/>
      <c r="J40" s="51"/>
      <c r="K40" s="51"/>
      <c r="L40" s="51"/>
      <c r="M40" s="51"/>
      <c r="N40" s="51"/>
      <c r="O40" s="51"/>
      <c r="P40" s="51"/>
      <c r="Q40" s="51"/>
      <c r="R40" s="55"/>
      <c r="S40" s="53"/>
      <c r="T40" s="54"/>
      <c r="U40" s="52"/>
      <c r="V40" s="55"/>
      <c r="W40" s="55"/>
      <c r="X40" s="52"/>
      <c r="Y40" s="52"/>
      <c r="Z40" s="56"/>
      <c r="AA40" s="55"/>
      <c r="AB40" s="55"/>
      <c r="AC40" s="55"/>
      <c r="AD40" s="55"/>
      <c r="AE40" s="55"/>
      <c r="AF40" s="55"/>
    </row>
    <row r="41" spans="1:32" s="57" customFormat="1" ht="15.75" hidden="1" customHeight="1">
      <c r="A41" s="17"/>
      <c r="B41" s="2"/>
      <c r="C41" s="51"/>
      <c r="D41" s="51"/>
      <c r="E41" s="51"/>
      <c r="F41" s="51"/>
      <c r="G41" s="51"/>
      <c r="H41" s="51"/>
      <c r="I41" s="51"/>
      <c r="J41" s="51"/>
      <c r="K41" s="51"/>
      <c r="L41" s="51"/>
      <c r="M41" s="51"/>
      <c r="N41" s="51"/>
      <c r="O41" s="51"/>
      <c r="P41" s="51"/>
      <c r="Q41" s="51"/>
      <c r="R41" s="55"/>
      <c r="S41" s="53"/>
      <c r="T41" s="54"/>
      <c r="U41" s="52"/>
      <c r="V41" s="55"/>
      <c r="W41" s="55"/>
      <c r="X41" s="52"/>
      <c r="Y41" s="52"/>
      <c r="Z41" s="56"/>
      <c r="AA41" s="55"/>
      <c r="AB41" s="55"/>
      <c r="AC41" s="55"/>
      <c r="AD41" s="55"/>
      <c r="AE41" s="55"/>
      <c r="AF41" s="55"/>
    </row>
    <row r="42" spans="1:32" s="57" customFormat="1" ht="15.75" hidden="1" customHeight="1">
      <c r="A42" s="17"/>
      <c r="B42" s="2"/>
      <c r="C42" s="51"/>
      <c r="D42" s="51"/>
      <c r="E42" s="51"/>
      <c r="F42" s="51"/>
      <c r="G42" s="51"/>
      <c r="H42" s="51"/>
      <c r="I42" s="51"/>
      <c r="J42" s="51"/>
      <c r="K42" s="51"/>
      <c r="L42" s="51"/>
      <c r="M42" s="51"/>
      <c r="N42" s="51"/>
      <c r="O42" s="51"/>
      <c r="P42" s="51"/>
      <c r="Q42" s="51"/>
      <c r="R42" s="55"/>
      <c r="S42" s="53"/>
      <c r="T42" s="54"/>
      <c r="U42" s="52"/>
      <c r="V42" s="55"/>
      <c r="W42" s="55"/>
      <c r="X42" s="52"/>
      <c r="Y42" s="52"/>
      <c r="Z42" s="56"/>
      <c r="AA42" s="55"/>
      <c r="AB42" s="55"/>
      <c r="AC42" s="55"/>
      <c r="AD42" s="55"/>
      <c r="AE42" s="55"/>
      <c r="AF42" s="55"/>
    </row>
    <row r="43" spans="1:32" s="57" customFormat="1" ht="15.75" hidden="1" customHeight="1">
      <c r="A43" s="17"/>
      <c r="B43" s="2"/>
      <c r="C43" s="51"/>
      <c r="D43" s="51"/>
      <c r="E43" s="51"/>
      <c r="F43" s="51"/>
      <c r="G43" s="51"/>
      <c r="H43" s="51"/>
      <c r="I43" s="51"/>
      <c r="J43" s="51"/>
      <c r="K43" s="51"/>
      <c r="L43" s="51"/>
      <c r="M43" s="51"/>
      <c r="N43" s="51"/>
      <c r="O43" s="51"/>
      <c r="P43" s="51"/>
      <c r="Q43" s="51"/>
      <c r="R43" s="55"/>
      <c r="S43" s="53"/>
      <c r="T43" s="54"/>
      <c r="U43" s="52"/>
      <c r="V43" s="55"/>
      <c r="W43" s="55"/>
      <c r="X43" s="52"/>
      <c r="Y43" s="52"/>
      <c r="Z43" s="56"/>
      <c r="AA43" s="55"/>
      <c r="AB43" s="55"/>
      <c r="AC43" s="55"/>
      <c r="AD43" s="55"/>
      <c r="AE43" s="55"/>
      <c r="AF43" s="55"/>
    </row>
    <row r="44" spans="1:32" s="57" customFormat="1" ht="15.75" hidden="1" customHeight="1">
      <c r="A44" s="17"/>
      <c r="B44" s="2"/>
      <c r="C44" s="51"/>
      <c r="D44" s="51"/>
      <c r="E44" s="51"/>
      <c r="F44" s="51"/>
      <c r="G44" s="51"/>
      <c r="H44" s="51"/>
      <c r="I44" s="51"/>
      <c r="J44" s="51"/>
      <c r="K44" s="51"/>
      <c r="L44" s="51"/>
      <c r="M44" s="51"/>
      <c r="N44" s="51"/>
      <c r="O44" s="51"/>
      <c r="P44" s="51"/>
      <c r="Q44" s="51"/>
      <c r="R44" s="55"/>
      <c r="S44" s="53"/>
      <c r="T44" s="54"/>
      <c r="U44" s="52"/>
      <c r="V44" s="55"/>
      <c r="W44" s="55"/>
      <c r="X44" s="52"/>
      <c r="Y44" s="52"/>
      <c r="Z44" s="56"/>
      <c r="AA44" s="55"/>
      <c r="AB44" s="55"/>
      <c r="AC44" s="55"/>
      <c r="AD44" s="55"/>
      <c r="AE44" s="55"/>
      <c r="AF44" s="55"/>
    </row>
    <row r="45" spans="1:32" s="57" customFormat="1" ht="15.75" hidden="1" customHeight="1">
      <c r="A45" s="17"/>
      <c r="B45" s="2"/>
      <c r="C45" s="51"/>
      <c r="D45" s="51"/>
      <c r="E45" s="51"/>
      <c r="F45" s="51"/>
      <c r="G45" s="51"/>
      <c r="H45" s="51"/>
      <c r="I45" s="51"/>
      <c r="J45" s="51"/>
      <c r="K45" s="51"/>
      <c r="L45" s="51"/>
      <c r="M45" s="51"/>
      <c r="N45" s="51"/>
      <c r="O45" s="51"/>
      <c r="P45" s="51"/>
      <c r="Q45" s="51"/>
      <c r="R45" s="55"/>
      <c r="S45" s="53"/>
      <c r="T45" s="54"/>
      <c r="U45" s="52"/>
      <c r="V45" s="55"/>
      <c r="W45" s="55"/>
      <c r="X45" s="52"/>
      <c r="Y45" s="52"/>
      <c r="Z45" s="56"/>
      <c r="AA45" s="55"/>
      <c r="AB45" s="55"/>
      <c r="AC45" s="55"/>
      <c r="AD45" s="55"/>
      <c r="AE45" s="55"/>
      <c r="AF45" s="55"/>
    </row>
    <row r="46" spans="1:32" s="57" customFormat="1" ht="15.75" hidden="1" customHeight="1">
      <c r="A46" s="17"/>
      <c r="B46" s="2"/>
      <c r="C46" s="51"/>
      <c r="D46" s="51"/>
      <c r="E46" s="51"/>
      <c r="F46" s="51"/>
      <c r="G46" s="51"/>
      <c r="H46" s="51"/>
      <c r="I46" s="51"/>
      <c r="J46" s="51"/>
      <c r="K46" s="51"/>
      <c r="L46" s="51"/>
      <c r="M46" s="51"/>
      <c r="N46" s="51"/>
      <c r="O46" s="51"/>
      <c r="P46" s="51"/>
      <c r="Q46" s="51"/>
      <c r="R46" s="55"/>
      <c r="S46" s="53"/>
      <c r="T46" s="54"/>
      <c r="U46" s="52"/>
      <c r="V46" s="55"/>
      <c r="W46" s="55"/>
      <c r="X46" s="52"/>
      <c r="Y46" s="52"/>
      <c r="Z46" s="56"/>
      <c r="AA46" s="55"/>
      <c r="AB46" s="55"/>
      <c r="AC46" s="55"/>
      <c r="AD46" s="55"/>
      <c r="AE46" s="55"/>
      <c r="AF46" s="55"/>
    </row>
    <row r="47" spans="1:32" s="57" customFormat="1" ht="15.75" hidden="1" customHeight="1">
      <c r="A47" s="17"/>
      <c r="B47" s="2"/>
      <c r="C47" s="51"/>
      <c r="D47" s="51"/>
      <c r="E47" s="51"/>
      <c r="F47" s="51"/>
      <c r="G47" s="51"/>
      <c r="H47" s="51"/>
      <c r="I47" s="51"/>
      <c r="J47" s="51"/>
      <c r="K47" s="51"/>
      <c r="L47" s="51"/>
      <c r="M47" s="51"/>
      <c r="N47" s="51"/>
      <c r="O47" s="51"/>
      <c r="P47" s="51"/>
      <c r="Q47" s="51"/>
      <c r="R47" s="55"/>
      <c r="S47" s="53"/>
      <c r="T47" s="54"/>
      <c r="U47" s="52"/>
      <c r="V47" s="55"/>
      <c r="W47" s="55"/>
      <c r="X47" s="52"/>
      <c r="Y47" s="52"/>
      <c r="Z47" s="56"/>
      <c r="AA47" s="55"/>
      <c r="AB47" s="55"/>
      <c r="AC47" s="55"/>
      <c r="AD47" s="55"/>
      <c r="AE47" s="55"/>
      <c r="AF47" s="55"/>
    </row>
    <row r="48" spans="1:32" s="57" customFormat="1" ht="15.75" hidden="1" customHeight="1">
      <c r="A48" s="17"/>
      <c r="B48" s="2"/>
      <c r="C48" s="51"/>
      <c r="D48" s="51"/>
      <c r="E48" s="51"/>
      <c r="F48" s="51"/>
      <c r="G48" s="51"/>
      <c r="H48" s="51"/>
      <c r="I48" s="51"/>
      <c r="J48" s="51"/>
      <c r="K48" s="51"/>
      <c r="L48" s="51"/>
      <c r="M48" s="51"/>
      <c r="N48" s="51"/>
      <c r="O48" s="51"/>
      <c r="P48" s="51"/>
      <c r="Q48" s="51"/>
      <c r="R48" s="55"/>
      <c r="S48" s="53"/>
      <c r="T48" s="54"/>
      <c r="U48" s="52"/>
      <c r="V48" s="55"/>
      <c r="W48" s="55"/>
      <c r="X48" s="52"/>
      <c r="Y48" s="52"/>
      <c r="Z48" s="56"/>
      <c r="AA48" s="55"/>
      <c r="AB48" s="55"/>
      <c r="AC48" s="55"/>
      <c r="AD48" s="55"/>
      <c r="AE48" s="55"/>
      <c r="AF48" s="55"/>
    </row>
    <row r="49" spans="1:32" s="57" customFormat="1" ht="15.75" hidden="1" customHeight="1">
      <c r="A49" s="17"/>
      <c r="B49" s="2"/>
      <c r="C49" s="51"/>
      <c r="D49" s="51"/>
      <c r="E49" s="51"/>
      <c r="F49" s="51"/>
      <c r="G49" s="51"/>
      <c r="H49" s="51"/>
      <c r="I49" s="51"/>
      <c r="J49" s="51"/>
      <c r="K49" s="51"/>
      <c r="L49" s="51"/>
      <c r="M49" s="51"/>
      <c r="N49" s="51"/>
      <c r="O49" s="51"/>
      <c r="P49" s="51"/>
      <c r="Q49" s="51"/>
      <c r="R49" s="55"/>
      <c r="S49" s="53"/>
      <c r="T49" s="54"/>
      <c r="U49" s="52"/>
      <c r="V49" s="55"/>
      <c r="W49" s="55"/>
      <c r="X49" s="52"/>
      <c r="Y49" s="52"/>
      <c r="Z49" s="56"/>
      <c r="AA49" s="55"/>
      <c r="AB49" s="55"/>
      <c r="AC49" s="55"/>
      <c r="AD49" s="55"/>
      <c r="AE49" s="55"/>
      <c r="AF49" s="55"/>
    </row>
    <row r="50" spans="1:32" s="57" customFormat="1" ht="15.75" hidden="1" customHeight="1">
      <c r="A50" s="2"/>
      <c r="B50" s="2"/>
      <c r="C50" s="51"/>
      <c r="D50" s="51"/>
      <c r="E50" s="51"/>
      <c r="F50" s="51"/>
      <c r="G50" s="51"/>
      <c r="H50" s="51"/>
      <c r="I50" s="51"/>
      <c r="J50" s="51"/>
      <c r="K50" s="51"/>
      <c r="L50" s="51"/>
      <c r="M50" s="51"/>
      <c r="N50" s="51"/>
      <c r="O50" s="51"/>
      <c r="P50" s="51"/>
      <c r="Q50" s="51"/>
      <c r="R50" s="55"/>
      <c r="S50" s="53"/>
      <c r="T50" s="54"/>
      <c r="U50" s="55"/>
      <c r="V50" s="55"/>
      <c r="W50" s="55"/>
      <c r="X50" s="55"/>
      <c r="Y50" s="55"/>
      <c r="Z50" s="56"/>
      <c r="AA50" s="55"/>
      <c r="AB50" s="55"/>
      <c r="AC50" s="55"/>
      <c r="AD50" s="55"/>
      <c r="AE50" s="55"/>
      <c r="AF50" s="55"/>
    </row>
    <row r="51" spans="1:32" s="57" customFormat="1" ht="15.75" hidden="1" customHeight="1">
      <c r="A51" s="2"/>
      <c r="B51" s="2"/>
      <c r="C51" s="51"/>
      <c r="D51" s="51"/>
      <c r="E51" s="51"/>
      <c r="F51" s="51"/>
      <c r="G51" s="51"/>
      <c r="H51" s="51"/>
      <c r="I51" s="51"/>
      <c r="J51" s="51"/>
      <c r="K51" s="51"/>
      <c r="L51" s="51"/>
      <c r="M51" s="51"/>
      <c r="N51" s="51"/>
      <c r="O51" s="51"/>
      <c r="P51" s="51"/>
      <c r="Q51" s="51"/>
      <c r="R51" s="55"/>
      <c r="S51" s="53"/>
      <c r="T51" s="54"/>
      <c r="U51" s="55"/>
      <c r="V51" s="55"/>
      <c r="W51" s="55"/>
      <c r="X51" s="55"/>
      <c r="Y51" s="55"/>
      <c r="Z51" s="56"/>
      <c r="AA51" s="55"/>
      <c r="AB51" s="55"/>
      <c r="AC51" s="55"/>
      <c r="AD51" s="55"/>
      <c r="AE51" s="55"/>
      <c r="AF51" s="55"/>
    </row>
    <row r="52" spans="1:32" s="57" customFormat="1" ht="15.75" hidden="1" customHeight="1">
      <c r="A52" s="2"/>
      <c r="B52" s="2"/>
      <c r="C52" s="51"/>
      <c r="D52" s="51"/>
      <c r="E52" s="51"/>
      <c r="F52" s="51"/>
      <c r="G52" s="51"/>
      <c r="H52" s="51"/>
      <c r="I52" s="51"/>
      <c r="J52" s="51"/>
      <c r="K52" s="51"/>
      <c r="L52" s="51"/>
      <c r="M52" s="51"/>
      <c r="N52" s="51"/>
      <c r="O52" s="51"/>
      <c r="P52" s="51"/>
      <c r="Q52" s="51"/>
      <c r="R52" s="55"/>
      <c r="S52" s="53"/>
      <c r="T52" s="54"/>
      <c r="U52" s="55"/>
      <c r="V52" s="55"/>
      <c r="W52" s="55"/>
      <c r="X52" s="55"/>
      <c r="Y52" s="55"/>
      <c r="Z52" s="56"/>
      <c r="AA52" s="55"/>
      <c r="AB52" s="55"/>
      <c r="AC52" s="55"/>
      <c r="AD52" s="55"/>
      <c r="AE52" s="55"/>
      <c r="AF52" s="55"/>
    </row>
    <row r="53" spans="1:32" s="57" customFormat="1">
      <c r="A53" s="2"/>
      <c r="B53" s="2"/>
      <c r="C53" s="51"/>
      <c r="D53" s="51"/>
      <c r="E53" s="51"/>
      <c r="F53" s="51"/>
      <c r="G53" s="51"/>
      <c r="H53" s="51"/>
      <c r="I53" s="51"/>
      <c r="J53" s="51"/>
      <c r="K53" s="51"/>
      <c r="L53" s="51"/>
      <c r="M53" s="51"/>
      <c r="N53" s="51"/>
      <c r="O53" s="51"/>
      <c r="P53" s="51"/>
      <c r="Q53" s="51"/>
      <c r="R53" s="55"/>
      <c r="S53" s="53"/>
      <c r="T53" s="54"/>
      <c r="U53" s="55"/>
      <c r="V53" s="55"/>
      <c r="W53" s="55"/>
      <c r="X53" s="55"/>
      <c r="Y53" s="55"/>
      <c r="Z53" s="56"/>
      <c r="AA53" s="55"/>
      <c r="AB53" s="55"/>
      <c r="AC53" s="55"/>
      <c r="AD53" s="55">
        <v>-5.65</v>
      </c>
      <c r="AE53" s="55"/>
      <c r="AF53" s="55"/>
    </row>
    <row r="54" spans="1:32" s="57" customFormat="1">
      <c r="A54" s="2"/>
      <c r="B54" s="2"/>
      <c r="C54" s="51"/>
      <c r="D54" s="51"/>
      <c r="E54" s="51"/>
      <c r="F54" s="51"/>
      <c r="G54" s="51"/>
      <c r="H54" s="51"/>
      <c r="I54" s="51"/>
      <c r="J54" s="51"/>
      <c r="K54" s="51"/>
      <c r="L54" s="51"/>
      <c r="M54" s="51"/>
      <c r="N54" s="51"/>
      <c r="O54" s="51"/>
      <c r="P54" s="51"/>
      <c r="Q54" s="51"/>
      <c r="R54" s="55"/>
      <c r="S54" s="53"/>
      <c r="T54" s="54"/>
      <c r="U54" s="55"/>
      <c r="V54" s="55"/>
      <c r="W54" s="55"/>
      <c r="X54" s="55"/>
      <c r="Y54" s="55"/>
      <c r="Z54" s="56"/>
      <c r="AA54" s="55"/>
      <c r="AB54" s="55"/>
      <c r="AC54" s="55"/>
      <c r="AD54" s="55"/>
      <c r="AE54" s="55"/>
      <c r="AF54" s="55"/>
    </row>
    <row r="55" spans="1:32" s="57" customFormat="1" ht="15.75" customHeight="1">
      <c r="A55" s="2" t="s">
        <v>32</v>
      </c>
      <c r="B55" s="2" t="s">
        <v>33</v>
      </c>
      <c r="C55" s="51">
        <f t="shared" ref="C55:C56" si="1">IFERROR(F55/D55," - ")</f>
        <v>19.989999999999998</v>
      </c>
      <c r="D55" s="51">
        <v>4</v>
      </c>
      <c r="E55" s="51">
        <v>0</v>
      </c>
      <c r="F55" s="51">
        <v>79.959999999999994</v>
      </c>
      <c r="G55" s="51">
        <v>0</v>
      </c>
      <c r="H55" s="51">
        <f t="shared" ref="H55:H56" si="2">G55/F55*-1</f>
        <v>0</v>
      </c>
      <c r="I55" s="51">
        <f t="shared" ref="I55:I56" si="3">J55/F55</f>
        <v>0.47437482991495739</v>
      </c>
      <c r="J55" s="51">
        <f t="shared" ref="J55:J56" si="4">F55*0.85+G55+AD55*D55+D55*AC55+AE55+AB55</f>
        <v>37.931011399999988</v>
      </c>
      <c r="K55" s="51">
        <f t="shared" ref="K55:K56" si="5">J55/D55</f>
        <v>9.4827528499999971</v>
      </c>
      <c r="L55" s="51">
        <v>0</v>
      </c>
      <c r="M55" s="51" t="str">
        <f t="shared" ref="M55:M56" si="6">IFERROR(D55/L55,"-")</f>
        <v>-</v>
      </c>
      <c r="N55" s="51">
        <v>210</v>
      </c>
      <c r="O55" s="51">
        <f t="shared" ref="O55:P55" si="7">D55/7</f>
        <v>0.5714285714285714</v>
      </c>
      <c r="P55" s="51">
        <f t="shared" si="7"/>
        <v>0</v>
      </c>
      <c r="Q55" s="51">
        <f t="shared" ref="Q55:Q56" si="8">ROUNDDOWN(N55/(O55+P55),0)</f>
        <v>367</v>
      </c>
      <c r="R55" s="55" t="s">
        <v>34</v>
      </c>
      <c r="S55" s="53" t="s">
        <v>34</v>
      </c>
      <c r="T55" s="54" t="s">
        <v>34</v>
      </c>
      <c r="U55" s="55">
        <v>0</v>
      </c>
      <c r="V55" s="55">
        <f t="shared" ref="V55:V56" si="9">IFERROR(U55/D55,0)</f>
        <v>0</v>
      </c>
      <c r="W55" s="55">
        <f t="shared" ref="W55:W56" si="10">IFERROR(G55/(U55+X55)*-1,0)</f>
        <v>0</v>
      </c>
      <c r="X55" s="55">
        <v>0</v>
      </c>
      <c r="Y55" s="55" t="s">
        <v>35</v>
      </c>
      <c r="Z55" s="56">
        <f t="shared" ref="Z55:Z56" si="11">IF(OR(Y55="UsLargeStandardSize",Y55="UsSmallStandardSize"),-2.4,-1.2)</f>
        <v>-2.4</v>
      </c>
      <c r="AA55" s="55">
        <v>5.67704375E-2</v>
      </c>
      <c r="AB55" s="55">
        <f t="shared" ref="AB55:AB56" si="12">IFERROR(Z55*AA55*D55*3,0)</f>
        <v>-1.6349885999999998</v>
      </c>
      <c r="AC55" s="55">
        <v>-3.48</v>
      </c>
      <c r="AD55" s="55">
        <v>-3.62</v>
      </c>
      <c r="AE55" s="55">
        <v>0</v>
      </c>
      <c r="AF55" s="55">
        <v>1.43540669856459E-2</v>
      </c>
    </row>
    <row r="56" spans="1:32" s="57" customFormat="1" ht="15.75" customHeight="1">
      <c r="A56" s="2" t="s">
        <v>36</v>
      </c>
      <c r="B56" s="2"/>
      <c r="C56" s="51">
        <f t="shared" si="1"/>
        <v>16.418571428571433</v>
      </c>
      <c r="D56" s="51">
        <v>14</v>
      </c>
      <c r="E56" s="51">
        <v>0</v>
      </c>
      <c r="F56" s="51">
        <v>229.86000000000004</v>
      </c>
      <c r="G56" s="51">
        <v>-0.78</v>
      </c>
      <c r="H56" s="51">
        <f t="shared" si="2"/>
        <v>3.3933698773166271E-3</v>
      </c>
      <c r="I56" s="51">
        <f t="shared" si="3"/>
        <v>0.38941754225892472</v>
      </c>
      <c r="J56" s="51">
        <f t="shared" si="4"/>
        <v>89.511516263636452</v>
      </c>
      <c r="K56" s="51">
        <f t="shared" si="5"/>
        <v>6.3936797331168895</v>
      </c>
      <c r="L56" s="51">
        <v>120</v>
      </c>
      <c r="M56" s="51">
        <f t="shared" si="6"/>
        <v>0.11666666666666667</v>
      </c>
      <c r="N56" s="51">
        <v>151</v>
      </c>
      <c r="O56" s="51">
        <f t="shared" ref="O56:P56" si="13">D56/7</f>
        <v>2</v>
      </c>
      <c r="P56" s="51">
        <f t="shared" si="13"/>
        <v>0</v>
      </c>
      <c r="Q56" s="51">
        <f t="shared" si="8"/>
        <v>75</v>
      </c>
      <c r="R56" s="55" t="str">
        <f ca="1">IFERROR(__xludf.DUMMYFUNCTION("IFERROR(VLOOKUP($B$2,IMPORTRANGE(""https://docs.google.com/spreadsheets/d/1iVgg6Mw12RULLujzHmfOFIY8Q_KaAD8anoZzgtVAQ74/edit#gid=1503384807"",""Second Star - Summary!A1:AD2000""),9,FALSE),"""")"),"")</f>
        <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9"/>
        <v>0</v>
      </c>
      <c r="W56" s="55">
        <f t="shared" si="10"/>
        <v>0</v>
      </c>
      <c r="X56" s="55">
        <v>0</v>
      </c>
      <c r="Y56" s="55" t="s">
        <v>35</v>
      </c>
      <c r="Z56" s="56">
        <f t="shared" si="11"/>
        <v>-2.4</v>
      </c>
      <c r="AA56" s="55">
        <v>5.67704375E-2</v>
      </c>
      <c r="AB56" s="55">
        <f t="shared" si="12"/>
        <v>-5.7224600999999993</v>
      </c>
      <c r="AC56" s="55">
        <v>-3.48</v>
      </c>
      <c r="AD56" s="55">
        <v>-3.6176445454545401</v>
      </c>
      <c r="AE56" s="55">
        <v>0</v>
      </c>
      <c r="AF56" s="55">
        <v>0.375</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3"/>
    </row>
    <row r="222" spans="1:3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3"/>
    </row>
    <row r="223" spans="1:32"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3"/>
    </row>
    <row r="224" spans="1:32"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3"/>
    </row>
    <row r="225" spans="1:32"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3"/>
    </row>
    <row r="226" spans="1:32"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3"/>
    </row>
    <row r="227" spans="1:32"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3"/>
    </row>
    <row r="228" spans="1:32"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3"/>
    </row>
    <row r="229" spans="1:32"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3"/>
    </row>
    <row r="230" spans="1:32"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3"/>
    </row>
    <row r="231" spans="1:32"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3"/>
    </row>
    <row r="232" spans="1: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3"/>
    </row>
    <row r="233" spans="1:32"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3"/>
    </row>
    <row r="234" spans="1:32"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3"/>
    </row>
    <row r="235" spans="1:32"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3"/>
    </row>
    <row r="236" spans="1:32"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3"/>
    </row>
    <row r="237" spans="1:32"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3"/>
    </row>
    <row r="238" spans="1:32"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3"/>
    </row>
    <row r="239" spans="1:32"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534" priority="1" operator="lessThan">
      <formula>100</formula>
    </cfRule>
  </conditionalFormatting>
  <conditionalFormatting sqref="Q1:Q3 Q57:Q1000">
    <cfRule type="cellIs" dxfId="533" priority="2" operator="lessThan">
      <formula>100</formula>
    </cfRule>
  </conditionalFormatting>
  <conditionalFormatting sqref="I1:I3 I57:I1000">
    <cfRule type="cellIs" dxfId="532" priority="3" operator="lessThan">
      <formula>0.05</formula>
    </cfRule>
  </conditionalFormatting>
  <conditionalFormatting sqref="I4:I17">
    <cfRule type="cellIs" dxfId="531" priority="4" operator="lessThan">
      <formula>0.05</formula>
    </cfRule>
  </conditionalFormatting>
  <conditionalFormatting sqref="I18:I56">
    <cfRule type="cellIs" dxfId="530" priority="5" operator="lessThan">
      <formula>0.05</formula>
    </cfRule>
  </conditionalFormatting>
  <conditionalFormatting sqref="Q4:Q56">
    <cfRule type="cellIs" dxfId="529" priority="6" operator="lessThan">
      <formula>100</formula>
    </cfRule>
  </conditionalFormatting>
  <conditionalFormatting sqref="Q4:Q56">
    <cfRule type="cellIs" dxfId="528" priority="7" operator="lessThan">
      <formula>100</formula>
    </cfRule>
  </conditionalFormatting>
  <pageMargins left="0.7" right="0.7" top="0.75" bottom="0.75" header="0" footer="0"/>
  <pageSetup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4.6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Info!B1:BJ5000""),4,FALSE),"""")"),"Giant Wooden Lawn Dice for Playing Outdoor Yard Games")</f>
        <v>Giant Wooden Lawn Dice for Playing Outdoor Yard Games</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Info!B1:BJ5000""),3,FALSE),"""")"),"B086H44FMC")</f>
        <v>B086H44FMC</v>
      </c>
      <c r="B2" s="4" t="s">
        <v>37</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15.797140422322766</v>
      </c>
      <c r="D3" s="8">
        <f>SUM(D4:D99819)</f>
        <v>100</v>
      </c>
      <c r="E3" s="8"/>
      <c r="F3" s="9">
        <f t="shared" ref="F3:G3" si="0">SUM(F4:F99819)</f>
        <v>2123.0000000000005</v>
      </c>
      <c r="G3" s="9">
        <f t="shared" si="0"/>
        <v>0</v>
      </c>
      <c r="H3" s="10">
        <f>G3/F3*-1</f>
        <v>0</v>
      </c>
      <c r="I3" s="11">
        <f>J3/F3</f>
        <v>9.191035285094927E-2</v>
      </c>
      <c r="J3" s="9">
        <f>SUM(J4:J99819)</f>
        <v>195.12567910256533</v>
      </c>
      <c r="K3" s="9">
        <f>J3/D3</f>
        <v>1.9512567910256533</v>
      </c>
      <c r="L3" s="8"/>
      <c r="M3" s="12"/>
      <c r="N3" s="13"/>
      <c r="O3" s="8" t="str">
        <f ca="1">IFERROR(__xludf.DUMMYFUNCTION("IFERROR(VLOOKUP(B2,IMPORTRANGE(""https://docs.google.com/spreadsheets/d/1owCo6kL_VFQ5nPTdNogErmCBLjNiktT1m3SzTrxu3R0/edit#gid=2146806407"",""Second Star - Compiled!b1:g5000""),2,FALSE),"""")"),"0 - March
0 - April
0 - May
0 - Jun
0 - Jul
0 - Aug
0 - Sept
0 - Oct
0 - Nov
0 - Dec
0 - Jan
0 - Feb")</f>
        <v>0 - March
0 - April
0 - May
0 - Jun
0 - Jul
0 - Aug
0 - Sept
0 - Oct
0 - Nov
0 - Dec
0 - Jan
0 - Feb</v>
      </c>
      <c r="P3" s="8"/>
      <c r="Q3" s="14"/>
      <c r="R3" s="13"/>
      <c r="S3" s="13"/>
      <c r="T3" s="13"/>
      <c r="U3" s="8">
        <f>SUM(U4:U99819)</f>
        <v>0</v>
      </c>
      <c r="V3" s="10">
        <f>AVERAGE(V4:V99819)</f>
        <v>0</v>
      </c>
      <c r="W3" s="9">
        <f>ROUND(AVERAGE(W4:W99819),2)</f>
        <v>0</v>
      </c>
      <c r="X3" s="8"/>
      <c r="Y3" s="8"/>
      <c r="Z3" s="8"/>
      <c r="AA3" s="8"/>
      <c r="AB3" s="8"/>
      <c r="AC3" s="15"/>
      <c r="AD3" s="9"/>
      <c r="AE3" s="9">
        <f>SUM(AE4:AE99819)</f>
        <v>0</v>
      </c>
      <c r="AF3" s="16"/>
    </row>
    <row r="4" spans="1:32" s="57" customFormat="1" hidden="1">
      <c r="A4" s="17"/>
      <c r="B4" s="17"/>
      <c r="C4" s="50"/>
      <c r="D4" s="51"/>
      <c r="E4" s="51"/>
      <c r="F4" s="51"/>
      <c r="G4" s="51"/>
      <c r="H4" s="51"/>
      <c r="I4" s="51"/>
      <c r="J4" s="51"/>
      <c r="K4" s="51"/>
      <c r="L4" s="51"/>
      <c r="M4" s="51"/>
      <c r="N4" s="51"/>
      <c r="O4" s="51"/>
      <c r="P4" s="51"/>
      <c r="Q4" s="51"/>
      <c r="R4" s="52"/>
      <c r="S4" s="53"/>
      <c r="T4" s="54"/>
      <c r="U4" s="52"/>
      <c r="V4" s="55"/>
      <c r="W4" s="55"/>
      <c r="X4" s="52"/>
      <c r="Y4" s="56"/>
      <c r="Z4" s="56"/>
      <c r="AA4" s="55"/>
      <c r="AB4" s="55"/>
      <c r="AC4" s="55"/>
      <c r="AD4" s="55"/>
      <c r="AE4" s="55"/>
      <c r="AF4" s="55"/>
    </row>
    <row r="5" spans="1:32" s="57" customFormat="1" ht="15.75" hidden="1" customHeight="1">
      <c r="A5" s="17"/>
      <c r="B5" s="2"/>
      <c r="C5" s="51"/>
      <c r="D5" s="51"/>
      <c r="E5" s="51"/>
      <c r="F5" s="51"/>
      <c r="G5" s="51"/>
      <c r="H5" s="51"/>
      <c r="I5" s="51"/>
      <c r="J5" s="51"/>
      <c r="K5" s="51"/>
      <c r="L5" s="51"/>
      <c r="M5" s="51"/>
      <c r="N5" s="51"/>
      <c r="O5" s="51"/>
      <c r="P5" s="51"/>
      <c r="Q5" s="51"/>
      <c r="R5" s="52"/>
      <c r="S5" s="53"/>
      <c r="T5" s="54"/>
      <c r="U5" s="52"/>
      <c r="V5" s="55"/>
      <c r="W5" s="55"/>
      <c r="X5" s="52"/>
      <c r="Y5" s="52"/>
      <c r="Z5" s="56"/>
      <c r="AA5" s="55"/>
      <c r="AB5" s="55"/>
      <c r="AC5" s="55"/>
      <c r="AD5" s="55"/>
      <c r="AE5" s="55"/>
      <c r="AF5" s="55"/>
    </row>
    <row r="6" spans="1:32" s="57" customFormat="1" ht="15.75" hidden="1" customHeight="1">
      <c r="A6" s="17"/>
      <c r="B6" s="2"/>
      <c r="C6" s="51"/>
      <c r="D6" s="51"/>
      <c r="E6" s="51"/>
      <c r="F6" s="51"/>
      <c r="G6" s="51"/>
      <c r="H6" s="51"/>
      <c r="I6" s="51"/>
      <c r="J6" s="51"/>
      <c r="K6" s="51"/>
      <c r="L6" s="51"/>
      <c r="M6" s="51"/>
      <c r="N6" s="51"/>
      <c r="O6" s="51"/>
      <c r="P6" s="51"/>
      <c r="Q6" s="51"/>
      <c r="R6" s="52"/>
      <c r="S6" s="53"/>
      <c r="T6" s="54"/>
      <c r="U6" s="52"/>
      <c r="V6" s="55"/>
      <c r="W6" s="55"/>
      <c r="X6" s="52"/>
      <c r="Y6" s="52"/>
      <c r="Z6" s="56"/>
      <c r="AA6" s="55"/>
      <c r="AB6" s="55"/>
      <c r="AC6" s="55"/>
      <c r="AD6" s="55"/>
      <c r="AE6" s="55"/>
      <c r="AF6" s="55"/>
    </row>
    <row r="7" spans="1:32" s="57" customFormat="1" ht="15.75" hidden="1" customHeight="1">
      <c r="A7" s="17"/>
      <c r="B7" s="2"/>
      <c r="C7" s="51"/>
      <c r="D7" s="51"/>
      <c r="E7" s="51"/>
      <c r="F7" s="51"/>
      <c r="G7" s="51"/>
      <c r="H7" s="51"/>
      <c r="I7" s="51"/>
      <c r="J7" s="51"/>
      <c r="K7" s="51"/>
      <c r="L7" s="51"/>
      <c r="M7" s="51"/>
      <c r="N7" s="51"/>
      <c r="O7" s="51"/>
      <c r="P7" s="51"/>
      <c r="Q7" s="51"/>
      <c r="R7" s="52"/>
      <c r="S7" s="53"/>
      <c r="T7" s="54"/>
      <c r="U7" s="52"/>
      <c r="V7" s="55"/>
      <c r="W7" s="55"/>
      <c r="X7" s="52"/>
      <c r="Y7" s="52"/>
      <c r="Z7" s="56"/>
      <c r="AA7" s="55"/>
      <c r="AB7" s="55"/>
      <c r="AC7" s="55"/>
      <c r="AD7" s="55"/>
      <c r="AE7" s="55"/>
      <c r="AF7" s="55"/>
    </row>
    <row r="8" spans="1:32" s="57" customFormat="1" ht="15.75" hidden="1" customHeight="1">
      <c r="A8" s="17"/>
      <c r="B8" s="2"/>
      <c r="C8" s="51"/>
      <c r="D8" s="51"/>
      <c r="E8" s="51"/>
      <c r="F8" s="51"/>
      <c r="G8" s="51"/>
      <c r="H8" s="51"/>
      <c r="I8" s="51"/>
      <c r="J8" s="51"/>
      <c r="K8" s="51"/>
      <c r="L8" s="51"/>
      <c r="M8" s="51"/>
      <c r="N8" s="51"/>
      <c r="O8" s="51"/>
      <c r="P8" s="51"/>
      <c r="Q8" s="51"/>
      <c r="R8" s="52"/>
      <c r="S8" s="53"/>
      <c r="T8" s="54"/>
      <c r="U8" s="52"/>
      <c r="V8" s="55"/>
      <c r="W8" s="55"/>
      <c r="X8" s="52"/>
      <c r="Y8" s="52"/>
      <c r="Z8" s="56"/>
      <c r="AA8" s="55"/>
      <c r="AB8" s="55"/>
      <c r="AC8" s="55"/>
      <c r="AD8" s="55"/>
      <c r="AE8" s="55"/>
      <c r="AF8" s="55"/>
    </row>
    <row r="9" spans="1:32" s="57" customFormat="1" ht="15.75" hidden="1" customHeight="1">
      <c r="A9" s="17"/>
      <c r="B9" s="2"/>
      <c r="C9" s="51"/>
      <c r="D9" s="51"/>
      <c r="E9" s="51"/>
      <c r="F9" s="51"/>
      <c r="G9" s="51"/>
      <c r="H9" s="51"/>
      <c r="I9" s="51"/>
      <c r="J9" s="51"/>
      <c r="K9" s="51"/>
      <c r="L9" s="51"/>
      <c r="M9" s="51"/>
      <c r="N9" s="51"/>
      <c r="O9" s="51"/>
      <c r="P9" s="51"/>
      <c r="Q9" s="51"/>
      <c r="R9" s="52"/>
      <c r="S9" s="53"/>
      <c r="T9" s="54"/>
      <c r="U9" s="52"/>
      <c r="V9" s="55"/>
      <c r="W9" s="55"/>
      <c r="X9" s="52"/>
      <c r="Y9" s="52"/>
      <c r="Z9" s="56"/>
      <c r="AA9" s="55"/>
      <c r="AB9" s="55"/>
      <c r="AC9" s="55"/>
      <c r="AD9" s="55"/>
      <c r="AE9" s="55"/>
      <c r="AF9" s="55"/>
    </row>
    <row r="10" spans="1:32" s="57" customFormat="1" ht="15.75" hidden="1" customHeight="1">
      <c r="A10" s="17"/>
      <c r="B10" s="2"/>
      <c r="C10" s="51"/>
      <c r="D10" s="51"/>
      <c r="E10" s="51"/>
      <c r="F10" s="51"/>
      <c r="G10" s="51"/>
      <c r="H10" s="51"/>
      <c r="I10" s="51"/>
      <c r="J10" s="51"/>
      <c r="K10" s="51"/>
      <c r="L10" s="51"/>
      <c r="M10" s="51"/>
      <c r="N10" s="51"/>
      <c r="O10" s="51"/>
      <c r="P10" s="51"/>
      <c r="Q10" s="51"/>
      <c r="R10" s="52"/>
      <c r="S10" s="53"/>
      <c r="T10" s="54"/>
      <c r="U10" s="52"/>
      <c r="V10" s="55"/>
      <c r="W10" s="55"/>
      <c r="X10" s="52"/>
      <c r="Y10" s="52"/>
      <c r="Z10" s="56"/>
      <c r="AA10" s="55"/>
      <c r="AB10" s="55"/>
      <c r="AC10" s="55"/>
      <c r="AD10" s="55"/>
      <c r="AE10" s="55"/>
      <c r="AF10" s="55"/>
    </row>
    <row r="11" spans="1:32" s="57" customFormat="1" ht="15.75" hidden="1" customHeight="1">
      <c r="A11" s="17"/>
      <c r="B11" s="17"/>
      <c r="C11" s="51"/>
      <c r="D11" s="51"/>
      <c r="E11" s="51"/>
      <c r="F11" s="51"/>
      <c r="G11" s="51"/>
      <c r="H11" s="51"/>
      <c r="I11" s="51"/>
      <c r="J11" s="51"/>
      <c r="K11" s="51"/>
      <c r="L11" s="51"/>
      <c r="M11" s="51"/>
      <c r="N11" s="51"/>
      <c r="O11" s="51"/>
      <c r="P11" s="51"/>
      <c r="Q11" s="51"/>
      <c r="R11" s="52"/>
      <c r="S11" s="53"/>
      <c r="T11" s="54"/>
      <c r="U11" s="52"/>
      <c r="V11" s="55"/>
      <c r="W11" s="55"/>
      <c r="X11" s="52"/>
      <c r="Y11" s="52"/>
      <c r="Z11" s="56"/>
      <c r="AA11" s="55"/>
      <c r="AB11" s="55"/>
      <c r="AC11" s="55"/>
      <c r="AD11" s="55"/>
      <c r="AE11" s="55"/>
      <c r="AF11" s="55"/>
    </row>
    <row r="12" spans="1:32" s="57" customFormat="1" ht="15.75" hidden="1" customHeight="1">
      <c r="A12" s="17"/>
      <c r="B12" s="2"/>
      <c r="C12" s="51"/>
      <c r="D12" s="51"/>
      <c r="E12" s="51"/>
      <c r="F12" s="51"/>
      <c r="G12" s="51"/>
      <c r="H12" s="51"/>
      <c r="I12" s="51"/>
      <c r="J12" s="51"/>
      <c r="K12" s="51"/>
      <c r="L12" s="51"/>
      <c r="M12" s="51"/>
      <c r="N12" s="51"/>
      <c r="O12" s="51"/>
      <c r="P12" s="51"/>
      <c r="Q12" s="51"/>
      <c r="R12" s="52"/>
      <c r="S12" s="53"/>
      <c r="T12" s="54"/>
      <c r="U12" s="52"/>
      <c r="V12" s="55"/>
      <c r="W12" s="55"/>
      <c r="X12" s="52"/>
      <c r="Y12" s="52"/>
      <c r="Z12" s="56"/>
      <c r="AA12" s="55"/>
      <c r="AB12" s="55"/>
      <c r="AC12" s="55"/>
      <c r="AD12" s="55"/>
      <c r="AE12" s="55"/>
      <c r="AF12" s="55"/>
    </row>
    <row r="13" spans="1:32" s="57" customFormat="1" ht="15.75" hidden="1" customHeight="1">
      <c r="A13" s="17"/>
      <c r="B13" s="2"/>
      <c r="C13" s="51"/>
      <c r="D13" s="51"/>
      <c r="E13" s="51"/>
      <c r="F13" s="51"/>
      <c r="G13" s="51"/>
      <c r="H13" s="51"/>
      <c r="I13" s="51"/>
      <c r="J13" s="51"/>
      <c r="K13" s="51"/>
      <c r="L13" s="51"/>
      <c r="M13" s="51"/>
      <c r="N13" s="51"/>
      <c r="O13" s="51"/>
      <c r="P13" s="51"/>
      <c r="Q13" s="51"/>
      <c r="R13" s="52"/>
      <c r="S13" s="53"/>
      <c r="T13" s="54"/>
      <c r="U13" s="52"/>
      <c r="V13" s="55"/>
      <c r="W13" s="55"/>
      <c r="X13" s="52"/>
      <c r="Y13" s="52"/>
      <c r="Z13" s="56"/>
      <c r="AA13" s="55"/>
      <c r="AB13" s="55"/>
      <c r="AC13" s="55"/>
      <c r="AD13" s="55"/>
      <c r="AE13" s="55"/>
      <c r="AF13" s="55"/>
    </row>
    <row r="14" spans="1:32" s="57" customFormat="1" ht="15.75" hidden="1" customHeight="1">
      <c r="A14" s="17"/>
      <c r="B14" s="2"/>
      <c r="C14" s="51"/>
      <c r="D14" s="51"/>
      <c r="E14" s="51"/>
      <c r="F14" s="51"/>
      <c r="G14" s="51"/>
      <c r="H14" s="51"/>
      <c r="I14" s="51"/>
      <c r="J14" s="51"/>
      <c r="K14" s="51"/>
      <c r="L14" s="51"/>
      <c r="M14" s="51"/>
      <c r="N14" s="51"/>
      <c r="O14" s="51"/>
      <c r="P14" s="51"/>
      <c r="Q14" s="51"/>
      <c r="R14" s="52"/>
      <c r="S14" s="53"/>
      <c r="T14" s="54"/>
      <c r="U14" s="52"/>
      <c r="V14" s="55"/>
      <c r="W14" s="55"/>
      <c r="X14" s="52"/>
      <c r="Y14" s="52"/>
      <c r="Z14" s="56"/>
      <c r="AA14" s="55"/>
      <c r="AB14" s="55"/>
      <c r="AC14" s="55"/>
      <c r="AD14" s="55"/>
      <c r="AE14" s="55"/>
      <c r="AF14" s="55"/>
    </row>
    <row r="15" spans="1:32" s="57" customFormat="1" ht="15.75" hidden="1" customHeight="1">
      <c r="A15" s="17"/>
      <c r="B15" s="2"/>
      <c r="C15" s="51"/>
      <c r="D15" s="51"/>
      <c r="E15" s="51"/>
      <c r="F15" s="51"/>
      <c r="G15" s="51"/>
      <c r="H15" s="51"/>
      <c r="I15" s="51"/>
      <c r="J15" s="51"/>
      <c r="K15" s="51"/>
      <c r="L15" s="51"/>
      <c r="M15" s="51"/>
      <c r="N15" s="51"/>
      <c r="O15" s="51"/>
      <c r="P15" s="51"/>
      <c r="Q15" s="51"/>
      <c r="R15" s="52"/>
      <c r="S15" s="53"/>
      <c r="T15" s="54"/>
      <c r="U15" s="52"/>
      <c r="V15" s="55"/>
      <c r="W15" s="55"/>
      <c r="X15" s="52"/>
      <c r="Y15" s="52"/>
      <c r="Z15" s="56"/>
      <c r="AA15" s="55"/>
      <c r="AB15" s="55"/>
      <c r="AC15" s="55"/>
      <c r="AD15" s="55"/>
      <c r="AE15" s="55"/>
      <c r="AF15" s="55"/>
    </row>
    <row r="16" spans="1:32" s="57" customFormat="1" ht="15.75" hidden="1" customHeight="1">
      <c r="A16" s="17"/>
      <c r="B16" s="2"/>
      <c r="C16" s="51"/>
      <c r="D16" s="51"/>
      <c r="E16" s="51"/>
      <c r="F16" s="51"/>
      <c r="G16" s="51"/>
      <c r="H16" s="51"/>
      <c r="I16" s="51"/>
      <c r="J16" s="51"/>
      <c r="K16" s="51"/>
      <c r="L16" s="51"/>
      <c r="M16" s="51"/>
      <c r="N16" s="51"/>
      <c r="O16" s="51"/>
      <c r="P16" s="51"/>
      <c r="Q16" s="51"/>
      <c r="R16" s="52"/>
      <c r="S16" s="53"/>
      <c r="T16" s="54"/>
      <c r="U16" s="52"/>
      <c r="V16" s="55"/>
      <c r="W16" s="55"/>
      <c r="X16" s="52"/>
      <c r="Y16" s="52"/>
      <c r="Z16" s="56"/>
      <c r="AA16" s="55"/>
      <c r="AB16" s="55"/>
      <c r="AC16" s="55"/>
      <c r="AD16" s="55"/>
      <c r="AE16" s="55"/>
      <c r="AF16" s="55"/>
    </row>
    <row r="17" spans="1:32" s="57" customFormat="1" ht="15.75" hidden="1" customHeight="1">
      <c r="A17" s="17"/>
      <c r="B17" s="2"/>
      <c r="C17" s="51"/>
      <c r="D17" s="51"/>
      <c r="E17" s="51"/>
      <c r="F17" s="51"/>
      <c r="G17" s="51"/>
      <c r="H17" s="51"/>
      <c r="I17" s="51"/>
      <c r="J17" s="51"/>
      <c r="K17" s="51"/>
      <c r="L17" s="51"/>
      <c r="M17" s="51"/>
      <c r="N17" s="51"/>
      <c r="O17" s="51"/>
      <c r="P17" s="51"/>
      <c r="Q17" s="51"/>
      <c r="R17" s="52"/>
      <c r="S17" s="53"/>
      <c r="T17" s="54"/>
      <c r="U17" s="52"/>
      <c r="V17" s="55"/>
      <c r="W17" s="55"/>
      <c r="X17" s="52"/>
      <c r="Y17" s="52"/>
      <c r="Z17" s="56"/>
      <c r="AA17" s="55"/>
      <c r="AB17" s="55"/>
      <c r="AC17" s="55"/>
      <c r="AD17" s="55"/>
      <c r="AE17" s="55"/>
      <c r="AF17" s="55"/>
    </row>
    <row r="18" spans="1:32" s="57" customFormat="1" ht="15.75" hidden="1" customHeight="1">
      <c r="A18" s="2"/>
      <c r="B18" s="2"/>
      <c r="C18" s="51"/>
      <c r="D18" s="51"/>
      <c r="E18" s="51"/>
      <c r="F18" s="51"/>
      <c r="G18" s="51"/>
      <c r="H18" s="51"/>
      <c r="I18" s="51"/>
      <c r="J18" s="51"/>
      <c r="K18" s="51"/>
      <c r="L18" s="51"/>
      <c r="M18" s="51"/>
      <c r="N18" s="51"/>
      <c r="O18" s="51"/>
      <c r="P18" s="51"/>
      <c r="Q18" s="51"/>
      <c r="R18" s="55"/>
      <c r="S18" s="53"/>
      <c r="T18" s="54"/>
      <c r="U18" s="55"/>
      <c r="V18" s="55"/>
      <c r="W18" s="55"/>
      <c r="X18" s="55"/>
      <c r="Y18" s="55"/>
      <c r="Z18" s="56"/>
      <c r="AA18" s="55"/>
      <c r="AB18" s="58"/>
      <c r="AC18" s="55"/>
      <c r="AD18" s="55"/>
      <c r="AE18" s="55"/>
      <c r="AF18" s="55"/>
    </row>
    <row r="19" spans="1:32" s="57" customFormat="1" ht="15.75" hidden="1" customHeight="1">
      <c r="A19" s="17"/>
      <c r="B19" s="2"/>
      <c r="C19" s="51"/>
      <c r="D19" s="51"/>
      <c r="E19" s="51"/>
      <c r="F19" s="51"/>
      <c r="G19" s="51"/>
      <c r="H19" s="51"/>
      <c r="I19" s="51"/>
      <c r="J19" s="51"/>
      <c r="K19" s="51"/>
      <c r="L19" s="51"/>
      <c r="M19" s="51"/>
      <c r="N19" s="51"/>
      <c r="O19" s="51"/>
      <c r="P19" s="51"/>
      <c r="Q19" s="51"/>
      <c r="R19" s="52"/>
      <c r="S19" s="53"/>
      <c r="T19" s="54"/>
      <c r="U19" s="55"/>
      <c r="V19" s="55"/>
      <c r="W19" s="55"/>
      <c r="X19" s="52"/>
      <c r="Y19" s="52"/>
      <c r="Z19" s="56"/>
      <c r="AA19" s="55"/>
      <c r="AB19" s="55"/>
      <c r="AC19" s="55"/>
      <c r="AD19" s="55"/>
      <c r="AE19" s="55"/>
      <c r="AF19" s="55"/>
    </row>
    <row r="20" spans="1:32" s="57" customFormat="1" ht="15.75" hidden="1" customHeight="1">
      <c r="A20" s="17"/>
      <c r="B20" s="2"/>
      <c r="C20" s="51"/>
      <c r="D20" s="51"/>
      <c r="E20" s="51"/>
      <c r="F20" s="51"/>
      <c r="G20" s="51"/>
      <c r="H20" s="51"/>
      <c r="I20" s="51"/>
      <c r="J20" s="51"/>
      <c r="K20" s="51"/>
      <c r="L20" s="51"/>
      <c r="M20" s="51"/>
      <c r="N20" s="51"/>
      <c r="O20" s="51"/>
      <c r="P20" s="51"/>
      <c r="Q20" s="51"/>
      <c r="R20" s="52"/>
      <c r="S20" s="53"/>
      <c r="T20" s="54"/>
      <c r="U20" s="52"/>
      <c r="V20" s="55"/>
      <c r="W20" s="55"/>
      <c r="X20" s="52"/>
      <c r="Y20" s="52"/>
      <c r="Z20" s="56"/>
      <c r="AA20" s="55"/>
      <c r="AB20" s="55"/>
      <c r="AC20" s="55"/>
      <c r="AD20" s="55"/>
      <c r="AE20" s="55"/>
      <c r="AF20" s="55"/>
    </row>
    <row r="21" spans="1:32" s="57" customFormat="1" ht="15.75" hidden="1" customHeight="1">
      <c r="A21" s="17"/>
      <c r="B21" s="2"/>
      <c r="C21" s="51"/>
      <c r="D21" s="51"/>
      <c r="E21" s="51"/>
      <c r="F21" s="51"/>
      <c r="G21" s="51"/>
      <c r="H21" s="51"/>
      <c r="I21" s="51"/>
      <c r="J21" s="51"/>
      <c r="K21" s="51"/>
      <c r="L21" s="51"/>
      <c r="M21" s="51"/>
      <c r="N21" s="51"/>
      <c r="O21" s="51"/>
      <c r="P21" s="51"/>
      <c r="Q21" s="51"/>
      <c r="R21" s="52"/>
      <c r="S21" s="53"/>
      <c r="T21" s="54"/>
      <c r="U21" s="52"/>
      <c r="V21" s="55"/>
      <c r="W21" s="55"/>
      <c r="X21" s="52"/>
      <c r="Y21" s="52"/>
      <c r="Z21" s="56"/>
      <c r="AA21" s="55"/>
      <c r="AB21" s="55"/>
      <c r="AC21" s="55"/>
      <c r="AD21" s="55"/>
      <c r="AE21" s="55"/>
      <c r="AF21" s="55"/>
    </row>
    <row r="22" spans="1:32" s="57" customFormat="1" ht="15.75" hidden="1" customHeight="1">
      <c r="A22" s="17"/>
      <c r="B22" s="2"/>
      <c r="C22" s="51"/>
      <c r="D22" s="51"/>
      <c r="E22" s="51"/>
      <c r="F22" s="51"/>
      <c r="G22" s="51"/>
      <c r="H22" s="51"/>
      <c r="I22" s="51"/>
      <c r="J22" s="51"/>
      <c r="K22" s="51"/>
      <c r="L22" s="51"/>
      <c r="M22" s="51"/>
      <c r="N22" s="51"/>
      <c r="O22" s="51"/>
      <c r="P22" s="51"/>
      <c r="Q22" s="51"/>
      <c r="R22" s="52"/>
      <c r="S22" s="53"/>
      <c r="T22" s="54"/>
      <c r="U22" s="52"/>
      <c r="V22" s="55"/>
      <c r="W22" s="55"/>
      <c r="X22" s="52"/>
      <c r="Y22" s="52"/>
      <c r="Z22" s="56"/>
      <c r="AA22" s="55"/>
      <c r="AB22" s="55"/>
      <c r="AC22" s="55"/>
      <c r="AD22" s="55"/>
      <c r="AE22" s="55"/>
      <c r="AF22" s="55"/>
    </row>
    <row r="23" spans="1:32" s="57" customFormat="1" ht="15.75" hidden="1" customHeight="1">
      <c r="A23" s="17"/>
      <c r="B23" s="2"/>
      <c r="C23" s="51"/>
      <c r="D23" s="51"/>
      <c r="E23" s="51"/>
      <c r="F23" s="51"/>
      <c r="G23" s="51"/>
      <c r="H23" s="51"/>
      <c r="I23" s="51"/>
      <c r="J23" s="51"/>
      <c r="K23" s="51"/>
      <c r="L23" s="51"/>
      <c r="M23" s="51"/>
      <c r="N23" s="51"/>
      <c r="O23" s="51"/>
      <c r="P23" s="51"/>
      <c r="Q23" s="51"/>
      <c r="R23" s="52"/>
      <c r="S23" s="53"/>
      <c r="T23" s="54"/>
      <c r="U23" s="52"/>
      <c r="V23" s="55"/>
      <c r="W23" s="55"/>
      <c r="X23" s="52"/>
      <c r="Y23" s="52"/>
      <c r="Z23" s="56"/>
      <c r="AA23" s="55"/>
      <c r="AB23" s="55"/>
      <c r="AC23" s="55"/>
      <c r="AD23" s="55"/>
      <c r="AE23" s="55"/>
      <c r="AF23" s="55"/>
    </row>
    <row r="24" spans="1:32" s="57" customFormat="1" ht="15.75" hidden="1" customHeight="1">
      <c r="A24" s="17"/>
      <c r="B24" s="2"/>
      <c r="C24" s="51"/>
      <c r="D24" s="51"/>
      <c r="E24" s="51"/>
      <c r="F24" s="51"/>
      <c r="G24" s="51"/>
      <c r="H24" s="51"/>
      <c r="I24" s="51"/>
      <c r="J24" s="51"/>
      <c r="K24" s="51"/>
      <c r="L24" s="51"/>
      <c r="M24" s="51"/>
      <c r="N24" s="51"/>
      <c r="O24" s="51"/>
      <c r="P24" s="51"/>
      <c r="Q24" s="51"/>
      <c r="R24" s="52"/>
      <c r="S24" s="53"/>
      <c r="T24" s="54"/>
      <c r="U24" s="52"/>
      <c r="V24" s="55"/>
      <c r="W24" s="55"/>
      <c r="X24" s="52"/>
      <c r="Y24" s="52"/>
      <c r="Z24" s="56"/>
      <c r="AA24" s="55"/>
      <c r="AB24" s="55"/>
      <c r="AC24" s="55"/>
      <c r="AD24" s="55"/>
      <c r="AE24" s="55"/>
      <c r="AF24" s="55"/>
    </row>
    <row r="25" spans="1:32" s="57" customFormat="1" ht="15.75" hidden="1" customHeight="1">
      <c r="A25" s="17"/>
      <c r="B25" s="2"/>
      <c r="C25" s="51"/>
      <c r="D25" s="51"/>
      <c r="E25" s="51"/>
      <c r="F25" s="51"/>
      <c r="G25" s="51"/>
      <c r="H25" s="51"/>
      <c r="I25" s="51"/>
      <c r="J25" s="51"/>
      <c r="K25" s="51"/>
      <c r="L25" s="51"/>
      <c r="M25" s="51"/>
      <c r="N25" s="51"/>
      <c r="O25" s="51"/>
      <c r="P25" s="51"/>
      <c r="Q25" s="51"/>
      <c r="R25" s="52"/>
      <c r="S25" s="53"/>
      <c r="T25" s="54"/>
      <c r="U25" s="52"/>
      <c r="V25" s="55"/>
      <c r="W25" s="55"/>
      <c r="X25" s="52"/>
      <c r="Y25" s="52"/>
      <c r="Z25" s="56"/>
      <c r="AA25" s="55"/>
      <c r="AB25" s="55"/>
      <c r="AC25" s="55"/>
      <c r="AD25" s="55"/>
      <c r="AE25" s="55"/>
      <c r="AF25" s="55"/>
    </row>
    <row r="26" spans="1:32" s="57" customFormat="1" ht="15.75" hidden="1" customHeight="1">
      <c r="A26" s="17"/>
      <c r="B26" s="2"/>
      <c r="C26" s="51"/>
      <c r="D26" s="51"/>
      <c r="E26" s="51"/>
      <c r="F26" s="51"/>
      <c r="G26" s="51"/>
      <c r="H26" s="51"/>
      <c r="I26" s="51"/>
      <c r="J26" s="51"/>
      <c r="K26" s="51"/>
      <c r="L26" s="51"/>
      <c r="M26" s="51"/>
      <c r="N26" s="51"/>
      <c r="O26" s="51"/>
      <c r="P26" s="51"/>
      <c r="Q26" s="51"/>
      <c r="R26" s="52"/>
      <c r="S26" s="53"/>
      <c r="T26" s="54"/>
      <c r="U26" s="52"/>
      <c r="V26" s="55"/>
      <c r="W26" s="55"/>
      <c r="X26" s="52"/>
      <c r="Y26" s="52"/>
      <c r="Z26" s="56"/>
      <c r="AA26" s="55"/>
      <c r="AB26" s="55"/>
      <c r="AC26" s="55"/>
      <c r="AD26" s="55"/>
      <c r="AE26" s="55"/>
      <c r="AF26" s="55"/>
    </row>
    <row r="27" spans="1:32" s="57" customFormat="1" ht="15.75" hidden="1" customHeight="1">
      <c r="A27" s="17"/>
      <c r="B27" s="2"/>
      <c r="C27" s="51"/>
      <c r="D27" s="51"/>
      <c r="E27" s="51"/>
      <c r="F27" s="51"/>
      <c r="G27" s="51"/>
      <c r="H27" s="51"/>
      <c r="I27" s="51"/>
      <c r="J27" s="51"/>
      <c r="K27" s="51"/>
      <c r="L27" s="51"/>
      <c r="M27" s="51"/>
      <c r="N27" s="51"/>
      <c r="O27" s="51"/>
      <c r="P27" s="51"/>
      <c r="Q27" s="51"/>
      <c r="R27" s="52"/>
      <c r="S27" s="53"/>
      <c r="T27" s="54"/>
      <c r="U27" s="52"/>
      <c r="V27" s="55"/>
      <c r="W27" s="55"/>
      <c r="X27" s="52"/>
      <c r="Y27" s="52"/>
      <c r="Z27" s="56"/>
      <c r="AA27" s="55"/>
      <c r="AB27" s="55"/>
      <c r="AC27" s="55"/>
      <c r="AD27" s="55"/>
      <c r="AE27" s="55"/>
      <c r="AF27" s="55"/>
    </row>
    <row r="28" spans="1:32" s="57" customFormat="1" ht="15.75" hidden="1" customHeight="1">
      <c r="A28" s="17"/>
      <c r="B28" s="2"/>
      <c r="C28" s="51"/>
      <c r="D28" s="51"/>
      <c r="E28" s="51"/>
      <c r="F28" s="51"/>
      <c r="G28" s="51"/>
      <c r="H28" s="51"/>
      <c r="I28" s="51"/>
      <c r="J28" s="51"/>
      <c r="K28" s="51"/>
      <c r="L28" s="51"/>
      <c r="M28" s="51"/>
      <c r="N28" s="51"/>
      <c r="O28" s="51"/>
      <c r="P28" s="51"/>
      <c r="Q28" s="51"/>
      <c r="R28" s="52"/>
      <c r="S28" s="53"/>
      <c r="T28" s="54"/>
      <c r="U28" s="52"/>
      <c r="V28" s="55"/>
      <c r="W28" s="55"/>
      <c r="X28" s="52"/>
      <c r="Y28" s="52"/>
      <c r="Z28" s="56"/>
      <c r="AA28" s="55"/>
      <c r="AB28" s="55"/>
      <c r="AC28" s="55"/>
      <c r="AD28" s="55"/>
      <c r="AE28" s="55"/>
      <c r="AF28" s="55"/>
    </row>
    <row r="29" spans="1:32" s="57" customFormat="1" ht="15.75" hidden="1" customHeight="1">
      <c r="A29" s="17"/>
      <c r="B29" s="2"/>
      <c r="C29" s="51"/>
      <c r="D29" s="51"/>
      <c r="E29" s="51"/>
      <c r="F29" s="51"/>
      <c r="G29" s="51"/>
      <c r="H29" s="51"/>
      <c r="I29" s="51"/>
      <c r="J29" s="51"/>
      <c r="K29" s="51"/>
      <c r="L29" s="51"/>
      <c r="M29" s="51"/>
      <c r="N29" s="51"/>
      <c r="O29" s="51"/>
      <c r="P29" s="51"/>
      <c r="Q29" s="51"/>
      <c r="R29" s="52"/>
      <c r="S29" s="53"/>
      <c r="T29" s="54"/>
      <c r="U29" s="52"/>
      <c r="V29" s="55"/>
      <c r="W29" s="55"/>
      <c r="X29" s="52"/>
      <c r="Y29" s="52"/>
      <c r="Z29" s="56"/>
      <c r="AA29" s="55"/>
      <c r="AB29" s="55"/>
      <c r="AC29" s="55"/>
      <c r="AD29" s="55"/>
      <c r="AE29" s="55"/>
      <c r="AF29" s="55"/>
    </row>
    <row r="30" spans="1:32" s="57" customFormat="1" ht="15.75" hidden="1" customHeight="1">
      <c r="A30" s="17"/>
      <c r="B30" s="2"/>
      <c r="C30" s="51"/>
      <c r="D30" s="51"/>
      <c r="E30" s="51"/>
      <c r="F30" s="51"/>
      <c r="G30" s="51"/>
      <c r="H30" s="51"/>
      <c r="I30" s="51"/>
      <c r="J30" s="51"/>
      <c r="K30" s="51"/>
      <c r="L30" s="51"/>
      <c r="M30" s="51"/>
      <c r="N30" s="51"/>
      <c r="O30" s="51"/>
      <c r="P30" s="51"/>
      <c r="Q30" s="51"/>
      <c r="R30" s="52"/>
      <c r="S30" s="53"/>
      <c r="T30" s="54"/>
      <c r="U30" s="52"/>
      <c r="V30" s="55"/>
      <c r="W30" s="55"/>
      <c r="X30" s="52"/>
      <c r="Y30" s="52"/>
      <c r="Z30" s="56"/>
      <c r="AA30" s="55"/>
      <c r="AB30" s="55"/>
      <c r="AC30" s="55"/>
      <c r="AD30" s="55"/>
      <c r="AE30" s="55"/>
      <c r="AF30" s="55"/>
    </row>
    <row r="31" spans="1:32" s="57" customFormat="1" ht="15.75" hidden="1" customHeight="1">
      <c r="A31" s="17"/>
      <c r="B31" s="2"/>
      <c r="C31" s="51"/>
      <c r="D31" s="51"/>
      <c r="E31" s="51"/>
      <c r="F31" s="51"/>
      <c r="G31" s="51"/>
      <c r="H31" s="51"/>
      <c r="I31" s="51"/>
      <c r="J31" s="51"/>
      <c r="K31" s="51"/>
      <c r="L31" s="51"/>
      <c r="M31" s="51"/>
      <c r="N31" s="51"/>
      <c r="O31" s="51"/>
      <c r="P31" s="51"/>
      <c r="Q31" s="51"/>
      <c r="R31" s="52"/>
      <c r="S31" s="53"/>
      <c r="T31" s="54"/>
      <c r="U31" s="52"/>
      <c r="V31" s="55"/>
      <c r="W31" s="55"/>
      <c r="X31" s="52"/>
      <c r="Y31" s="52"/>
      <c r="Z31" s="56"/>
      <c r="AA31" s="55"/>
      <c r="AB31" s="55"/>
      <c r="AC31" s="55"/>
      <c r="AD31" s="55"/>
      <c r="AE31" s="55"/>
      <c r="AF31" s="55"/>
    </row>
    <row r="32" spans="1:32" s="57" customFormat="1" ht="15.75" hidden="1" customHeight="1">
      <c r="A32" s="17"/>
      <c r="B32" s="2"/>
      <c r="C32" s="51"/>
      <c r="D32" s="51"/>
      <c r="E32" s="51"/>
      <c r="F32" s="51"/>
      <c r="G32" s="51"/>
      <c r="H32" s="51"/>
      <c r="I32" s="51"/>
      <c r="J32" s="51"/>
      <c r="K32" s="51"/>
      <c r="L32" s="51"/>
      <c r="M32" s="51"/>
      <c r="N32" s="51"/>
      <c r="O32" s="51"/>
      <c r="P32" s="51"/>
      <c r="Q32" s="51"/>
      <c r="R32" s="52"/>
      <c r="S32" s="53"/>
      <c r="T32" s="54"/>
      <c r="U32" s="52"/>
      <c r="V32" s="55"/>
      <c r="W32" s="55"/>
      <c r="X32" s="52"/>
      <c r="Y32" s="52"/>
      <c r="Z32" s="56"/>
      <c r="AA32" s="55"/>
      <c r="AB32" s="55"/>
      <c r="AC32" s="55"/>
      <c r="AD32" s="55"/>
      <c r="AE32" s="55"/>
      <c r="AF32" s="52"/>
    </row>
    <row r="33" spans="1:32" s="57" customFormat="1" ht="15.75" hidden="1" customHeight="1">
      <c r="A33" s="17"/>
      <c r="B33" s="2"/>
      <c r="C33" s="51"/>
      <c r="D33" s="51"/>
      <c r="E33" s="51"/>
      <c r="F33" s="51"/>
      <c r="G33" s="51"/>
      <c r="H33" s="51"/>
      <c r="I33" s="51"/>
      <c r="J33" s="51"/>
      <c r="K33" s="51"/>
      <c r="L33" s="51"/>
      <c r="M33" s="51"/>
      <c r="N33" s="51"/>
      <c r="O33" s="51"/>
      <c r="P33" s="51"/>
      <c r="Q33" s="51"/>
      <c r="R33" s="52"/>
      <c r="S33" s="53"/>
      <c r="T33" s="54"/>
      <c r="U33" s="52"/>
      <c r="V33" s="55"/>
      <c r="W33" s="55"/>
      <c r="X33" s="52"/>
      <c r="Y33" s="52"/>
      <c r="Z33" s="56"/>
      <c r="AA33" s="55"/>
      <c r="AB33" s="55"/>
      <c r="AC33" s="55"/>
      <c r="AD33" s="55"/>
      <c r="AE33" s="55"/>
      <c r="AF33" s="55"/>
    </row>
    <row r="34" spans="1:32" s="57" customFormat="1" ht="15.75" hidden="1" customHeight="1">
      <c r="A34" s="17"/>
      <c r="B34" s="2"/>
      <c r="C34" s="51"/>
      <c r="D34" s="51"/>
      <c r="E34" s="51"/>
      <c r="F34" s="51"/>
      <c r="G34" s="51"/>
      <c r="H34" s="51"/>
      <c r="I34" s="51"/>
      <c r="J34" s="51"/>
      <c r="K34" s="51"/>
      <c r="L34" s="51"/>
      <c r="M34" s="51"/>
      <c r="N34" s="51"/>
      <c r="O34" s="51"/>
      <c r="P34" s="51"/>
      <c r="Q34" s="51"/>
      <c r="R34" s="55"/>
      <c r="S34" s="53"/>
      <c r="T34" s="54"/>
      <c r="U34" s="52"/>
      <c r="V34" s="55"/>
      <c r="W34" s="55"/>
      <c r="X34" s="52"/>
      <c r="Y34" s="52"/>
      <c r="Z34" s="56"/>
      <c r="AA34" s="55"/>
      <c r="AB34" s="55"/>
      <c r="AC34" s="55"/>
      <c r="AD34" s="55"/>
      <c r="AE34" s="55"/>
      <c r="AF34" s="55"/>
    </row>
    <row r="35" spans="1:32" s="57" customFormat="1" ht="15.75" hidden="1" customHeight="1">
      <c r="A35" s="17"/>
      <c r="B35" s="2"/>
      <c r="C35" s="51"/>
      <c r="D35" s="51"/>
      <c r="E35" s="51"/>
      <c r="F35" s="51"/>
      <c r="G35" s="51"/>
      <c r="H35" s="51"/>
      <c r="I35" s="51"/>
      <c r="J35" s="51"/>
      <c r="K35" s="51"/>
      <c r="L35" s="51"/>
      <c r="M35" s="51"/>
      <c r="N35" s="51"/>
      <c r="O35" s="51"/>
      <c r="P35" s="51"/>
      <c r="Q35" s="51"/>
      <c r="R35" s="55"/>
      <c r="S35" s="53"/>
      <c r="T35" s="54"/>
      <c r="U35" s="52"/>
      <c r="V35" s="55"/>
      <c r="W35" s="55"/>
      <c r="X35" s="52"/>
      <c r="Y35" s="52"/>
      <c r="Z35" s="56"/>
      <c r="AA35" s="55"/>
      <c r="AB35" s="55"/>
      <c r="AC35" s="55"/>
      <c r="AD35" s="55"/>
      <c r="AE35" s="55"/>
      <c r="AF35" s="55"/>
    </row>
    <row r="36" spans="1:32" s="57" customFormat="1" ht="15.75" hidden="1" customHeight="1">
      <c r="A36" s="17"/>
      <c r="B36" s="2"/>
      <c r="C36" s="51"/>
      <c r="D36" s="51"/>
      <c r="E36" s="51"/>
      <c r="F36" s="51"/>
      <c r="G36" s="51"/>
      <c r="H36" s="51"/>
      <c r="I36" s="51"/>
      <c r="J36" s="51"/>
      <c r="K36" s="51"/>
      <c r="L36" s="51"/>
      <c r="M36" s="51"/>
      <c r="N36" s="51"/>
      <c r="O36" s="51"/>
      <c r="P36" s="51"/>
      <c r="Q36" s="51"/>
      <c r="R36" s="55"/>
      <c r="S36" s="53"/>
      <c r="T36" s="54"/>
      <c r="U36" s="55"/>
      <c r="V36" s="55"/>
      <c r="W36" s="55"/>
      <c r="X36" s="55"/>
      <c r="Y36" s="52"/>
      <c r="Z36" s="56"/>
      <c r="AA36" s="55"/>
      <c r="AB36" s="55"/>
      <c r="AC36" s="55"/>
      <c r="AD36" s="55"/>
      <c r="AE36" s="55"/>
      <c r="AF36" s="55"/>
    </row>
    <row r="37" spans="1:32" s="57" customFormat="1" ht="15.75" hidden="1" customHeight="1">
      <c r="A37" s="17"/>
      <c r="B37" s="2"/>
      <c r="C37" s="51"/>
      <c r="D37" s="51"/>
      <c r="E37" s="51"/>
      <c r="F37" s="51"/>
      <c r="G37" s="51"/>
      <c r="H37" s="51"/>
      <c r="I37" s="51"/>
      <c r="J37" s="51"/>
      <c r="K37" s="51"/>
      <c r="L37" s="51"/>
      <c r="M37" s="51"/>
      <c r="N37" s="51"/>
      <c r="O37" s="51"/>
      <c r="P37" s="51"/>
      <c r="Q37" s="51"/>
      <c r="R37" s="55"/>
      <c r="S37" s="53"/>
      <c r="T37" s="54"/>
      <c r="U37" s="52"/>
      <c r="V37" s="55"/>
      <c r="W37" s="55"/>
      <c r="X37" s="52"/>
      <c r="Y37" s="52"/>
      <c r="Z37" s="56"/>
      <c r="AA37" s="55"/>
      <c r="AB37" s="55"/>
      <c r="AC37" s="55"/>
      <c r="AD37" s="55"/>
      <c r="AE37" s="55"/>
      <c r="AF37" s="55"/>
    </row>
    <row r="38" spans="1:32" s="57" customFormat="1" ht="15.75" hidden="1" customHeight="1">
      <c r="A38" s="17"/>
      <c r="B38" s="2"/>
      <c r="C38" s="51"/>
      <c r="D38" s="51"/>
      <c r="E38" s="51"/>
      <c r="F38" s="51"/>
      <c r="G38" s="51"/>
      <c r="H38" s="51"/>
      <c r="I38" s="51"/>
      <c r="J38" s="51"/>
      <c r="K38" s="51"/>
      <c r="L38" s="51"/>
      <c r="M38" s="51"/>
      <c r="N38" s="51"/>
      <c r="O38" s="51"/>
      <c r="P38" s="51"/>
      <c r="Q38" s="51"/>
      <c r="R38" s="52"/>
      <c r="S38" s="53"/>
      <c r="T38" s="54"/>
      <c r="U38" s="52"/>
      <c r="V38" s="55"/>
      <c r="W38" s="55"/>
      <c r="X38" s="52"/>
      <c r="Y38" s="52"/>
      <c r="Z38" s="56"/>
      <c r="AA38" s="55"/>
      <c r="AB38" s="55"/>
      <c r="AC38" s="55"/>
      <c r="AD38" s="55"/>
      <c r="AE38" s="55"/>
      <c r="AF38" s="55"/>
    </row>
    <row r="39" spans="1:32" s="57" customFormat="1" ht="15.75" hidden="1" customHeight="1">
      <c r="A39" s="17"/>
      <c r="B39" s="2"/>
      <c r="C39" s="51"/>
      <c r="D39" s="51"/>
      <c r="E39" s="51"/>
      <c r="F39" s="51"/>
      <c r="G39" s="51"/>
      <c r="H39" s="51"/>
      <c r="I39" s="51"/>
      <c r="J39" s="51"/>
      <c r="K39" s="51"/>
      <c r="L39" s="51"/>
      <c r="M39" s="51"/>
      <c r="N39" s="51"/>
      <c r="O39" s="51"/>
      <c r="P39" s="51"/>
      <c r="Q39" s="51"/>
      <c r="R39" s="55"/>
      <c r="S39" s="53"/>
      <c r="T39" s="54"/>
      <c r="U39" s="52"/>
      <c r="V39" s="55"/>
      <c r="W39" s="55"/>
      <c r="X39" s="52"/>
      <c r="Y39" s="52"/>
      <c r="Z39" s="56"/>
      <c r="AA39" s="52"/>
      <c r="AB39" s="55"/>
      <c r="AC39" s="55"/>
      <c r="AD39" s="55"/>
      <c r="AE39" s="55"/>
      <c r="AF39" s="55"/>
    </row>
    <row r="40" spans="1:32" s="57" customFormat="1" ht="15.75" hidden="1" customHeight="1">
      <c r="A40" s="17"/>
      <c r="B40" s="2"/>
      <c r="C40" s="51"/>
      <c r="D40" s="51"/>
      <c r="E40" s="51"/>
      <c r="F40" s="51"/>
      <c r="G40" s="51"/>
      <c r="H40" s="51"/>
      <c r="I40" s="51"/>
      <c r="J40" s="51"/>
      <c r="K40" s="51"/>
      <c r="L40" s="51"/>
      <c r="M40" s="51"/>
      <c r="N40" s="51"/>
      <c r="O40" s="51"/>
      <c r="P40" s="51"/>
      <c r="Q40" s="51"/>
      <c r="R40" s="55"/>
      <c r="S40" s="53"/>
      <c r="T40" s="54"/>
      <c r="U40" s="52"/>
      <c r="V40" s="55"/>
      <c r="W40" s="55"/>
      <c r="X40" s="52"/>
      <c r="Y40" s="52"/>
      <c r="Z40" s="56"/>
      <c r="AA40" s="55"/>
      <c r="AB40" s="55"/>
      <c r="AC40" s="55"/>
      <c r="AD40" s="55"/>
      <c r="AE40" s="55"/>
      <c r="AF40" s="55"/>
    </row>
    <row r="41" spans="1:32" s="57" customFormat="1" ht="15.75" hidden="1" customHeight="1">
      <c r="A41" s="17"/>
      <c r="B41" s="2"/>
      <c r="C41" s="51"/>
      <c r="D41" s="51"/>
      <c r="E41" s="51"/>
      <c r="F41" s="51"/>
      <c r="G41" s="51"/>
      <c r="H41" s="51"/>
      <c r="I41" s="51"/>
      <c r="J41" s="51"/>
      <c r="K41" s="51"/>
      <c r="L41" s="51"/>
      <c r="M41" s="51"/>
      <c r="N41" s="51"/>
      <c r="O41" s="51"/>
      <c r="P41" s="51"/>
      <c r="Q41" s="51"/>
      <c r="R41" s="55"/>
      <c r="S41" s="53"/>
      <c r="T41" s="54"/>
      <c r="U41" s="52"/>
      <c r="V41" s="55"/>
      <c r="W41" s="55"/>
      <c r="X41" s="52"/>
      <c r="Y41" s="52"/>
      <c r="Z41" s="56"/>
      <c r="AA41" s="55"/>
      <c r="AB41" s="55"/>
      <c r="AC41" s="55"/>
      <c r="AD41" s="55"/>
      <c r="AE41" s="55"/>
      <c r="AF41" s="55"/>
    </row>
    <row r="42" spans="1:32" s="57" customFormat="1" ht="15.75" hidden="1" customHeight="1">
      <c r="A42" s="17"/>
      <c r="B42" s="2"/>
      <c r="C42" s="51"/>
      <c r="D42" s="51"/>
      <c r="E42" s="51"/>
      <c r="F42" s="51"/>
      <c r="G42" s="51"/>
      <c r="H42" s="51"/>
      <c r="I42" s="51"/>
      <c r="J42" s="51"/>
      <c r="K42" s="51"/>
      <c r="L42" s="51"/>
      <c r="M42" s="51"/>
      <c r="N42" s="51"/>
      <c r="O42" s="51"/>
      <c r="P42" s="51"/>
      <c r="Q42" s="51"/>
      <c r="R42" s="55"/>
      <c r="S42" s="53"/>
      <c r="T42" s="54"/>
      <c r="U42" s="52"/>
      <c r="V42" s="55"/>
      <c r="W42" s="55"/>
      <c r="X42" s="52"/>
      <c r="Y42" s="52"/>
      <c r="Z42" s="56"/>
      <c r="AA42" s="55"/>
      <c r="AB42" s="55"/>
      <c r="AC42" s="55"/>
      <c r="AD42" s="55"/>
      <c r="AE42" s="55"/>
      <c r="AF42" s="55"/>
    </row>
    <row r="43" spans="1:32" s="57" customFormat="1" ht="15.75" hidden="1" customHeight="1">
      <c r="A43" s="17"/>
      <c r="B43" s="2"/>
      <c r="C43" s="51"/>
      <c r="D43" s="51"/>
      <c r="E43" s="51"/>
      <c r="F43" s="51"/>
      <c r="G43" s="51"/>
      <c r="H43" s="51"/>
      <c r="I43" s="51"/>
      <c r="J43" s="51"/>
      <c r="K43" s="51"/>
      <c r="L43" s="51"/>
      <c r="M43" s="51"/>
      <c r="N43" s="51"/>
      <c r="O43" s="51"/>
      <c r="P43" s="51"/>
      <c r="Q43" s="51"/>
      <c r="R43" s="55"/>
      <c r="S43" s="53"/>
      <c r="T43" s="54"/>
      <c r="U43" s="52"/>
      <c r="V43" s="55"/>
      <c r="W43" s="55"/>
      <c r="X43" s="52"/>
      <c r="Y43" s="52"/>
      <c r="Z43" s="56"/>
      <c r="AA43" s="55"/>
      <c r="AB43" s="55"/>
      <c r="AC43" s="55"/>
      <c r="AD43" s="55"/>
      <c r="AE43" s="55"/>
      <c r="AF43" s="55"/>
    </row>
    <row r="44" spans="1:32" s="57" customFormat="1" ht="15.75" hidden="1" customHeight="1">
      <c r="A44" s="17"/>
      <c r="B44" s="2"/>
      <c r="C44" s="51"/>
      <c r="D44" s="51"/>
      <c r="E44" s="51"/>
      <c r="F44" s="51"/>
      <c r="G44" s="51"/>
      <c r="H44" s="51"/>
      <c r="I44" s="51"/>
      <c r="J44" s="51"/>
      <c r="K44" s="51"/>
      <c r="L44" s="51"/>
      <c r="M44" s="51"/>
      <c r="N44" s="51"/>
      <c r="O44" s="51"/>
      <c r="P44" s="51"/>
      <c r="Q44" s="51"/>
      <c r="R44" s="55"/>
      <c r="S44" s="53"/>
      <c r="T44" s="54"/>
      <c r="U44" s="52"/>
      <c r="V44" s="55"/>
      <c r="W44" s="55"/>
      <c r="X44" s="52"/>
      <c r="Y44" s="52"/>
      <c r="Z44" s="56"/>
      <c r="AA44" s="55"/>
      <c r="AB44" s="55"/>
      <c r="AC44" s="55"/>
      <c r="AD44" s="55"/>
      <c r="AE44" s="55"/>
      <c r="AF44" s="55"/>
    </row>
    <row r="45" spans="1:32" s="57" customFormat="1" ht="15.75" hidden="1" customHeight="1">
      <c r="A45" s="17"/>
      <c r="B45" s="2"/>
      <c r="C45" s="51"/>
      <c r="D45" s="51"/>
      <c r="E45" s="51"/>
      <c r="F45" s="51"/>
      <c r="G45" s="51"/>
      <c r="H45" s="51"/>
      <c r="I45" s="51"/>
      <c r="J45" s="51"/>
      <c r="K45" s="51"/>
      <c r="L45" s="51"/>
      <c r="M45" s="51"/>
      <c r="N45" s="51"/>
      <c r="O45" s="51"/>
      <c r="P45" s="51"/>
      <c r="Q45" s="51"/>
      <c r="R45" s="55"/>
      <c r="S45" s="53"/>
      <c r="T45" s="54"/>
      <c r="U45" s="52"/>
      <c r="V45" s="55"/>
      <c r="W45" s="55"/>
      <c r="X45" s="52"/>
      <c r="Y45" s="52"/>
      <c r="Z45" s="56"/>
      <c r="AA45" s="55"/>
      <c r="AB45" s="55"/>
      <c r="AC45" s="55"/>
      <c r="AD45" s="55"/>
      <c r="AE45" s="55"/>
      <c r="AF45" s="55"/>
    </row>
    <row r="46" spans="1:32" s="57" customFormat="1" ht="15.75" hidden="1" customHeight="1">
      <c r="A46" s="17"/>
      <c r="B46" s="2"/>
      <c r="C46" s="51"/>
      <c r="D46" s="51"/>
      <c r="E46" s="51"/>
      <c r="F46" s="51"/>
      <c r="G46" s="51"/>
      <c r="H46" s="51"/>
      <c r="I46" s="51"/>
      <c r="J46" s="51"/>
      <c r="K46" s="51"/>
      <c r="L46" s="51"/>
      <c r="M46" s="51"/>
      <c r="N46" s="51"/>
      <c r="O46" s="51"/>
      <c r="P46" s="51"/>
      <c r="Q46" s="51"/>
      <c r="R46" s="55"/>
      <c r="S46" s="53"/>
      <c r="T46" s="54"/>
      <c r="U46" s="52"/>
      <c r="V46" s="55"/>
      <c r="W46" s="55"/>
      <c r="X46" s="52"/>
      <c r="Y46" s="52"/>
      <c r="Z46" s="56"/>
      <c r="AA46" s="55"/>
      <c r="AB46" s="55"/>
      <c r="AC46" s="55"/>
      <c r="AD46" s="55"/>
      <c r="AE46" s="55"/>
      <c r="AF46" s="55"/>
    </row>
    <row r="47" spans="1:32" s="57" customFormat="1" ht="15.75" hidden="1" customHeight="1">
      <c r="A47" s="17"/>
      <c r="B47" s="2"/>
      <c r="C47" s="51"/>
      <c r="D47" s="51"/>
      <c r="E47" s="51"/>
      <c r="F47" s="51"/>
      <c r="G47" s="51"/>
      <c r="H47" s="51"/>
      <c r="I47" s="51"/>
      <c r="J47" s="51"/>
      <c r="K47" s="51"/>
      <c r="L47" s="51"/>
      <c r="M47" s="51"/>
      <c r="N47" s="51"/>
      <c r="O47" s="51"/>
      <c r="P47" s="51"/>
      <c r="Q47" s="51"/>
      <c r="R47" s="55"/>
      <c r="S47" s="53"/>
      <c r="T47" s="54"/>
      <c r="U47" s="52"/>
      <c r="V47" s="55"/>
      <c r="W47" s="55"/>
      <c r="X47" s="52"/>
      <c r="Y47" s="52"/>
      <c r="Z47" s="56"/>
      <c r="AA47" s="55"/>
      <c r="AB47" s="55"/>
      <c r="AC47" s="55"/>
      <c r="AD47" s="55"/>
      <c r="AE47" s="55"/>
      <c r="AF47" s="55"/>
    </row>
    <row r="48" spans="1:32" s="57" customFormat="1" ht="15.75" hidden="1" customHeight="1">
      <c r="A48" s="17"/>
      <c r="B48" s="2"/>
      <c r="C48" s="51"/>
      <c r="D48" s="51"/>
      <c r="E48" s="51"/>
      <c r="F48" s="51"/>
      <c r="G48" s="51"/>
      <c r="H48" s="51"/>
      <c r="I48" s="51"/>
      <c r="J48" s="51"/>
      <c r="K48" s="51"/>
      <c r="L48" s="51"/>
      <c r="M48" s="51"/>
      <c r="N48" s="51"/>
      <c r="O48" s="51"/>
      <c r="P48" s="51"/>
      <c r="Q48" s="51"/>
      <c r="R48" s="55"/>
      <c r="S48" s="53"/>
      <c r="T48" s="54"/>
      <c r="U48" s="52"/>
      <c r="V48" s="55"/>
      <c r="W48" s="55"/>
      <c r="X48" s="52"/>
      <c r="Y48" s="52"/>
      <c r="Z48" s="56"/>
      <c r="AA48" s="55"/>
      <c r="AB48" s="55"/>
      <c r="AC48" s="55"/>
      <c r="AD48" s="55"/>
      <c r="AE48" s="55"/>
      <c r="AF48" s="55"/>
    </row>
    <row r="49" spans="1:32" s="57" customFormat="1" ht="15.75" hidden="1" customHeight="1">
      <c r="A49" s="17"/>
      <c r="B49" s="2"/>
      <c r="C49" s="51"/>
      <c r="D49" s="51"/>
      <c r="E49" s="51"/>
      <c r="F49" s="51"/>
      <c r="G49" s="51"/>
      <c r="H49" s="51"/>
      <c r="I49" s="51"/>
      <c r="J49" s="51"/>
      <c r="K49" s="51"/>
      <c r="L49" s="51"/>
      <c r="M49" s="51"/>
      <c r="N49" s="51"/>
      <c r="O49" s="51"/>
      <c r="P49" s="51"/>
      <c r="Q49" s="51"/>
      <c r="R49" s="55"/>
      <c r="S49" s="53"/>
      <c r="T49" s="54"/>
      <c r="U49" s="52"/>
      <c r="V49" s="55"/>
      <c r="W49" s="55"/>
      <c r="X49" s="52"/>
      <c r="Y49" s="52"/>
      <c r="Z49" s="56"/>
      <c r="AA49" s="55"/>
      <c r="AB49" s="55"/>
      <c r="AC49" s="55"/>
      <c r="AD49" s="55"/>
      <c r="AE49" s="55"/>
      <c r="AF49" s="55"/>
    </row>
    <row r="50" spans="1:32" s="57" customFormat="1" ht="15.75" hidden="1" customHeight="1">
      <c r="A50" s="2"/>
      <c r="B50" s="2"/>
      <c r="C50" s="51"/>
      <c r="D50" s="51"/>
      <c r="E50" s="51"/>
      <c r="F50" s="51"/>
      <c r="G50" s="51"/>
      <c r="H50" s="51"/>
      <c r="I50" s="51"/>
      <c r="J50" s="51"/>
      <c r="K50" s="51"/>
      <c r="L50" s="51"/>
      <c r="M50" s="51"/>
      <c r="N50" s="51"/>
      <c r="O50" s="51"/>
      <c r="P50" s="51"/>
      <c r="Q50" s="51"/>
      <c r="R50" s="55"/>
      <c r="S50" s="53"/>
      <c r="T50" s="54"/>
      <c r="U50" s="55"/>
      <c r="V50" s="55"/>
      <c r="W50" s="55"/>
      <c r="X50" s="55"/>
      <c r="Y50" s="55"/>
      <c r="Z50" s="56"/>
      <c r="AA50" s="55"/>
      <c r="AB50" s="55"/>
      <c r="AC50" s="55"/>
      <c r="AD50" s="55"/>
      <c r="AE50" s="55"/>
      <c r="AF50" s="55"/>
    </row>
    <row r="51" spans="1:32" s="57" customFormat="1" ht="15.75" hidden="1" customHeight="1">
      <c r="A51" s="2"/>
      <c r="B51" s="2"/>
      <c r="C51" s="51"/>
      <c r="D51" s="51"/>
      <c r="E51" s="51"/>
      <c r="F51" s="51"/>
      <c r="G51" s="51"/>
      <c r="H51" s="51"/>
      <c r="I51" s="51"/>
      <c r="J51" s="51"/>
      <c r="K51" s="51"/>
      <c r="L51" s="51"/>
      <c r="M51" s="51"/>
      <c r="N51" s="51"/>
      <c r="O51" s="51"/>
      <c r="P51" s="51"/>
      <c r="Q51" s="51"/>
      <c r="R51" s="55"/>
      <c r="S51" s="53"/>
      <c r="T51" s="54"/>
      <c r="U51" s="55"/>
      <c r="V51" s="55"/>
      <c r="W51" s="55"/>
      <c r="X51" s="55"/>
      <c r="Y51" s="55"/>
      <c r="Z51" s="56"/>
      <c r="AA51" s="55"/>
      <c r="AB51" s="55"/>
      <c r="AC51" s="55"/>
      <c r="AD51" s="55"/>
      <c r="AE51" s="55"/>
      <c r="AF51" s="55"/>
    </row>
    <row r="52" spans="1:32" s="57" customFormat="1" ht="15.75" hidden="1" customHeight="1">
      <c r="A52" s="2"/>
      <c r="B52" s="2"/>
      <c r="C52" s="51"/>
      <c r="D52" s="51"/>
      <c r="E52" s="51"/>
      <c r="F52" s="51"/>
      <c r="G52" s="51"/>
      <c r="H52" s="51"/>
      <c r="I52" s="51"/>
      <c r="J52" s="51"/>
      <c r="K52" s="51"/>
      <c r="L52" s="51"/>
      <c r="M52" s="51"/>
      <c r="N52" s="51"/>
      <c r="O52" s="51"/>
      <c r="P52" s="51"/>
      <c r="Q52" s="51"/>
      <c r="R52" s="55"/>
      <c r="S52" s="53"/>
      <c r="T52" s="54"/>
      <c r="U52" s="55"/>
      <c r="V52" s="55"/>
      <c r="W52" s="55"/>
      <c r="X52" s="55"/>
      <c r="Y52" s="55"/>
      <c r="Z52" s="56"/>
      <c r="AA52" s="55"/>
      <c r="AB52" s="55"/>
      <c r="AC52" s="55"/>
      <c r="AD52" s="55"/>
      <c r="AE52" s="55"/>
      <c r="AF52" s="55"/>
    </row>
    <row r="53" spans="1:32" s="57" customFormat="1">
      <c r="A53" s="2" t="s">
        <v>38</v>
      </c>
      <c r="B53" s="2" t="s">
        <v>39</v>
      </c>
      <c r="C53" s="51">
        <f t="shared" ref="C53:C56" si="1">IFERROR(F53/D53," - ")</f>
        <v>22.990000000000002</v>
      </c>
      <c r="D53" s="51">
        <v>9</v>
      </c>
      <c r="E53" s="51">
        <v>0</v>
      </c>
      <c r="F53" s="51">
        <v>206.91000000000003</v>
      </c>
      <c r="G53" s="51">
        <v>0</v>
      </c>
      <c r="H53" s="51">
        <f t="shared" ref="H53:H56" si="2">G53/F53*-1</f>
        <v>0</v>
      </c>
      <c r="I53" s="51">
        <f t="shared" ref="I53:I56" si="3">J53/F53</f>
        <v>0.14994592392456071</v>
      </c>
      <c r="J53" s="51">
        <f t="shared" ref="J53:J56" si="4">F53*0.85+G53+AD53*D53+D53*AC53+AE53+AB53</f>
        <v>31.025311119230864</v>
      </c>
      <c r="K53" s="51">
        <f t="shared" ref="K53:K56" si="5">J53/D53</f>
        <v>3.4472567910256515</v>
      </c>
      <c r="L53" s="51">
        <v>83</v>
      </c>
      <c r="M53" s="51">
        <f t="shared" ref="M53:M56" si="6">IFERROR(D53/L53,"-")</f>
        <v>0.10843373493975904</v>
      </c>
      <c r="N53" s="51">
        <v>191</v>
      </c>
      <c r="O53" s="51">
        <f t="shared" ref="O53:P53" si="7">D53/7</f>
        <v>1.2857142857142858</v>
      </c>
      <c r="P53" s="51">
        <f t="shared" si="7"/>
        <v>0</v>
      </c>
      <c r="Q53" s="51">
        <f t="shared" ref="Q53:Q56" si="8">ROUNDDOWN(N53/(O53+P53),0)</f>
        <v>148</v>
      </c>
      <c r="R53" s="55">
        <f ca="1">IFERROR(__xludf.DUMMYFUNCTION("IFERROR(VLOOKUP($B$2,IMPORTRANGE(""https://docs.google.com/spreadsheets/d/1iVgg6Mw12RULLujzHmfOFIY8Q_KaAD8anoZzgtVAQ74/edit#gid=1503384807"",""Second Star - Summary!A1:AD2000""),9,FALSE),"""")"),0)</f>
        <v>0</v>
      </c>
      <c r="S53" s="53">
        <f ca="1">IFERROR(__xludf.DUMMYFUNCTION("IFERROR(VLOOKUP($B$2,IMPORTRANGE(""https://docs.google.com/spreadsheets/d/1iVgg6Mw12RULLujzHmfOFIY8Q_KaAD8anoZzgtVAQ74/edit#gid=1503384807"",""Second Star - Summary!A1:AD2000""),28,FALSE),"""")"),0)</f>
        <v>0</v>
      </c>
      <c r="T53" s="54" t="str">
        <f ca="1">IFERROR(__xludf.DUMMYFUNCTION("IFERROR(VLOOKUP($B$2,IMPORTRANGE(""https://docs.google.com/spreadsheets/d/1iVgg6Mw12RULLujzHmfOFIY8Q_KaAD8anoZzgtVAQ74/edit#gid=1503384807"",""Second Star - Summary!A1:AD2000""),29,FALSE),"""")"),"")</f>
        <v/>
      </c>
      <c r="U53" s="55">
        <v>0</v>
      </c>
      <c r="V53" s="55">
        <f t="shared" ref="V53:V56" si="9">IFERROR(U53/D53,0)</f>
        <v>0</v>
      </c>
      <c r="W53" s="55">
        <f t="shared" ref="W53:W56" si="10">IFERROR(G53/(U53+X53)*-1,0)</f>
        <v>0</v>
      </c>
      <c r="X53" s="55">
        <v>0</v>
      </c>
      <c r="Y53" s="55" t="s">
        <v>35</v>
      </c>
      <c r="Z53" s="56">
        <f t="shared" ref="Z53:Z56" si="11">IF(OR(Y53="UsLargeStandardSize",Y53="UsSmallStandardSize"),-2.4,-1.2)</f>
        <v>-2.4</v>
      </c>
      <c r="AA53" s="55">
        <v>0.23370470138888885</v>
      </c>
      <c r="AB53" s="55">
        <f t="shared" ref="AB53:AB56" si="12">IFERROR(Z53*AA53*D53*3,0)</f>
        <v>-15.144064649999999</v>
      </c>
      <c r="AC53" s="55">
        <v>-6.56</v>
      </c>
      <c r="AD53" s="55">
        <v>-7.8515693589743503</v>
      </c>
      <c r="AE53" s="55">
        <v>0</v>
      </c>
      <c r="AF53" s="55">
        <v>5.1282051282051197E-2</v>
      </c>
    </row>
    <row r="54" spans="1:32" s="57" customFormat="1">
      <c r="A54" s="2" t="s">
        <v>40</v>
      </c>
      <c r="B54" s="2" t="s">
        <v>41</v>
      </c>
      <c r="C54" s="51">
        <f t="shared" si="1"/>
        <v>21.107647058823535</v>
      </c>
      <c r="D54" s="51">
        <v>51</v>
      </c>
      <c r="E54" s="51">
        <v>0</v>
      </c>
      <c r="F54" s="51">
        <v>1076.4900000000002</v>
      </c>
      <c r="G54" s="51">
        <v>0</v>
      </c>
      <c r="H54" s="51">
        <f t="shared" si="2"/>
        <v>0</v>
      </c>
      <c r="I54" s="51">
        <f t="shared" si="3"/>
        <v>8.7515997679781743E-2</v>
      </c>
      <c r="J54" s="51">
        <f t="shared" si="4"/>
        <v>94.210096342308262</v>
      </c>
      <c r="K54" s="51">
        <f t="shared" si="5"/>
        <v>1.8472567910256521</v>
      </c>
      <c r="L54" s="51">
        <v>153</v>
      </c>
      <c r="M54" s="51">
        <f t="shared" si="6"/>
        <v>0.33333333333333331</v>
      </c>
      <c r="N54" s="51">
        <v>134</v>
      </c>
      <c r="O54" s="51">
        <f t="shared" ref="O54:P54" si="13">D54/7</f>
        <v>7.2857142857142856</v>
      </c>
      <c r="P54" s="51">
        <f t="shared" si="13"/>
        <v>0</v>
      </c>
      <c r="Q54" s="51">
        <f t="shared" si="8"/>
        <v>18</v>
      </c>
      <c r="R54" s="55">
        <f ca="1">IFERROR(__xludf.DUMMYFUNCTION("IFERROR(VLOOKUP($B$2,IMPORTRANGE(""https://docs.google.com/spreadsheets/d/1iVgg6Mw12RULLujzHmfOFIY8Q_KaAD8anoZzgtVAQ74/edit#gid=1503384807"",""Second Star - Summary!A1:AD2000""),9,FALSE),"""")"),0)</f>
        <v>0</v>
      </c>
      <c r="S54" s="53">
        <f ca="1">IFERROR(__xludf.DUMMYFUNCTION("IFERROR(VLOOKUP($B$2,IMPORTRANGE(""https://docs.google.com/spreadsheets/d/1iVgg6Mw12RULLujzHmfOFIY8Q_KaAD8anoZzgtVAQ74/edit#gid=1503384807"",""Second Star - Summary!A1:AD2000""),28,FALSE),"""")"),0)</f>
        <v>0</v>
      </c>
      <c r="T54" s="54" t="str">
        <f ca="1">IFERROR(__xludf.DUMMYFUNCTION("IFERROR(VLOOKUP($B$2,IMPORTRANGE(""https://docs.google.com/spreadsheets/d/1iVgg6Mw12RULLujzHmfOFIY8Q_KaAD8anoZzgtVAQ74/edit#gid=1503384807"",""Second Star - Summary!A1:AD2000""),29,FALSE),"""")"),"")</f>
        <v/>
      </c>
      <c r="U54" s="55">
        <v>0</v>
      </c>
      <c r="V54" s="55">
        <f t="shared" si="9"/>
        <v>0</v>
      </c>
      <c r="W54" s="55">
        <f t="shared" si="10"/>
        <v>0</v>
      </c>
      <c r="X54" s="55">
        <v>0</v>
      </c>
      <c r="Y54" s="55" t="s">
        <v>35</v>
      </c>
      <c r="Z54" s="56">
        <f t="shared" si="11"/>
        <v>-2.4</v>
      </c>
      <c r="AA54" s="55">
        <v>0.23370470138888885</v>
      </c>
      <c r="AB54" s="55">
        <f t="shared" si="12"/>
        <v>-85.816366349999996</v>
      </c>
      <c r="AC54" s="55">
        <v>-6.56</v>
      </c>
      <c r="AD54" s="55">
        <v>-7.8515693589743503</v>
      </c>
      <c r="AE54" s="55">
        <v>0</v>
      </c>
      <c r="AF54" s="55">
        <v>1.08904109589041</v>
      </c>
    </row>
    <row r="55" spans="1:32" s="57" customFormat="1" ht="15.75" customHeight="1">
      <c r="A55" s="2" t="s">
        <v>32</v>
      </c>
      <c r="B55" s="2" t="s">
        <v>42</v>
      </c>
      <c r="C55" s="51">
        <f t="shared" si="1"/>
        <v>20.990000000000006</v>
      </c>
      <c r="D55" s="51">
        <v>39</v>
      </c>
      <c r="E55" s="51">
        <v>0</v>
      </c>
      <c r="F55" s="51">
        <v>818.61000000000024</v>
      </c>
      <c r="G55" s="51">
        <v>0</v>
      </c>
      <c r="H55" s="51">
        <f t="shared" si="2"/>
        <v>0</v>
      </c>
      <c r="I55" s="51">
        <f t="shared" si="3"/>
        <v>8.3242343545767261E-2</v>
      </c>
      <c r="J55" s="51">
        <f t="shared" si="4"/>
        <v>68.143014850000554</v>
      </c>
      <c r="K55" s="51">
        <f t="shared" si="5"/>
        <v>1.7472567910256553</v>
      </c>
      <c r="L55" s="51">
        <v>112</v>
      </c>
      <c r="M55" s="51">
        <f t="shared" si="6"/>
        <v>0.3482142857142857</v>
      </c>
      <c r="N55" s="51">
        <v>98</v>
      </c>
      <c r="O55" s="51">
        <f t="shared" ref="O55:P55" si="14">D55/7</f>
        <v>5.5714285714285712</v>
      </c>
      <c r="P55" s="51">
        <f t="shared" si="14"/>
        <v>0</v>
      </c>
      <c r="Q55" s="51">
        <f t="shared" si="8"/>
        <v>17</v>
      </c>
      <c r="R55" s="55">
        <v>0</v>
      </c>
      <c r="S55" s="53" t="s">
        <v>34</v>
      </c>
      <c r="T55" s="54" t="s">
        <v>34</v>
      </c>
      <c r="U55" s="55">
        <v>0</v>
      </c>
      <c r="V55" s="55">
        <f t="shared" si="9"/>
        <v>0</v>
      </c>
      <c r="W55" s="55">
        <f t="shared" si="10"/>
        <v>0</v>
      </c>
      <c r="X55" s="55">
        <v>0</v>
      </c>
      <c r="Y55" s="55" t="s">
        <v>35</v>
      </c>
      <c r="Z55" s="56">
        <f t="shared" si="11"/>
        <v>-2.4</v>
      </c>
      <c r="AA55" s="55">
        <v>0.23370470138888885</v>
      </c>
      <c r="AB55" s="55">
        <f t="shared" si="12"/>
        <v>-65.624280150000004</v>
      </c>
      <c r="AC55" s="55">
        <v>-6.56</v>
      </c>
      <c r="AD55" s="55">
        <v>-7.8515693589743503</v>
      </c>
      <c r="AE55" s="55">
        <v>0</v>
      </c>
      <c r="AF55" s="55">
        <v>3.9418604651162701</v>
      </c>
    </row>
    <row r="56" spans="1:32" s="57" customFormat="1" ht="15.75" customHeight="1">
      <c r="A56" s="2" t="s">
        <v>36</v>
      </c>
      <c r="B56" s="2"/>
      <c r="C56" s="51">
        <f t="shared" si="1"/>
        <v>20.99</v>
      </c>
      <c r="D56" s="51">
        <v>1</v>
      </c>
      <c r="E56" s="51">
        <v>0</v>
      </c>
      <c r="F56" s="51">
        <v>20.99</v>
      </c>
      <c r="G56" s="51">
        <v>0</v>
      </c>
      <c r="H56" s="51">
        <f t="shared" si="2"/>
        <v>0</v>
      </c>
      <c r="I56" s="51">
        <f t="shared" si="3"/>
        <v>8.3242343545767053E-2</v>
      </c>
      <c r="J56" s="51">
        <f t="shared" si="4"/>
        <v>1.7472567910256502</v>
      </c>
      <c r="K56" s="51">
        <f t="shared" si="5"/>
        <v>1.7472567910256502</v>
      </c>
      <c r="L56" s="51">
        <v>44</v>
      </c>
      <c r="M56" s="51">
        <f t="shared" si="6"/>
        <v>2.2727272727272728E-2</v>
      </c>
      <c r="N56" s="51">
        <v>86</v>
      </c>
      <c r="O56" s="51">
        <f t="shared" ref="O56:P56" si="15">D56/7</f>
        <v>0.14285714285714285</v>
      </c>
      <c r="P56" s="51">
        <f t="shared" si="15"/>
        <v>0</v>
      </c>
      <c r="Q56" s="51">
        <f t="shared" si="8"/>
        <v>602</v>
      </c>
      <c r="R56" s="55">
        <f ca="1">IFERROR(__xludf.DUMMYFUNCTION("IFERROR(VLOOKUP($B$2,IMPORTRANGE(""https://docs.google.com/spreadsheets/d/1iVgg6Mw12RULLujzHmfOFIY8Q_KaAD8anoZzgtVAQ74/edit#gid=1503384807"",""Second Star - Summary!A1:AD2000""),9,FALSE),"""")"),0)</f>
        <v>0</v>
      </c>
      <c r="S56" s="53">
        <f ca="1">IFERROR(__xludf.DUMMYFUNCTION("IFERROR(VLOOKUP($B$2,IMPORTRANGE(""https://docs.google.com/spreadsheets/d/1iVgg6Mw12RULLujzHmfOFIY8Q_KaAD8anoZzgtVAQ74/edit#gid=1503384807"",""Second Star - Summary!A1:AD2000""),28,FALSE),"""")"),0)</f>
        <v>0</v>
      </c>
      <c r="T56" s="54" t="str">
        <f ca="1">IFERROR(__xludf.DUMMYFUNCTION("IFERROR(VLOOKUP($B$2,IMPORTRANGE(""https://docs.google.com/spreadsheets/d/1iVgg6Mw12RULLujzHmfOFIY8Q_KaAD8anoZzgtVAQ74/edit#gid=1503384807"",""Second Star - Summary!A1:AD2000""),29,FALSE),"""")"),"")</f>
        <v/>
      </c>
      <c r="U56" s="55">
        <v>0</v>
      </c>
      <c r="V56" s="55">
        <f t="shared" si="9"/>
        <v>0</v>
      </c>
      <c r="W56" s="55">
        <f t="shared" si="10"/>
        <v>0</v>
      </c>
      <c r="X56" s="55">
        <v>0</v>
      </c>
      <c r="Y56" s="55" t="s">
        <v>35</v>
      </c>
      <c r="Z56" s="56">
        <f t="shared" si="11"/>
        <v>-2.4</v>
      </c>
      <c r="AA56" s="55">
        <v>0.23370470138888885</v>
      </c>
      <c r="AB56" s="55">
        <f t="shared" si="12"/>
        <v>-1.6826738499999998</v>
      </c>
      <c r="AC56" s="55">
        <v>-6.56</v>
      </c>
      <c r="AD56" s="55">
        <v>-7.8515693589743503</v>
      </c>
      <c r="AE56" s="55">
        <v>0</v>
      </c>
      <c r="AF56" s="55">
        <v>1.1853146853146801</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3"/>
    </row>
    <row r="222" spans="1:3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3"/>
    </row>
    <row r="223" spans="1:32"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3"/>
    </row>
    <row r="224" spans="1:32"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3"/>
    </row>
    <row r="225" spans="1:32"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3"/>
    </row>
    <row r="226" spans="1:32"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3"/>
    </row>
    <row r="227" spans="1:32"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3"/>
    </row>
    <row r="228" spans="1:32"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3"/>
    </row>
    <row r="229" spans="1:32"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3"/>
    </row>
    <row r="230" spans="1:32"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3"/>
    </row>
    <row r="231" spans="1:32"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3"/>
    </row>
    <row r="232" spans="1: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3"/>
    </row>
    <row r="233" spans="1:32"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3"/>
    </row>
    <row r="234" spans="1:32"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3"/>
    </row>
    <row r="235" spans="1:32"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3"/>
    </row>
    <row r="236" spans="1:32"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3"/>
    </row>
    <row r="237" spans="1:32"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3"/>
    </row>
    <row r="238" spans="1:32"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3"/>
    </row>
    <row r="239" spans="1:32"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row r="255" spans="1:32" ht="15.75" customHeight="1"/>
    <row r="256" spans="1:3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527" priority="1" operator="lessThan">
      <formula>100</formula>
    </cfRule>
  </conditionalFormatting>
  <conditionalFormatting sqref="Q1:Q3 Q57:Q1000">
    <cfRule type="cellIs" dxfId="526" priority="2" operator="lessThan">
      <formula>100</formula>
    </cfRule>
  </conditionalFormatting>
  <conditionalFormatting sqref="I1:I3 I57:I1000">
    <cfRule type="cellIs" dxfId="525" priority="3" operator="lessThan">
      <formula>0.05</formula>
    </cfRule>
  </conditionalFormatting>
  <conditionalFormatting sqref="I4:I17">
    <cfRule type="cellIs" dxfId="524" priority="4" operator="lessThan">
      <formula>0.05</formula>
    </cfRule>
  </conditionalFormatting>
  <conditionalFormatting sqref="I18:I56">
    <cfRule type="cellIs" dxfId="523" priority="5" operator="lessThan">
      <formula>0.05</formula>
    </cfRule>
  </conditionalFormatting>
  <conditionalFormatting sqref="Q4:Q56">
    <cfRule type="cellIs" dxfId="522" priority="6" operator="lessThan">
      <formula>100</formula>
    </cfRule>
  </conditionalFormatting>
  <conditionalFormatting sqref="Q4:Q56">
    <cfRule type="cellIs" dxfId="521" priority="7" operator="lessThan">
      <formula>100</formula>
    </cfRule>
  </conditionalFormatting>
  <pageMargins left="0.7" right="0.7" top="0.75" bottom="0.75" header="0" footer="0"/>
  <pageSetup orientation="portrait"/>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4.6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Info!B1:BJ5000""),4,FALSE),"""")"),"Hook and Ring Game - Tiki Toss Game for Adults &amp; Kids")</f>
        <v>Hook and Ring Game - Tiki Toss Game for Adults &amp; Kids</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Info!B1:BJ5000""),3,FALSE),"""")"),"B074DY8MMH")</f>
        <v>B074DY8MMH</v>
      </c>
      <c r="B2" s="4" t="s">
        <v>43</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8.4197043740573054</v>
      </c>
      <c r="D3" s="8">
        <f>SUM(D4:D99819)</f>
        <v>165</v>
      </c>
      <c r="E3" s="8"/>
      <c r="F3" s="9">
        <f t="shared" ref="F3:G3" si="0">SUM(F4:F99819)</f>
        <v>4311.3499999999894</v>
      </c>
      <c r="G3" s="9">
        <f t="shared" si="0"/>
        <v>0</v>
      </c>
      <c r="H3" s="10">
        <f>G3/F3*-1</f>
        <v>0</v>
      </c>
      <c r="I3" s="11">
        <f>J3/F3</f>
        <v>0.32772706096430532</v>
      </c>
      <c r="J3" s="9">
        <f>SUM(J4:J99819)</f>
        <v>1412.9460642884542</v>
      </c>
      <c r="K3" s="9">
        <f>J3/D3</f>
        <v>8.5633094805360859</v>
      </c>
      <c r="L3" s="8"/>
      <c r="M3" s="12"/>
      <c r="N3" s="13"/>
      <c r="O3" s="8" t="str">
        <f ca="1">IFERROR(__xludf.DUMMYFUNCTION("IFERROR(VLOOKUP(B2,IMPORTRANGE(""https://docs.google.com/spreadsheets/d/1owCo6kL_VFQ5nPTdNogErmCBLjNiktT1m3SzTrxu3R0/edit#gid=2146806407"",""Second Star - Compiled!b1:g5000""),2,FALSE),"""")"),"0 - March
0 - April
0 - May
0 - Jun
0 - Jul
0 - Aug
0 - Sept
0 - Oct
0 - Nov
0 - Dec
0 - Jan
0 - Feb")</f>
        <v>0 - March
0 - April
0 - May
0 - Jun
0 - Jul
0 - Aug
0 - Sept
0 - Oct
0 - Nov
0 - Dec
0 - Jan
0 - Feb</v>
      </c>
      <c r="P3" s="8"/>
      <c r="Q3" s="14"/>
      <c r="R3" s="13"/>
      <c r="S3" s="13"/>
      <c r="T3" s="13"/>
      <c r="U3" s="8">
        <f>SUM(U4:U99819)</f>
        <v>0</v>
      </c>
      <c r="V3" s="10">
        <f>AVERAGE(V4:V99819)</f>
        <v>0</v>
      </c>
      <c r="W3" s="9">
        <f>ROUND(AVERAGE(W4:W99819),2)</f>
        <v>0</v>
      </c>
      <c r="X3" s="8"/>
      <c r="Y3" s="8"/>
      <c r="Z3" s="8"/>
      <c r="AA3" s="8"/>
      <c r="AB3" s="8"/>
      <c r="AC3" s="15"/>
      <c r="AD3" s="9"/>
      <c r="AE3" s="9">
        <f>SUM(AE4:AE99819)</f>
        <v>0</v>
      </c>
      <c r="AF3" s="16"/>
    </row>
    <row r="4" spans="1:32" s="57" customFormat="1" hidden="1">
      <c r="A4" s="17"/>
      <c r="B4" s="17"/>
      <c r="C4" s="50"/>
      <c r="D4" s="51"/>
      <c r="E4" s="51"/>
      <c r="F4" s="51"/>
      <c r="G4" s="51"/>
      <c r="H4" s="51"/>
      <c r="I4" s="51"/>
      <c r="J4" s="51"/>
      <c r="K4" s="51"/>
      <c r="L4" s="51"/>
      <c r="M4" s="51"/>
      <c r="N4" s="51"/>
      <c r="O4" s="51"/>
      <c r="P4" s="51"/>
      <c r="Q4" s="51"/>
      <c r="R4" s="52"/>
      <c r="S4" s="53"/>
      <c r="T4" s="54"/>
      <c r="U4" s="52"/>
      <c r="V4" s="55"/>
      <c r="W4" s="55"/>
      <c r="X4" s="52"/>
      <c r="Y4" s="56"/>
      <c r="Z4" s="56"/>
      <c r="AA4" s="55"/>
      <c r="AB4" s="55"/>
      <c r="AC4" s="55"/>
      <c r="AD4" s="55"/>
      <c r="AE4" s="55"/>
      <c r="AF4" s="55"/>
    </row>
    <row r="5" spans="1:32" s="57" customFormat="1" ht="15.75" hidden="1" customHeight="1">
      <c r="A5" s="17"/>
      <c r="B5" s="2"/>
      <c r="C5" s="51"/>
      <c r="D5" s="51"/>
      <c r="E5" s="51"/>
      <c r="F5" s="51"/>
      <c r="G5" s="51"/>
      <c r="H5" s="51"/>
      <c r="I5" s="51"/>
      <c r="J5" s="51"/>
      <c r="K5" s="51"/>
      <c r="L5" s="51"/>
      <c r="M5" s="51"/>
      <c r="N5" s="51"/>
      <c r="O5" s="51"/>
      <c r="P5" s="51"/>
      <c r="Q5" s="51"/>
      <c r="R5" s="52"/>
      <c r="S5" s="53"/>
      <c r="T5" s="54"/>
      <c r="U5" s="52"/>
      <c r="V5" s="55"/>
      <c r="W5" s="55"/>
      <c r="X5" s="52"/>
      <c r="Y5" s="52"/>
      <c r="Z5" s="56"/>
      <c r="AA5" s="55"/>
      <c r="AB5" s="55"/>
      <c r="AC5" s="55"/>
      <c r="AD5" s="55"/>
      <c r="AE5" s="55"/>
      <c r="AF5" s="55"/>
    </row>
    <row r="6" spans="1:32" s="57" customFormat="1" ht="15.75" hidden="1" customHeight="1">
      <c r="A6" s="17"/>
      <c r="B6" s="2"/>
      <c r="C6" s="51"/>
      <c r="D6" s="51"/>
      <c r="E6" s="51"/>
      <c r="F6" s="51"/>
      <c r="G6" s="51"/>
      <c r="H6" s="51"/>
      <c r="I6" s="51"/>
      <c r="J6" s="51"/>
      <c r="K6" s="51"/>
      <c r="L6" s="51"/>
      <c r="M6" s="51"/>
      <c r="N6" s="51"/>
      <c r="O6" s="51"/>
      <c r="P6" s="51"/>
      <c r="Q6" s="51"/>
      <c r="R6" s="52"/>
      <c r="S6" s="53"/>
      <c r="T6" s="54"/>
      <c r="U6" s="52"/>
      <c r="V6" s="55"/>
      <c r="W6" s="55"/>
      <c r="X6" s="52"/>
      <c r="Y6" s="52"/>
      <c r="Z6" s="56"/>
      <c r="AA6" s="55"/>
      <c r="AB6" s="55"/>
      <c r="AC6" s="55"/>
      <c r="AD6" s="55"/>
      <c r="AE6" s="55"/>
      <c r="AF6" s="55"/>
    </row>
    <row r="7" spans="1:32" s="57" customFormat="1" ht="15.75" hidden="1" customHeight="1">
      <c r="A7" s="17"/>
      <c r="B7" s="2"/>
      <c r="C7" s="51"/>
      <c r="D7" s="51"/>
      <c r="E7" s="51"/>
      <c r="F7" s="51"/>
      <c r="G7" s="51"/>
      <c r="H7" s="51"/>
      <c r="I7" s="51"/>
      <c r="J7" s="51"/>
      <c r="K7" s="51"/>
      <c r="L7" s="51"/>
      <c r="M7" s="51"/>
      <c r="N7" s="51"/>
      <c r="O7" s="51"/>
      <c r="P7" s="51"/>
      <c r="Q7" s="51"/>
      <c r="R7" s="52"/>
      <c r="S7" s="53"/>
      <c r="T7" s="54"/>
      <c r="U7" s="52"/>
      <c r="V7" s="55"/>
      <c r="W7" s="55"/>
      <c r="X7" s="52"/>
      <c r="Y7" s="52"/>
      <c r="Z7" s="56"/>
      <c r="AA7" s="55"/>
      <c r="AB7" s="55"/>
      <c r="AC7" s="55"/>
      <c r="AD7" s="55"/>
      <c r="AE7" s="55"/>
      <c r="AF7" s="55"/>
    </row>
    <row r="8" spans="1:32" s="57" customFormat="1" ht="15.75" hidden="1" customHeight="1">
      <c r="A8" s="17"/>
      <c r="B8" s="2"/>
      <c r="C8" s="51"/>
      <c r="D8" s="51"/>
      <c r="E8" s="51"/>
      <c r="F8" s="51"/>
      <c r="G8" s="51"/>
      <c r="H8" s="51"/>
      <c r="I8" s="51"/>
      <c r="J8" s="51"/>
      <c r="K8" s="51"/>
      <c r="L8" s="51"/>
      <c r="M8" s="51"/>
      <c r="N8" s="51"/>
      <c r="O8" s="51"/>
      <c r="P8" s="51"/>
      <c r="Q8" s="51"/>
      <c r="R8" s="52"/>
      <c r="S8" s="53"/>
      <c r="T8" s="54"/>
      <c r="U8" s="52"/>
      <c r="V8" s="55"/>
      <c r="W8" s="55"/>
      <c r="X8" s="52"/>
      <c r="Y8" s="52"/>
      <c r="Z8" s="56"/>
      <c r="AA8" s="55"/>
      <c r="AB8" s="55"/>
      <c r="AC8" s="55"/>
      <c r="AD8" s="55"/>
      <c r="AE8" s="55"/>
      <c r="AF8" s="55"/>
    </row>
    <row r="9" spans="1:32" s="57" customFormat="1" ht="15.75" hidden="1" customHeight="1">
      <c r="A9" s="17"/>
      <c r="B9" s="2"/>
      <c r="C9" s="51"/>
      <c r="D9" s="51"/>
      <c r="E9" s="51"/>
      <c r="F9" s="51"/>
      <c r="G9" s="51"/>
      <c r="H9" s="51"/>
      <c r="I9" s="51"/>
      <c r="J9" s="51"/>
      <c r="K9" s="51"/>
      <c r="L9" s="51"/>
      <c r="M9" s="51"/>
      <c r="N9" s="51"/>
      <c r="O9" s="51"/>
      <c r="P9" s="51"/>
      <c r="Q9" s="51"/>
      <c r="R9" s="52"/>
      <c r="S9" s="53"/>
      <c r="T9" s="54"/>
      <c r="U9" s="52"/>
      <c r="V9" s="55"/>
      <c r="W9" s="55"/>
      <c r="X9" s="52"/>
      <c r="Y9" s="52"/>
      <c r="Z9" s="56"/>
      <c r="AA9" s="55"/>
      <c r="AB9" s="55"/>
      <c r="AC9" s="55"/>
      <c r="AD9" s="55"/>
      <c r="AE9" s="55"/>
      <c r="AF9" s="55"/>
    </row>
    <row r="10" spans="1:32" s="57" customFormat="1" ht="15.75" hidden="1" customHeight="1">
      <c r="A10" s="17"/>
      <c r="B10" s="2"/>
      <c r="C10" s="51"/>
      <c r="D10" s="51"/>
      <c r="E10" s="51"/>
      <c r="F10" s="51"/>
      <c r="G10" s="51"/>
      <c r="H10" s="51"/>
      <c r="I10" s="51"/>
      <c r="J10" s="51"/>
      <c r="K10" s="51"/>
      <c r="L10" s="51"/>
      <c r="M10" s="51"/>
      <c r="N10" s="51"/>
      <c r="O10" s="51"/>
      <c r="P10" s="51"/>
      <c r="Q10" s="51"/>
      <c r="R10" s="52"/>
      <c r="S10" s="53"/>
      <c r="T10" s="54"/>
      <c r="U10" s="52"/>
      <c r="V10" s="55"/>
      <c r="W10" s="55"/>
      <c r="X10" s="52"/>
      <c r="Y10" s="52"/>
      <c r="Z10" s="56"/>
      <c r="AA10" s="55"/>
      <c r="AB10" s="55"/>
      <c r="AC10" s="55"/>
      <c r="AD10" s="55"/>
      <c r="AE10" s="55"/>
      <c r="AF10" s="55"/>
    </row>
    <row r="11" spans="1:32" s="57" customFormat="1" ht="15.75" hidden="1" customHeight="1">
      <c r="A11" s="17"/>
      <c r="B11" s="17"/>
      <c r="C11" s="51"/>
      <c r="D11" s="51"/>
      <c r="E11" s="51"/>
      <c r="F11" s="51"/>
      <c r="G11" s="51"/>
      <c r="H11" s="51"/>
      <c r="I11" s="51"/>
      <c r="J11" s="51"/>
      <c r="K11" s="51"/>
      <c r="L11" s="51"/>
      <c r="M11" s="51"/>
      <c r="N11" s="51"/>
      <c r="O11" s="51"/>
      <c r="P11" s="51"/>
      <c r="Q11" s="51"/>
      <c r="R11" s="52"/>
      <c r="S11" s="53"/>
      <c r="T11" s="54"/>
      <c r="U11" s="52"/>
      <c r="V11" s="55"/>
      <c r="W11" s="55"/>
      <c r="X11" s="52"/>
      <c r="Y11" s="52"/>
      <c r="Z11" s="56"/>
      <c r="AA11" s="55"/>
      <c r="AB11" s="55"/>
      <c r="AC11" s="55"/>
      <c r="AD11" s="55"/>
      <c r="AE11" s="55"/>
      <c r="AF11" s="55"/>
    </row>
    <row r="12" spans="1:32" s="57" customFormat="1" ht="15.75" hidden="1" customHeight="1">
      <c r="A12" s="17"/>
      <c r="B12" s="2"/>
      <c r="C12" s="51"/>
      <c r="D12" s="51"/>
      <c r="E12" s="51"/>
      <c r="F12" s="51"/>
      <c r="G12" s="51"/>
      <c r="H12" s="51"/>
      <c r="I12" s="51"/>
      <c r="J12" s="51"/>
      <c r="K12" s="51"/>
      <c r="L12" s="51"/>
      <c r="M12" s="51"/>
      <c r="N12" s="51"/>
      <c r="O12" s="51"/>
      <c r="P12" s="51"/>
      <c r="Q12" s="51"/>
      <c r="R12" s="52"/>
      <c r="S12" s="53"/>
      <c r="T12" s="54"/>
      <c r="U12" s="52"/>
      <c r="V12" s="55"/>
      <c r="W12" s="55"/>
      <c r="X12" s="52"/>
      <c r="Y12" s="52"/>
      <c r="Z12" s="56"/>
      <c r="AA12" s="55"/>
      <c r="AB12" s="55"/>
      <c r="AC12" s="55"/>
      <c r="AD12" s="55"/>
      <c r="AE12" s="55"/>
      <c r="AF12" s="55"/>
    </row>
    <row r="13" spans="1:32" s="57" customFormat="1" ht="15.75" hidden="1" customHeight="1">
      <c r="A13" s="17"/>
      <c r="B13" s="2"/>
      <c r="C13" s="51"/>
      <c r="D13" s="51"/>
      <c r="E13" s="51"/>
      <c r="F13" s="51"/>
      <c r="G13" s="51"/>
      <c r="H13" s="51"/>
      <c r="I13" s="51"/>
      <c r="J13" s="51"/>
      <c r="K13" s="51"/>
      <c r="L13" s="51"/>
      <c r="M13" s="51"/>
      <c r="N13" s="51"/>
      <c r="O13" s="51"/>
      <c r="P13" s="51"/>
      <c r="Q13" s="51"/>
      <c r="R13" s="52"/>
      <c r="S13" s="53"/>
      <c r="T13" s="54"/>
      <c r="U13" s="52"/>
      <c r="V13" s="55"/>
      <c r="W13" s="55"/>
      <c r="X13" s="52"/>
      <c r="Y13" s="52"/>
      <c r="Z13" s="56"/>
      <c r="AA13" s="55"/>
      <c r="AB13" s="55"/>
      <c r="AC13" s="55"/>
      <c r="AD13" s="55"/>
      <c r="AE13" s="55"/>
      <c r="AF13" s="55"/>
    </row>
    <row r="14" spans="1:32" s="57" customFormat="1" ht="15.75" hidden="1" customHeight="1">
      <c r="A14" s="17"/>
      <c r="B14" s="2"/>
      <c r="C14" s="51"/>
      <c r="D14" s="51"/>
      <c r="E14" s="51"/>
      <c r="F14" s="51"/>
      <c r="G14" s="51"/>
      <c r="H14" s="51"/>
      <c r="I14" s="51"/>
      <c r="J14" s="51"/>
      <c r="K14" s="51"/>
      <c r="L14" s="51"/>
      <c r="M14" s="51"/>
      <c r="N14" s="51"/>
      <c r="O14" s="51"/>
      <c r="P14" s="51"/>
      <c r="Q14" s="51"/>
      <c r="R14" s="52"/>
      <c r="S14" s="53"/>
      <c r="T14" s="54"/>
      <c r="U14" s="52"/>
      <c r="V14" s="55"/>
      <c r="W14" s="55"/>
      <c r="X14" s="52"/>
      <c r="Y14" s="52"/>
      <c r="Z14" s="56"/>
      <c r="AA14" s="55"/>
      <c r="AB14" s="55"/>
      <c r="AC14" s="55"/>
      <c r="AD14" s="55"/>
      <c r="AE14" s="55"/>
      <c r="AF14" s="55"/>
    </row>
    <row r="15" spans="1:32" s="57" customFormat="1" ht="15.75" hidden="1" customHeight="1">
      <c r="A15" s="17"/>
      <c r="B15" s="2"/>
      <c r="C15" s="51"/>
      <c r="D15" s="51"/>
      <c r="E15" s="51"/>
      <c r="F15" s="51"/>
      <c r="G15" s="51"/>
      <c r="H15" s="51"/>
      <c r="I15" s="51"/>
      <c r="J15" s="51"/>
      <c r="K15" s="51"/>
      <c r="L15" s="51"/>
      <c r="M15" s="51"/>
      <c r="N15" s="51"/>
      <c r="O15" s="51"/>
      <c r="P15" s="51"/>
      <c r="Q15" s="51"/>
      <c r="R15" s="52"/>
      <c r="S15" s="53"/>
      <c r="T15" s="54"/>
      <c r="U15" s="52"/>
      <c r="V15" s="55"/>
      <c r="W15" s="55"/>
      <c r="X15" s="52"/>
      <c r="Y15" s="52"/>
      <c r="Z15" s="56"/>
      <c r="AA15" s="55"/>
      <c r="AB15" s="55"/>
      <c r="AC15" s="55"/>
      <c r="AD15" s="55"/>
      <c r="AE15" s="55"/>
      <c r="AF15" s="55"/>
    </row>
    <row r="16" spans="1:32" s="57" customFormat="1" ht="15.75" hidden="1" customHeight="1">
      <c r="A16" s="17"/>
      <c r="B16" s="2"/>
      <c r="C16" s="51"/>
      <c r="D16" s="51"/>
      <c r="E16" s="51"/>
      <c r="F16" s="51"/>
      <c r="G16" s="51"/>
      <c r="H16" s="51"/>
      <c r="I16" s="51"/>
      <c r="J16" s="51"/>
      <c r="K16" s="51"/>
      <c r="L16" s="51"/>
      <c r="M16" s="51"/>
      <c r="N16" s="51"/>
      <c r="O16" s="51"/>
      <c r="P16" s="51"/>
      <c r="Q16" s="51"/>
      <c r="R16" s="52"/>
      <c r="S16" s="53"/>
      <c r="T16" s="54"/>
      <c r="U16" s="52"/>
      <c r="V16" s="55"/>
      <c r="W16" s="55"/>
      <c r="X16" s="52"/>
      <c r="Y16" s="52"/>
      <c r="Z16" s="56"/>
      <c r="AA16" s="55"/>
      <c r="AB16" s="55"/>
      <c r="AC16" s="55"/>
      <c r="AD16" s="55"/>
      <c r="AE16" s="55"/>
      <c r="AF16" s="55"/>
    </row>
    <row r="17" spans="1:32" s="57" customFormat="1" ht="15.75" hidden="1" customHeight="1">
      <c r="A17" s="17"/>
      <c r="B17" s="2"/>
      <c r="C17" s="51"/>
      <c r="D17" s="51"/>
      <c r="E17" s="51"/>
      <c r="F17" s="51"/>
      <c r="G17" s="51"/>
      <c r="H17" s="51"/>
      <c r="I17" s="51"/>
      <c r="J17" s="51"/>
      <c r="K17" s="51"/>
      <c r="L17" s="51"/>
      <c r="M17" s="51"/>
      <c r="N17" s="51"/>
      <c r="O17" s="51"/>
      <c r="P17" s="51"/>
      <c r="Q17" s="51"/>
      <c r="R17" s="52"/>
      <c r="S17" s="53"/>
      <c r="T17" s="54"/>
      <c r="U17" s="52"/>
      <c r="V17" s="55"/>
      <c r="W17" s="55"/>
      <c r="X17" s="52"/>
      <c r="Y17" s="52"/>
      <c r="Z17" s="56"/>
      <c r="AA17" s="55"/>
      <c r="AB17" s="55"/>
      <c r="AC17" s="55"/>
      <c r="AD17" s="55"/>
      <c r="AE17" s="55"/>
      <c r="AF17" s="55"/>
    </row>
    <row r="18" spans="1:32" s="57" customFormat="1" ht="15.75" hidden="1" customHeight="1">
      <c r="A18" s="2"/>
      <c r="B18" s="2"/>
      <c r="C18" s="51"/>
      <c r="D18" s="51"/>
      <c r="E18" s="51"/>
      <c r="F18" s="51"/>
      <c r="G18" s="51"/>
      <c r="H18" s="51"/>
      <c r="I18" s="51"/>
      <c r="J18" s="51"/>
      <c r="K18" s="51"/>
      <c r="L18" s="51"/>
      <c r="M18" s="51"/>
      <c r="N18" s="51"/>
      <c r="O18" s="51"/>
      <c r="P18" s="51"/>
      <c r="Q18" s="51"/>
      <c r="R18" s="55"/>
      <c r="S18" s="53"/>
      <c r="T18" s="54"/>
      <c r="U18" s="55"/>
      <c r="V18" s="55"/>
      <c r="W18" s="55"/>
      <c r="X18" s="55"/>
      <c r="Y18" s="55"/>
      <c r="Z18" s="56"/>
      <c r="AA18" s="55"/>
      <c r="AB18" s="58"/>
      <c r="AC18" s="55"/>
      <c r="AD18" s="55"/>
      <c r="AE18" s="55"/>
      <c r="AF18" s="55"/>
    </row>
    <row r="19" spans="1:32" s="57" customFormat="1" ht="15.75" hidden="1" customHeight="1">
      <c r="A19" s="17"/>
      <c r="B19" s="2"/>
      <c r="C19" s="51"/>
      <c r="D19" s="51"/>
      <c r="E19" s="51"/>
      <c r="F19" s="51"/>
      <c r="G19" s="51"/>
      <c r="H19" s="51"/>
      <c r="I19" s="51"/>
      <c r="J19" s="51"/>
      <c r="K19" s="51"/>
      <c r="L19" s="51"/>
      <c r="M19" s="51"/>
      <c r="N19" s="51"/>
      <c r="O19" s="51"/>
      <c r="P19" s="51"/>
      <c r="Q19" s="51"/>
      <c r="R19" s="52"/>
      <c r="S19" s="53"/>
      <c r="T19" s="54"/>
      <c r="U19" s="55"/>
      <c r="V19" s="55"/>
      <c r="W19" s="55"/>
      <c r="X19" s="52"/>
      <c r="Y19" s="52"/>
      <c r="Z19" s="56"/>
      <c r="AA19" s="55"/>
      <c r="AB19" s="55"/>
      <c r="AC19" s="55"/>
      <c r="AD19" s="55"/>
      <c r="AE19" s="55"/>
      <c r="AF19" s="55"/>
    </row>
    <row r="20" spans="1:32" s="57" customFormat="1" ht="15.75" hidden="1" customHeight="1">
      <c r="A20" s="17"/>
      <c r="B20" s="2"/>
      <c r="C20" s="51"/>
      <c r="D20" s="51"/>
      <c r="E20" s="51"/>
      <c r="F20" s="51"/>
      <c r="G20" s="51"/>
      <c r="H20" s="51"/>
      <c r="I20" s="51"/>
      <c r="J20" s="51"/>
      <c r="K20" s="51"/>
      <c r="L20" s="51"/>
      <c r="M20" s="51"/>
      <c r="N20" s="51"/>
      <c r="O20" s="51"/>
      <c r="P20" s="51"/>
      <c r="Q20" s="51"/>
      <c r="R20" s="52"/>
      <c r="S20" s="53"/>
      <c r="T20" s="54"/>
      <c r="U20" s="52"/>
      <c r="V20" s="55"/>
      <c r="W20" s="55"/>
      <c r="X20" s="52"/>
      <c r="Y20" s="52"/>
      <c r="Z20" s="56"/>
      <c r="AA20" s="55"/>
      <c r="AB20" s="55"/>
      <c r="AC20" s="55"/>
      <c r="AD20" s="55"/>
      <c r="AE20" s="55"/>
      <c r="AF20" s="55"/>
    </row>
    <row r="21" spans="1:32" s="57" customFormat="1" ht="15.75" hidden="1" customHeight="1">
      <c r="A21" s="17"/>
      <c r="B21" s="2"/>
      <c r="C21" s="51"/>
      <c r="D21" s="51"/>
      <c r="E21" s="51"/>
      <c r="F21" s="51"/>
      <c r="G21" s="51"/>
      <c r="H21" s="51"/>
      <c r="I21" s="51"/>
      <c r="J21" s="51"/>
      <c r="K21" s="51"/>
      <c r="L21" s="51"/>
      <c r="M21" s="51"/>
      <c r="N21" s="51"/>
      <c r="O21" s="51"/>
      <c r="P21" s="51"/>
      <c r="Q21" s="51"/>
      <c r="R21" s="52"/>
      <c r="S21" s="53"/>
      <c r="T21" s="54"/>
      <c r="U21" s="52"/>
      <c r="V21" s="55"/>
      <c r="W21" s="55"/>
      <c r="X21" s="52"/>
      <c r="Y21" s="52"/>
      <c r="Z21" s="56"/>
      <c r="AA21" s="55"/>
      <c r="AB21" s="55"/>
      <c r="AC21" s="55"/>
      <c r="AD21" s="55"/>
      <c r="AE21" s="55"/>
      <c r="AF21" s="55"/>
    </row>
    <row r="22" spans="1:32" s="57" customFormat="1" ht="15.75" hidden="1" customHeight="1">
      <c r="A22" s="17"/>
      <c r="B22" s="2"/>
      <c r="C22" s="51"/>
      <c r="D22" s="51"/>
      <c r="E22" s="51"/>
      <c r="F22" s="51"/>
      <c r="G22" s="51"/>
      <c r="H22" s="51"/>
      <c r="I22" s="51"/>
      <c r="J22" s="51"/>
      <c r="K22" s="51"/>
      <c r="L22" s="51"/>
      <c r="M22" s="51"/>
      <c r="N22" s="51"/>
      <c r="O22" s="51"/>
      <c r="P22" s="51"/>
      <c r="Q22" s="51"/>
      <c r="R22" s="52"/>
      <c r="S22" s="53"/>
      <c r="T22" s="54"/>
      <c r="U22" s="52"/>
      <c r="V22" s="55"/>
      <c r="W22" s="55"/>
      <c r="X22" s="52"/>
      <c r="Y22" s="52"/>
      <c r="Z22" s="56"/>
      <c r="AA22" s="55"/>
      <c r="AB22" s="55"/>
      <c r="AC22" s="55"/>
      <c r="AD22" s="55"/>
      <c r="AE22" s="55"/>
      <c r="AF22" s="55"/>
    </row>
    <row r="23" spans="1:32" s="57" customFormat="1" ht="15.75" hidden="1" customHeight="1">
      <c r="A23" s="17"/>
      <c r="B23" s="2"/>
      <c r="C23" s="51"/>
      <c r="D23" s="51"/>
      <c r="E23" s="51"/>
      <c r="F23" s="51"/>
      <c r="G23" s="51"/>
      <c r="H23" s="51"/>
      <c r="I23" s="51"/>
      <c r="J23" s="51"/>
      <c r="K23" s="51"/>
      <c r="L23" s="51"/>
      <c r="M23" s="51"/>
      <c r="N23" s="51"/>
      <c r="O23" s="51"/>
      <c r="P23" s="51"/>
      <c r="Q23" s="51"/>
      <c r="R23" s="52"/>
      <c r="S23" s="53"/>
      <c r="T23" s="54"/>
      <c r="U23" s="52"/>
      <c r="V23" s="55"/>
      <c r="W23" s="55"/>
      <c r="X23" s="52"/>
      <c r="Y23" s="52"/>
      <c r="Z23" s="56"/>
      <c r="AA23" s="55"/>
      <c r="AB23" s="55"/>
      <c r="AC23" s="55"/>
      <c r="AD23" s="55"/>
      <c r="AE23" s="55"/>
      <c r="AF23" s="55"/>
    </row>
    <row r="24" spans="1:32" s="57" customFormat="1" ht="15.75" hidden="1" customHeight="1">
      <c r="A24" s="17"/>
      <c r="B24" s="2"/>
      <c r="C24" s="51"/>
      <c r="D24" s="51"/>
      <c r="E24" s="51"/>
      <c r="F24" s="51"/>
      <c r="G24" s="51"/>
      <c r="H24" s="51"/>
      <c r="I24" s="51"/>
      <c r="J24" s="51"/>
      <c r="K24" s="51"/>
      <c r="L24" s="51"/>
      <c r="M24" s="51"/>
      <c r="N24" s="51"/>
      <c r="O24" s="51"/>
      <c r="P24" s="51"/>
      <c r="Q24" s="51"/>
      <c r="R24" s="52"/>
      <c r="S24" s="53"/>
      <c r="T24" s="54"/>
      <c r="U24" s="52"/>
      <c r="V24" s="55"/>
      <c r="W24" s="55"/>
      <c r="X24" s="52"/>
      <c r="Y24" s="52"/>
      <c r="Z24" s="56"/>
      <c r="AA24" s="55"/>
      <c r="AB24" s="55"/>
      <c r="AC24" s="55"/>
      <c r="AD24" s="55"/>
      <c r="AE24" s="55"/>
      <c r="AF24" s="55"/>
    </row>
    <row r="25" spans="1:32" s="57" customFormat="1" ht="15.75" hidden="1" customHeight="1">
      <c r="A25" s="17"/>
      <c r="B25" s="2"/>
      <c r="C25" s="51"/>
      <c r="D25" s="51"/>
      <c r="E25" s="51"/>
      <c r="F25" s="51"/>
      <c r="G25" s="51"/>
      <c r="H25" s="51"/>
      <c r="I25" s="51"/>
      <c r="J25" s="51"/>
      <c r="K25" s="51"/>
      <c r="L25" s="51"/>
      <c r="M25" s="51"/>
      <c r="N25" s="51"/>
      <c r="O25" s="51"/>
      <c r="P25" s="51"/>
      <c r="Q25" s="51"/>
      <c r="R25" s="52"/>
      <c r="S25" s="53"/>
      <c r="T25" s="54"/>
      <c r="U25" s="52"/>
      <c r="V25" s="55"/>
      <c r="W25" s="55"/>
      <c r="X25" s="52"/>
      <c r="Y25" s="52"/>
      <c r="Z25" s="56"/>
      <c r="AA25" s="55"/>
      <c r="AB25" s="55"/>
      <c r="AC25" s="55"/>
      <c r="AD25" s="55"/>
      <c r="AE25" s="55"/>
      <c r="AF25" s="55"/>
    </row>
    <row r="26" spans="1:32" s="57" customFormat="1" ht="15.75" hidden="1" customHeight="1">
      <c r="A26" s="17"/>
      <c r="B26" s="2"/>
      <c r="C26" s="51"/>
      <c r="D26" s="51"/>
      <c r="E26" s="51"/>
      <c r="F26" s="51"/>
      <c r="G26" s="51"/>
      <c r="H26" s="51"/>
      <c r="I26" s="51"/>
      <c r="J26" s="51"/>
      <c r="K26" s="51"/>
      <c r="L26" s="51"/>
      <c r="M26" s="51"/>
      <c r="N26" s="51"/>
      <c r="O26" s="51"/>
      <c r="P26" s="51"/>
      <c r="Q26" s="51"/>
      <c r="R26" s="52"/>
      <c r="S26" s="53"/>
      <c r="T26" s="54"/>
      <c r="U26" s="52"/>
      <c r="V26" s="55"/>
      <c r="W26" s="55"/>
      <c r="X26" s="52"/>
      <c r="Y26" s="52"/>
      <c r="Z26" s="56"/>
      <c r="AA26" s="55"/>
      <c r="AB26" s="55"/>
      <c r="AC26" s="55"/>
      <c r="AD26" s="55"/>
      <c r="AE26" s="55"/>
      <c r="AF26" s="55"/>
    </row>
    <row r="27" spans="1:32" s="57" customFormat="1" ht="15.75" hidden="1" customHeight="1">
      <c r="A27" s="17"/>
      <c r="B27" s="2"/>
      <c r="C27" s="51"/>
      <c r="D27" s="51"/>
      <c r="E27" s="51"/>
      <c r="F27" s="51"/>
      <c r="G27" s="51"/>
      <c r="H27" s="51"/>
      <c r="I27" s="51"/>
      <c r="J27" s="51"/>
      <c r="K27" s="51"/>
      <c r="L27" s="51"/>
      <c r="M27" s="51"/>
      <c r="N27" s="51"/>
      <c r="O27" s="51"/>
      <c r="P27" s="51"/>
      <c r="Q27" s="51"/>
      <c r="R27" s="52"/>
      <c r="S27" s="53"/>
      <c r="T27" s="54"/>
      <c r="U27" s="52"/>
      <c r="V27" s="55"/>
      <c r="W27" s="55"/>
      <c r="X27" s="52"/>
      <c r="Y27" s="52"/>
      <c r="Z27" s="56"/>
      <c r="AA27" s="55"/>
      <c r="AB27" s="55"/>
      <c r="AC27" s="55"/>
      <c r="AD27" s="55"/>
      <c r="AE27" s="55"/>
      <c r="AF27" s="55"/>
    </row>
    <row r="28" spans="1:32" s="57" customFormat="1" ht="15.75" hidden="1" customHeight="1">
      <c r="A28" s="17"/>
      <c r="B28" s="2"/>
      <c r="C28" s="51"/>
      <c r="D28" s="51"/>
      <c r="E28" s="51"/>
      <c r="F28" s="51"/>
      <c r="G28" s="51"/>
      <c r="H28" s="51"/>
      <c r="I28" s="51"/>
      <c r="J28" s="51"/>
      <c r="K28" s="51"/>
      <c r="L28" s="51"/>
      <c r="M28" s="51"/>
      <c r="N28" s="51"/>
      <c r="O28" s="51"/>
      <c r="P28" s="51"/>
      <c r="Q28" s="51"/>
      <c r="R28" s="52"/>
      <c r="S28" s="53"/>
      <c r="T28" s="54"/>
      <c r="U28" s="52"/>
      <c r="V28" s="55"/>
      <c r="W28" s="55"/>
      <c r="X28" s="52"/>
      <c r="Y28" s="52"/>
      <c r="Z28" s="56"/>
      <c r="AA28" s="55"/>
      <c r="AB28" s="55"/>
      <c r="AC28" s="55"/>
      <c r="AD28" s="55"/>
      <c r="AE28" s="55"/>
      <c r="AF28" s="55"/>
    </row>
    <row r="29" spans="1:32" s="57" customFormat="1" ht="15.75" hidden="1" customHeight="1">
      <c r="A29" s="17"/>
      <c r="B29" s="2"/>
      <c r="C29" s="51"/>
      <c r="D29" s="51"/>
      <c r="E29" s="51"/>
      <c r="F29" s="51"/>
      <c r="G29" s="51"/>
      <c r="H29" s="51"/>
      <c r="I29" s="51"/>
      <c r="J29" s="51"/>
      <c r="K29" s="51"/>
      <c r="L29" s="51"/>
      <c r="M29" s="51"/>
      <c r="N29" s="51"/>
      <c r="O29" s="51"/>
      <c r="P29" s="51"/>
      <c r="Q29" s="51"/>
      <c r="R29" s="52"/>
      <c r="S29" s="53"/>
      <c r="T29" s="54"/>
      <c r="U29" s="52"/>
      <c r="V29" s="55"/>
      <c r="W29" s="55"/>
      <c r="X29" s="52"/>
      <c r="Y29" s="52"/>
      <c r="Z29" s="56"/>
      <c r="AA29" s="55"/>
      <c r="AB29" s="55"/>
      <c r="AC29" s="55"/>
      <c r="AD29" s="55"/>
      <c r="AE29" s="55"/>
      <c r="AF29" s="55"/>
    </row>
    <row r="30" spans="1:32" s="57" customFormat="1" ht="15.75" hidden="1" customHeight="1">
      <c r="A30" s="17"/>
      <c r="B30" s="2"/>
      <c r="C30" s="51"/>
      <c r="D30" s="51"/>
      <c r="E30" s="51"/>
      <c r="F30" s="51"/>
      <c r="G30" s="51"/>
      <c r="H30" s="51"/>
      <c r="I30" s="51"/>
      <c r="J30" s="51"/>
      <c r="K30" s="51"/>
      <c r="L30" s="51"/>
      <c r="M30" s="51"/>
      <c r="N30" s="51"/>
      <c r="O30" s="51"/>
      <c r="P30" s="51"/>
      <c r="Q30" s="51"/>
      <c r="R30" s="52"/>
      <c r="S30" s="53"/>
      <c r="T30" s="54"/>
      <c r="U30" s="52"/>
      <c r="V30" s="55"/>
      <c r="W30" s="55"/>
      <c r="X30" s="52"/>
      <c r="Y30" s="52"/>
      <c r="Z30" s="56"/>
      <c r="AA30" s="55"/>
      <c r="AB30" s="55"/>
      <c r="AC30" s="55"/>
      <c r="AD30" s="55"/>
      <c r="AE30" s="55"/>
      <c r="AF30" s="55"/>
    </row>
    <row r="31" spans="1:32" s="57" customFormat="1" ht="15.75" hidden="1" customHeight="1">
      <c r="A31" s="17"/>
      <c r="B31" s="2"/>
      <c r="C31" s="51"/>
      <c r="D31" s="51"/>
      <c r="E31" s="51"/>
      <c r="F31" s="51"/>
      <c r="G31" s="51"/>
      <c r="H31" s="51"/>
      <c r="I31" s="51"/>
      <c r="J31" s="51"/>
      <c r="K31" s="51"/>
      <c r="L31" s="51"/>
      <c r="M31" s="51"/>
      <c r="N31" s="51"/>
      <c r="O31" s="51"/>
      <c r="P31" s="51"/>
      <c r="Q31" s="51"/>
      <c r="R31" s="52"/>
      <c r="S31" s="53"/>
      <c r="T31" s="54"/>
      <c r="U31" s="52"/>
      <c r="V31" s="55"/>
      <c r="W31" s="55"/>
      <c r="X31" s="52"/>
      <c r="Y31" s="52"/>
      <c r="Z31" s="56"/>
      <c r="AA31" s="55"/>
      <c r="AB31" s="55"/>
      <c r="AC31" s="55"/>
      <c r="AD31" s="55"/>
      <c r="AE31" s="55"/>
      <c r="AF31" s="55"/>
    </row>
    <row r="32" spans="1:32" s="57" customFormat="1" ht="15.75" hidden="1" customHeight="1">
      <c r="A32" s="17"/>
      <c r="B32" s="2"/>
      <c r="C32" s="51"/>
      <c r="D32" s="51"/>
      <c r="E32" s="51"/>
      <c r="F32" s="51"/>
      <c r="G32" s="51"/>
      <c r="H32" s="51"/>
      <c r="I32" s="51"/>
      <c r="J32" s="51"/>
      <c r="K32" s="51"/>
      <c r="L32" s="51"/>
      <c r="M32" s="51"/>
      <c r="N32" s="51"/>
      <c r="O32" s="51"/>
      <c r="P32" s="51"/>
      <c r="Q32" s="51"/>
      <c r="R32" s="52"/>
      <c r="S32" s="53"/>
      <c r="T32" s="54"/>
      <c r="U32" s="52"/>
      <c r="V32" s="55"/>
      <c r="W32" s="55"/>
      <c r="X32" s="52"/>
      <c r="Y32" s="52"/>
      <c r="Z32" s="56"/>
      <c r="AA32" s="55"/>
      <c r="AB32" s="55"/>
      <c r="AC32" s="55"/>
      <c r="AD32" s="55"/>
      <c r="AE32" s="55"/>
      <c r="AF32" s="52"/>
    </row>
    <row r="33" spans="1:32" s="57" customFormat="1" ht="15.75" hidden="1" customHeight="1">
      <c r="A33" s="17"/>
      <c r="B33" s="2"/>
      <c r="C33" s="51"/>
      <c r="D33" s="51"/>
      <c r="E33" s="51"/>
      <c r="F33" s="51"/>
      <c r="G33" s="51"/>
      <c r="H33" s="51"/>
      <c r="I33" s="51"/>
      <c r="J33" s="51"/>
      <c r="K33" s="51"/>
      <c r="L33" s="51"/>
      <c r="M33" s="51"/>
      <c r="N33" s="51"/>
      <c r="O33" s="51"/>
      <c r="P33" s="51"/>
      <c r="Q33" s="51"/>
      <c r="R33" s="52"/>
      <c r="S33" s="53"/>
      <c r="T33" s="54"/>
      <c r="U33" s="52"/>
      <c r="V33" s="55"/>
      <c r="W33" s="55"/>
      <c r="X33" s="52"/>
      <c r="Y33" s="52"/>
      <c r="Z33" s="56"/>
      <c r="AA33" s="55"/>
      <c r="AB33" s="55"/>
      <c r="AC33" s="55"/>
      <c r="AD33" s="55"/>
      <c r="AE33" s="55"/>
      <c r="AF33" s="55"/>
    </row>
    <row r="34" spans="1:32" s="57" customFormat="1" ht="15.75" hidden="1" customHeight="1">
      <c r="A34" s="17"/>
      <c r="B34" s="2"/>
      <c r="C34" s="51"/>
      <c r="D34" s="51"/>
      <c r="E34" s="51"/>
      <c r="F34" s="51"/>
      <c r="G34" s="51"/>
      <c r="H34" s="51"/>
      <c r="I34" s="51"/>
      <c r="J34" s="51"/>
      <c r="K34" s="51"/>
      <c r="L34" s="51"/>
      <c r="M34" s="51"/>
      <c r="N34" s="51"/>
      <c r="O34" s="51"/>
      <c r="P34" s="51"/>
      <c r="Q34" s="51"/>
      <c r="R34" s="55"/>
      <c r="S34" s="53"/>
      <c r="T34" s="54"/>
      <c r="U34" s="52"/>
      <c r="V34" s="55"/>
      <c r="W34" s="55"/>
      <c r="X34" s="52"/>
      <c r="Y34" s="52"/>
      <c r="Z34" s="56"/>
      <c r="AA34" s="55"/>
      <c r="AB34" s="55"/>
      <c r="AC34" s="55"/>
      <c r="AD34" s="55"/>
      <c r="AE34" s="55"/>
      <c r="AF34" s="55"/>
    </row>
    <row r="35" spans="1:32" s="57" customFormat="1" ht="15.75" hidden="1" customHeight="1">
      <c r="A35" s="17"/>
      <c r="B35" s="2"/>
      <c r="C35" s="51"/>
      <c r="D35" s="51"/>
      <c r="E35" s="51"/>
      <c r="F35" s="51"/>
      <c r="G35" s="51"/>
      <c r="H35" s="51"/>
      <c r="I35" s="51"/>
      <c r="J35" s="51"/>
      <c r="K35" s="51"/>
      <c r="L35" s="51"/>
      <c r="M35" s="51"/>
      <c r="N35" s="51"/>
      <c r="O35" s="51"/>
      <c r="P35" s="51"/>
      <c r="Q35" s="51"/>
      <c r="R35" s="55"/>
      <c r="S35" s="53"/>
      <c r="T35" s="54"/>
      <c r="U35" s="52"/>
      <c r="V35" s="55"/>
      <c r="W35" s="55"/>
      <c r="X35" s="52"/>
      <c r="Y35" s="52"/>
      <c r="Z35" s="56"/>
      <c r="AA35" s="55"/>
      <c r="AB35" s="55"/>
      <c r="AC35" s="55"/>
      <c r="AD35" s="55"/>
      <c r="AE35" s="55"/>
      <c r="AF35" s="55"/>
    </row>
    <row r="36" spans="1:32" s="57" customFormat="1" ht="15.75" hidden="1" customHeight="1">
      <c r="A36" s="17"/>
      <c r="B36" s="2"/>
      <c r="C36" s="51"/>
      <c r="D36" s="51"/>
      <c r="E36" s="51"/>
      <c r="F36" s="51"/>
      <c r="G36" s="51"/>
      <c r="H36" s="51"/>
      <c r="I36" s="51"/>
      <c r="J36" s="51"/>
      <c r="K36" s="51"/>
      <c r="L36" s="51"/>
      <c r="M36" s="51"/>
      <c r="N36" s="51"/>
      <c r="O36" s="51"/>
      <c r="P36" s="51"/>
      <c r="Q36" s="51"/>
      <c r="R36" s="55"/>
      <c r="S36" s="53"/>
      <c r="T36" s="54"/>
      <c r="U36" s="55"/>
      <c r="V36" s="55"/>
      <c r="W36" s="55"/>
      <c r="X36" s="55"/>
      <c r="Y36" s="52"/>
      <c r="Z36" s="56"/>
      <c r="AA36" s="55"/>
      <c r="AB36" s="55"/>
      <c r="AC36" s="55"/>
      <c r="AD36" s="55"/>
      <c r="AE36" s="55"/>
      <c r="AF36" s="55"/>
    </row>
    <row r="37" spans="1:32" s="57" customFormat="1" ht="15.75" hidden="1" customHeight="1">
      <c r="A37" s="17"/>
      <c r="B37" s="2"/>
      <c r="C37" s="51"/>
      <c r="D37" s="51"/>
      <c r="E37" s="51"/>
      <c r="F37" s="51"/>
      <c r="G37" s="51"/>
      <c r="H37" s="51"/>
      <c r="I37" s="51"/>
      <c r="J37" s="51"/>
      <c r="K37" s="51"/>
      <c r="L37" s="51"/>
      <c r="M37" s="51"/>
      <c r="N37" s="51"/>
      <c r="O37" s="51"/>
      <c r="P37" s="51"/>
      <c r="Q37" s="51"/>
      <c r="R37" s="55"/>
      <c r="S37" s="53"/>
      <c r="T37" s="54"/>
      <c r="U37" s="52"/>
      <c r="V37" s="55"/>
      <c r="W37" s="55"/>
      <c r="X37" s="52"/>
      <c r="Y37" s="52"/>
      <c r="Z37" s="56"/>
      <c r="AA37" s="55"/>
      <c r="AB37" s="55"/>
      <c r="AC37" s="55"/>
      <c r="AD37" s="55"/>
      <c r="AE37" s="55"/>
      <c r="AF37" s="55"/>
    </row>
    <row r="38" spans="1:32" s="57" customFormat="1" ht="15.75" hidden="1" customHeight="1">
      <c r="A38" s="17"/>
      <c r="B38" s="2"/>
      <c r="C38" s="51"/>
      <c r="D38" s="51"/>
      <c r="E38" s="51"/>
      <c r="F38" s="51"/>
      <c r="G38" s="51"/>
      <c r="H38" s="51"/>
      <c r="I38" s="51"/>
      <c r="J38" s="51"/>
      <c r="K38" s="51"/>
      <c r="L38" s="51"/>
      <c r="M38" s="51"/>
      <c r="N38" s="51"/>
      <c r="O38" s="51"/>
      <c r="P38" s="51"/>
      <c r="Q38" s="51"/>
      <c r="R38" s="52"/>
      <c r="S38" s="53"/>
      <c r="T38" s="54"/>
      <c r="U38" s="52"/>
      <c r="V38" s="55"/>
      <c r="W38" s="55"/>
      <c r="X38" s="52"/>
      <c r="Y38" s="52"/>
      <c r="Z38" s="56"/>
      <c r="AA38" s="55"/>
      <c r="AB38" s="55"/>
      <c r="AC38" s="55"/>
      <c r="AD38" s="55"/>
      <c r="AE38" s="55"/>
      <c r="AF38" s="55"/>
    </row>
    <row r="39" spans="1:32" s="57" customFormat="1" ht="15.75" hidden="1" customHeight="1">
      <c r="A39" s="17"/>
      <c r="B39" s="2"/>
      <c r="C39" s="51"/>
      <c r="D39" s="51"/>
      <c r="E39" s="51"/>
      <c r="F39" s="51"/>
      <c r="G39" s="51"/>
      <c r="H39" s="51"/>
      <c r="I39" s="51"/>
      <c r="J39" s="51"/>
      <c r="K39" s="51"/>
      <c r="L39" s="51"/>
      <c r="M39" s="51"/>
      <c r="N39" s="51"/>
      <c r="O39" s="51"/>
      <c r="P39" s="51"/>
      <c r="Q39" s="51"/>
      <c r="R39" s="55"/>
      <c r="S39" s="53"/>
      <c r="T39" s="54"/>
      <c r="U39" s="52"/>
      <c r="V39" s="55"/>
      <c r="W39" s="55"/>
      <c r="X39" s="52"/>
      <c r="Y39" s="52"/>
      <c r="Z39" s="56"/>
      <c r="AA39" s="52"/>
      <c r="AB39" s="55"/>
      <c r="AC39" s="55"/>
      <c r="AD39" s="55"/>
      <c r="AE39" s="55"/>
      <c r="AF39" s="55"/>
    </row>
    <row r="40" spans="1:32" s="57" customFormat="1" ht="15.75" hidden="1" customHeight="1">
      <c r="A40" s="17"/>
      <c r="B40" s="2"/>
      <c r="C40" s="51"/>
      <c r="D40" s="51"/>
      <c r="E40" s="51"/>
      <c r="F40" s="51"/>
      <c r="G40" s="51"/>
      <c r="H40" s="51"/>
      <c r="I40" s="51"/>
      <c r="J40" s="51"/>
      <c r="K40" s="51"/>
      <c r="L40" s="51"/>
      <c r="M40" s="51"/>
      <c r="N40" s="51"/>
      <c r="O40" s="51"/>
      <c r="P40" s="51"/>
      <c r="Q40" s="51"/>
      <c r="R40" s="55"/>
      <c r="S40" s="53"/>
      <c r="T40" s="54"/>
      <c r="U40" s="52"/>
      <c r="V40" s="55"/>
      <c r="W40" s="55"/>
      <c r="X40" s="52"/>
      <c r="Y40" s="52"/>
      <c r="Z40" s="56"/>
      <c r="AA40" s="55"/>
      <c r="AB40" s="55"/>
      <c r="AC40" s="55"/>
      <c r="AD40" s="55"/>
      <c r="AE40" s="55"/>
      <c r="AF40" s="55"/>
    </row>
    <row r="41" spans="1:32" s="57" customFormat="1" ht="15.75" hidden="1" customHeight="1">
      <c r="A41" s="17"/>
      <c r="B41" s="2"/>
      <c r="C41" s="51"/>
      <c r="D41" s="51"/>
      <c r="E41" s="51"/>
      <c r="F41" s="51"/>
      <c r="G41" s="51"/>
      <c r="H41" s="51"/>
      <c r="I41" s="51"/>
      <c r="J41" s="51"/>
      <c r="K41" s="51"/>
      <c r="L41" s="51"/>
      <c r="M41" s="51"/>
      <c r="N41" s="51"/>
      <c r="O41" s="51"/>
      <c r="P41" s="51"/>
      <c r="Q41" s="51"/>
      <c r="R41" s="55"/>
      <c r="S41" s="53"/>
      <c r="T41" s="54"/>
      <c r="U41" s="52"/>
      <c r="V41" s="55"/>
      <c r="W41" s="55"/>
      <c r="X41" s="52"/>
      <c r="Y41" s="52"/>
      <c r="Z41" s="56"/>
      <c r="AA41" s="55"/>
      <c r="AB41" s="55"/>
      <c r="AC41" s="55"/>
      <c r="AD41" s="55"/>
      <c r="AE41" s="55"/>
      <c r="AF41" s="55"/>
    </row>
    <row r="42" spans="1:32" s="57" customFormat="1" ht="15.75" hidden="1" customHeight="1">
      <c r="A42" s="17"/>
      <c r="B42" s="2"/>
      <c r="C42" s="51"/>
      <c r="D42" s="51"/>
      <c r="E42" s="51"/>
      <c r="F42" s="51"/>
      <c r="G42" s="51"/>
      <c r="H42" s="51"/>
      <c r="I42" s="51"/>
      <c r="J42" s="51"/>
      <c r="K42" s="51"/>
      <c r="L42" s="51"/>
      <c r="M42" s="51"/>
      <c r="N42" s="51"/>
      <c r="O42" s="51"/>
      <c r="P42" s="51"/>
      <c r="Q42" s="51"/>
      <c r="R42" s="55"/>
      <c r="S42" s="53"/>
      <c r="T42" s="54"/>
      <c r="U42" s="52"/>
      <c r="V42" s="55"/>
      <c r="W42" s="55"/>
      <c r="X42" s="52"/>
      <c r="Y42" s="52"/>
      <c r="Z42" s="56"/>
      <c r="AA42" s="55"/>
      <c r="AB42" s="55"/>
      <c r="AC42" s="55"/>
      <c r="AD42" s="55"/>
      <c r="AE42" s="55"/>
      <c r="AF42" s="55"/>
    </row>
    <row r="43" spans="1:32" s="57" customFormat="1" ht="15.75" hidden="1" customHeight="1">
      <c r="A43" s="17"/>
      <c r="B43" s="2"/>
      <c r="C43" s="51"/>
      <c r="D43" s="51"/>
      <c r="E43" s="51"/>
      <c r="F43" s="51"/>
      <c r="G43" s="51"/>
      <c r="H43" s="51"/>
      <c r="I43" s="51"/>
      <c r="J43" s="51"/>
      <c r="K43" s="51"/>
      <c r="L43" s="51"/>
      <c r="M43" s="51"/>
      <c r="N43" s="51"/>
      <c r="O43" s="51"/>
      <c r="P43" s="51"/>
      <c r="Q43" s="51"/>
      <c r="R43" s="55"/>
      <c r="S43" s="53"/>
      <c r="T43" s="54"/>
      <c r="U43" s="52"/>
      <c r="V43" s="55"/>
      <c r="W43" s="55"/>
      <c r="X43" s="52"/>
      <c r="Y43" s="52"/>
      <c r="Z43" s="56"/>
      <c r="AA43" s="55"/>
      <c r="AB43" s="55"/>
      <c r="AC43" s="55"/>
      <c r="AD43" s="55"/>
      <c r="AE43" s="55"/>
      <c r="AF43" s="55"/>
    </row>
    <row r="44" spans="1:32" s="57" customFormat="1" ht="15.75" hidden="1" customHeight="1">
      <c r="A44" s="17"/>
      <c r="B44" s="2"/>
      <c r="C44" s="51"/>
      <c r="D44" s="51"/>
      <c r="E44" s="51"/>
      <c r="F44" s="51"/>
      <c r="G44" s="51"/>
      <c r="H44" s="51"/>
      <c r="I44" s="51"/>
      <c r="J44" s="51"/>
      <c r="K44" s="51"/>
      <c r="L44" s="51"/>
      <c r="M44" s="51"/>
      <c r="N44" s="51"/>
      <c r="O44" s="51"/>
      <c r="P44" s="51"/>
      <c r="Q44" s="51"/>
      <c r="R44" s="55"/>
      <c r="S44" s="53"/>
      <c r="T44" s="54"/>
      <c r="U44" s="52"/>
      <c r="V44" s="55"/>
      <c r="W44" s="55"/>
      <c r="X44" s="52"/>
      <c r="Y44" s="52"/>
      <c r="Z44" s="56"/>
      <c r="AA44" s="55"/>
      <c r="AB44" s="55"/>
      <c r="AC44" s="55"/>
      <c r="AD44" s="55"/>
      <c r="AE44" s="55"/>
      <c r="AF44" s="55"/>
    </row>
    <row r="45" spans="1:32" s="57" customFormat="1" ht="15.75" hidden="1" customHeight="1">
      <c r="A45" s="17"/>
      <c r="B45" s="2"/>
      <c r="C45" s="51"/>
      <c r="D45" s="51"/>
      <c r="E45" s="51"/>
      <c r="F45" s="51"/>
      <c r="G45" s="51"/>
      <c r="H45" s="51"/>
      <c r="I45" s="51"/>
      <c r="J45" s="51"/>
      <c r="K45" s="51"/>
      <c r="L45" s="51"/>
      <c r="M45" s="51"/>
      <c r="N45" s="51"/>
      <c r="O45" s="51"/>
      <c r="P45" s="51"/>
      <c r="Q45" s="51"/>
      <c r="R45" s="55"/>
      <c r="S45" s="53"/>
      <c r="T45" s="54"/>
      <c r="U45" s="52"/>
      <c r="V45" s="55"/>
      <c r="W45" s="55"/>
      <c r="X45" s="52"/>
      <c r="Y45" s="52"/>
      <c r="Z45" s="56"/>
      <c r="AA45" s="55"/>
      <c r="AB45" s="55"/>
      <c r="AC45" s="55"/>
      <c r="AD45" s="55"/>
      <c r="AE45" s="55"/>
      <c r="AF45" s="55"/>
    </row>
    <row r="46" spans="1:32" s="57" customFormat="1" ht="15.75" hidden="1" customHeight="1">
      <c r="A46" s="17"/>
      <c r="B46" s="2"/>
      <c r="C46" s="51"/>
      <c r="D46" s="51"/>
      <c r="E46" s="51"/>
      <c r="F46" s="51"/>
      <c r="G46" s="51"/>
      <c r="H46" s="51"/>
      <c r="I46" s="51"/>
      <c r="J46" s="51"/>
      <c r="K46" s="51"/>
      <c r="L46" s="51"/>
      <c r="M46" s="51"/>
      <c r="N46" s="51"/>
      <c r="O46" s="51"/>
      <c r="P46" s="51"/>
      <c r="Q46" s="51"/>
      <c r="R46" s="55"/>
      <c r="S46" s="53"/>
      <c r="T46" s="54"/>
      <c r="U46" s="52"/>
      <c r="V46" s="55"/>
      <c r="W46" s="55"/>
      <c r="X46" s="52"/>
      <c r="Y46" s="52"/>
      <c r="Z46" s="56"/>
      <c r="AA46" s="55"/>
      <c r="AB46" s="55"/>
      <c r="AC46" s="55"/>
      <c r="AD46" s="55"/>
      <c r="AE46" s="55"/>
      <c r="AF46" s="55"/>
    </row>
    <row r="47" spans="1:32" s="57" customFormat="1" ht="15.75" hidden="1" customHeight="1">
      <c r="A47" s="17"/>
      <c r="B47" s="2"/>
      <c r="C47" s="51"/>
      <c r="D47" s="51"/>
      <c r="E47" s="51"/>
      <c r="F47" s="51"/>
      <c r="G47" s="51"/>
      <c r="H47" s="51"/>
      <c r="I47" s="51"/>
      <c r="J47" s="51"/>
      <c r="K47" s="51"/>
      <c r="L47" s="51"/>
      <c r="M47" s="51"/>
      <c r="N47" s="51"/>
      <c r="O47" s="51"/>
      <c r="P47" s="51"/>
      <c r="Q47" s="51"/>
      <c r="R47" s="55"/>
      <c r="S47" s="53"/>
      <c r="T47" s="54"/>
      <c r="U47" s="52"/>
      <c r="V47" s="55"/>
      <c r="W47" s="55"/>
      <c r="X47" s="52"/>
      <c r="Y47" s="52"/>
      <c r="Z47" s="56"/>
      <c r="AA47" s="55"/>
      <c r="AB47" s="55"/>
      <c r="AC47" s="55"/>
      <c r="AD47" s="55"/>
      <c r="AE47" s="55"/>
      <c r="AF47" s="55"/>
    </row>
    <row r="48" spans="1:32" s="57" customFormat="1" ht="15.75" hidden="1" customHeight="1">
      <c r="A48" s="17"/>
      <c r="B48" s="2"/>
      <c r="C48" s="51"/>
      <c r="D48" s="51"/>
      <c r="E48" s="51"/>
      <c r="F48" s="51"/>
      <c r="G48" s="51"/>
      <c r="H48" s="51"/>
      <c r="I48" s="51"/>
      <c r="J48" s="51"/>
      <c r="K48" s="51"/>
      <c r="L48" s="51"/>
      <c r="M48" s="51"/>
      <c r="N48" s="51"/>
      <c r="O48" s="51"/>
      <c r="P48" s="51"/>
      <c r="Q48" s="51"/>
      <c r="R48" s="55"/>
      <c r="S48" s="53"/>
      <c r="T48" s="54"/>
      <c r="U48" s="52"/>
      <c r="V48" s="55"/>
      <c r="W48" s="55"/>
      <c r="X48" s="52"/>
      <c r="Y48" s="52"/>
      <c r="Z48" s="56"/>
      <c r="AA48" s="55"/>
      <c r="AB48" s="55"/>
      <c r="AC48" s="55"/>
      <c r="AD48" s="55"/>
      <c r="AE48" s="55"/>
      <c r="AF48" s="55"/>
    </row>
    <row r="49" spans="1:32" s="57" customFormat="1" ht="15.75" hidden="1" customHeight="1">
      <c r="A49" s="17"/>
      <c r="B49" s="2"/>
      <c r="C49" s="51"/>
      <c r="D49" s="51"/>
      <c r="E49" s="51"/>
      <c r="F49" s="51"/>
      <c r="G49" s="51"/>
      <c r="H49" s="51"/>
      <c r="I49" s="51"/>
      <c r="J49" s="51"/>
      <c r="K49" s="51"/>
      <c r="L49" s="51"/>
      <c r="M49" s="51"/>
      <c r="N49" s="51"/>
      <c r="O49" s="51"/>
      <c r="P49" s="51"/>
      <c r="Q49" s="51"/>
      <c r="R49" s="55"/>
      <c r="S49" s="53"/>
      <c r="T49" s="54"/>
      <c r="U49" s="52"/>
      <c r="V49" s="55"/>
      <c r="W49" s="55"/>
      <c r="X49" s="52"/>
      <c r="Y49" s="52"/>
      <c r="Z49" s="56"/>
      <c r="AA49" s="55"/>
      <c r="AB49" s="55"/>
      <c r="AC49" s="55"/>
      <c r="AD49" s="55"/>
      <c r="AE49" s="55"/>
      <c r="AF49" s="55"/>
    </row>
    <row r="50" spans="1:32" s="57" customFormat="1" ht="15.75" hidden="1" customHeight="1">
      <c r="A50" s="2"/>
      <c r="B50" s="2"/>
      <c r="C50" s="51"/>
      <c r="D50" s="51"/>
      <c r="E50" s="51"/>
      <c r="F50" s="51"/>
      <c r="G50" s="51"/>
      <c r="H50" s="51"/>
      <c r="I50" s="51"/>
      <c r="J50" s="51"/>
      <c r="K50" s="51"/>
      <c r="L50" s="51"/>
      <c r="M50" s="51"/>
      <c r="N50" s="51"/>
      <c r="O50" s="51"/>
      <c r="P50" s="51"/>
      <c r="Q50" s="51"/>
      <c r="R50" s="55"/>
      <c r="S50" s="53"/>
      <c r="T50" s="54"/>
      <c r="U50" s="55"/>
      <c r="V50" s="55"/>
      <c r="W50" s="55"/>
      <c r="X50" s="55"/>
      <c r="Y50" s="55"/>
      <c r="Z50" s="56"/>
      <c r="AA50" s="55"/>
      <c r="AB50" s="55"/>
      <c r="AC50" s="55"/>
      <c r="AD50" s="55"/>
      <c r="AE50" s="55"/>
      <c r="AF50" s="55"/>
    </row>
    <row r="51" spans="1:32" s="57" customFormat="1" ht="15.75" hidden="1" customHeight="1">
      <c r="A51" s="2"/>
      <c r="B51" s="2"/>
      <c r="C51" s="51"/>
      <c r="D51" s="51"/>
      <c r="E51" s="51"/>
      <c r="F51" s="51"/>
      <c r="G51" s="51"/>
      <c r="H51" s="51"/>
      <c r="I51" s="51"/>
      <c r="J51" s="51"/>
      <c r="K51" s="51"/>
      <c r="L51" s="51"/>
      <c r="M51" s="51"/>
      <c r="N51" s="51"/>
      <c r="O51" s="51"/>
      <c r="P51" s="51"/>
      <c r="Q51" s="51"/>
      <c r="R51" s="55"/>
      <c r="S51" s="53"/>
      <c r="T51" s="54"/>
      <c r="U51" s="55"/>
      <c r="V51" s="55"/>
      <c r="W51" s="55"/>
      <c r="X51" s="55"/>
      <c r="Y51" s="55"/>
      <c r="Z51" s="56"/>
      <c r="AA51" s="55"/>
      <c r="AB51" s="55"/>
      <c r="AC51" s="55"/>
      <c r="AD51" s="55"/>
      <c r="AE51" s="55"/>
      <c r="AF51" s="55"/>
    </row>
    <row r="52" spans="1:32" s="57" customFormat="1" ht="15.75" hidden="1" customHeight="1">
      <c r="A52" s="2"/>
      <c r="B52" s="2"/>
      <c r="C52" s="51"/>
      <c r="D52" s="51"/>
      <c r="E52" s="51"/>
      <c r="F52" s="51"/>
      <c r="G52" s="51"/>
      <c r="H52" s="51"/>
      <c r="I52" s="51"/>
      <c r="J52" s="51"/>
      <c r="K52" s="51"/>
      <c r="L52" s="51"/>
      <c r="M52" s="51"/>
      <c r="N52" s="51"/>
      <c r="O52" s="51"/>
      <c r="P52" s="51"/>
      <c r="Q52" s="51"/>
      <c r="R52" s="55"/>
      <c r="S52" s="53"/>
      <c r="T52" s="54"/>
      <c r="U52" s="55"/>
      <c r="V52" s="55"/>
      <c r="W52" s="55"/>
      <c r="X52" s="55"/>
      <c r="Y52" s="55"/>
      <c r="Z52" s="56"/>
      <c r="AA52" s="55"/>
      <c r="AB52" s="55"/>
      <c r="AC52" s="55"/>
      <c r="AD52" s="55"/>
      <c r="AE52" s="55"/>
      <c r="AF52" s="55"/>
    </row>
    <row r="53" spans="1:32" s="57" customFormat="1">
      <c r="A53" s="2" t="s">
        <v>38</v>
      </c>
      <c r="B53" s="2" t="s">
        <v>44</v>
      </c>
      <c r="C53" s="51">
        <f t="shared" ref="C53:C56" si="1">IFERROR(F53/D53," - ")</f>
        <v>24.990000000000006</v>
      </c>
      <c r="D53" s="51">
        <v>32</v>
      </c>
      <c r="E53" s="51">
        <v>0</v>
      </c>
      <c r="F53" s="51">
        <v>799.68000000000018</v>
      </c>
      <c r="G53" s="51">
        <v>0</v>
      </c>
      <c r="H53" s="51">
        <f t="shared" ref="H53:H56" si="2">G53/F53*-1</f>
        <v>0</v>
      </c>
      <c r="I53" s="51">
        <f t="shared" ref="I53:I56" si="3">J53/F53</f>
        <v>0.30391455110249282</v>
      </c>
      <c r="J53" s="51">
        <f t="shared" ref="J53:J56" si="4">F53*0.85+G53+AD53*D53+D53*AC53+AE53+AB53</f>
        <v>243.03438822564152</v>
      </c>
      <c r="K53" s="51">
        <f t="shared" ref="K53:K56" si="5">J53/D53</f>
        <v>7.5948246320512975</v>
      </c>
      <c r="L53" s="51">
        <v>135</v>
      </c>
      <c r="M53" s="51">
        <f t="shared" ref="M53:M56" si="6">IFERROR(D53/L53,"-")</f>
        <v>0.23703703703703705</v>
      </c>
      <c r="N53" s="51">
        <v>160</v>
      </c>
      <c r="O53" s="51">
        <f t="shared" ref="O53:P53" si="7">D53/7</f>
        <v>4.5714285714285712</v>
      </c>
      <c r="P53" s="51">
        <f t="shared" si="7"/>
        <v>0</v>
      </c>
      <c r="Q53" s="51">
        <f t="shared" ref="Q53:Q56" si="8">ROUNDDOWN(N53/(O53+P53),0)</f>
        <v>35</v>
      </c>
      <c r="R53" s="55">
        <f ca="1">IFERROR(__xludf.DUMMYFUNCTION("IFERROR(VLOOKUP($B$2,IMPORTRANGE(""https://docs.google.com/spreadsheets/d/1iVgg6Mw12RULLujzHmfOFIY8Q_KaAD8anoZzgtVAQ74/edit#gid=1503384807"",""Second Star - Summary!A1:AD2000""),9,FALSE),"""")"),0)</f>
        <v>0</v>
      </c>
      <c r="S53" s="53">
        <f ca="1">IFERROR(__xludf.DUMMYFUNCTION("IFERROR(VLOOKUP($B$2,IMPORTRANGE(""https://docs.google.com/spreadsheets/d/1iVgg6Mw12RULLujzHmfOFIY8Q_KaAD8anoZzgtVAQ74/edit#gid=1503384807"",""Second Star - Summary!A1:AD2000""),28,FALSE),"""")"),0)</f>
        <v>0</v>
      </c>
      <c r="T53" s="54" t="str">
        <f ca="1">IFERROR(__xludf.DUMMYFUNCTION("IFERROR(VLOOKUP($B$2,IMPORTRANGE(""https://docs.google.com/spreadsheets/d/1iVgg6Mw12RULLujzHmfOFIY8Q_KaAD8anoZzgtVAQ74/edit#gid=1503384807"",""Second Star - Summary!A1:AD2000""),29,FALSE),"""")"),"")</f>
        <v/>
      </c>
      <c r="U53" s="55">
        <v>0</v>
      </c>
      <c r="V53" s="55">
        <f t="shared" ref="V53:V56" si="9">IFERROR(U53/D53,0)</f>
        <v>0</v>
      </c>
      <c r="W53" s="55">
        <f t="shared" ref="W53:W56" si="10">IFERROR(G53/(U53+X53)*-1,0)</f>
        <v>0</v>
      </c>
      <c r="X53" s="55">
        <v>0</v>
      </c>
      <c r="Y53" s="55" t="s">
        <v>35</v>
      </c>
      <c r="Z53" s="56">
        <f t="shared" ref="Z53:Z56" si="11">IF(OR(Y53="UsLargeStandardSize",Y53="UsSmallStandardSize"),-2.4,-1.2)</f>
        <v>-2.4</v>
      </c>
      <c r="AA53" s="55">
        <v>0.1486009236111111</v>
      </c>
      <c r="AB53" s="55">
        <f t="shared" ref="AB53:AB56" si="12">IFERROR(Z53*AA53*D53*3,0)</f>
        <v>-34.237652799999992</v>
      </c>
      <c r="AC53" s="55">
        <v>-5.42</v>
      </c>
      <c r="AD53" s="55">
        <v>-7.1567487179487097</v>
      </c>
      <c r="AE53" s="55">
        <v>0</v>
      </c>
      <c r="AF53" s="55">
        <v>2.02020202020202E-2</v>
      </c>
    </row>
    <row r="54" spans="1:32" s="57" customFormat="1">
      <c r="A54" s="2" t="s">
        <v>40</v>
      </c>
      <c r="B54" s="2" t="s">
        <v>45</v>
      </c>
      <c r="C54" s="51">
        <f t="shared" si="1"/>
        <v>26.39909090909083</v>
      </c>
      <c r="D54" s="51">
        <v>132</v>
      </c>
      <c r="E54" s="51">
        <v>0</v>
      </c>
      <c r="F54" s="51">
        <v>3484.6799999999894</v>
      </c>
      <c r="G54" s="51">
        <v>0</v>
      </c>
      <c r="H54" s="51">
        <f t="shared" si="2"/>
        <v>0</v>
      </c>
      <c r="I54" s="51">
        <f t="shared" si="3"/>
        <v>0.33306267761480673</v>
      </c>
      <c r="J54" s="51">
        <f t="shared" si="4"/>
        <v>1160.6168514307612</v>
      </c>
      <c r="K54" s="51">
        <f t="shared" si="5"/>
        <v>8.7925519047784935</v>
      </c>
      <c r="L54" s="51">
        <v>436</v>
      </c>
      <c r="M54" s="51">
        <f t="shared" si="6"/>
        <v>0.30275229357798167</v>
      </c>
      <c r="N54" s="51">
        <v>16</v>
      </c>
      <c r="O54" s="51">
        <f t="shared" ref="O54:P54" si="13">D54/7</f>
        <v>18.857142857142858</v>
      </c>
      <c r="P54" s="51">
        <f t="shared" si="13"/>
        <v>0</v>
      </c>
      <c r="Q54" s="51">
        <f t="shared" si="8"/>
        <v>0</v>
      </c>
      <c r="R54" s="55">
        <f ca="1">IFERROR(__xludf.DUMMYFUNCTION("IFERROR(VLOOKUP($B$2,IMPORTRANGE(""https://docs.google.com/spreadsheets/d/1iVgg6Mw12RULLujzHmfOFIY8Q_KaAD8anoZzgtVAQ74/edit#gid=1503384807"",""Second Star - Summary!A1:AD2000""),9,FALSE),"""")"),0)</f>
        <v>0</v>
      </c>
      <c r="S54" s="53">
        <f ca="1">IFERROR(__xludf.DUMMYFUNCTION("IFERROR(VLOOKUP($B$2,IMPORTRANGE(""https://docs.google.com/spreadsheets/d/1iVgg6Mw12RULLujzHmfOFIY8Q_KaAD8anoZzgtVAQ74/edit#gid=1503384807"",""Second Star - Summary!A1:AD2000""),28,FALSE),"""")"),0)</f>
        <v>0</v>
      </c>
      <c r="T54" s="54" t="str">
        <f ca="1">IFERROR(__xludf.DUMMYFUNCTION("IFERROR(VLOOKUP($B$2,IMPORTRANGE(""https://docs.google.com/spreadsheets/d/1iVgg6Mw12RULLujzHmfOFIY8Q_KaAD8anoZzgtVAQ74/edit#gid=1503384807"",""Second Star - Summary!A1:AD2000""),29,FALSE),"""")"),"")</f>
        <v/>
      </c>
      <c r="U54" s="55">
        <v>0</v>
      </c>
      <c r="V54" s="55">
        <f t="shared" si="9"/>
        <v>0</v>
      </c>
      <c r="W54" s="55">
        <f t="shared" si="10"/>
        <v>0</v>
      </c>
      <c r="X54" s="55">
        <v>0</v>
      </c>
      <c r="Y54" s="55" t="s">
        <v>35</v>
      </c>
      <c r="Z54" s="56">
        <f t="shared" si="11"/>
        <v>-2.4</v>
      </c>
      <c r="AA54" s="55">
        <v>0.1486009236111111</v>
      </c>
      <c r="AB54" s="55">
        <f t="shared" si="12"/>
        <v>-141.23031779999997</v>
      </c>
      <c r="AC54" s="55">
        <v>-5.42</v>
      </c>
      <c r="AD54" s="55">
        <v>-7.1567487179487097</v>
      </c>
      <c r="AE54" s="55">
        <v>0</v>
      </c>
      <c r="AF54" s="55">
        <v>181</v>
      </c>
    </row>
    <row r="55" spans="1:32" s="57" customFormat="1" ht="15.75" customHeight="1">
      <c r="A55" s="2" t="s">
        <v>32</v>
      </c>
      <c r="B55" s="2" t="s">
        <v>46</v>
      </c>
      <c r="C55" s="51">
        <f t="shared" si="1"/>
        <v>26.99</v>
      </c>
      <c r="D55" s="51">
        <v>1</v>
      </c>
      <c r="E55" s="51">
        <v>0</v>
      </c>
      <c r="F55" s="51">
        <v>26.99</v>
      </c>
      <c r="G55" s="51">
        <v>0</v>
      </c>
      <c r="H55" s="51">
        <f t="shared" si="2"/>
        <v>0</v>
      </c>
      <c r="I55" s="51">
        <f t="shared" si="3"/>
        <v>0.34438031241390477</v>
      </c>
      <c r="J55" s="51">
        <f t="shared" si="4"/>
        <v>9.2948246320512897</v>
      </c>
      <c r="K55" s="51">
        <f t="shared" si="5"/>
        <v>9.2948246320512897</v>
      </c>
      <c r="L55" s="51">
        <v>30</v>
      </c>
      <c r="M55" s="51">
        <f t="shared" si="6"/>
        <v>3.3333333333333333E-2</v>
      </c>
      <c r="N55" s="51">
        <v>3</v>
      </c>
      <c r="O55" s="51">
        <f t="shared" ref="O55:P55" si="14">D55/7</f>
        <v>0.14285714285714285</v>
      </c>
      <c r="P55" s="51">
        <f t="shared" si="14"/>
        <v>0</v>
      </c>
      <c r="Q55" s="51">
        <f t="shared" si="8"/>
        <v>21</v>
      </c>
      <c r="R55" s="55">
        <v>0</v>
      </c>
      <c r="S55" s="53" t="s">
        <v>34</v>
      </c>
      <c r="T55" s="54" t="s">
        <v>34</v>
      </c>
      <c r="U55" s="55">
        <v>0</v>
      </c>
      <c r="V55" s="55">
        <f t="shared" si="9"/>
        <v>0</v>
      </c>
      <c r="W55" s="55">
        <f t="shared" si="10"/>
        <v>0</v>
      </c>
      <c r="X55" s="55">
        <v>0</v>
      </c>
      <c r="Y55" s="55" t="s">
        <v>35</v>
      </c>
      <c r="Z55" s="56">
        <f t="shared" si="11"/>
        <v>-2.4</v>
      </c>
      <c r="AA55" s="55">
        <v>0.1486009236111111</v>
      </c>
      <c r="AB55" s="55">
        <f t="shared" si="12"/>
        <v>-1.0699266499999998</v>
      </c>
      <c r="AC55" s="55">
        <v>-5.42</v>
      </c>
      <c r="AD55" s="55">
        <v>-7.1567487179487097</v>
      </c>
      <c r="AE55" s="55">
        <v>0</v>
      </c>
      <c r="AF55" s="55">
        <v>300</v>
      </c>
    </row>
    <row r="56" spans="1:32" s="57" customFormat="1" ht="15.75" customHeight="1">
      <c r="A56" s="2" t="s">
        <v>36</v>
      </c>
      <c r="B56" s="2"/>
      <c r="C56" s="51" t="str">
        <f t="shared" si="1"/>
        <v xml:space="preserve"> - </v>
      </c>
      <c r="D56" s="51">
        <v>0</v>
      </c>
      <c r="E56" s="51">
        <v>0</v>
      </c>
      <c r="F56" s="51">
        <v>0</v>
      </c>
      <c r="G56" s="51">
        <v>0</v>
      </c>
      <c r="H56" s="51" t="e">
        <f t="shared" si="2"/>
        <v>#DIV/0!</v>
      </c>
      <c r="I56" s="51" t="e">
        <f t="shared" si="3"/>
        <v>#DIV/0!</v>
      </c>
      <c r="J56" s="51">
        <f t="shared" si="4"/>
        <v>0</v>
      </c>
      <c r="K56" s="51" t="e">
        <f t="shared" si="5"/>
        <v>#DIV/0!</v>
      </c>
      <c r="L56" s="51">
        <v>0</v>
      </c>
      <c r="M56" s="51" t="str">
        <f t="shared" si="6"/>
        <v>-</v>
      </c>
      <c r="N56" s="51">
        <v>1</v>
      </c>
      <c r="O56" s="51">
        <f t="shared" ref="O56:P56" si="15">D56/7</f>
        <v>0</v>
      </c>
      <c r="P56" s="51">
        <f t="shared" si="15"/>
        <v>0</v>
      </c>
      <c r="Q56" s="51" t="e">
        <f t="shared" si="8"/>
        <v>#DIV/0!</v>
      </c>
      <c r="R56" s="55">
        <f ca="1">IFERROR(__xludf.DUMMYFUNCTION("IFERROR(VLOOKUP($B$2,IMPORTRANGE(""https://docs.google.com/spreadsheets/d/1iVgg6Mw12RULLujzHmfOFIY8Q_KaAD8anoZzgtVAQ74/edit#gid=1503384807"",""Second Star - Summary!A1:AD2000""),9,FALSE),"""")"),0)</f>
        <v>0</v>
      </c>
      <c r="S56" s="53">
        <f ca="1">IFERROR(__xludf.DUMMYFUNCTION("IFERROR(VLOOKUP($B$2,IMPORTRANGE(""https://docs.google.com/spreadsheets/d/1iVgg6Mw12RULLujzHmfOFIY8Q_KaAD8anoZzgtVAQ74/edit#gid=1503384807"",""Second Star - Summary!A1:AD2000""),28,FALSE),"""")"),0)</f>
        <v>0</v>
      </c>
      <c r="T56" s="54" t="str">
        <f ca="1">IFERROR(__xludf.DUMMYFUNCTION("IFERROR(VLOOKUP($B$2,IMPORTRANGE(""https://docs.google.com/spreadsheets/d/1iVgg6Mw12RULLujzHmfOFIY8Q_KaAD8anoZzgtVAQ74/edit#gid=1503384807"",""Second Star - Summary!A1:AD2000""),29,FALSE),"""")"),"")</f>
        <v/>
      </c>
      <c r="U56" s="55">
        <v>0</v>
      </c>
      <c r="V56" s="55">
        <f t="shared" si="9"/>
        <v>0</v>
      </c>
      <c r="W56" s="55">
        <f t="shared" si="10"/>
        <v>0</v>
      </c>
      <c r="X56" s="55">
        <v>0</v>
      </c>
      <c r="Y56" s="55" t="e">
        <v>#N/A</v>
      </c>
      <c r="Z56" s="56" t="e">
        <f t="shared" si="11"/>
        <v>#N/A</v>
      </c>
      <c r="AA56" s="55" t="e">
        <v>#N/A</v>
      </c>
      <c r="AB56" s="55">
        <f t="shared" si="12"/>
        <v>0</v>
      </c>
      <c r="AC56" s="55">
        <v>0</v>
      </c>
      <c r="AD56" s="55">
        <v>-7.1567487179487097</v>
      </c>
      <c r="AE56" s="55">
        <v>0</v>
      </c>
      <c r="AF56" s="55">
        <v>2.95566502463054</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3"/>
    </row>
    <row r="222" spans="1:3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3"/>
    </row>
    <row r="223" spans="1:32"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3"/>
    </row>
    <row r="224" spans="1:32"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3"/>
    </row>
    <row r="225" spans="1:32"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3"/>
    </row>
    <row r="226" spans="1:32"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3"/>
    </row>
    <row r="227" spans="1:32"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3"/>
    </row>
    <row r="228" spans="1:32"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3"/>
    </row>
    <row r="229" spans="1:32"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3"/>
    </row>
    <row r="230" spans="1:32"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3"/>
    </row>
    <row r="231" spans="1:32"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3"/>
    </row>
    <row r="232" spans="1: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3"/>
    </row>
    <row r="233" spans="1:32"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3"/>
    </row>
    <row r="234" spans="1:32"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3"/>
    </row>
    <row r="235" spans="1:32"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3"/>
    </row>
    <row r="236" spans="1:32"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3"/>
    </row>
    <row r="237" spans="1:32"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3"/>
    </row>
    <row r="238" spans="1:32"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3"/>
    </row>
    <row r="239" spans="1:32"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row r="255" spans="1:32" ht="15.75" customHeight="1"/>
    <row r="256" spans="1:3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520" priority="1" operator="lessThan">
      <formula>100</formula>
    </cfRule>
  </conditionalFormatting>
  <conditionalFormatting sqref="Q1:Q3 Q57:Q1000">
    <cfRule type="cellIs" dxfId="519" priority="2" operator="lessThan">
      <formula>100</formula>
    </cfRule>
  </conditionalFormatting>
  <conditionalFormatting sqref="I1:I3 I57:I1000">
    <cfRule type="cellIs" dxfId="518" priority="3" operator="lessThan">
      <formula>0.05</formula>
    </cfRule>
  </conditionalFormatting>
  <conditionalFormatting sqref="I4:I17">
    <cfRule type="cellIs" dxfId="517" priority="4" operator="lessThan">
      <formula>0.05</formula>
    </cfRule>
  </conditionalFormatting>
  <conditionalFormatting sqref="I18:I56">
    <cfRule type="cellIs" dxfId="516" priority="5" operator="lessThan">
      <formula>0.05</formula>
    </cfRule>
  </conditionalFormatting>
  <conditionalFormatting sqref="Q4:Q56">
    <cfRule type="cellIs" dxfId="515" priority="6" operator="lessThan">
      <formula>100</formula>
    </cfRule>
  </conditionalFormatting>
  <conditionalFormatting sqref="Q4:Q56">
    <cfRule type="cellIs" dxfId="514" priority="7" operator="lessThan">
      <formula>100</formula>
    </cfRule>
  </conditionalFormatting>
  <pageMargins left="0.7" right="0.7" top="0.75" bottom="0.75" header="0" footer="0"/>
  <pageSetup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1000"/>
  <sheetViews>
    <sheetView tabSelected="1" workbookViewId="0">
      <pane xSplit="2" ySplit="3" topLeftCell="XDV34" activePane="bottomRight" state="frozen"/>
      <selection activeCell="B63" sqref="B63"/>
      <selection pane="topRight" activeCell="B63" sqref="B63"/>
      <selection pane="bottomLeft" activeCell="B63" sqref="B63"/>
      <selection pane="bottomRight" activeCell="XEV45" sqref="XEV45"/>
    </sheetView>
  </sheetViews>
  <sheetFormatPr baseColWidth="10" defaultColWidth="14.5" defaultRowHeight="15" customHeight="1"/>
  <cols>
    <col min="1" max="1" width="17.5" customWidth="1"/>
    <col min="2" max="2" width="31.1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Info!B1:BJ5000""),4,FALSE),"""")"),"Organic, Bamboo Crib Mattress Pad - Quilted, Deep Skirt - 28"" x 52""")</f>
        <v>Organic, Bamboo Crib Mattress Pad - Quilted, Deep Skirt - 28" x 52"</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Info!B1:BJ5000""),3,FALSE),"""")"),"B01865W9OA")</f>
        <v>B01865W9OA</v>
      </c>
      <c r="B2" s="4" t="s">
        <v>47</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13.052388888888883</v>
      </c>
      <c r="D3" s="8">
        <f>SUM(D4:D99819)</f>
        <v>176</v>
      </c>
      <c r="E3" s="8"/>
      <c r="F3" s="9">
        <f t="shared" ref="F3:G3" si="0">SUM(F4:F99819)</f>
        <v>2680.3900000000003</v>
      </c>
      <c r="G3" s="9">
        <f t="shared" si="0"/>
        <v>-88.14</v>
      </c>
      <c r="H3" s="10">
        <f t="shared" ref="H3:H39" si="1">G3/F3*-1</f>
        <v>3.288327444886751E-2</v>
      </c>
      <c r="I3" s="11">
        <f t="shared" ref="I3:I39" si="2">J3/F3</f>
        <v>-6.2252146285406086E-4</v>
      </c>
      <c r="J3" s="9">
        <f>SUM(J4:J99819)</f>
        <v>-1.6686003038193964</v>
      </c>
      <c r="K3" s="9">
        <f t="shared" ref="K3:K39" si="3">J3/D3</f>
        <v>-9.480683544428388E-3</v>
      </c>
      <c r="L3" s="8"/>
      <c r="M3" s="12"/>
      <c r="N3" s="13"/>
      <c r="O3" s="8" t="str">
        <f ca="1">IFERROR(__xludf.DUMMYFUNCTION("IFERROR(VLOOKUP(B2,IMPORTRANGE(""https://docs.google.com/spreadsheets/d/1owCo6kL_VFQ5nPTdNogErmCBLjNiktT1m3SzTrxu3R0/edit#gid=2146806407"",""Second Star - Compiled!b1:g5000""),2,FALSE),"""")"),"0 - March
0 - April
0 - May
0 - Jun
N/A - Jul
0 - Aug
0 - Sept
0 - Oct
0 - Nov
0 - Dec
0 - Jan
0 - Feb")</f>
        <v>0 - March
0 - April
0 - May
0 - Jun
N/A - Jul
0 - Aug
0 - Sept
0 - Oct
0 - Nov
0 - Dec
0 - Jan
0 - Feb</v>
      </c>
      <c r="P3" s="8"/>
      <c r="Q3" s="14"/>
      <c r="R3" s="13"/>
      <c r="S3" s="13"/>
      <c r="T3" s="13"/>
      <c r="U3" s="8">
        <f>SUM(U4:U99819)</f>
        <v>8</v>
      </c>
      <c r="V3" s="10">
        <f>AVERAGE(V4:V99819)</f>
        <v>2.893081761006289E-2</v>
      </c>
      <c r="W3" s="9">
        <f>ROUND(AVERAGE(W4:W99819),2)</f>
        <v>0.45</v>
      </c>
      <c r="X3" s="8"/>
      <c r="Y3" s="8"/>
      <c r="Z3" s="8"/>
      <c r="AA3" s="8"/>
      <c r="AB3" s="8"/>
      <c r="AC3" s="15"/>
      <c r="AD3" s="9"/>
      <c r="AE3" s="9">
        <f>SUM(AE4:AE99819)</f>
        <v>-0.75</v>
      </c>
      <c r="AF3" s="16"/>
    </row>
    <row r="4" spans="1:32" s="57" customFormat="1">
      <c r="A4" s="17" t="s">
        <v>48</v>
      </c>
      <c r="B4" s="17"/>
      <c r="C4" s="50">
        <v>13.99</v>
      </c>
      <c r="D4" s="51">
        <v>7</v>
      </c>
      <c r="E4" s="51">
        <v>0</v>
      </c>
      <c r="F4" s="51">
        <v>97.929999999999993</v>
      </c>
      <c r="G4" s="51">
        <v>-0.04</v>
      </c>
      <c r="H4" s="51">
        <f t="shared" si="1"/>
        <v>4.0845501889104466E-4</v>
      </c>
      <c r="I4" s="51">
        <f t="shared" si="2"/>
        <v>-3.2006042882813203E-2</v>
      </c>
      <c r="J4" s="51">
        <f t="shared" ref="J4:J38" si="4">F4*0.85+G4+AD4*D4+D4*AC4+AE4+AB4</f>
        <v>-3.1343517795138967</v>
      </c>
      <c r="K4" s="51">
        <f t="shared" si="3"/>
        <v>-0.44776453993055665</v>
      </c>
      <c r="L4" s="51">
        <v>59</v>
      </c>
      <c r="M4" s="51">
        <f t="shared" ref="M4:M39" si="5">IFERROR(D4/L4,"-")</f>
        <v>0.11864406779661017</v>
      </c>
      <c r="N4" s="51">
        <v>157</v>
      </c>
      <c r="O4" s="51">
        <f t="shared" ref="O4:P4" si="6">D4/7</f>
        <v>1</v>
      </c>
      <c r="P4" s="51">
        <f t="shared" si="6"/>
        <v>0</v>
      </c>
      <c r="Q4" s="51">
        <f t="shared" ref="Q4:Q39" si="7">ROUNDDOWN(N4/(O4+P4),0)</f>
        <v>157</v>
      </c>
      <c r="R4" s="52">
        <v>72</v>
      </c>
      <c r="S4" s="53" t="s">
        <v>34</v>
      </c>
      <c r="T4" s="54" t="s">
        <v>34</v>
      </c>
      <c r="U4" s="52">
        <v>0</v>
      </c>
      <c r="V4" s="55">
        <f t="shared" ref="V4:V39" si="8">IFERROR(U4/D4,0)</f>
        <v>0</v>
      </c>
      <c r="W4" s="55">
        <f t="shared" ref="W4:W39" si="9">IFERROR(G4/(U4+X4)*-1,0)</f>
        <v>0</v>
      </c>
      <c r="X4" s="52">
        <v>0</v>
      </c>
      <c r="Y4" s="56" t="s">
        <v>35</v>
      </c>
      <c r="Z4" s="56">
        <f t="shared" ref="Z4:Z10" si="10">IF(OR(Y4="UsLargeStandardSize",Y4="UsSmallStandardSize"),-0.69,-0.48)</f>
        <v>-0.69</v>
      </c>
      <c r="AA4" s="55">
        <v>0.17265624999999998</v>
      </c>
      <c r="AB4" s="55">
        <f t="shared" ref="AB4:AB17" si="11">IFERROR((Z4*AA4*N4)/4,0)</f>
        <v>-4.6759628906249988</v>
      </c>
      <c r="AC4" s="55">
        <v>-4.76</v>
      </c>
      <c r="AD4" s="55">
        <v>-6.905555555555555</v>
      </c>
      <c r="AE4" s="55">
        <v>0</v>
      </c>
      <c r="AF4" s="55"/>
    </row>
    <row r="5" spans="1:32" s="57" customFormat="1" ht="15.75" customHeight="1">
      <c r="A5" s="2" t="s">
        <v>49</v>
      </c>
      <c r="B5" s="2" t="s">
        <v>50</v>
      </c>
      <c r="C5" s="51">
        <v>13.99</v>
      </c>
      <c r="D5" s="51">
        <v>8</v>
      </c>
      <c r="E5" s="51">
        <v>0</v>
      </c>
      <c r="F5" s="51">
        <v>111.91999999999999</v>
      </c>
      <c r="G5" s="51">
        <v>-0.08</v>
      </c>
      <c r="H5" s="51">
        <f t="shared" si="1"/>
        <v>7.1479628305932822E-4</v>
      </c>
      <c r="I5" s="51">
        <f t="shared" si="2"/>
        <v>-2.5013324869946795E-2</v>
      </c>
      <c r="J5" s="51">
        <f t="shared" si="4"/>
        <v>-2.7994913194444448</v>
      </c>
      <c r="K5" s="51">
        <f t="shared" si="3"/>
        <v>-0.34993641493055561</v>
      </c>
      <c r="L5" s="51">
        <v>61</v>
      </c>
      <c r="M5" s="51">
        <f t="shared" si="5"/>
        <v>0.13114754098360656</v>
      </c>
      <c r="N5" s="51">
        <v>152</v>
      </c>
      <c r="O5" s="51">
        <f t="shared" ref="O5:P5" si="12">D5/7</f>
        <v>1.1428571428571428</v>
      </c>
      <c r="P5" s="51">
        <f t="shared" si="12"/>
        <v>0</v>
      </c>
      <c r="Q5" s="51">
        <f t="shared" si="7"/>
        <v>133</v>
      </c>
      <c r="R5" s="55">
        <v>72</v>
      </c>
      <c r="S5" s="53" t="s">
        <v>34</v>
      </c>
      <c r="T5" s="54" t="s">
        <v>34</v>
      </c>
      <c r="U5" s="55">
        <v>0</v>
      </c>
      <c r="V5" s="55">
        <f t="shared" si="8"/>
        <v>0</v>
      </c>
      <c r="W5" s="55">
        <f t="shared" si="9"/>
        <v>0</v>
      </c>
      <c r="X5" s="55">
        <v>0</v>
      </c>
      <c r="Y5" s="55" t="s">
        <v>35</v>
      </c>
      <c r="Z5" s="56">
        <f t="shared" si="10"/>
        <v>-0.69</v>
      </c>
      <c r="AA5" s="55">
        <v>0.17265624999999998</v>
      </c>
      <c r="AB5" s="55">
        <f t="shared" si="11"/>
        <v>-4.527046874999999</v>
      </c>
      <c r="AC5" s="55">
        <v>-4.76</v>
      </c>
      <c r="AD5" s="55">
        <v>-6.905555555555555</v>
      </c>
      <c r="AE5" s="55">
        <v>0</v>
      </c>
      <c r="AF5" s="55"/>
    </row>
    <row r="6" spans="1:32" s="57" customFormat="1" ht="15.75" customHeight="1">
      <c r="A6" s="2" t="s">
        <v>51</v>
      </c>
      <c r="B6" s="2" t="s">
        <v>52</v>
      </c>
      <c r="C6" s="51">
        <v>13.99</v>
      </c>
      <c r="D6" s="51">
        <v>5</v>
      </c>
      <c r="E6" s="51">
        <v>0</v>
      </c>
      <c r="F6" s="51">
        <v>69.95</v>
      </c>
      <c r="G6" s="51">
        <v>-1.51</v>
      </c>
      <c r="H6" s="51">
        <f t="shared" si="1"/>
        <v>2.1586847748391709E-2</v>
      </c>
      <c r="I6" s="51">
        <f t="shared" si="2"/>
        <v>-6.760007768445693E-2</v>
      </c>
      <c r="J6" s="51">
        <f t="shared" si="4"/>
        <v>-4.7286254340277623</v>
      </c>
      <c r="K6" s="51">
        <f t="shared" si="3"/>
        <v>-0.94572508680555245</v>
      </c>
      <c r="L6" s="51">
        <v>54</v>
      </c>
      <c r="M6" s="51">
        <f t="shared" si="5"/>
        <v>9.2592592592592587E-2</v>
      </c>
      <c r="N6" s="51">
        <v>146</v>
      </c>
      <c r="O6" s="51">
        <f t="shared" ref="O6:P6" si="13">D6/7</f>
        <v>0.7142857142857143</v>
      </c>
      <c r="P6" s="51">
        <f t="shared" si="13"/>
        <v>0</v>
      </c>
      <c r="Q6" s="51">
        <f t="shared" si="7"/>
        <v>204</v>
      </c>
      <c r="R6" s="55">
        <v>0</v>
      </c>
      <c r="S6" s="53" t="s">
        <v>34</v>
      </c>
      <c r="T6" s="54" t="s">
        <v>34</v>
      </c>
      <c r="U6" s="55">
        <v>0</v>
      </c>
      <c r="V6" s="55">
        <f t="shared" si="8"/>
        <v>0</v>
      </c>
      <c r="W6" s="55">
        <f t="shared" si="9"/>
        <v>0</v>
      </c>
      <c r="X6" s="55">
        <v>0</v>
      </c>
      <c r="Y6" s="55" t="s">
        <v>35</v>
      </c>
      <c r="Z6" s="56">
        <f t="shared" si="10"/>
        <v>-0.69</v>
      </c>
      <c r="AA6" s="55">
        <v>0.17265624999999998</v>
      </c>
      <c r="AB6" s="55">
        <f t="shared" si="11"/>
        <v>-4.3483476562499987</v>
      </c>
      <c r="AC6" s="55">
        <v>-4.76</v>
      </c>
      <c r="AD6" s="55">
        <v>-6.905555555555555</v>
      </c>
      <c r="AE6" s="55">
        <v>0</v>
      </c>
      <c r="AF6" s="55"/>
    </row>
    <row r="7" spans="1:32" s="57" customFormat="1" ht="15.75" customHeight="1">
      <c r="A7" s="2" t="s">
        <v>53</v>
      </c>
      <c r="B7" s="2"/>
      <c r="C7" s="51">
        <v>13.99</v>
      </c>
      <c r="D7" s="51">
        <v>3</v>
      </c>
      <c r="E7" s="51">
        <v>0</v>
      </c>
      <c r="F7" s="51">
        <v>41.97</v>
      </c>
      <c r="G7" s="51">
        <v>-1.44</v>
      </c>
      <c r="H7" s="51">
        <f t="shared" si="1"/>
        <v>3.4310221586847746E-2</v>
      </c>
      <c r="I7" s="51">
        <f t="shared" si="2"/>
        <v>-0.12034662655865301</v>
      </c>
      <c r="J7" s="51">
        <f t="shared" si="4"/>
        <v>-5.0509479166666669</v>
      </c>
      <c r="K7" s="51">
        <f t="shared" si="3"/>
        <v>-1.6836493055555557</v>
      </c>
      <c r="L7" s="51">
        <v>76</v>
      </c>
      <c r="M7" s="51">
        <f t="shared" si="5"/>
        <v>3.9473684210526314E-2</v>
      </c>
      <c r="N7" s="51">
        <v>144</v>
      </c>
      <c r="O7" s="51">
        <f t="shared" ref="O7:P7" si="14">D7/7</f>
        <v>0.42857142857142855</v>
      </c>
      <c r="P7" s="51">
        <f t="shared" si="14"/>
        <v>0</v>
      </c>
      <c r="Q7" s="51">
        <f t="shared" si="7"/>
        <v>336</v>
      </c>
      <c r="R7" s="55">
        <v>0</v>
      </c>
      <c r="S7" s="53" t="s">
        <v>34</v>
      </c>
      <c r="T7" s="54" t="s">
        <v>34</v>
      </c>
      <c r="U7" s="55">
        <v>0</v>
      </c>
      <c r="V7" s="55">
        <f t="shared" si="8"/>
        <v>0</v>
      </c>
      <c r="W7" s="55">
        <f t="shared" si="9"/>
        <v>1.44</v>
      </c>
      <c r="X7" s="55">
        <v>1</v>
      </c>
      <c r="Y7" s="55" t="s">
        <v>35</v>
      </c>
      <c r="Z7" s="56">
        <f t="shared" si="10"/>
        <v>-0.69</v>
      </c>
      <c r="AA7" s="55">
        <v>0.17265624999999998</v>
      </c>
      <c r="AB7" s="55">
        <f t="shared" si="11"/>
        <v>-4.2887812499999995</v>
      </c>
      <c r="AC7" s="55">
        <v>-4.76</v>
      </c>
      <c r="AD7" s="55">
        <v>-6.905555555555555</v>
      </c>
      <c r="AE7" s="55">
        <v>0</v>
      </c>
      <c r="AF7" s="55"/>
    </row>
    <row r="8" spans="1:32" s="57" customFormat="1" ht="15.75" customHeight="1">
      <c r="A8" s="2" t="s">
        <v>54</v>
      </c>
      <c r="B8" s="2" t="s">
        <v>55</v>
      </c>
      <c r="C8" s="51">
        <v>13.99</v>
      </c>
      <c r="D8" s="51">
        <v>2</v>
      </c>
      <c r="E8" s="51">
        <v>0</v>
      </c>
      <c r="F8" s="51">
        <v>27.98</v>
      </c>
      <c r="G8" s="51">
        <v>-2.04</v>
      </c>
      <c r="H8" s="51">
        <f t="shared" si="1"/>
        <v>7.290922087205147E-2</v>
      </c>
      <c r="I8" s="51">
        <f t="shared" si="2"/>
        <v>-0.19620124090372076</v>
      </c>
      <c r="J8" s="51">
        <f t="shared" si="4"/>
        <v>-5.4897107204861069</v>
      </c>
      <c r="K8" s="51">
        <f t="shared" si="3"/>
        <v>-2.7448553602430534</v>
      </c>
      <c r="L8" s="51">
        <v>53</v>
      </c>
      <c r="M8" s="51">
        <f t="shared" si="5"/>
        <v>3.7735849056603772E-2</v>
      </c>
      <c r="N8" s="51">
        <v>131</v>
      </c>
      <c r="O8" s="51">
        <f t="shared" ref="O8:P8" si="15">D8/7</f>
        <v>0.2857142857142857</v>
      </c>
      <c r="P8" s="51">
        <f t="shared" si="15"/>
        <v>0</v>
      </c>
      <c r="Q8" s="51">
        <f t="shared" si="7"/>
        <v>458</v>
      </c>
      <c r="R8" s="55">
        <v>0</v>
      </c>
      <c r="S8" s="53" t="s">
        <v>34</v>
      </c>
      <c r="T8" s="54" t="s">
        <v>34</v>
      </c>
      <c r="U8" s="55">
        <v>0</v>
      </c>
      <c r="V8" s="55">
        <f t="shared" si="8"/>
        <v>0</v>
      </c>
      <c r="W8" s="55">
        <f t="shared" si="9"/>
        <v>0</v>
      </c>
      <c r="X8" s="55">
        <v>0</v>
      </c>
      <c r="Y8" s="55" t="s">
        <v>35</v>
      </c>
      <c r="Z8" s="56">
        <f t="shared" si="10"/>
        <v>-0.69</v>
      </c>
      <c r="AA8" s="55">
        <v>0.17265624999999998</v>
      </c>
      <c r="AB8" s="55">
        <f t="shared" si="11"/>
        <v>-3.9015996093749994</v>
      </c>
      <c r="AC8" s="55">
        <v>-4.76</v>
      </c>
      <c r="AD8" s="55">
        <v>-6.905555555555555</v>
      </c>
      <c r="AE8" s="55">
        <v>0</v>
      </c>
      <c r="AF8" s="55"/>
    </row>
    <row r="9" spans="1:32" s="57" customFormat="1" ht="15.75" customHeight="1">
      <c r="A9" s="2" t="s">
        <v>56</v>
      </c>
      <c r="B9" s="2" t="s">
        <v>57</v>
      </c>
      <c r="C9" s="51">
        <v>12.14</v>
      </c>
      <c r="D9" s="51">
        <v>2</v>
      </c>
      <c r="E9" s="51">
        <v>0</v>
      </c>
      <c r="F9" s="51">
        <v>25.509999999999998</v>
      </c>
      <c r="G9" s="51">
        <v>-4.08</v>
      </c>
      <c r="H9" s="51">
        <f t="shared" si="1"/>
        <v>0.159937279498236</v>
      </c>
      <c r="I9" s="51">
        <f t="shared" si="2"/>
        <v>-0.37630056908510834</v>
      </c>
      <c r="J9" s="51">
        <f t="shared" si="4"/>
        <v>-9.5994275173611125</v>
      </c>
      <c r="K9" s="51">
        <f t="shared" si="3"/>
        <v>-4.7997137586805563</v>
      </c>
      <c r="L9" s="51">
        <v>60</v>
      </c>
      <c r="M9" s="51">
        <f t="shared" si="5"/>
        <v>3.3333333333333333E-2</v>
      </c>
      <c r="N9" s="51">
        <v>130</v>
      </c>
      <c r="O9" s="51">
        <f t="shared" ref="O9:P9" si="16">D9/7</f>
        <v>0.2857142857142857</v>
      </c>
      <c r="P9" s="51">
        <f t="shared" si="16"/>
        <v>0</v>
      </c>
      <c r="Q9" s="51">
        <f t="shared" si="7"/>
        <v>455</v>
      </c>
      <c r="R9" s="55">
        <v>0</v>
      </c>
      <c r="S9" s="53" t="s">
        <v>34</v>
      </c>
      <c r="T9" s="54" t="s">
        <v>34</v>
      </c>
      <c r="U9" s="55">
        <v>0</v>
      </c>
      <c r="V9" s="55">
        <f t="shared" si="8"/>
        <v>0</v>
      </c>
      <c r="W9" s="55">
        <f t="shared" si="9"/>
        <v>0</v>
      </c>
      <c r="X9" s="55">
        <v>0</v>
      </c>
      <c r="Y9" s="55" t="s">
        <v>35</v>
      </c>
      <c r="Z9" s="56">
        <f t="shared" si="10"/>
        <v>-0.69</v>
      </c>
      <c r="AA9" s="55">
        <v>0.17265624999999998</v>
      </c>
      <c r="AB9" s="55">
        <f t="shared" si="11"/>
        <v>-3.8718164062499993</v>
      </c>
      <c r="AC9" s="55">
        <v>-4.76</v>
      </c>
      <c r="AD9" s="55">
        <v>-6.905555555555555</v>
      </c>
      <c r="AE9" s="55">
        <v>0</v>
      </c>
      <c r="AF9" s="55"/>
    </row>
    <row r="10" spans="1:32" s="57" customFormat="1" ht="15.75" customHeight="1">
      <c r="A10" s="2" t="s">
        <v>58</v>
      </c>
      <c r="B10" s="2" t="s">
        <v>59</v>
      </c>
      <c r="C10" s="51">
        <v>12.66</v>
      </c>
      <c r="D10" s="51">
        <v>2</v>
      </c>
      <c r="E10" s="51">
        <v>0</v>
      </c>
      <c r="F10" s="51">
        <v>24.62</v>
      </c>
      <c r="G10" s="51">
        <v>-3.43</v>
      </c>
      <c r="H10" s="51">
        <f t="shared" si="1"/>
        <v>0.13931762794476035</v>
      </c>
      <c r="I10" s="51">
        <f t="shared" si="2"/>
        <v>-0.38818080835646263</v>
      </c>
      <c r="J10" s="51">
        <f t="shared" si="4"/>
        <v>-9.5570115017361097</v>
      </c>
      <c r="K10" s="51">
        <f t="shared" si="3"/>
        <v>-4.7785057508680548</v>
      </c>
      <c r="L10" s="51">
        <v>70</v>
      </c>
      <c r="M10" s="51">
        <f t="shared" si="5"/>
        <v>2.8571428571428571E-2</v>
      </c>
      <c r="N10" s="51">
        <v>125</v>
      </c>
      <c r="O10" s="51">
        <f t="shared" ref="O10:P10" si="17">D10/7</f>
        <v>0.2857142857142857</v>
      </c>
      <c r="P10" s="51">
        <f t="shared" si="17"/>
        <v>0</v>
      </c>
      <c r="Q10" s="51">
        <f t="shared" si="7"/>
        <v>437</v>
      </c>
      <c r="R10" s="55">
        <v>0</v>
      </c>
      <c r="S10" s="53" t="s">
        <v>34</v>
      </c>
      <c r="T10" s="54" t="s">
        <v>34</v>
      </c>
      <c r="U10" s="55">
        <v>0</v>
      </c>
      <c r="V10" s="55">
        <f t="shared" si="8"/>
        <v>0</v>
      </c>
      <c r="W10" s="55">
        <f t="shared" si="9"/>
        <v>0</v>
      </c>
      <c r="X10" s="55">
        <v>0</v>
      </c>
      <c r="Y10" s="55" t="s">
        <v>35</v>
      </c>
      <c r="Z10" s="56">
        <f t="shared" si="10"/>
        <v>-0.69</v>
      </c>
      <c r="AA10" s="55">
        <v>0.17265624999999998</v>
      </c>
      <c r="AB10" s="55">
        <f t="shared" si="11"/>
        <v>-3.7229003906249991</v>
      </c>
      <c r="AC10" s="55">
        <v>-4.76</v>
      </c>
      <c r="AD10" s="55">
        <v>-6.905555555555555</v>
      </c>
      <c r="AE10" s="55">
        <v>0</v>
      </c>
      <c r="AF10" s="55"/>
    </row>
    <row r="11" spans="1:32" s="57" customFormat="1" ht="15.75" customHeight="1">
      <c r="A11" s="2" t="s">
        <v>60</v>
      </c>
      <c r="B11" s="2" t="s">
        <v>61</v>
      </c>
      <c r="C11" s="51">
        <v>12.86</v>
      </c>
      <c r="D11" s="51">
        <v>4</v>
      </c>
      <c r="E11" s="51">
        <v>0</v>
      </c>
      <c r="F11" s="51">
        <v>55.77</v>
      </c>
      <c r="G11" s="51">
        <v>-7.1899999999999995</v>
      </c>
      <c r="H11" s="51">
        <f t="shared" si="1"/>
        <v>0.12892235969159044</v>
      </c>
      <c r="I11" s="51">
        <f t="shared" si="2"/>
        <v>-0.19705230388824135</v>
      </c>
      <c r="J11" s="51">
        <f t="shared" si="4"/>
        <v>-10.989606987847221</v>
      </c>
      <c r="K11" s="51">
        <f t="shared" si="3"/>
        <v>-2.7474017469618053</v>
      </c>
      <c r="L11" s="51">
        <v>48</v>
      </c>
      <c r="M11" s="51">
        <f t="shared" si="5"/>
        <v>8.3333333333333329E-2</v>
      </c>
      <c r="N11" s="51">
        <v>123</v>
      </c>
      <c r="O11" s="51">
        <f t="shared" ref="O11:P11" si="18">D11/7</f>
        <v>0.5714285714285714</v>
      </c>
      <c r="P11" s="51">
        <f t="shared" si="18"/>
        <v>0</v>
      </c>
      <c r="Q11" s="51">
        <f t="shared" si="7"/>
        <v>215</v>
      </c>
      <c r="R11" s="55">
        <v>0</v>
      </c>
      <c r="S11" s="53" t="s">
        <v>34</v>
      </c>
      <c r="T11" s="54" t="s">
        <v>34</v>
      </c>
      <c r="U11" s="55">
        <v>3</v>
      </c>
      <c r="V11" s="55">
        <f t="shared" si="8"/>
        <v>0.75</v>
      </c>
      <c r="W11" s="55">
        <f t="shared" si="9"/>
        <v>2.3966666666666665</v>
      </c>
      <c r="X11" s="55">
        <v>0</v>
      </c>
      <c r="Y11" s="55" t="s">
        <v>35</v>
      </c>
      <c r="Z11" s="56">
        <f t="shared" ref="Z11:Z39" si="19">IF(OR(Y11="UsLargeStandardSize",Y11="UsSmallStandardSize"),-0.75,-0.48)</f>
        <v>-0.75</v>
      </c>
      <c r="AA11" s="55">
        <v>0.17265624999999998</v>
      </c>
      <c r="AB11" s="55">
        <f t="shared" si="11"/>
        <v>-3.9818847656249998</v>
      </c>
      <c r="AC11" s="55">
        <v>-4.9000000000000004</v>
      </c>
      <c r="AD11" s="55">
        <v>-6.905555555555555</v>
      </c>
      <c r="AE11" s="55">
        <v>0</v>
      </c>
      <c r="AF11" s="55"/>
    </row>
    <row r="12" spans="1:32" s="57" customFormat="1" ht="15.75" customHeight="1">
      <c r="A12" s="2" t="s">
        <v>62</v>
      </c>
      <c r="B12" s="2" t="s">
        <v>61</v>
      </c>
      <c r="C12" s="51">
        <v>12.38</v>
      </c>
      <c r="D12" s="51">
        <v>4</v>
      </c>
      <c r="E12" s="51">
        <v>0</v>
      </c>
      <c r="F12" s="51">
        <v>53.489999999999995</v>
      </c>
      <c r="G12" s="51">
        <v>-0.06</v>
      </c>
      <c r="H12" s="51">
        <f t="shared" si="1"/>
        <v>1.1217049915872126E-3</v>
      </c>
      <c r="I12" s="51">
        <f t="shared" si="2"/>
        <v>-0.10172936010884702</v>
      </c>
      <c r="J12" s="51">
        <f t="shared" si="4"/>
        <v>-5.4415034722222266</v>
      </c>
      <c r="K12" s="51">
        <f t="shared" si="3"/>
        <v>-1.3603758680555567</v>
      </c>
      <c r="L12" s="51">
        <v>47</v>
      </c>
      <c r="M12" s="51">
        <f t="shared" si="5"/>
        <v>8.5106382978723402E-2</v>
      </c>
      <c r="N12" s="51">
        <v>112</v>
      </c>
      <c r="O12" s="51">
        <f t="shared" ref="O12:P12" si="20">D12/7</f>
        <v>0.5714285714285714</v>
      </c>
      <c r="P12" s="51">
        <f t="shared" si="20"/>
        <v>0</v>
      </c>
      <c r="Q12" s="51">
        <f t="shared" si="7"/>
        <v>196</v>
      </c>
      <c r="R12" s="55">
        <v>0</v>
      </c>
      <c r="S12" s="53" t="s">
        <v>34</v>
      </c>
      <c r="T12" s="54" t="s">
        <v>34</v>
      </c>
      <c r="U12" s="55">
        <v>0</v>
      </c>
      <c r="V12" s="55">
        <f t="shared" si="8"/>
        <v>0</v>
      </c>
      <c r="W12" s="55">
        <f t="shared" si="9"/>
        <v>0</v>
      </c>
      <c r="X12" s="55">
        <v>0</v>
      </c>
      <c r="Y12" s="55" t="s">
        <v>35</v>
      </c>
      <c r="Z12" s="56">
        <f t="shared" si="19"/>
        <v>-0.75</v>
      </c>
      <c r="AA12" s="55">
        <v>0.17265624999999998</v>
      </c>
      <c r="AB12" s="55">
        <f t="shared" si="11"/>
        <v>-3.6257812499999997</v>
      </c>
      <c r="AC12" s="55">
        <v>-4.9000000000000004</v>
      </c>
      <c r="AD12" s="55">
        <v>-6.905555555555555</v>
      </c>
      <c r="AE12" s="55">
        <v>0</v>
      </c>
      <c r="AF12" s="55"/>
    </row>
    <row r="13" spans="1:32" s="57" customFormat="1" ht="15.75" customHeight="1">
      <c r="A13" s="2" t="s">
        <v>63</v>
      </c>
      <c r="B13" s="2" t="s">
        <v>45</v>
      </c>
      <c r="C13" s="51">
        <v>12.57</v>
      </c>
      <c r="D13" s="51">
        <v>11</v>
      </c>
      <c r="E13" s="51">
        <v>0</v>
      </c>
      <c r="F13" s="51">
        <v>147</v>
      </c>
      <c r="G13" s="51">
        <v>0</v>
      </c>
      <c r="H13" s="51">
        <f t="shared" si="1"/>
        <v>0</v>
      </c>
      <c r="I13" s="51">
        <f t="shared" si="2"/>
        <v>-5.7193198459939538E-2</v>
      </c>
      <c r="J13" s="51">
        <f t="shared" si="4"/>
        <v>-8.4074001736111121</v>
      </c>
      <c r="K13" s="51">
        <f t="shared" si="3"/>
        <v>-0.76430910669191932</v>
      </c>
      <c r="L13" s="51">
        <v>51</v>
      </c>
      <c r="M13" s="51">
        <f t="shared" si="5"/>
        <v>0.21568627450980393</v>
      </c>
      <c r="N13" s="51">
        <v>108</v>
      </c>
      <c r="O13" s="51">
        <f t="shared" ref="O13:P13" si="21">D13/7</f>
        <v>1.5714285714285714</v>
      </c>
      <c r="P13" s="51">
        <f t="shared" si="21"/>
        <v>0</v>
      </c>
      <c r="Q13" s="51">
        <f t="shared" si="7"/>
        <v>68</v>
      </c>
      <c r="R13" s="55">
        <v>0</v>
      </c>
      <c r="S13" s="53" t="s">
        <v>34</v>
      </c>
      <c r="T13" s="54" t="s">
        <v>34</v>
      </c>
      <c r="U13" s="55">
        <v>0</v>
      </c>
      <c r="V13" s="55">
        <f t="shared" si="8"/>
        <v>0</v>
      </c>
      <c r="W13" s="55">
        <f t="shared" si="9"/>
        <v>0</v>
      </c>
      <c r="X13" s="55">
        <v>0</v>
      </c>
      <c r="Y13" s="55" t="s">
        <v>35</v>
      </c>
      <c r="Z13" s="56">
        <f t="shared" si="19"/>
        <v>-0.75</v>
      </c>
      <c r="AA13" s="55">
        <v>0.17265624999999998</v>
      </c>
      <c r="AB13" s="55">
        <f t="shared" si="11"/>
        <v>-3.4962890624999998</v>
      </c>
      <c r="AC13" s="55">
        <v>-4.9000000000000004</v>
      </c>
      <c r="AD13" s="55">
        <v>-6.905555555555555</v>
      </c>
      <c r="AE13" s="55">
        <v>0</v>
      </c>
      <c r="AF13" s="55"/>
    </row>
    <row r="14" spans="1:32" s="57" customFormat="1" ht="15.75" customHeight="1">
      <c r="A14" s="2" t="s">
        <v>64</v>
      </c>
      <c r="B14" s="2"/>
      <c r="C14" s="51">
        <v>11.99</v>
      </c>
      <c r="D14" s="51">
        <v>6</v>
      </c>
      <c r="E14" s="51">
        <v>0</v>
      </c>
      <c r="F14" s="51">
        <v>77.180000000000007</v>
      </c>
      <c r="G14" s="51">
        <v>-0.04</v>
      </c>
      <c r="H14" s="51">
        <f t="shared" si="1"/>
        <v>5.1826898160145117E-4</v>
      </c>
      <c r="I14" s="51">
        <f t="shared" si="2"/>
        <v>-0.10981167367139583</v>
      </c>
      <c r="J14" s="51">
        <f t="shared" si="4"/>
        <v>-8.4752649739583301</v>
      </c>
      <c r="K14" s="51">
        <f t="shared" si="3"/>
        <v>-1.4125441623263884</v>
      </c>
      <c r="L14" s="51">
        <v>68</v>
      </c>
      <c r="M14" s="51">
        <f t="shared" si="5"/>
        <v>8.8235294117647065E-2</v>
      </c>
      <c r="N14" s="51">
        <v>99</v>
      </c>
      <c r="O14" s="51">
        <f t="shared" ref="O14:P14" si="22">D14/7</f>
        <v>0.8571428571428571</v>
      </c>
      <c r="P14" s="51">
        <f t="shared" si="22"/>
        <v>0</v>
      </c>
      <c r="Q14" s="51">
        <f t="shared" si="7"/>
        <v>115</v>
      </c>
      <c r="R14" s="55">
        <v>0</v>
      </c>
      <c r="S14" s="53" t="s">
        <v>34</v>
      </c>
      <c r="T14" s="54" t="s">
        <v>34</v>
      </c>
      <c r="U14" s="55">
        <v>0</v>
      </c>
      <c r="V14" s="55">
        <f t="shared" si="8"/>
        <v>0</v>
      </c>
      <c r="W14" s="55">
        <f t="shared" si="9"/>
        <v>0</v>
      </c>
      <c r="X14" s="55">
        <v>0</v>
      </c>
      <c r="Y14" s="55" t="s">
        <v>35</v>
      </c>
      <c r="Z14" s="56">
        <f t="shared" si="19"/>
        <v>-0.75</v>
      </c>
      <c r="AA14" s="55">
        <v>0.17265624999999998</v>
      </c>
      <c r="AB14" s="55">
        <f t="shared" si="11"/>
        <v>-3.2049316406249999</v>
      </c>
      <c r="AC14" s="55">
        <v>-4.9000000000000004</v>
      </c>
      <c r="AD14" s="55">
        <v>-6.905555555555555</v>
      </c>
      <c r="AE14" s="55">
        <v>0</v>
      </c>
      <c r="AF14" s="55"/>
    </row>
    <row r="15" spans="1:32" s="57" customFormat="1" ht="15.75" customHeight="1">
      <c r="A15" s="2" t="s">
        <v>65</v>
      </c>
      <c r="B15" s="2" t="s">
        <v>45</v>
      </c>
      <c r="C15" s="51">
        <v>13.67</v>
      </c>
      <c r="D15" s="51">
        <v>4</v>
      </c>
      <c r="E15" s="51">
        <v>0</v>
      </c>
      <c r="F15" s="51">
        <v>50.52</v>
      </c>
      <c r="G15" s="51">
        <v>-0.12000000000000001</v>
      </c>
      <c r="H15" s="51">
        <f t="shared" si="1"/>
        <v>2.3752969121140144E-3</v>
      </c>
      <c r="I15" s="51">
        <f t="shared" si="2"/>
        <v>-0.14989669073579212</v>
      </c>
      <c r="J15" s="51">
        <f t="shared" si="4"/>
        <v>-7.5727808159722185</v>
      </c>
      <c r="K15" s="51">
        <f t="shared" si="3"/>
        <v>-1.8931952039930546</v>
      </c>
      <c r="L15" s="51">
        <v>53</v>
      </c>
      <c r="M15" s="51">
        <f t="shared" si="5"/>
        <v>7.5471698113207544E-2</v>
      </c>
      <c r="N15" s="51">
        <v>98</v>
      </c>
      <c r="O15" s="51">
        <f t="shared" ref="O15:P15" si="23">D15/7</f>
        <v>0.5714285714285714</v>
      </c>
      <c r="P15" s="51">
        <f t="shared" si="23"/>
        <v>0</v>
      </c>
      <c r="Q15" s="51">
        <f t="shared" si="7"/>
        <v>171</v>
      </c>
      <c r="R15" s="55">
        <v>0</v>
      </c>
      <c r="S15" s="53" t="s">
        <v>34</v>
      </c>
      <c r="T15" s="54" t="s">
        <v>34</v>
      </c>
      <c r="U15" s="55">
        <v>0</v>
      </c>
      <c r="V15" s="55">
        <f t="shared" si="8"/>
        <v>0</v>
      </c>
      <c r="W15" s="55">
        <f t="shared" si="9"/>
        <v>0</v>
      </c>
      <c r="X15" s="55">
        <v>0</v>
      </c>
      <c r="Y15" s="55" t="s">
        <v>35</v>
      </c>
      <c r="Z15" s="56">
        <f t="shared" si="19"/>
        <v>-0.75</v>
      </c>
      <c r="AA15" s="55">
        <v>0.17265624999999998</v>
      </c>
      <c r="AB15" s="55">
        <f t="shared" si="11"/>
        <v>-3.1725585937499998</v>
      </c>
      <c r="AC15" s="55">
        <v>-4.9000000000000004</v>
      </c>
      <c r="AD15" s="55">
        <v>-6.905555555555555</v>
      </c>
      <c r="AE15" s="55">
        <v>0</v>
      </c>
      <c r="AF15" s="55"/>
    </row>
    <row r="16" spans="1:32" s="57" customFormat="1" ht="15.75" customHeight="1">
      <c r="A16" s="2" t="s">
        <v>66</v>
      </c>
      <c r="B16" s="2" t="s">
        <v>45</v>
      </c>
      <c r="C16" s="51">
        <v>12.03</v>
      </c>
      <c r="D16" s="51">
        <v>4</v>
      </c>
      <c r="E16" s="51">
        <v>0</v>
      </c>
      <c r="F16" s="51">
        <v>50.769999999999996</v>
      </c>
      <c r="G16" s="51">
        <v>0</v>
      </c>
      <c r="H16" s="51">
        <f t="shared" si="1"/>
        <v>0</v>
      </c>
      <c r="I16" s="51">
        <f t="shared" si="2"/>
        <v>-0.13559537719809381</v>
      </c>
      <c r="J16" s="51">
        <f t="shared" si="4"/>
        <v>-6.884177300347222</v>
      </c>
      <c r="K16" s="51">
        <f t="shared" si="3"/>
        <v>-1.7210443250868055</v>
      </c>
      <c r="L16" s="51">
        <v>44</v>
      </c>
      <c r="M16" s="51">
        <f t="shared" si="5"/>
        <v>9.0909090909090912E-2</v>
      </c>
      <c r="N16" s="51">
        <v>87</v>
      </c>
      <c r="O16" s="51">
        <f t="shared" ref="O16:P16" si="24">D16/7</f>
        <v>0.5714285714285714</v>
      </c>
      <c r="P16" s="51">
        <f t="shared" si="24"/>
        <v>0</v>
      </c>
      <c r="Q16" s="51">
        <f t="shared" si="7"/>
        <v>152</v>
      </c>
      <c r="R16" s="55">
        <v>0</v>
      </c>
      <c r="S16" s="53" t="s">
        <v>34</v>
      </c>
      <c r="T16" s="54" t="s">
        <v>34</v>
      </c>
      <c r="U16" s="55">
        <v>0</v>
      </c>
      <c r="V16" s="55">
        <f t="shared" si="8"/>
        <v>0</v>
      </c>
      <c r="W16" s="55">
        <f t="shared" si="9"/>
        <v>0</v>
      </c>
      <c r="X16" s="55">
        <v>0</v>
      </c>
      <c r="Y16" s="55" t="s">
        <v>35</v>
      </c>
      <c r="Z16" s="56">
        <f t="shared" si="19"/>
        <v>-0.75</v>
      </c>
      <c r="AA16" s="55">
        <v>0.17265624999999998</v>
      </c>
      <c r="AB16" s="55">
        <f t="shared" si="11"/>
        <v>-2.8164550781249997</v>
      </c>
      <c r="AC16" s="55">
        <v>-4.9000000000000004</v>
      </c>
      <c r="AD16" s="55">
        <v>-6.905555555555555</v>
      </c>
      <c r="AE16" s="55">
        <v>0</v>
      </c>
      <c r="AF16" s="55"/>
    </row>
    <row r="17" spans="1:32" s="57" customFormat="1" ht="15.75" customHeight="1">
      <c r="A17" s="2" t="s">
        <v>67</v>
      </c>
      <c r="B17" s="2" t="s">
        <v>68</v>
      </c>
      <c r="C17" s="51">
        <v>12.54</v>
      </c>
      <c r="D17" s="51">
        <v>6</v>
      </c>
      <c r="E17" s="51">
        <v>0</v>
      </c>
      <c r="F17" s="51">
        <v>74.539999999999992</v>
      </c>
      <c r="G17" s="51">
        <v>0</v>
      </c>
      <c r="H17" s="51">
        <f t="shared" si="1"/>
        <v>0</v>
      </c>
      <c r="I17" s="51">
        <f t="shared" si="2"/>
        <v>-0.13632004593450953</v>
      </c>
      <c r="J17" s="51">
        <f t="shared" si="4"/>
        <v>-10.161296223958338</v>
      </c>
      <c r="K17" s="51">
        <f t="shared" si="3"/>
        <v>-1.6935493706597231</v>
      </c>
      <c r="L17" s="51">
        <v>53</v>
      </c>
      <c r="M17" s="51">
        <f t="shared" si="5"/>
        <v>0.11320754716981132</v>
      </c>
      <c r="N17" s="51">
        <v>83</v>
      </c>
      <c r="O17" s="51">
        <f t="shared" ref="O17:P17" si="25">D17/7</f>
        <v>0.8571428571428571</v>
      </c>
      <c r="P17" s="51">
        <f t="shared" si="25"/>
        <v>0</v>
      </c>
      <c r="Q17" s="51">
        <f t="shared" si="7"/>
        <v>96</v>
      </c>
      <c r="R17" s="55">
        <v>0</v>
      </c>
      <c r="S17" s="53" t="s">
        <v>34</v>
      </c>
      <c r="T17" s="54" t="s">
        <v>34</v>
      </c>
      <c r="U17" s="55">
        <v>0</v>
      </c>
      <c r="V17" s="55">
        <f t="shared" si="8"/>
        <v>0</v>
      </c>
      <c r="W17" s="55">
        <f t="shared" si="9"/>
        <v>0</v>
      </c>
      <c r="X17" s="55">
        <v>0</v>
      </c>
      <c r="Y17" s="55" t="s">
        <v>35</v>
      </c>
      <c r="Z17" s="56">
        <f t="shared" si="19"/>
        <v>-0.75</v>
      </c>
      <c r="AA17" s="55">
        <v>0.17265624999999998</v>
      </c>
      <c r="AB17" s="55">
        <f t="shared" si="11"/>
        <v>-2.6869628906249998</v>
      </c>
      <c r="AC17" s="55">
        <v>-4.9000000000000004</v>
      </c>
      <c r="AD17" s="55">
        <v>-6.905555555555555</v>
      </c>
      <c r="AE17" s="55">
        <v>0</v>
      </c>
      <c r="AF17" s="55"/>
    </row>
    <row r="18" spans="1:32" s="57" customFormat="1" ht="15.75" customHeight="1">
      <c r="A18" s="2" t="s">
        <v>69</v>
      </c>
      <c r="B18" s="2" t="s">
        <v>70</v>
      </c>
      <c r="C18" s="51">
        <v>14.2</v>
      </c>
      <c r="D18" s="51">
        <v>7</v>
      </c>
      <c r="E18" s="51">
        <v>0</v>
      </c>
      <c r="F18" s="51">
        <v>91.13</v>
      </c>
      <c r="G18" s="51">
        <v>0</v>
      </c>
      <c r="H18" s="51">
        <f t="shared" si="1"/>
        <v>0</v>
      </c>
      <c r="I18" s="51">
        <f t="shared" si="2"/>
        <v>-8.6664378650157983E-2</v>
      </c>
      <c r="J18" s="51">
        <f t="shared" si="4"/>
        <v>-7.8977248263888971</v>
      </c>
      <c r="K18" s="51">
        <f t="shared" si="3"/>
        <v>-1.1282464037698425</v>
      </c>
      <c r="L18" s="51">
        <v>59</v>
      </c>
      <c r="M18" s="51">
        <f t="shared" si="5"/>
        <v>0.11864406779661017</v>
      </c>
      <c r="N18" s="51">
        <v>73</v>
      </c>
      <c r="O18" s="51">
        <f t="shared" ref="O18:P18" si="26">D18/7</f>
        <v>1</v>
      </c>
      <c r="P18" s="51">
        <f t="shared" si="26"/>
        <v>0</v>
      </c>
      <c r="Q18" s="51">
        <f t="shared" si="7"/>
        <v>73</v>
      </c>
      <c r="R18" s="55">
        <v>0</v>
      </c>
      <c r="S18" s="53" t="s">
        <v>34</v>
      </c>
      <c r="T18" s="54" t="s">
        <v>34</v>
      </c>
      <c r="U18" s="55">
        <v>0</v>
      </c>
      <c r="V18" s="55">
        <f t="shared" si="8"/>
        <v>0</v>
      </c>
      <c r="W18" s="55">
        <f t="shared" si="9"/>
        <v>0</v>
      </c>
      <c r="X18" s="55">
        <v>0</v>
      </c>
      <c r="Y18" s="55" t="s">
        <v>35</v>
      </c>
      <c r="Z18" s="56">
        <f t="shared" si="19"/>
        <v>-0.75</v>
      </c>
      <c r="AA18" s="55">
        <v>0.17265624999999998</v>
      </c>
      <c r="AB18" s="58">
        <f t="shared" ref="AB18:AB39" si="27">IFERROR(Z18*AA18*D18*3,0)</f>
        <v>-2.7193359374999999</v>
      </c>
      <c r="AC18" s="55">
        <v>-4.9000000000000004</v>
      </c>
      <c r="AD18" s="55">
        <v>-6.905555555555555</v>
      </c>
      <c r="AE18" s="55">
        <v>0</v>
      </c>
      <c r="AF18" s="55"/>
    </row>
    <row r="19" spans="1:32" s="57" customFormat="1" ht="15.75" customHeight="1">
      <c r="A19" s="2" t="s">
        <v>71</v>
      </c>
      <c r="B19" s="2" t="s">
        <v>72</v>
      </c>
      <c r="C19" s="51">
        <v>17.149999999999999</v>
      </c>
      <c r="D19" s="51">
        <v>5</v>
      </c>
      <c r="E19" s="51">
        <v>0</v>
      </c>
      <c r="F19" s="51">
        <v>66.06</v>
      </c>
      <c r="G19" s="51">
        <v>0</v>
      </c>
      <c r="H19" s="51">
        <f t="shared" si="1"/>
        <v>0</v>
      </c>
      <c r="I19" s="51">
        <f t="shared" si="2"/>
        <v>-7.2951265369024645E-2</v>
      </c>
      <c r="J19" s="51">
        <f t="shared" si="4"/>
        <v>-4.8191605902777681</v>
      </c>
      <c r="K19" s="51">
        <f t="shared" si="3"/>
        <v>-0.96383211805555358</v>
      </c>
      <c r="L19" s="51">
        <v>56</v>
      </c>
      <c r="M19" s="51">
        <f t="shared" si="5"/>
        <v>8.9285714285714288E-2</v>
      </c>
      <c r="N19" s="51">
        <v>73</v>
      </c>
      <c r="O19" s="51">
        <f t="shared" ref="O19:P19" si="28">D19/7</f>
        <v>0.7142857142857143</v>
      </c>
      <c r="P19" s="51">
        <f t="shared" si="28"/>
        <v>0</v>
      </c>
      <c r="Q19" s="51">
        <f t="shared" si="7"/>
        <v>102</v>
      </c>
      <c r="R19" s="55">
        <v>0</v>
      </c>
      <c r="S19" s="53" t="s">
        <v>34</v>
      </c>
      <c r="T19" s="54" t="s">
        <v>34</v>
      </c>
      <c r="U19" s="55">
        <v>0</v>
      </c>
      <c r="V19" s="55">
        <f t="shared" si="8"/>
        <v>0</v>
      </c>
      <c r="W19" s="55">
        <f t="shared" si="9"/>
        <v>0</v>
      </c>
      <c r="X19" s="55">
        <v>0</v>
      </c>
      <c r="Y19" s="55" t="s">
        <v>35</v>
      </c>
      <c r="Z19" s="56">
        <f t="shared" si="19"/>
        <v>-0.75</v>
      </c>
      <c r="AA19" s="55">
        <v>0.17265624999999998</v>
      </c>
      <c r="AB19" s="55">
        <f t="shared" si="27"/>
        <v>-1.9423828125</v>
      </c>
      <c r="AC19" s="55">
        <v>-4.9000000000000004</v>
      </c>
      <c r="AD19" s="55">
        <v>-6.905555555555555</v>
      </c>
      <c r="AE19" s="55">
        <v>0</v>
      </c>
      <c r="AF19" s="55"/>
    </row>
    <row r="20" spans="1:32" s="57" customFormat="1" ht="15.75" customHeight="1">
      <c r="A20" s="2" t="s">
        <v>73</v>
      </c>
      <c r="B20" s="2" t="s">
        <v>74</v>
      </c>
      <c r="C20" s="51">
        <v>15.99</v>
      </c>
      <c r="D20" s="51">
        <v>3</v>
      </c>
      <c r="E20" s="51">
        <v>0</v>
      </c>
      <c r="F20" s="51">
        <v>47.97</v>
      </c>
      <c r="G20" s="51">
        <v>-6.7200000000000006</v>
      </c>
      <c r="H20" s="51">
        <f t="shared" si="1"/>
        <v>0.14008755472170109</v>
      </c>
      <c r="I20" s="51">
        <f t="shared" si="2"/>
        <v>-5.269118937182965E-2</v>
      </c>
      <c r="J20" s="51">
        <f t="shared" si="4"/>
        <v>-2.5275963541666684</v>
      </c>
      <c r="K20" s="51">
        <f t="shared" si="3"/>
        <v>-0.84253211805555617</v>
      </c>
      <c r="L20" s="51">
        <v>56</v>
      </c>
      <c r="M20" s="51">
        <f t="shared" si="5"/>
        <v>5.3571428571428568E-2</v>
      </c>
      <c r="N20" s="51">
        <v>68</v>
      </c>
      <c r="O20" s="51">
        <f t="shared" ref="O20:P20" si="29">D20/7</f>
        <v>0.42857142857142855</v>
      </c>
      <c r="P20" s="51">
        <f t="shared" si="29"/>
        <v>0</v>
      </c>
      <c r="Q20" s="51">
        <f t="shared" si="7"/>
        <v>158</v>
      </c>
      <c r="R20" s="55">
        <v>0</v>
      </c>
      <c r="S20" s="53" t="s">
        <v>34</v>
      </c>
      <c r="T20" s="54" t="s">
        <v>34</v>
      </c>
      <c r="U20" s="55">
        <v>1</v>
      </c>
      <c r="V20" s="55">
        <f t="shared" si="8"/>
        <v>0.33333333333333331</v>
      </c>
      <c r="W20" s="55">
        <f t="shared" si="9"/>
        <v>6.7200000000000006</v>
      </c>
      <c r="X20" s="55">
        <v>0</v>
      </c>
      <c r="Y20" s="55" t="s">
        <v>35</v>
      </c>
      <c r="Z20" s="56">
        <f t="shared" si="19"/>
        <v>-0.75</v>
      </c>
      <c r="AA20" s="55">
        <v>0.17265624999999998</v>
      </c>
      <c r="AB20" s="55">
        <f t="shared" si="27"/>
        <v>-1.1654296874999999</v>
      </c>
      <c r="AC20" s="55">
        <v>-4.9000000000000004</v>
      </c>
      <c r="AD20" s="55">
        <v>-6.905555555555555</v>
      </c>
      <c r="AE20" s="55">
        <v>0</v>
      </c>
      <c r="AF20" s="55"/>
    </row>
    <row r="21" spans="1:32" s="57" customFormat="1" ht="15.75" customHeight="1">
      <c r="A21" s="2" t="s">
        <v>75</v>
      </c>
      <c r="B21" s="2" t="s">
        <v>76</v>
      </c>
      <c r="C21" s="51">
        <v>15.99</v>
      </c>
      <c r="D21" s="51">
        <v>10</v>
      </c>
      <c r="E21" s="51">
        <v>0</v>
      </c>
      <c r="F21" s="51">
        <v>154.96</v>
      </c>
      <c r="G21" s="51">
        <v>-15.969999999999999</v>
      </c>
      <c r="H21" s="51">
        <f t="shared" si="1"/>
        <v>0.10305885389778006</v>
      </c>
      <c r="I21" s="51">
        <f t="shared" si="2"/>
        <v>-3.9973678243130702E-2</v>
      </c>
      <c r="J21" s="51">
        <f t="shared" si="4"/>
        <v>-6.1943211805555336</v>
      </c>
      <c r="K21" s="51">
        <f t="shared" si="3"/>
        <v>-0.61943211805555332</v>
      </c>
      <c r="L21" s="51">
        <v>78</v>
      </c>
      <c r="M21" s="51">
        <f t="shared" si="5"/>
        <v>0.12820512820512819</v>
      </c>
      <c r="N21" s="51">
        <v>60</v>
      </c>
      <c r="O21" s="51">
        <f t="shared" ref="O21:P21" si="30">D21/7</f>
        <v>1.4285714285714286</v>
      </c>
      <c r="P21" s="51">
        <f t="shared" si="30"/>
        <v>0</v>
      </c>
      <c r="Q21" s="51">
        <f t="shared" si="7"/>
        <v>42</v>
      </c>
      <c r="R21" s="55">
        <v>0</v>
      </c>
      <c r="S21" s="53" t="s">
        <v>34</v>
      </c>
      <c r="T21" s="54" t="s">
        <v>34</v>
      </c>
      <c r="U21" s="55">
        <v>2</v>
      </c>
      <c r="V21" s="55">
        <f t="shared" si="8"/>
        <v>0.2</v>
      </c>
      <c r="W21" s="55">
        <f t="shared" si="9"/>
        <v>7.9849999999999994</v>
      </c>
      <c r="X21" s="55">
        <v>0</v>
      </c>
      <c r="Y21" s="55" t="s">
        <v>35</v>
      </c>
      <c r="Z21" s="56">
        <f t="shared" si="19"/>
        <v>-0.75</v>
      </c>
      <c r="AA21" s="55">
        <v>0.17265624999999998</v>
      </c>
      <c r="AB21" s="55">
        <f t="shared" si="27"/>
        <v>-3.884765625</v>
      </c>
      <c r="AC21" s="55">
        <v>-4.9000000000000004</v>
      </c>
      <c r="AD21" s="55">
        <v>-6.905555555555555</v>
      </c>
      <c r="AE21" s="55">
        <v>0</v>
      </c>
      <c r="AF21" s="55"/>
    </row>
    <row r="22" spans="1:32" s="57" customFormat="1" ht="15.75" customHeight="1">
      <c r="A22" s="2" t="s">
        <v>77</v>
      </c>
      <c r="B22" s="2" t="s">
        <v>78</v>
      </c>
      <c r="C22" s="51">
        <v>15.99</v>
      </c>
      <c r="D22" s="51">
        <v>8</v>
      </c>
      <c r="E22" s="51">
        <v>0</v>
      </c>
      <c r="F22" s="51">
        <v>127.91999999999999</v>
      </c>
      <c r="G22" s="51">
        <v>-10.75</v>
      </c>
      <c r="H22" s="51">
        <f t="shared" si="1"/>
        <v>8.4036898061288307E-2</v>
      </c>
      <c r="I22" s="51">
        <f t="shared" si="2"/>
        <v>3.3594672885830412E-3</v>
      </c>
      <c r="J22" s="51">
        <f t="shared" si="4"/>
        <v>0.4297430555555426</v>
      </c>
      <c r="K22" s="51">
        <f t="shared" si="3"/>
        <v>5.3717881944442825E-2</v>
      </c>
      <c r="L22" s="51">
        <v>68</v>
      </c>
      <c r="M22" s="51">
        <f t="shared" si="5"/>
        <v>0.11764705882352941</v>
      </c>
      <c r="N22" s="51">
        <v>53</v>
      </c>
      <c r="O22" s="51">
        <f t="shared" ref="O22:P22" si="31">D22/7</f>
        <v>1.1428571428571428</v>
      </c>
      <c r="P22" s="51">
        <f t="shared" si="31"/>
        <v>0</v>
      </c>
      <c r="Q22" s="51">
        <f t="shared" si="7"/>
        <v>46</v>
      </c>
      <c r="R22" s="55">
        <v>0</v>
      </c>
      <c r="S22" s="53" t="s">
        <v>34</v>
      </c>
      <c r="T22" s="54" t="s">
        <v>34</v>
      </c>
      <c r="U22" s="55">
        <v>2</v>
      </c>
      <c r="V22" s="55">
        <f t="shared" si="8"/>
        <v>0.25</v>
      </c>
      <c r="W22" s="55">
        <f t="shared" si="9"/>
        <v>5.375</v>
      </c>
      <c r="X22" s="55">
        <v>0</v>
      </c>
      <c r="Y22" s="55" t="s">
        <v>35</v>
      </c>
      <c r="Z22" s="56">
        <f t="shared" si="19"/>
        <v>-0.75</v>
      </c>
      <c r="AA22" s="55">
        <v>0.17265624999999998</v>
      </c>
      <c r="AB22" s="55">
        <f t="shared" si="27"/>
        <v>-3.1078124999999996</v>
      </c>
      <c r="AC22" s="55">
        <v>-4.9000000000000004</v>
      </c>
      <c r="AD22" s="55">
        <v>-6.905555555555555</v>
      </c>
      <c r="AE22" s="55">
        <v>0</v>
      </c>
      <c r="AF22" s="55"/>
    </row>
    <row r="23" spans="1:32" s="57" customFormat="1" ht="15.75" customHeight="1">
      <c r="A23" s="2" t="s">
        <v>79</v>
      </c>
      <c r="B23" s="2" t="s">
        <v>78</v>
      </c>
      <c r="C23" s="51">
        <v>15.99</v>
      </c>
      <c r="D23" s="51">
        <v>7</v>
      </c>
      <c r="E23" s="51">
        <v>0</v>
      </c>
      <c r="F23" s="51">
        <v>111.92999999999999</v>
      </c>
      <c r="G23" s="51">
        <v>-0.13999999999999999</v>
      </c>
      <c r="H23" s="51">
        <f t="shared" si="1"/>
        <v>1.2507817385866166E-3</v>
      </c>
      <c r="I23" s="51">
        <f t="shared" si="2"/>
        <v>8.6145583611284687E-2</v>
      </c>
      <c r="J23" s="51">
        <f t="shared" si="4"/>
        <v>9.642275173611095</v>
      </c>
      <c r="K23" s="51">
        <f t="shared" si="3"/>
        <v>1.3774678819444421</v>
      </c>
      <c r="L23" s="51">
        <v>52</v>
      </c>
      <c r="M23" s="51">
        <f t="shared" si="5"/>
        <v>0.13461538461538461</v>
      </c>
      <c r="N23" s="51">
        <v>46</v>
      </c>
      <c r="O23" s="51">
        <f t="shared" ref="O23:P23" si="32">D23/7</f>
        <v>1</v>
      </c>
      <c r="P23" s="51">
        <f t="shared" si="32"/>
        <v>0</v>
      </c>
      <c r="Q23" s="51">
        <f t="shared" si="7"/>
        <v>46</v>
      </c>
      <c r="R23" s="55">
        <v>0</v>
      </c>
      <c r="S23" s="53" t="s">
        <v>34</v>
      </c>
      <c r="T23" s="54" t="s">
        <v>34</v>
      </c>
      <c r="U23" s="55">
        <v>0</v>
      </c>
      <c r="V23" s="55">
        <f t="shared" si="8"/>
        <v>0</v>
      </c>
      <c r="W23" s="55">
        <f t="shared" si="9"/>
        <v>0</v>
      </c>
      <c r="X23" s="55">
        <v>0</v>
      </c>
      <c r="Y23" s="55" t="s">
        <v>35</v>
      </c>
      <c r="Z23" s="56">
        <f t="shared" si="19"/>
        <v>-0.75</v>
      </c>
      <c r="AA23" s="55">
        <v>0.17265624999999998</v>
      </c>
      <c r="AB23" s="55">
        <f t="shared" si="27"/>
        <v>-2.7193359374999999</v>
      </c>
      <c r="AC23" s="55">
        <v>-4.9000000000000004</v>
      </c>
      <c r="AD23" s="55">
        <v>-6.905555555555555</v>
      </c>
      <c r="AE23" s="55">
        <v>0</v>
      </c>
      <c r="AF23" s="55"/>
    </row>
    <row r="24" spans="1:32" s="57" customFormat="1" ht="15.75" customHeight="1">
      <c r="A24" s="2" t="s">
        <v>80</v>
      </c>
      <c r="B24" s="2" t="s">
        <v>78</v>
      </c>
      <c r="C24" s="51">
        <v>15.99</v>
      </c>
      <c r="D24" s="51">
        <v>6</v>
      </c>
      <c r="E24" s="51">
        <v>0</v>
      </c>
      <c r="F24" s="51">
        <v>95.94</v>
      </c>
      <c r="G24" s="51">
        <v>-0.04</v>
      </c>
      <c r="H24" s="51">
        <f t="shared" si="1"/>
        <v>4.1692724619553888E-4</v>
      </c>
      <c r="I24" s="51">
        <f t="shared" si="2"/>
        <v>8.6979438103675782E-2</v>
      </c>
      <c r="J24" s="51">
        <f t="shared" si="4"/>
        <v>8.3448072916666547</v>
      </c>
      <c r="K24" s="51">
        <f t="shared" si="3"/>
        <v>1.3908012152777758</v>
      </c>
      <c r="L24" s="51">
        <v>47</v>
      </c>
      <c r="M24" s="51">
        <f t="shared" si="5"/>
        <v>0.1276595744680851</v>
      </c>
      <c r="N24" s="51">
        <v>38</v>
      </c>
      <c r="O24" s="51">
        <f t="shared" ref="O24:P24" si="33">D24/7</f>
        <v>0.8571428571428571</v>
      </c>
      <c r="P24" s="51">
        <f t="shared" si="33"/>
        <v>0</v>
      </c>
      <c r="Q24" s="51">
        <f t="shared" si="7"/>
        <v>44</v>
      </c>
      <c r="R24" s="55">
        <v>0</v>
      </c>
      <c r="S24" s="53" t="s">
        <v>34</v>
      </c>
      <c r="T24" s="54" t="s">
        <v>34</v>
      </c>
      <c r="U24" s="55">
        <v>0</v>
      </c>
      <c r="V24" s="55">
        <f t="shared" si="8"/>
        <v>0</v>
      </c>
      <c r="W24" s="55">
        <f t="shared" si="9"/>
        <v>0</v>
      </c>
      <c r="X24" s="55">
        <v>0</v>
      </c>
      <c r="Y24" s="55" t="s">
        <v>35</v>
      </c>
      <c r="Z24" s="56">
        <f t="shared" si="19"/>
        <v>-0.75</v>
      </c>
      <c r="AA24" s="55">
        <v>0.17265624999999998</v>
      </c>
      <c r="AB24" s="55">
        <f t="shared" si="27"/>
        <v>-2.3308593749999997</v>
      </c>
      <c r="AC24" s="55">
        <v>-4.9000000000000004</v>
      </c>
      <c r="AD24" s="55">
        <v>-6.905555555555555</v>
      </c>
      <c r="AE24" s="55">
        <v>0</v>
      </c>
      <c r="AF24" s="55"/>
    </row>
    <row r="25" spans="1:32" s="57" customFormat="1" ht="15.75" customHeight="1">
      <c r="A25" s="2" t="s">
        <v>81</v>
      </c>
      <c r="B25" s="2" t="s">
        <v>82</v>
      </c>
      <c r="C25" s="51">
        <v>15.99</v>
      </c>
      <c r="D25" s="51">
        <v>8</v>
      </c>
      <c r="E25" s="51">
        <v>0</v>
      </c>
      <c r="F25" s="51">
        <v>127.92</v>
      </c>
      <c r="G25" s="51">
        <v>-0.08</v>
      </c>
      <c r="H25" s="51">
        <f t="shared" si="1"/>
        <v>6.2539086929330832E-4</v>
      </c>
      <c r="I25" s="51">
        <f t="shared" si="2"/>
        <v>8.6770974480578161E-2</v>
      </c>
      <c r="J25" s="51">
        <f t="shared" si="4"/>
        <v>11.099743055555559</v>
      </c>
      <c r="K25" s="51">
        <f t="shared" si="3"/>
        <v>1.3874678819444448</v>
      </c>
      <c r="L25" s="51">
        <v>40</v>
      </c>
      <c r="M25" s="51">
        <f t="shared" si="5"/>
        <v>0.2</v>
      </c>
      <c r="N25" s="51">
        <v>34</v>
      </c>
      <c r="O25" s="51">
        <f t="shared" ref="O25:P25" si="34">D25/7</f>
        <v>1.1428571428571428</v>
      </c>
      <c r="P25" s="51">
        <f t="shared" si="34"/>
        <v>0</v>
      </c>
      <c r="Q25" s="51">
        <f t="shared" si="7"/>
        <v>29</v>
      </c>
      <c r="R25" s="55">
        <v>0</v>
      </c>
      <c r="S25" s="53" t="s">
        <v>34</v>
      </c>
      <c r="T25" s="54" t="s">
        <v>34</v>
      </c>
      <c r="U25" s="55">
        <v>0</v>
      </c>
      <c r="V25" s="55">
        <f t="shared" si="8"/>
        <v>0</v>
      </c>
      <c r="W25" s="55">
        <f t="shared" si="9"/>
        <v>0</v>
      </c>
      <c r="X25" s="55">
        <v>0</v>
      </c>
      <c r="Y25" s="55" t="s">
        <v>35</v>
      </c>
      <c r="Z25" s="56">
        <f t="shared" si="19"/>
        <v>-0.75</v>
      </c>
      <c r="AA25" s="55">
        <v>0.17265624999999998</v>
      </c>
      <c r="AB25" s="55">
        <f t="shared" si="27"/>
        <v>-3.1078124999999996</v>
      </c>
      <c r="AC25" s="55">
        <v>-4.9000000000000004</v>
      </c>
      <c r="AD25" s="55">
        <v>-6.905555555555555</v>
      </c>
      <c r="AE25" s="55">
        <v>0</v>
      </c>
      <c r="AF25" s="55"/>
    </row>
    <row r="26" spans="1:32" s="57" customFormat="1" ht="15.75" customHeight="1">
      <c r="A26" s="2" t="s">
        <v>83</v>
      </c>
      <c r="B26" s="2" t="s">
        <v>78</v>
      </c>
      <c r="C26" s="51">
        <f t="shared" ref="C26:C39" si="35">IFERROR(F26/D26," - ")</f>
        <v>16.656666666666666</v>
      </c>
      <c r="D26" s="51">
        <v>3</v>
      </c>
      <c r="E26" s="51">
        <v>0</v>
      </c>
      <c r="F26" s="51">
        <v>49.97</v>
      </c>
      <c r="G26" s="51">
        <v>-0.16999999999999998</v>
      </c>
      <c r="H26" s="51">
        <f t="shared" si="1"/>
        <v>3.4020412247348407E-3</v>
      </c>
      <c r="I26" s="51">
        <f t="shared" si="2"/>
        <v>0.11451678298645851</v>
      </c>
      <c r="J26" s="51">
        <f t="shared" si="4"/>
        <v>5.7224036458333316</v>
      </c>
      <c r="K26" s="51">
        <f t="shared" si="3"/>
        <v>1.9074678819444439</v>
      </c>
      <c r="L26" s="51">
        <v>47</v>
      </c>
      <c r="M26" s="51">
        <f t="shared" si="5"/>
        <v>6.3829787234042548E-2</v>
      </c>
      <c r="N26" s="51">
        <v>28</v>
      </c>
      <c r="O26" s="51">
        <f t="shared" ref="O26:P26" si="36">D26/7</f>
        <v>0.42857142857142855</v>
      </c>
      <c r="P26" s="51">
        <f t="shared" si="36"/>
        <v>0</v>
      </c>
      <c r="Q26" s="51">
        <f t="shared" si="7"/>
        <v>65</v>
      </c>
      <c r="R26" s="55">
        <v>0</v>
      </c>
      <c r="S26" s="53" t="s">
        <v>34</v>
      </c>
      <c r="T26" s="54" t="s">
        <v>34</v>
      </c>
      <c r="U26" s="55">
        <v>0</v>
      </c>
      <c r="V26" s="55">
        <f t="shared" si="8"/>
        <v>0</v>
      </c>
      <c r="W26" s="55">
        <f t="shared" si="9"/>
        <v>0</v>
      </c>
      <c r="X26" s="55">
        <v>0</v>
      </c>
      <c r="Y26" s="55" t="s">
        <v>35</v>
      </c>
      <c r="Z26" s="56">
        <f t="shared" si="19"/>
        <v>-0.75</v>
      </c>
      <c r="AA26" s="55">
        <v>0.17265624999999998</v>
      </c>
      <c r="AB26" s="55">
        <f t="shared" si="27"/>
        <v>-1.1654296874999999</v>
      </c>
      <c r="AC26" s="55">
        <v>-4.9000000000000004</v>
      </c>
      <c r="AD26" s="55">
        <v>-6.905555555555555</v>
      </c>
      <c r="AE26" s="55">
        <v>0</v>
      </c>
      <c r="AF26" s="55"/>
    </row>
    <row r="27" spans="1:32" s="57" customFormat="1" ht="15.75" customHeight="1">
      <c r="A27" s="2" t="s">
        <v>84</v>
      </c>
      <c r="B27" s="2" t="s">
        <v>85</v>
      </c>
      <c r="C27" s="51">
        <f t="shared" si="35"/>
        <v>17.989999999999998</v>
      </c>
      <c r="D27" s="51">
        <v>4</v>
      </c>
      <c r="E27" s="51">
        <v>0</v>
      </c>
      <c r="F27" s="51">
        <v>71.959999999999994</v>
      </c>
      <c r="G27" s="51">
        <v>-0.02</v>
      </c>
      <c r="H27" s="51">
        <f t="shared" si="1"/>
        <v>2.7793218454697058E-4</v>
      </c>
      <c r="I27" s="51">
        <f t="shared" si="2"/>
        <v>0.17189927081403231</v>
      </c>
      <c r="J27" s="51">
        <f t="shared" si="4"/>
        <v>12.369871527777764</v>
      </c>
      <c r="K27" s="51">
        <f t="shared" si="3"/>
        <v>3.0924678819444411</v>
      </c>
      <c r="L27" s="51">
        <v>51</v>
      </c>
      <c r="M27" s="51">
        <f t="shared" si="5"/>
        <v>7.8431372549019607E-2</v>
      </c>
      <c r="N27" s="51">
        <v>27</v>
      </c>
      <c r="O27" s="51">
        <f t="shared" ref="O27:P27" si="37">D27/7</f>
        <v>0.5714285714285714</v>
      </c>
      <c r="P27" s="51">
        <f t="shared" si="37"/>
        <v>0</v>
      </c>
      <c r="Q27" s="51">
        <f t="shared" si="7"/>
        <v>47</v>
      </c>
      <c r="R27" s="55">
        <v>0</v>
      </c>
      <c r="S27" s="53" t="s">
        <v>34</v>
      </c>
      <c r="T27" s="54" t="s">
        <v>34</v>
      </c>
      <c r="U27" s="55">
        <v>0</v>
      </c>
      <c r="V27" s="55">
        <f t="shared" si="8"/>
        <v>0</v>
      </c>
      <c r="W27" s="55">
        <f t="shared" si="9"/>
        <v>0</v>
      </c>
      <c r="X27" s="55">
        <v>0</v>
      </c>
      <c r="Y27" s="55" t="s">
        <v>35</v>
      </c>
      <c r="Z27" s="56">
        <f t="shared" si="19"/>
        <v>-0.75</v>
      </c>
      <c r="AA27" s="55">
        <v>0.17265624999999998</v>
      </c>
      <c r="AB27" s="55">
        <f t="shared" si="27"/>
        <v>-1.5539062499999998</v>
      </c>
      <c r="AC27" s="55">
        <v>-4.9000000000000004</v>
      </c>
      <c r="AD27" s="55">
        <v>-6.905555555555555</v>
      </c>
      <c r="AE27" s="55">
        <v>0</v>
      </c>
      <c r="AF27" s="55"/>
    </row>
    <row r="28" spans="1:32" s="57" customFormat="1" ht="15.75" customHeight="1">
      <c r="A28" s="2" t="s">
        <v>86</v>
      </c>
      <c r="B28" s="2" t="s">
        <v>78</v>
      </c>
      <c r="C28" s="51">
        <f t="shared" si="35"/>
        <v>18.656666666666666</v>
      </c>
      <c r="D28" s="51">
        <v>3</v>
      </c>
      <c r="E28" s="51">
        <v>0</v>
      </c>
      <c r="F28" s="51">
        <v>55.97</v>
      </c>
      <c r="G28" s="51">
        <v>-0.08</v>
      </c>
      <c r="H28" s="51">
        <f t="shared" si="1"/>
        <v>1.4293371448990532E-3</v>
      </c>
      <c r="I28" s="51">
        <f t="shared" si="2"/>
        <v>0.19496879838901798</v>
      </c>
      <c r="J28" s="51">
        <f t="shared" si="4"/>
        <v>10.912403645833336</v>
      </c>
      <c r="K28" s="51">
        <f t="shared" si="3"/>
        <v>3.6374678819444455</v>
      </c>
      <c r="L28" s="51">
        <v>64</v>
      </c>
      <c r="M28" s="51">
        <f t="shared" si="5"/>
        <v>4.6875E-2</v>
      </c>
      <c r="N28" s="51">
        <v>24</v>
      </c>
      <c r="O28" s="51">
        <f t="shared" ref="O28:P28" si="38">D28/7</f>
        <v>0.42857142857142855</v>
      </c>
      <c r="P28" s="51">
        <f t="shared" si="38"/>
        <v>0</v>
      </c>
      <c r="Q28" s="51">
        <f t="shared" si="7"/>
        <v>56</v>
      </c>
      <c r="R28" s="55">
        <v>0</v>
      </c>
      <c r="S28" s="53" t="s">
        <v>34</v>
      </c>
      <c r="T28" s="54" t="s">
        <v>34</v>
      </c>
      <c r="U28" s="55">
        <v>0</v>
      </c>
      <c r="V28" s="55">
        <f t="shared" si="8"/>
        <v>0</v>
      </c>
      <c r="W28" s="55">
        <f t="shared" si="9"/>
        <v>0</v>
      </c>
      <c r="X28" s="55">
        <v>0</v>
      </c>
      <c r="Y28" s="55" t="s">
        <v>35</v>
      </c>
      <c r="Z28" s="56">
        <f t="shared" si="19"/>
        <v>-0.75</v>
      </c>
      <c r="AA28" s="55">
        <v>0.17265624999999998</v>
      </c>
      <c r="AB28" s="55">
        <f t="shared" si="27"/>
        <v>-1.1654296874999999</v>
      </c>
      <c r="AC28" s="55">
        <v>-4.9000000000000004</v>
      </c>
      <c r="AD28" s="55">
        <v>-6.905555555555555</v>
      </c>
      <c r="AE28" s="55">
        <v>0</v>
      </c>
      <c r="AF28" s="55"/>
    </row>
    <row r="29" spans="1:32" s="57" customFormat="1" ht="15.75" customHeight="1">
      <c r="A29" s="2" t="s">
        <v>87</v>
      </c>
      <c r="B29" s="2" t="s">
        <v>88</v>
      </c>
      <c r="C29" s="51">
        <f t="shared" si="35"/>
        <v>18.61</v>
      </c>
      <c r="D29" s="51">
        <v>3</v>
      </c>
      <c r="E29" s="51">
        <v>0</v>
      </c>
      <c r="F29" s="51">
        <v>55.83</v>
      </c>
      <c r="G29" s="51">
        <v>-0.16999999999999998</v>
      </c>
      <c r="H29" s="51">
        <f t="shared" si="1"/>
        <v>3.044957907934802E-3</v>
      </c>
      <c r="I29" s="51">
        <f t="shared" si="2"/>
        <v>0.19171419748940235</v>
      </c>
      <c r="J29" s="51">
        <f t="shared" si="4"/>
        <v>10.703403645833333</v>
      </c>
      <c r="K29" s="51">
        <f t="shared" si="3"/>
        <v>3.5678012152777776</v>
      </c>
      <c r="L29" s="51">
        <v>47</v>
      </c>
      <c r="M29" s="51">
        <f t="shared" si="5"/>
        <v>6.3829787234042548E-2</v>
      </c>
      <c r="N29" s="51">
        <v>19</v>
      </c>
      <c r="O29" s="51">
        <f t="shared" ref="O29:P29" si="39">D29/7</f>
        <v>0.42857142857142855</v>
      </c>
      <c r="P29" s="51">
        <f t="shared" si="39"/>
        <v>0</v>
      </c>
      <c r="Q29" s="51">
        <f t="shared" si="7"/>
        <v>44</v>
      </c>
      <c r="R29" s="55">
        <v>0</v>
      </c>
      <c r="S29" s="53" t="s">
        <v>34</v>
      </c>
      <c r="T29" s="54" t="s">
        <v>34</v>
      </c>
      <c r="U29" s="55">
        <v>0</v>
      </c>
      <c r="V29" s="55">
        <f t="shared" si="8"/>
        <v>0</v>
      </c>
      <c r="W29" s="55">
        <f t="shared" si="9"/>
        <v>0</v>
      </c>
      <c r="X29" s="55">
        <v>0</v>
      </c>
      <c r="Y29" s="55" t="s">
        <v>35</v>
      </c>
      <c r="Z29" s="56">
        <f t="shared" si="19"/>
        <v>-0.75</v>
      </c>
      <c r="AA29" s="55">
        <v>0.17265624999999998</v>
      </c>
      <c r="AB29" s="55">
        <f t="shared" si="27"/>
        <v>-1.1654296874999999</v>
      </c>
      <c r="AC29" s="55">
        <v>-4.9000000000000004</v>
      </c>
      <c r="AD29" s="55">
        <v>-6.905555555555555</v>
      </c>
      <c r="AE29" s="55">
        <v>0</v>
      </c>
      <c r="AF29" s="55"/>
    </row>
    <row r="30" spans="1:32" s="57" customFormat="1" ht="15.75" customHeight="1">
      <c r="A30" s="2" t="s">
        <v>89</v>
      </c>
      <c r="B30" s="2" t="s">
        <v>45</v>
      </c>
      <c r="C30" s="51">
        <f t="shared" si="35"/>
        <v>17.989999999999998</v>
      </c>
      <c r="D30" s="51">
        <v>1</v>
      </c>
      <c r="E30" s="51">
        <v>0</v>
      </c>
      <c r="F30" s="51">
        <v>17.989999999999998</v>
      </c>
      <c r="G30" s="51">
        <v>-0.02</v>
      </c>
      <c r="H30" s="51">
        <f t="shared" si="1"/>
        <v>1.1117287381878823E-3</v>
      </c>
      <c r="I30" s="51">
        <f t="shared" si="2"/>
        <v>0.17106547426039148</v>
      </c>
      <c r="J30" s="51">
        <f t="shared" si="4"/>
        <v>3.0774678819444423</v>
      </c>
      <c r="K30" s="51">
        <f t="shared" si="3"/>
        <v>3.0774678819444423</v>
      </c>
      <c r="L30" s="51">
        <v>0</v>
      </c>
      <c r="M30" s="51" t="str">
        <f t="shared" si="5"/>
        <v>-</v>
      </c>
      <c r="N30" s="51">
        <v>21</v>
      </c>
      <c r="O30" s="51">
        <f t="shared" ref="O30:P30" si="40">D30/7</f>
        <v>0.14285714285714285</v>
      </c>
      <c r="P30" s="51">
        <f t="shared" si="40"/>
        <v>0</v>
      </c>
      <c r="Q30" s="51">
        <f t="shared" si="7"/>
        <v>147</v>
      </c>
      <c r="R30" s="55">
        <v>0</v>
      </c>
      <c r="S30" s="53" t="s">
        <v>34</v>
      </c>
      <c r="T30" s="54" t="s">
        <v>34</v>
      </c>
      <c r="U30" s="55">
        <v>0</v>
      </c>
      <c r="V30" s="55">
        <f t="shared" si="8"/>
        <v>0</v>
      </c>
      <c r="W30" s="55">
        <f t="shared" si="9"/>
        <v>0</v>
      </c>
      <c r="X30" s="55">
        <v>0</v>
      </c>
      <c r="Y30" s="55" t="s">
        <v>35</v>
      </c>
      <c r="Z30" s="56">
        <f t="shared" si="19"/>
        <v>-0.75</v>
      </c>
      <c r="AA30" s="55">
        <v>0.17265624999999998</v>
      </c>
      <c r="AB30" s="55">
        <f t="shared" si="27"/>
        <v>-0.38847656249999996</v>
      </c>
      <c r="AC30" s="55">
        <v>-4.9000000000000004</v>
      </c>
      <c r="AD30" s="55">
        <v>-6.905555555555555</v>
      </c>
      <c r="AE30" s="55">
        <v>0</v>
      </c>
      <c r="AF30" s="55"/>
    </row>
    <row r="31" spans="1:32" s="57" customFormat="1" ht="15.75" customHeight="1">
      <c r="A31" s="2" t="s">
        <v>90</v>
      </c>
      <c r="B31" s="2" t="s">
        <v>91</v>
      </c>
      <c r="C31" s="51">
        <f t="shared" si="35"/>
        <v>18.319999999999997</v>
      </c>
      <c r="D31" s="51">
        <v>3</v>
      </c>
      <c r="E31" s="51">
        <v>0</v>
      </c>
      <c r="F31" s="51">
        <v>54.959999999999994</v>
      </c>
      <c r="G31" s="51">
        <v>-0.08</v>
      </c>
      <c r="H31" s="51">
        <f t="shared" si="1"/>
        <v>1.4556040756914122E-3</v>
      </c>
      <c r="I31" s="51">
        <f t="shared" si="2"/>
        <v>0.18293128904354677</v>
      </c>
      <c r="J31" s="51">
        <f t="shared" si="4"/>
        <v>10.05390364583333</v>
      </c>
      <c r="K31" s="51">
        <f t="shared" si="3"/>
        <v>3.3513012152777768</v>
      </c>
      <c r="L31" s="51">
        <v>34</v>
      </c>
      <c r="M31" s="51">
        <f t="shared" si="5"/>
        <v>8.8235294117647065E-2</v>
      </c>
      <c r="N31" s="51">
        <v>17</v>
      </c>
      <c r="O31" s="51">
        <f t="shared" ref="O31:P31" si="41">D31/7</f>
        <v>0.42857142857142855</v>
      </c>
      <c r="P31" s="51">
        <f t="shared" si="41"/>
        <v>0</v>
      </c>
      <c r="Q31" s="51">
        <f t="shared" si="7"/>
        <v>39</v>
      </c>
      <c r="R31" s="55">
        <v>0</v>
      </c>
      <c r="S31" s="53" t="s">
        <v>34</v>
      </c>
      <c r="T31" s="54" t="s">
        <v>34</v>
      </c>
      <c r="U31" s="55">
        <v>0</v>
      </c>
      <c r="V31" s="55">
        <f t="shared" si="8"/>
        <v>0</v>
      </c>
      <c r="W31" s="55">
        <f t="shared" si="9"/>
        <v>0</v>
      </c>
      <c r="X31" s="55">
        <v>0</v>
      </c>
      <c r="Y31" s="55" t="s">
        <v>35</v>
      </c>
      <c r="Z31" s="56">
        <f t="shared" si="19"/>
        <v>-0.75</v>
      </c>
      <c r="AA31" s="55">
        <v>0.17265624999999998</v>
      </c>
      <c r="AB31" s="55">
        <f t="shared" si="27"/>
        <v>-1.1654296874999999</v>
      </c>
      <c r="AC31" s="55">
        <v>-4.9000000000000004</v>
      </c>
      <c r="AD31" s="55">
        <v>-6.905555555555555</v>
      </c>
      <c r="AE31" s="55">
        <v>0</v>
      </c>
      <c r="AF31" s="55"/>
    </row>
    <row r="32" spans="1:32" s="57" customFormat="1" ht="15.75" customHeight="1">
      <c r="A32" s="2" t="s">
        <v>92</v>
      </c>
      <c r="B32" s="2" t="s">
        <v>93</v>
      </c>
      <c r="C32" s="51">
        <f t="shared" si="35"/>
        <v>18.4175</v>
      </c>
      <c r="D32" s="51">
        <v>4</v>
      </c>
      <c r="E32" s="51">
        <v>0</v>
      </c>
      <c r="F32" s="51">
        <v>73.67</v>
      </c>
      <c r="G32" s="51">
        <v>-0.25</v>
      </c>
      <c r="H32" s="51">
        <f t="shared" si="1"/>
        <v>3.393511605809692E-3</v>
      </c>
      <c r="I32" s="51">
        <f t="shared" si="2"/>
        <v>0.18451705616638767</v>
      </c>
      <c r="J32" s="51">
        <f t="shared" si="4"/>
        <v>13.59337152777778</v>
      </c>
      <c r="K32" s="51">
        <f t="shared" si="3"/>
        <v>3.398342881944445</v>
      </c>
      <c r="L32" s="51">
        <v>42</v>
      </c>
      <c r="M32" s="51">
        <f t="shared" si="5"/>
        <v>9.5238095238095233E-2</v>
      </c>
      <c r="N32" s="51">
        <v>13</v>
      </c>
      <c r="O32" s="51">
        <f t="shared" ref="O32:P32" si="42">D32/7</f>
        <v>0.5714285714285714</v>
      </c>
      <c r="P32" s="51">
        <f t="shared" si="42"/>
        <v>0</v>
      </c>
      <c r="Q32" s="51">
        <f t="shared" si="7"/>
        <v>22</v>
      </c>
      <c r="R32" s="55">
        <v>0</v>
      </c>
      <c r="S32" s="53" t="s">
        <v>34</v>
      </c>
      <c r="T32" s="54" t="s">
        <v>34</v>
      </c>
      <c r="U32" s="55">
        <v>0</v>
      </c>
      <c r="V32" s="55">
        <f t="shared" si="8"/>
        <v>0</v>
      </c>
      <c r="W32" s="55">
        <f t="shared" si="9"/>
        <v>0</v>
      </c>
      <c r="X32" s="55">
        <v>0</v>
      </c>
      <c r="Y32" s="55" t="s">
        <v>35</v>
      </c>
      <c r="Z32" s="56">
        <f t="shared" si="19"/>
        <v>-0.75</v>
      </c>
      <c r="AA32" s="55">
        <v>0.17265624999999998</v>
      </c>
      <c r="AB32" s="55">
        <f t="shared" si="27"/>
        <v>-1.5539062499999998</v>
      </c>
      <c r="AC32" s="55">
        <v>-4.9000000000000004</v>
      </c>
      <c r="AD32" s="55">
        <v>-6.905555555555555</v>
      </c>
      <c r="AE32" s="55">
        <v>0</v>
      </c>
      <c r="AF32" s="52">
        <v>1.575</v>
      </c>
    </row>
    <row r="33" spans="1:32" s="57" customFormat="1" ht="15.75" customHeight="1">
      <c r="A33" s="2" t="s">
        <v>94</v>
      </c>
      <c r="B33" s="2" t="s">
        <v>45</v>
      </c>
      <c r="C33" s="51">
        <f t="shared" si="35"/>
        <v>21.004999999999999</v>
      </c>
      <c r="D33" s="51">
        <v>2</v>
      </c>
      <c r="E33" s="51">
        <v>0</v>
      </c>
      <c r="F33" s="51">
        <v>42.01</v>
      </c>
      <c r="G33" s="51">
        <v>-0.16999999999999998</v>
      </c>
      <c r="H33" s="51">
        <f t="shared" si="1"/>
        <v>4.0466555582004283E-3</v>
      </c>
      <c r="I33" s="51">
        <f t="shared" si="2"/>
        <v>0.2654233697664577</v>
      </c>
      <c r="J33" s="51">
        <f t="shared" si="4"/>
        <v>11.150435763888888</v>
      </c>
      <c r="K33" s="51">
        <f t="shared" si="3"/>
        <v>5.575217881944444</v>
      </c>
      <c r="L33" s="51">
        <v>31</v>
      </c>
      <c r="M33" s="51">
        <f t="shared" si="5"/>
        <v>6.4516129032258063E-2</v>
      </c>
      <c r="N33" s="51">
        <v>12</v>
      </c>
      <c r="O33" s="51">
        <f t="shared" ref="O33:P33" si="43">D33/7</f>
        <v>0.2857142857142857</v>
      </c>
      <c r="P33" s="51">
        <f t="shared" si="43"/>
        <v>0</v>
      </c>
      <c r="Q33" s="51">
        <f t="shared" si="7"/>
        <v>42</v>
      </c>
      <c r="R33" s="55">
        <v>0</v>
      </c>
      <c r="S33" s="53" t="s">
        <v>34</v>
      </c>
      <c r="T33" s="54" t="s">
        <v>34</v>
      </c>
      <c r="U33" s="55">
        <v>0</v>
      </c>
      <c r="V33" s="55">
        <f t="shared" si="8"/>
        <v>0</v>
      </c>
      <c r="W33" s="55">
        <f t="shared" si="9"/>
        <v>0</v>
      </c>
      <c r="X33" s="55">
        <v>0</v>
      </c>
      <c r="Y33" s="55" t="s">
        <v>35</v>
      </c>
      <c r="Z33" s="56">
        <f t="shared" si="19"/>
        <v>-0.75</v>
      </c>
      <c r="AA33" s="55">
        <v>0.17265624999999998</v>
      </c>
      <c r="AB33" s="55">
        <f t="shared" si="27"/>
        <v>-0.77695312499999991</v>
      </c>
      <c r="AC33" s="55">
        <v>-4.9000000000000004</v>
      </c>
      <c r="AD33" s="55">
        <v>-6.905555555555555</v>
      </c>
      <c r="AE33" s="55">
        <v>0</v>
      </c>
      <c r="AF33" s="55">
        <v>1.6209150326797299</v>
      </c>
    </row>
    <row r="34" spans="1:32" s="57" customFormat="1" ht="15.75" customHeight="1">
      <c r="A34" s="2" t="s">
        <v>95</v>
      </c>
      <c r="B34" s="2" t="s">
        <v>45</v>
      </c>
      <c r="C34" s="51">
        <f t="shared" si="35"/>
        <v>23.39</v>
      </c>
      <c r="D34" s="51">
        <v>1</v>
      </c>
      <c r="E34" s="51">
        <v>0</v>
      </c>
      <c r="F34" s="51">
        <v>23.39</v>
      </c>
      <c r="G34" s="51">
        <v>0</v>
      </c>
      <c r="H34" s="51">
        <f t="shared" si="1"/>
        <v>0</v>
      </c>
      <c r="I34" s="51">
        <f t="shared" si="2"/>
        <v>0.32866472346919384</v>
      </c>
      <c r="J34" s="51">
        <f t="shared" si="4"/>
        <v>7.6874678819444435</v>
      </c>
      <c r="K34" s="51">
        <f t="shared" si="3"/>
        <v>7.6874678819444435</v>
      </c>
      <c r="L34" s="51">
        <v>36</v>
      </c>
      <c r="M34" s="51">
        <f t="shared" si="5"/>
        <v>2.7777777777777776E-2</v>
      </c>
      <c r="N34" s="51">
        <v>8</v>
      </c>
      <c r="O34" s="51">
        <f t="shared" ref="O34:P34" si="44">D34/7</f>
        <v>0.14285714285714285</v>
      </c>
      <c r="P34" s="51">
        <f t="shared" si="44"/>
        <v>0</v>
      </c>
      <c r="Q34" s="51">
        <f t="shared" si="7"/>
        <v>56</v>
      </c>
      <c r="R34" s="55">
        <v>0</v>
      </c>
      <c r="S34" s="53" t="s">
        <v>34</v>
      </c>
      <c r="T34" s="54" t="s">
        <v>34</v>
      </c>
      <c r="U34" s="55">
        <v>0</v>
      </c>
      <c r="V34" s="55">
        <f t="shared" si="8"/>
        <v>0</v>
      </c>
      <c r="W34" s="55">
        <f t="shared" si="9"/>
        <v>0</v>
      </c>
      <c r="X34" s="55">
        <v>0</v>
      </c>
      <c r="Y34" s="55" t="s">
        <v>35</v>
      </c>
      <c r="Z34" s="56">
        <f t="shared" si="19"/>
        <v>-0.75</v>
      </c>
      <c r="AA34" s="55">
        <v>0.17265624999999998</v>
      </c>
      <c r="AB34" s="55">
        <f t="shared" si="27"/>
        <v>-0.38847656249999996</v>
      </c>
      <c r="AC34" s="55">
        <v>-4.9000000000000004</v>
      </c>
      <c r="AD34" s="55">
        <v>-6.905555555555555</v>
      </c>
      <c r="AE34" s="55">
        <v>0</v>
      </c>
      <c r="AF34" s="55">
        <v>1.74193548387096</v>
      </c>
    </row>
    <row r="35" spans="1:32" s="57" customFormat="1" ht="15.75" customHeight="1">
      <c r="A35" s="2" t="s">
        <v>96</v>
      </c>
      <c r="B35" s="2" t="s">
        <v>97</v>
      </c>
      <c r="C35" s="51">
        <f t="shared" si="35"/>
        <v>17.989999999999998</v>
      </c>
      <c r="D35" s="51">
        <v>6</v>
      </c>
      <c r="E35" s="51">
        <v>0</v>
      </c>
      <c r="F35" s="51">
        <v>107.93999999999998</v>
      </c>
      <c r="G35" s="51">
        <v>-0.06</v>
      </c>
      <c r="H35" s="51">
        <f t="shared" si="1"/>
        <v>5.5586436909394116E-4</v>
      </c>
      <c r="I35" s="51">
        <f t="shared" si="2"/>
        <v>0.17162133862948536</v>
      </c>
      <c r="J35" s="51">
        <f t="shared" si="4"/>
        <v>18.524807291666647</v>
      </c>
      <c r="K35" s="51">
        <f t="shared" si="3"/>
        <v>3.0874678819444412</v>
      </c>
      <c r="L35" s="51">
        <v>46</v>
      </c>
      <c r="M35" s="51">
        <f t="shared" si="5"/>
        <v>0.13043478260869565</v>
      </c>
      <c r="N35" s="51">
        <v>5</v>
      </c>
      <c r="O35" s="51">
        <f t="shared" ref="O35:P35" si="45">D35/7</f>
        <v>0.8571428571428571</v>
      </c>
      <c r="P35" s="51">
        <f t="shared" si="45"/>
        <v>0</v>
      </c>
      <c r="Q35" s="51">
        <f t="shared" si="7"/>
        <v>5</v>
      </c>
      <c r="R35" s="55">
        <v>0</v>
      </c>
      <c r="S35" s="53" t="s">
        <v>34</v>
      </c>
      <c r="T35" s="54" t="s">
        <v>34</v>
      </c>
      <c r="U35" s="55">
        <v>0</v>
      </c>
      <c r="V35" s="55">
        <f t="shared" si="8"/>
        <v>0</v>
      </c>
      <c r="W35" s="55">
        <f t="shared" si="9"/>
        <v>0</v>
      </c>
      <c r="X35" s="55">
        <v>0</v>
      </c>
      <c r="Y35" s="55" t="s">
        <v>35</v>
      </c>
      <c r="Z35" s="56">
        <f t="shared" si="19"/>
        <v>-0.75</v>
      </c>
      <c r="AA35" s="55">
        <v>0.17265624999999998</v>
      </c>
      <c r="AB35" s="55">
        <f t="shared" si="27"/>
        <v>-2.3308593749999997</v>
      </c>
      <c r="AC35" s="55">
        <v>-4.9000000000000004</v>
      </c>
      <c r="AD35" s="55">
        <v>-6.905555555555555</v>
      </c>
      <c r="AE35" s="55">
        <v>0</v>
      </c>
      <c r="AF35" s="55">
        <v>1.80530973451327</v>
      </c>
    </row>
    <row r="36" spans="1:32" s="57" customFormat="1" ht="15.75" customHeight="1">
      <c r="A36" s="2" t="s">
        <v>98</v>
      </c>
      <c r="B36" s="2" t="s">
        <v>97</v>
      </c>
      <c r="C36" s="51">
        <f t="shared" si="35"/>
        <v>17.989999999999998</v>
      </c>
      <c r="D36" s="51">
        <v>4</v>
      </c>
      <c r="E36" s="51">
        <v>0</v>
      </c>
      <c r="F36" s="51">
        <v>71.959999999999994</v>
      </c>
      <c r="G36" s="51">
        <v>0</v>
      </c>
      <c r="H36" s="51">
        <f t="shared" si="1"/>
        <v>0</v>
      </c>
      <c r="I36" s="51">
        <f t="shared" si="2"/>
        <v>0.17217720299857933</v>
      </c>
      <c r="J36" s="51">
        <f t="shared" si="4"/>
        <v>12.389871527777768</v>
      </c>
      <c r="K36" s="51">
        <f t="shared" si="3"/>
        <v>3.0974678819444419</v>
      </c>
      <c r="L36" s="51">
        <v>37</v>
      </c>
      <c r="M36" s="51">
        <f t="shared" si="5"/>
        <v>0.10810810810810811</v>
      </c>
      <c r="N36" s="51">
        <v>0</v>
      </c>
      <c r="O36" s="51">
        <f t="shared" ref="O36:P36" si="46">D36/7</f>
        <v>0.5714285714285714</v>
      </c>
      <c r="P36" s="51">
        <f t="shared" si="46"/>
        <v>0</v>
      </c>
      <c r="Q36" s="51">
        <f t="shared" si="7"/>
        <v>0</v>
      </c>
      <c r="R36" s="55">
        <v>0</v>
      </c>
      <c r="S36" s="53"/>
      <c r="T36" s="54" t="s">
        <v>34</v>
      </c>
      <c r="U36" s="55"/>
      <c r="V36" s="55">
        <f t="shared" si="8"/>
        <v>0</v>
      </c>
      <c r="W36" s="55">
        <f t="shared" si="9"/>
        <v>0</v>
      </c>
      <c r="X36" s="55"/>
      <c r="Y36" s="55" t="s">
        <v>35</v>
      </c>
      <c r="Z36" s="56">
        <f t="shared" si="19"/>
        <v>-0.75</v>
      </c>
      <c r="AA36" s="55">
        <v>0.17265624999999998</v>
      </c>
      <c r="AB36" s="55">
        <f t="shared" si="27"/>
        <v>-1.5539062499999998</v>
      </c>
      <c r="AC36" s="55">
        <v>-4.9000000000000004</v>
      </c>
      <c r="AD36" s="55">
        <v>-6.905555555555555</v>
      </c>
      <c r="AE36" s="55">
        <v>0</v>
      </c>
      <c r="AF36" s="55">
        <v>2.1176470588235201</v>
      </c>
    </row>
    <row r="37" spans="1:32" s="57" customFormat="1" ht="15.75" customHeight="1">
      <c r="A37" s="2" t="s">
        <v>99</v>
      </c>
      <c r="B37" s="2"/>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v>0</v>
      </c>
      <c r="S37" s="53" t="s">
        <v>34</v>
      </c>
      <c r="T37" s="54" t="s">
        <v>34</v>
      </c>
      <c r="U37" s="55">
        <v>0</v>
      </c>
      <c r="V37" s="55">
        <f t="shared" si="8"/>
        <v>0</v>
      </c>
      <c r="W37" s="55">
        <f t="shared" si="9"/>
        <v>0</v>
      </c>
      <c r="X37" s="55">
        <v>0</v>
      </c>
      <c r="Y37" s="55" t="e">
        <v>#N/A</v>
      </c>
      <c r="Z37" s="56" t="e">
        <f t="shared" si="19"/>
        <v>#N/A</v>
      </c>
      <c r="AA37" s="55" t="e">
        <v>#N/A</v>
      </c>
      <c r="AB37" s="55">
        <f t="shared" si="27"/>
        <v>0</v>
      </c>
      <c r="AC37" s="55">
        <v>0</v>
      </c>
      <c r="AD37" s="55">
        <v>-6.905555555555555</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5">
        <v>0</v>
      </c>
      <c r="S38" s="53"/>
      <c r="T38" s="54" t="s">
        <v>34</v>
      </c>
      <c r="U38" s="55">
        <v>0</v>
      </c>
      <c r="V38" s="55">
        <f t="shared" si="8"/>
        <v>0</v>
      </c>
      <c r="W38" s="55">
        <f t="shared" si="9"/>
        <v>0</v>
      </c>
      <c r="X38" s="55">
        <v>0</v>
      </c>
      <c r="Y38" s="55" t="e">
        <v>#N/A</v>
      </c>
      <c r="Z38" s="56" t="e">
        <f t="shared" si="19"/>
        <v>#N/A</v>
      </c>
      <c r="AA38" s="55" t="e">
        <v>#N/A</v>
      </c>
      <c r="AB38" s="55">
        <f t="shared" si="27"/>
        <v>0</v>
      </c>
      <c r="AC38" s="55">
        <v>0</v>
      </c>
      <c r="AD38" s="55">
        <v>-6.905555555555555</v>
      </c>
      <c r="AE38" s="55">
        <v>0</v>
      </c>
      <c r="AF38" s="55" t="e">
        <v>#N/A</v>
      </c>
    </row>
    <row r="39" spans="1:32" s="57" customFormat="1" ht="15.75" customHeight="1">
      <c r="A39" s="2" t="s">
        <v>101</v>
      </c>
      <c r="B39" s="2"/>
      <c r="C39" s="51" t="str">
        <f t="shared" si="35"/>
        <v xml:space="preserve"> - </v>
      </c>
      <c r="D39" s="51">
        <v>0</v>
      </c>
      <c r="E39" s="51">
        <v>0</v>
      </c>
      <c r="F39" s="51">
        <v>0</v>
      </c>
      <c r="G39" s="51">
        <v>0</v>
      </c>
      <c r="H39" s="51" t="e">
        <f t="shared" si="1"/>
        <v>#DIV/0!</v>
      </c>
      <c r="I39" s="51" t="e">
        <f t="shared" si="2"/>
        <v>#DIV/0!</v>
      </c>
      <c r="J39" s="51">
        <v>0</v>
      </c>
      <c r="K39" s="51" t="e">
        <f t="shared" si="3"/>
        <v>#DIV/0!</v>
      </c>
      <c r="L39" s="51">
        <v>0</v>
      </c>
      <c r="M39" s="51" t="str">
        <f t="shared" si="5"/>
        <v>-</v>
      </c>
      <c r="N39" s="51">
        <v>0</v>
      </c>
      <c r="O39" s="51">
        <f t="shared" ref="O39:P39" si="49">D39/7</f>
        <v>0</v>
      </c>
      <c r="P39" s="51">
        <f t="shared" si="49"/>
        <v>0</v>
      </c>
      <c r="Q39" s="51" t="e">
        <f t="shared" si="7"/>
        <v>#DIV/0!</v>
      </c>
      <c r="R39" s="55">
        <v>0</v>
      </c>
      <c r="S39" s="53" t="s">
        <v>34</v>
      </c>
      <c r="T39" s="54" t="s">
        <v>34</v>
      </c>
      <c r="U39" s="55">
        <v>0</v>
      </c>
      <c r="V39" s="55">
        <f t="shared" si="8"/>
        <v>0</v>
      </c>
      <c r="W39" s="55">
        <f t="shared" si="9"/>
        <v>0</v>
      </c>
      <c r="X39" s="55">
        <v>0</v>
      </c>
      <c r="Y39" s="55" t="e">
        <v>#N/A</v>
      </c>
      <c r="Z39" s="56" t="e">
        <f t="shared" si="19"/>
        <v>#N/A</v>
      </c>
      <c r="AA39" s="55" t="e">
        <v>#N/A</v>
      </c>
      <c r="AB39" s="55">
        <f t="shared" si="27"/>
        <v>0</v>
      </c>
      <c r="AC39" s="55">
        <v>0</v>
      </c>
      <c r="AD39" s="55">
        <v>-6.9055555555555497</v>
      </c>
      <c r="AE39" s="55">
        <v>0</v>
      </c>
      <c r="AF39" s="55" t="e">
        <v>#N/A</v>
      </c>
    </row>
    <row r="40" spans="1:32" s="57" customFormat="1" ht="15.75" customHeight="1">
      <c r="A40" s="2" t="s">
        <v>102</v>
      </c>
      <c r="B40" s="2"/>
      <c r="C40" s="51" t="s">
        <v>103</v>
      </c>
      <c r="D40" s="51">
        <v>0</v>
      </c>
      <c r="E40" s="51">
        <v>0</v>
      </c>
      <c r="F40" s="51">
        <v>0</v>
      </c>
      <c r="G40" s="51">
        <v>0</v>
      </c>
      <c r="H40" s="51" t="e">
        <v>#DIV/0!</v>
      </c>
      <c r="I40" s="51" t="e">
        <v>#DIV/0!</v>
      </c>
      <c r="J40" s="51">
        <v>0</v>
      </c>
      <c r="K40" s="51" t="e">
        <v>#DIV/0!</v>
      </c>
      <c r="L40" s="51">
        <v>0</v>
      </c>
      <c r="M40" s="51" t="s">
        <v>104</v>
      </c>
      <c r="N40" s="51">
        <v>0</v>
      </c>
      <c r="O40" s="51">
        <v>0</v>
      </c>
      <c r="P40" s="51">
        <v>0</v>
      </c>
      <c r="Q40" s="51" t="e">
        <v>#DIV/0!</v>
      </c>
      <c r="R40" s="55">
        <v>0</v>
      </c>
      <c r="S40" s="53" t="s">
        <v>34</v>
      </c>
      <c r="T40" s="54" t="s">
        <v>34</v>
      </c>
      <c r="U40" s="55">
        <v>0</v>
      </c>
      <c r="V40" s="55">
        <v>0</v>
      </c>
      <c r="W40" s="55">
        <v>0</v>
      </c>
      <c r="X40" s="55">
        <v>0</v>
      </c>
      <c r="Y40" s="55" t="e">
        <v>#N/A</v>
      </c>
      <c r="Z40" s="56" t="e">
        <v>#N/A</v>
      </c>
      <c r="AA40" s="55" t="e">
        <v>#N/A</v>
      </c>
      <c r="AB40" s="55">
        <v>0</v>
      </c>
      <c r="AC40" s="55">
        <v>0</v>
      </c>
      <c r="AD40" s="55">
        <v>-6.9055555555555497</v>
      </c>
      <c r="AE40" s="55">
        <v>0</v>
      </c>
      <c r="AF40" s="55" t="e">
        <v>#N/A</v>
      </c>
    </row>
    <row r="41" spans="1:32" s="57" customFormat="1" ht="15.75" customHeight="1">
      <c r="A41" s="2" t="s">
        <v>105</v>
      </c>
      <c r="B41" s="2"/>
      <c r="C41" s="51" t="str">
        <f t="shared" ref="C41:C56" si="50">IFERROR(F41/D41," - ")</f>
        <v xml:space="preserve"> - </v>
      </c>
      <c r="D41" s="51">
        <v>0</v>
      </c>
      <c r="E41" s="51">
        <v>0</v>
      </c>
      <c r="F41" s="51">
        <v>0</v>
      </c>
      <c r="G41" s="51">
        <v>0</v>
      </c>
      <c r="H41" s="51" t="e">
        <f t="shared" ref="H41:H56" si="51">G41/F41*-1</f>
        <v>#DIV/0!</v>
      </c>
      <c r="I41" s="51" t="e">
        <f t="shared" ref="I41:I56" si="52">J41/F41</f>
        <v>#DIV/0!</v>
      </c>
      <c r="J41" s="51">
        <v>0</v>
      </c>
      <c r="K41" s="51" t="e">
        <f t="shared" ref="K41:K56" si="53">J41/D41</f>
        <v>#DIV/0!</v>
      </c>
      <c r="L41" s="51">
        <v>0</v>
      </c>
      <c r="M41" s="51" t="str">
        <f t="shared" ref="M41:M56" si="54">IFERROR(D41/L41,"-")</f>
        <v>-</v>
      </c>
      <c r="N41" s="51">
        <v>0</v>
      </c>
      <c r="O41" s="51">
        <f t="shared" ref="O41:P41" si="55">D41/7</f>
        <v>0</v>
      </c>
      <c r="P41" s="51">
        <f t="shared" si="55"/>
        <v>0</v>
      </c>
      <c r="Q41" s="51" t="e">
        <f t="shared" ref="Q41:Q56" si="56">ROUNDDOWN(N41/(O41+P41),0)</f>
        <v>#DIV/0!</v>
      </c>
      <c r="R41" s="55">
        <v>0</v>
      </c>
      <c r="S41" s="53" t="s">
        <v>34</v>
      </c>
      <c r="T41" s="54" t="s">
        <v>34</v>
      </c>
      <c r="U41" s="55">
        <v>0</v>
      </c>
      <c r="V41" s="55">
        <f t="shared" ref="V41:V56" si="57">IFERROR(U41/D41,0)</f>
        <v>0</v>
      </c>
      <c r="W41" s="55">
        <f t="shared" ref="W41:W56" si="58">IFERROR(G41/(U41+X41)*-1,0)</f>
        <v>0</v>
      </c>
      <c r="X41" s="55">
        <v>0</v>
      </c>
      <c r="Y41" s="52" t="e">
        <v>#N/A</v>
      </c>
      <c r="Z41" s="56" t="e">
        <f t="shared" ref="Z41:Z43" si="59">IF(OR(Y41="UsLargeStandardSize",Y41="UsSmallStandardSize"),-0.75,-0.48)</f>
        <v>#N/A</v>
      </c>
      <c r="AA41" s="55" t="e">
        <v>#N/A</v>
      </c>
      <c r="AB41" s="55">
        <f t="shared" ref="AB41:AB56" si="60">IFERROR(Z41*AA41*D41*3,0)</f>
        <v>0</v>
      </c>
      <c r="AC41" s="55" t="e">
        <v>#N/A</v>
      </c>
      <c r="AD41" s="55">
        <v>-6.9055555555555497</v>
      </c>
      <c r="AE41" s="55">
        <v>0</v>
      </c>
      <c r="AF41" s="55" t="e">
        <v>#N/A</v>
      </c>
    </row>
    <row r="42" spans="1:32" s="57" customFormat="1" ht="15.75" customHeight="1">
      <c r="A42" s="2" t="s">
        <v>106</v>
      </c>
      <c r="B42" s="2"/>
      <c r="C42" s="51" t="str">
        <f t="shared" si="50"/>
        <v xml:space="preserve"> - </v>
      </c>
      <c r="D42" s="51">
        <v>0</v>
      </c>
      <c r="E42" s="51">
        <v>0</v>
      </c>
      <c r="F42" s="51">
        <v>0</v>
      </c>
      <c r="G42" s="51">
        <v>0</v>
      </c>
      <c r="H42" s="51" t="e">
        <f t="shared" si="51"/>
        <v>#DIV/0!</v>
      </c>
      <c r="I42" s="51" t="e">
        <f t="shared" si="52"/>
        <v>#DIV/0!</v>
      </c>
      <c r="J42" s="51">
        <v>0</v>
      </c>
      <c r="K42" s="51" t="e">
        <f t="shared" si="53"/>
        <v>#DIV/0!</v>
      </c>
      <c r="L42" s="51">
        <v>0</v>
      </c>
      <c r="M42" s="51" t="str">
        <f t="shared" si="54"/>
        <v>-</v>
      </c>
      <c r="N42" s="51">
        <v>0</v>
      </c>
      <c r="O42" s="51">
        <f t="shared" ref="O42:P42" si="61">D42/7</f>
        <v>0</v>
      </c>
      <c r="P42" s="51">
        <f t="shared" si="61"/>
        <v>0</v>
      </c>
      <c r="Q42" s="51" t="e">
        <f t="shared" si="56"/>
        <v>#DIV/0!</v>
      </c>
      <c r="R42" s="55">
        <f ca="1">IFERROR(__xludf.DUMMYFUNCTION("IFERROR(VLOOKUP($B$2,IMPORTRANGE(""https://docs.google.com/spreadsheets/d/1iVgg6Mw12RULLujzHmfOFIY8Q_KaAD8anoZzgtVAQ74/edit#gid=1503384807"",""Second Star - Summary!A1:AD2000""),9,FALSE),"""")"),0)</f>
        <v>0</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0</v>
      </c>
      <c r="V42" s="55">
        <f t="shared" si="57"/>
        <v>0</v>
      </c>
      <c r="W42" s="55">
        <f t="shared" si="58"/>
        <v>0</v>
      </c>
      <c r="X42" s="55">
        <v>0</v>
      </c>
      <c r="Y42" s="55" t="e">
        <v>#N/A</v>
      </c>
      <c r="Z42" s="56" t="e">
        <f t="shared" si="59"/>
        <v>#N/A</v>
      </c>
      <c r="AA42" s="55" t="e">
        <v>#N/A</v>
      </c>
      <c r="AB42" s="55">
        <f t="shared" si="60"/>
        <v>0</v>
      </c>
      <c r="AC42" s="55" t="e">
        <v>#N/A</v>
      </c>
      <c r="AD42" s="55">
        <v>-6.9055555555555497</v>
      </c>
      <c r="AE42" s="55">
        <v>0</v>
      </c>
      <c r="AF42" s="55" t="e">
        <v>#N/A</v>
      </c>
    </row>
    <row r="43" spans="1:32" s="57" customFormat="1" ht="15.75" customHeight="1">
      <c r="A43" s="2" t="s">
        <v>107</v>
      </c>
      <c r="B43" s="2"/>
      <c r="C43" s="51" t="str">
        <f t="shared" si="50"/>
        <v xml:space="preserve"> - </v>
      </c>
      <c r="D43" s="51">
        <v>0</v>
      </c>
      <c r="E43" s="51">
        <v>0</v>
      </c>
      <c r="F43" s="51">
        <v>0</v>
      </c>
      <c r="G43" s="51">
        <v>0</v>
      </c>
      <c r="H43" s="51" t="e">
        <f t="shared" si="51"/>
        <v>#DIV/0!</v>
      </c>
      <c r="I43" s="51" t="e">
        <f t="shared" si="52"/>
        <v>#DIV/0!</v>
      </c>
      <c r="J43" s="51">
        <v>0</v>
      </c>
      <c r="K43" s="51" t="e">
        <f t="shared" si="53"/>
        <v>#DIV/0!</v>
      </c>
      <c r="L43" s="51">
        <v>0</v>
      </c>
      <c r="M43" s="51" t="str">
        <f t="shared" si="54"/>
        <v>-</v>
      </c>
      <c r="N43" s="51">
        <v>0</v>
      </c>
      <c r="O43" s="51">
        <f t="shared" ref="O43:P43" si="62">D43/7</f>
        <v>0</v>
      </c>
      <c r="P43" s="51">
        <f t="shared" si="62"/>
        <v>0</v>
      </c>
      <c r="Q43" s="51" t="e">
        <f t="shared" si="56"/>
        <v>#DIV/0!</v>
      </c>
      <c r="R43" s="55">
        <v>0</v>
      </c>
      <c r="S43" s="53" t="s">
        <v>34</v>
      </c>
      <c r="T43" s="54" t="s">
        <v>34</v>
      </c>
      <c r="U43" s="55">
        <v>0</v>
      </c>
      <c r="V43" s="55">
        <f t="shared" si="57"/>
        <v>0</v>
      </c>
      <c r="W43" s="55">
        <f t="shared" si="58"/>
        <v>0</v>
      </c>
      <c r="X43" s="55">
        <v>0</v>
      </c>
      <c r="Y43" s="55" t="e">
        <v>#N/A</v>
      </c>
      <c r="Z43" s="56" t="e">
        <f t="shared" si="59"/>
        <v>#N/A</v>
      </c>
      <c r="AA43" s="55" t="e">
        <v>#N/A</v>
      </c>
      <c r="AB43" s="55">
        <f t="shared" si="60"/>
        <v>0</v>
      </c>
      <c r="AC43" s="55">
        <v>0</v>
      </c>
      <c r="AD43" s="55">
        <v>-6.9055555555555497</v>
      </c>
      <c r="AE43" s="55">
        <v>0</v>
      </c>
      <c r="AF43" s="55" t="e">
        <v>#N/A</v>
      </c>
    </row>
    <row r="44" spans="1:32" s="57" customFormat="1" ht="15.75" customHeight="1">
      <c r="A44" s="2" t="s">
        <v>108</v>
      </c>
      <c r="B44" s="2"/>
      <c r="C44" s="51" t="str">
        <f t="shared" si="50"/>
        <v xml:space="preserve"> - </v>
      </c>
      <c r="D44" s="51">
        <v>0</v>
      </c>
      <c r="E44" s="51">
        <v>0</v>
      </c>
      <c r="F44" s="51">
        <v>0</v>
      </c>
      <c r="G44" s="51">
        <v>0</v>
      </c>
      <c r="H44" s="51" t="e">
        <f t="shared" si="51"/>
        <v>#DIV/0!</v>
      </c>
      <c r="I44" s="51" t="e">
        <f t="shared" si="52"/>
        <v>#DIV/0!</v>
      </c>
      <c r="J44" s="51">
        <v>0</v>
      </c>
      <c r="K44" s="51" t="e">
        <f t="shared" si="53"/>
        <v>#DIV/0!</v>
      </c>
      <c r="L44" s="51">
        <v>0</v>
      </c>
      <c r="M44" s="51" t="str">
        <f t="shared" si="54"/>
        <v>-</v>
      </c>
      <c r="N44" s="51">
        <v>10</v>
      </c>
      <c r="O44" s="51">
        <f t="shared" ref="O44:P44" si="63">D44/7</f>
        <v>0</v>
      </c>
      <c r="P44" s="51">
        <f t="shared" si="63"/>
        <v>0</v>
      </c>
      <c r="Q44" s="51" t="e">
        <f t="shared" si="56"/>
        <v>#DIV/0!</v>
      </c>
      <c r="R44" s="55">
        <v>0</v>
      </c>
      <c r="S44" s="53" t="s">
        <v>34</v>
      </c>
      <c r="T44" s="54" t="s">
        <v>34</v>
      </c>
      <c r="U44" s="55">
        <v>0</v>
      </c>
      <c r="V44" s="55">
        <f t="shared" si="57"/>
        <v>0</v>
      </c>
      <c r="W44" s="55">
        <f t="shared" si="58"/>
        <v>0</v>
      </c>
      <c r="X44" s="55">
        <v>0</v>
      </c>
      <c r="Y44" s="55" t="s">
        <v>35</v>
      </c>
      <c r="Z44" s="56">
        <f t="shared" ref="Z44:Z56" si="64">IF(OR(Y44="UsLargeStandardSize",Y44="UsSmallStandardSize"),-2.4,-1.2)</f>
        <v>-2.4</v>
      </c>
      <c r="AA44" s="55">
        <v>0.17265624999999998</v>
      </c>
      <c r="AB44" s="55">
        <f t="shared" si="60"/>
        <v>0</v>
      </c>
      <c r="AC44" s="55">
        <v>-4.9000000000000004</v>
      </c>
      <c r="AD44" s="55">
        <v>-6.9055555555555497</v>
      </c>
      <c r="AE44" s="55">
        <v>0</v>
      </c>
      <c r="AF44" s="55">
        <v>2.1333333333333302</v>
      </c>
    </row>
    <row r="45" spans="1:32" s="57" customFormat="1" ht="15.75" customHeight="1">
      <c r="A45" s="2" t="s">
        <v>109</v>
      </c>
      <c r="B45" s="2" t="s">
        <v>110</v>
      </c>
      <c r="C45" s="51">
        <f t="shared" si="50"/>
        <v>17.989999999999998</v>
      </c>
      <c r="D45" s="51">
        <v>2</v>
      </c>
      <c r="E45" s="51">
        <v>0</v>
      </c>
      <c r="F45" s="51">
        <v>35.979999999999997</v>
      </c>
      <c r="G45" s="51">
        <v>0</v>
      </c>
      <c r="H45" s="51">
        <f t="shared" si="51"/>
        <v>0</v>
      </c>
      <c r="I45" s="51">
        <f t="shared" si="52"/>
        <v>0</v>
      </c>
      <c r="J45" s="51">
        <v>0</v>
      </c>
      <c r="K45" s="51">
        <f t="shared" si="53"/>
        <v>0</v>
      </c>
      <c r="L45" s="51">
        <v>54</v>
      </c>
      <c r="M45" s="51">
        <f t="shared" si="54"/>
        <v>3.7037037037037035E-2</v>
      </c>
      <c r="N45" s="51">
        <v>12</v>
      </c>
      <c r="O45" s="51">
        <f t="shared" ref="O45:P45" si="65">D45/7</f>
        <v>0.2857142857142857</v>
      </c>
      <c r="P45" s="51">
        <f t="shared" si="65"/>
        <v>0</v>
      </c>
      <c r="Q45" s="51">
        <f t="shared" si="56"/>
        <v>42</v>
      </c>
      <c r="R45" s="55">
        <v>0</v>
      </c>
      <c r="S45" s="53" t="s">
        <v>34</v>
      </c>
      <c r="T45" s="54" t="s">
        <v>34</v>
      </c>
      <c r="U45" s="55">
        <v>0</v>
      </c>
      <c r="V45" s="55">
        <f t="shared" si="57"/>
        <v>0</v>
      </c>
      <c r="W45" s="55">
        <f t="shared" si="58"/>
        <v>0</v>
      </c>
      <c r="X45" s="55">
        <v>0</v>
      </c>
      <c r="Y45" s="55" t="s">
        <v>35</v>
      </c>
      <c r="Z45" s="56">
        <f t="shared" si="64"/>
        <v>-2.4</v>
      </c>
      <c r="AA45" s="55">
        <v>0.17265624999999998</v>
      </c>
      <c r="AB45" s="55">
        <f t="shared" si="60"/>
        <v>-2.4862499999999996</v>
      </c>
      <c r="AC45" s="55">
        <v>-4.9000000000000004</v>
      </c>
      <c r="AD45" s="55">
        <v>-6.9055555555555497</v>
      </c>
      <c r="AE45" s="55">
        <v>0</v>
      </c>
      <c r="AF45" s="55">
        <v>2.1538461538461502</v>
      </c>
    </row>
    <row r="46" spans="1:32" s="57" customFormat="1" ht="15.75" customHeight="1">
      <c r="A46" s="2" t="s">
        <v>111</v>
      </c>
      <c r="B46" s="2" t="s">
        <v>112</v>
      </c>
      <c r="C46" s="51">
        <f t="shared" si="50"/>
        <v>17.989999999999998</v>
      </c>
      <c r="D46" s="51">
        <v>4</v>
      </c>
      <c r="E46" s="51">
        <v>0</v>
      </c>
      <c r="F46" s="51">
        <v>71.959999999999994</v>
      </c>
      <c r="G46" s="51">
        <v>-0.21999999999999997</v>
      </c>
      <c r="H46" s="51">
        <f t="shared" si="51"/>
        <v>3.0572540300166759E-3</v>
      </c>
      <c r="I46" s="51">
        <f t="shared" si="52"/>
        <v>0</v>
      </c>
      <c r="J46" s="51">
        <v>0</v>
      </c>
      <c r="K46" s="51">
        <f t="shared" si="53"/>
        <v>0</v>
      </c>
      <c r="L46" s="51">
        <v>11</v>
      </c>
      <c r="M46" s="51">
        <f t="shared" si="54"/>
        <v>0.36363636363636365</v>
      </c>
      <c r="N46" s="51">
        <v>12</v>
      </c>
      <c r="O46" s="51">
        <f t="shared" ref="O46:P46" si="66">D46/7</f>
        <v>0.5714285714285714</v>
      </c>
      <c r="P46" s="51">
        <f t="shared" si="66"/>
        <v>0</v>
      </c>
      <c r="Q46" s="51">
        <f t="shared" si="56"/>
        <v>21</v>
      </c>
      <c r="R46" s="55">
        <v>0</v>
      </c>
      <c r="S46" s="53" t="s">
        <v>34</v>
      </c>
      <c r="T46" s="54" t="s">
        <v>34</v>
      </c>
      <c r="U46" s="55">
        <v>0</v>
      </c>
      <c r="V46" s="55">
        <f t="shared" si="57"/>
        <v>0</v>
      </c>
      <c r="W46" s="55">
        <f t="shared" si="58"/>
        <v>0</v>
      </c>
      <c r="X46" s="55">
        <v>0</v>
      </c>
      <c r="Y46" s="55" t="s">
        <v>35</v>
      </c>
      <c r="Z46" s="56">
        <f t="shared" si="64"/>
        <v>-2.4</v>
      </c>
      <c r="AA46" s="55">
        <v>0.17265624999999998</v>
      </c>
      <c r="AB46" s="55">
        <f t="shared" si="60"/>
        <v>-4.9724999999999993</v>
      </c>
      <c r="AC46" s="55">
        <v>-4.9000000000000004</v>
      </c>
      <c r="AD46" s="55">
        <v>-6.9055555555555497</v>
      </c>
      <c r="AE46" s="55">
        <v>0</v>
      </c>
      <c r="AF46" s="55">
        <v>2.9565217391304301</v>
      </c>
    </row>
    <row r="47" spans="1:32" s="57" customFormat="1" ht="15.75" customHeight="1">
      <c r="A47" s="2" t="s">
        <v>113</v>
      </c>
      <c r="B47" s="2" t="s">
        <v>114</v>
      </c>
      <c r="C47" s="51" t="str">
        <f t="shared" si="50"/>
        <v xml:space="preserve"> - </v>
      </c>
      <c r="D47" s="51">
        <v>0</v>
      </c>
      <c r="E47" s="51">
        <v>0</v>
      </c>
      <c r="F47" s="51">
        <v>0</v>
      </c>
      <c r="G47" s="51">
        <v>-7.55</v>
      </c>
      <c r="H47" s="51" t="e">
        <f t="shared" si="51"/>
        <v>#DIV/0!</v>
      </c>
      <c r="I47" s="51" t="e">
        <f t="shared" si="52"/>
        <v>#DIV/0!</v>
      </c>
      <c r="J47" s="51">
        <v>0</v>
      </c>
      <c r="K47" s="51" t="e">
        <f t="shared" si="53"/>
        <v>#DIV/0!</v>
      </c>
      <c r="L47" s="51">
        <v>0</v>
      </c>
      <c r="M47" s="51" t="str">
        <f t="shared" si="54"/>
        <v>-</v>
      </c>
      <c r="N47" s="51">
        <v>42</v>
      </c>
      <c r="O47" s="51">
        <f t="shared" ref="O47:P47" si="67">D47/7</f>
        <v>0</v>
      </c>
      <c r="P47" s="51">
        <f t="shared" si="67"/>
        <v>0</v>
      </c>
      <c r="Q47" s="51" t="e">
        <f t="shared" si="56"/>
        <v>#DIV/0!</v>
      </c>
      <c r="R47" s="55">
        <v>0</v>
      </c>
      <c r="S47" s="53" t="s">
        <v>34</v>
      </c>
      <c r="T47" s="54" t="s">
        <v>34</v>
      </c>
      <c r="U47" s="55">
        <v>0</v>
      </c>
      <c r="V47" s="55">
        <f t="shared" si="57"/>
        <v>0</v>
      </c>
      <c r="W47" s="55">
        <f t="shared" si="58"/>
        <v>0</v>
      </c>
      <c r="X47" s="55">
        <v>0</v>
      </c>
      <c r="Y47" s="55" t="s">
        <v>35</v>
      </c>
      <c r="Z47" s="56">
        <f t="shared" si="64"/>
        <v>-2.4</v>
      </c>
      <c r="AA47" s="55">
        <v>0.17265624999999998</v>
      </c>
      <c r="AB47" s="55">
        <f t="shared" si="60"/>
        <v>0</v>
      </c>
      <c r="AC47" s="55">
        <v>-4.9000000000000004</v>
      </c>
      <c r="AD47" s="55">
        <v>-6.9055555555555497</v>
      </c>
      <c r="AE47" s="55">
        <v>0</v>
      </c>
      <c r="AF47" s="55">
        <v>1.1764705882352899</v>
      </c>
    </row>
    <row r="48" spans="1:32" s="57" customFormat="1" ht="15.75" customHeight="1">
      <c r="A48" s="2" t="s">
        <v>115</v>
      </c>
      <c r="B48" s="2" t="s">
        <v>116</v>
      </c>
      <c r="C48" s="51" t="str">
        <f t="shared" si="50"/>
        <v xml:space="preserve"> - </v>
      </c>
      <c r="D48" s="51">
        <v>0</v>
      </c>
      <c r="E48" s="51">
        <v>0</v>
      </c>
      <c r="F48" s="51">
        <v>0</v>
      </c>
      <c r="G48" s="51">
        <v>-5.379999999999999</v>
      </c>
      <c r="H48" s="51" t="e">
        <f t="shared" si="51"/>
        <v>#DIV/0!</v>
      </c>
      <c r="I48" s="51" t="e">
        <f t="shared" si="52"/>
        <v>#DIV/0!</v>
      </c>
      <c r="J48" s="51">
        <f>F48*0.85+G48+AD48*D48+D48*AC48+AE49+AB48</f>
        <v>-5.379999999999999</v>
      </c>
      <c r="K48" s="51" t="e">
        <f t="shared" si="53"/>
        <v>#DIV/0!</v>
      </c>
      <c r="L48" s="51">
        <v>0</v>
      </c>
      <c r="M48" s="51" t="str">
        <f t="shared" si="54"/>
        <v>-</v>
      </c>
      <c r="N48" s="51">
        <v>42</v>
      </c>
      <c r="O48" s="51">
        <f t="shared" ref="O48:P48" si="68">D48/7</f>
        <v>0</v>
      </c>
      <c r="P48" s="51">
        <f t="shared" si="68"/>
        <v>0</v>
      </c>
      <c r="Q48" s="51" t="e">
        <f t="shared" si="56"/>
        <v>#DIV/0!</v>
      </c>
      <c r="R48" s="55">
        <f ca="1">IFERROR(__xludf.DUMMYFUNCTION("IFERROR(VLOOKUP($B$2,IMPORTRANGE(""https://docs.google.com/spreadsheets/d/1iVgg6Mw12RULLujzHmfOFIY8Q_KaAD8anoZzgtVAQ74/edit#gid=1503384807"",""Second Star - Summary!A1:AD2000""),9,FALSE),"""")"),0)</f>
        <v>0</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si="57"/>
        <v>0</v>
      </c>
      <c r="W48" s="55">
        <f t="shared" si="58"/>
        <v>0</v>
      </c>
      <c r="X48" s="55">
        <v>0</v>
      </c>
      <c r="Y48" s="55" t="s">
        <v>35</v>
      </c>
      <c r="Z48" s="56">
        <f t="shared" si="64"/>
        <v>-2.4</v>
      </c>
      <c r="AA48" s="55">
        <v>0.17265624999999998</v>
      </c>
      <c r="AB48" s="55">
        <f t="shared" si="60"/>
        <v>0</v>
      </c>
      <c r="AC48" s="55">
        <v>-4.9000000000000004</v>
      </c>
      <c r="AD48" s="55">
        <v>-6.9055555555555497</v>
      </c>
      <c r="AE48" s="55">
        <v>0</v>
      </c>
      <c r="AF48" s="55">
        <v>0.93617021276595702</v>
      </c>
    </row>
    <row r="49" spans="1:32" s="57" customFormat="1" ht="15.75" customHeight="1">
      <c r="A49" s="2" t="s">
        <v>117</v>
      </c>
      <c r="B49" s="2" t="s">
        <v>118</v>
      </c>
      <c r="C49" s="51">
        <f t="shared" si="50"/>
        <v>16.939999999999998</v>
      </c>
      <c r="D49" s="51">
        <v>2</v>
      </c>
      <c r="E49" s="51">
        <v>0</v>
      </c>
      <c r="F49" s="51">
        <v>33.879999999999995</v>
      </c>
      <c r="G49" s="51">
        <v>-4.41</v>
      </c>
      <c r="H49" s="51">
        <f t="shared" si="51"/>
        <v>0.13016528925619836</v>
      </c>
      <c r="I49" s="51">
        <f t="shared" si="52"/>
        <v>-5.1868686868686703E-2</v>
      </c>
      <c r="J49" s="51">
        <f t="shared" ref="J49:J56" si="69">F49*0.85+G49+AD49*D49+D49*AC49+AE49+AB49</f>
        <v>-1.7573111111111053</v>
      </c>
      <c r="K49" s="51">
        <f t="shared" si="53"/>
        <v>-0.87865555555555264</v>
      </c>
      <c r="L49" s="51">
        <v>12</v>
      </c>
      <c r="M49" s="51">
        <f t="shared" si="54"/>
        <v>0.16666666666666666</v>
      </c>
      <c r="N49" s="51">
        <v>40</v>
      </c>
      <c r="O49" s="51">
        <f t="shared" ref="O49:P49" si="70">D49/7</f>
        <v>0.2857142857142857</v>
      </c>
      <c r="P49" s="51">
        <f t="shared" si="70"/>
        <v>0</v>
      </c>
      <c r="Q49" s="51">
        <f t="shared" si="56"/>
        <v>140</v>
      </c>
      <c r="R49" s="55">
        <f ca="1">IFERROR(__xludf.DUMMYFUNCTION("IFERROR(VLOOKUP($B$2,IMPORTRANGE(""https://docs.google.com/spreadsheets/d/1iVgg6Mw12RULLujzHmfOFIY8Q_KaAD8anoZzgtVAQ74/edit#gid=1503384807"",""Second Star - Summary!A1:AD2000""),9,FALSE),"""")"),0)</f>
        <v>0</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57"/>
        <v>0</v>
      </c>
      <c r="W49" s="55">
        <f t="shared" si="58"/>
        <v>0</v>
      </c>
      <c r="X49" s="55">
        <v>0</v>
      </c>
      <c r="Y49" s="55" t="s">
        <v>35</v>
      </c>
      <c r="Z49" s="56">
        <f t="shared" si="64"/>
        <v>-2.4</v>
      </c>
      <c r="AA49" s="55">
        <v>0.17265624999999998</v>
      </c>
      <c r="AB49" s="55">
        <f t="shared" si="60"/>
        <v>-2.4862499999999996</v>
      </c>
      <c r="AC49" s="55">
        <v>-4.9000000000000004</v>
      </c>
      <c r="AD49" s="55">
        <v>-6.9295305555555498</v>
      </c>
      <c r="AE49" s="55">
        <v>0</v>
      </c>
      <c r="AF49" s="55">
        <v>0.679245283018867</v>
      </c>
    </row>
    <row r="50" spans="1:32" s="57" customFormat="1" ht="15.75" customHeight="1">
      <c r="A50" s="2" t="s">
        <v>119</v>
      </c>
      <c r="B50" s="2" t="s">
        <v>120</v>
      </c>
      <c r="C50" s="51" t="str">
        <f t="shared" si="50"/>
        <v xml:space="preserve"> - </v>
      </c>
      <c r="D50" s="51">
        <v>0</v>
      </c>
      <c r="E50" s="51">
        <v>0</v>
      </c>
      <c r="F50" s="51">
        <v>0</v>
      </c>
      <c r="G50" s="51">
        <v>-8.629999999999999</v>
      </c>
      <c r="H50" s="51" t="e">
        <f t="shared" si="51"/>
        <v>#DIV/0!</v>
      </c>
      <c r="I50" s="51" t="e">
        <f t="shared" si="52"/>
        <v>#DIV/0!</v>
      </c>
      <c r="J50" s="51">
        <f t="shared" si="69"/>
        <v>-8.629999999999999</v>
      </c>
      <c r="K50" s="51" t="e">
        <f t="shared" si="53"/>
        <v>#DIV/0!</v>
      </c>
      <c r="L50" s="51">
        <v>0</v>
      </c>
      <c r="M50" s="51" t="str">
        <f t="shared" si="54"/>
        <v>-</v>
      </c>
      <c r="N50" s="51">
        <v>40</v>
      </c>
      <c r="O50" s="51">
        <f t="shared" ref="O50:P50" si="71">D50/7</f>
        <v>0</v>
      </c>
      <c r="P50" s="51">
        <f t="shared" si="71"/>
        <v>0</v>
      </c>
      <c r="Q50" s="51" t="e">
        <f t="shared" si="56"/>
        <v>#DIV/0!</v>
      </c>
      <c r="R50" s="55">
        <f ca="1">IFERROR(__xludf.DUMMYFUNCTION("IFERROR(VLOOKUP($B$2,IMPORTRANGE(""https://docs.google.com/spreadsheets/d/1iVgg6Mw12RULLujzHmfOFIY8Q_KaAD8anoZzgtVAQ74/edit#gid=1503384807"",""Second Star - Summary!A1:AD2000""),9,FALSE),"""")"),0)</f>
        <v>0</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57"/>
        <v>0</v>
      </c>
      <c r="W50" s="55">
        <f t="shared" si="58"/>
        <v>0</v>
      </c>
      <c r="X50" s="55">
        <v>0</v>
      </c>
      <c r="Y50" s="55" t="s">
        <v>35</v>
      </c>
      <c r="Z50" s="56">
        <f t="shared" si="64"/>
        <v>-2.4</v>
      </c>
      <c r="AA50" s="55">
        <v>0.17265624999999998</v>
      </c>
      <c r="AB50" s="55">
        <f t="shared" si="60"/>
        <v>0</v>
      </c>
      <c r="AC50" s="55">
        <v>-4.9000000000000004</v>
      </c>
      <c r="AD50" s="55">
        <v>-6.9295305555555498</v>
      </c>
      <c r="AE50" s="55">
        <v>0</v>
      </c>
      <c r="AF50" s="55">
        <v>0.55172413793103403</v>
      </c>
    </row>
    <row r="51" spans="1:32" s="57" customFormat="1" ht="15.75" customHeight="1">
      <c r="A51" s="2" t="s">
        <v>121</v>
      </c>
      <c r="B51" s="2" t="s">
        <v>122</v>
      </c>
      <c r="C51" s="51">
        <f t="shared" si="50"/>
        <v>16.09</v>
      </c>
      <c r="D51" s="51">
        <v>1</v>
      </c>
      <c r="E51" s="51">
        <v>0</v>
      </c>
      <c r="F51" s="51">
        <v>16.09</v>
      </c>
      <c r="G51" s="51">
        <v>0</v>
      </c>
      <c r="H51" s="51">
        <f t="shared" si="51"/>
        <v>0</v>
      </c>
      <c r="I51" s="51">
        <f t="shared" si="52"/>
        <v>3.7529176161867565E-2</v>
      </c>
      <c r="J51" s="51">
        <f t="shared" si="69"/>
        <v>0.60384444444444907</v>
      </c>
      <c r="K51" s="51">
        <f t="shared" si="53"/>
        <v>0.60384444444444907</v>
      </c>
      <c r="L51" s="51">
        <v>11</v>
      </c>
      <c r="M51" s="51">
        <f t="shared" si="54"/>
        <v>9.0909090909090912E-2</v>
      </c>
      <c r="N51" s="51">
        <v>39</v>
      </c>
      <c r="O51" s="51">
        <f t="shared" ref="O51:P51" si="72">D51/7</f>
        <v>0.14285714285714285</v>
      </c>
      <c r="P51" s="51">
        <f t="shared" si="72"/>
        <v>0</v>
      </c>
      <c r="Q51" s="51">
        <f t="shared" si="56"/>
        <v>273</v>
      </c>
      <c r="R51" s="55">
        <f ca="1">IFERROR(__xludf.DUMMYFUNCTION("IFERROR(VLOOKUP($B$2,IMPORTRANGE(""https://docs.google.com/spreadsheets/d/1iVgg6Mw12RULLujzHmfOFIY8Q_KaAD8anoZzgtVAQ74/edit#gid=1503384807"",""Second Star - Summary!A1:AD2000""),9,FALSE),"""")"),0)</f>
        <v>0</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57"/>
        <v>0</v>
      </c>
      <c r="W51" s="55">
        <f t="shared" si="58"/>
        <v>0</v>
      </c>
      <c r="X51" s="55">
        <v>0</v>
      </c>
      <c r="Y51" s="55" t="s">
        <v>35</v>
      </c>
      <c r="Z51" s="56">
        <f t="shared" si="64"/>
        <v>-2.4</v>
      </c>
      <c r="AA51" s="55">
        <v>0.17265624999999998</v>
      </c>
      <c r="AB51" s="55">
        <f t="shared" si="60"/>
        <v>-1.2431249999999998</v>
      </c>
      <c r="AC51" s="55">
        <v>-4.9000000000000004</v>
      </c>
      <c r="AD51" s="55">
        <v>-6.9295305555555498</v>
      </c>
      <c r="AE51" s="55">
        <v>0</v>
      </c>
      <c r="AF51" s="55">
        <v>0.61538461538461497</v>
      </c>
    </row>
    <row r="52" spans="1:32" s="57" customFormat="1" ht="15.75" customHeight="1">
      <c r="A52" s="2" t="s">
        <v>123</v>
      </c>
      <c r="B52" s="2" t="s">
        <v>124</v>
      </c>
      <c r="C52" s="51">
        <f t="shared" si="50"/>
        <v>14.809999999999999</v>
      </c>
      <c r="D52" s="51">
        <v>4</v>
      </c>
      <c r="E52" s="51">
        <v>0</v>
      </c>
      <c r="F52" s="51">
        <v>59.239999999999995</v>
      </c>
      <c r="G52" s="51">
        <v>-5.89</v>
      </c>
      <c r="H52" s="51">
        <f t="shared" si="51"/>
        <v>9.9426063470627962E-2</v>
      </c>
      <c r="I52" s="51">
        <f t="shared" si="52"/>
        <v>-0.13211718808612777</v>
      </c>
      <c r="J52" s="51">
        <f t="shared" si="69"/>
        <v>-7.8266222222222082</v>
      </c>
      <c r="K52" s="51">
        <f t="shared" si="53"/>
        <v>-1.956655555555552</v>
      </c>
      <c r="L52" s="51">
        <v>18</v>
      </c>
      <c r="M52" s="51">
        <f t="shared" si="54"/>
        <v>0.22222222222222221</v>
      </c>
      <c r="N52" s="51">
        <v>34</v>
      </c>
      <c r="O52" s="51">
        <f t="shared" ref="O52:P52" si="73">D52/7</f>
        <v>0.5714285714285714</v>
      </c>
      <c r="P52" s="51">
        <f t="shared" si="73"/>
        <v>0</v>
      </c>
      <c r="Q52" s="51">
        <f t="shared" si="56"/>
        <v>59</v>
      </c>
      <c r="R52" s="55">
        <f ca="1">IFERROR(__xludf.DUMMYFUNCTION("IFERROR(VLOOKUP($B$2,IMPORTRANGE(""https://docs.google.com/spreadsheets/d/1iVgg6Mw12RULLujzHmfOFIY8Q_KaAD8anoZzgtVAQ74/edit#gid=1503384807"",""Second Star - Summary!A1:AD2000""),9,FALSE),"""")"),0)</f>
        <v>0</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57"/>
        <v>0</v>
      </c>
      <c r="W52" s="55">
        <f t="shared" si="58"/>
        <v>0</v>
      </c>
      <c r="X52" s="55">
        <v>0</v>
      </c>
      <c r="Y52" s="55" t="s">
        <v>35</v>
      </c>
      <c r="Z52" s="56">
        <f t="shared" si="64"/>
        <v>-2.4</v>
      </c>
      <c r="AA52" s="55">
        <v>0.17265624999999998</v>
      </c>
      <c r="AB52" s="55">
        <f t="shared" si="60"/>
        <v>-4.9724999999999993</v>
      </c>
      <c r="AC52" s="55">
        <v>-4.9000000000000004</v>
      </c>
      <c r="AD52" s="55">
        <v>-6.9295305555555498</v>
      </c>
      <c r="AE52" s="55">
        <v>0</v>
      </c>
      <c r="AF52" s="55">
        <v>0.8</v>
      </c>
    </row>
    <row r="53" spans="1:32" s="57" customFormat="1">
      <c r="A53" s="2" t="s">
        <v>38</v>
      </c>
      <c r="B53" s="2" t="s">
        <v>125</v>
      </c>
      <c r="C53" s="51">
        <f t="shared" si="50"/>
        <v>14.41</v>
      </c>
      <c r="D53" s="51">
        <v>4</v>
      </c>
      <c r="E53" s="51">
        <v>0</v>
      </c>
      <c r="F53" s="51">
        <v>57.64</v>
      </c>
      <c r="G53" s="51">
        <v>-1.1300000000000001</v>
      </c>
      <c r="H53" s="51">
        <f t="shared" si="51"/>
        <v>1.9604441360166553E-2</v>
      </c>
      <c r="I53" s="51">
        <f t="shared" si="52"/>
        <v>-7.6797748477137454E-2</v>
      </c>
      <c r="J53" s="51">
        <f t="shared" si="69"/>
        <v>-4.4266222222222025</v>
      </c>
      <c r="K53" s="51">
        <f t="shared" si="53"/>
        <v>-1.1066555555555506</v>
      </c>
      <c r="L53" s="51">
        <v>13</v>
      </c>
      <c r="M53" s="51">
        <f t="shared" si="54"/>
        <v>0.30769230769230771</v>
      </c>
      <c r="N53" s="51">
        <v>31</v>
      </c>
      <c r="O53" s="51">
        <f t="shared" ref="O53:P53" si="74">D53/7</f>
        <v>0.5714285714285714</v>
      </c>
      <c r="P53" s="51">
        <f t="shared" si="74"/>
        <v>0</v>
      </c>
      <c r="Q53" s="51">
        <f t="shared" si="56"/>
        <v>54</v>
      </c>
      <c r="R53" s="55">
        <f ca="1">IFERROR(__xludf.DUMMYFUNCTION("IFERROR(VLOOKUP($B$2,IMPORTRANGE(""https://docs.google.com/spreadsheets/d/1iVgg6Mw12RULLujzHmfOFIY8Q_KaAD8anoZzgtVAQ74/edit#gid=1503384807"",""Second Star - Summary!A1:AD2000""),9,FALSE),"""")"),0)</f>
        <v>0</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57"/>
        <v>0</v>
      </c>
      <c r="W53" s="55">
        <f t="shared" si="58"/>
        <v>0</v>
      </c>
      <c r="X53" s="55">
        <v>0</v>
      </c>
      <c r="Y53" s="55" t="s">
        <v>35</v>
      </c>
      <c r="Z53" s="56">
        <f t="shared" si="64"/>
        <v>-2.4</v>
      </c>
      <c r="AA53" s="55">
        <v>0.17265624999999998</v>
      </c>
      <c r="AB53" s="55">
        <f t="shared" si="60"/>
        <v>-4.9724999999999993</v>
      </c>
      <c r="AC53" s="55">
        <v>-4.9000000000000004</v>
      </c>
      <c r="AD53" s="55">
        <v>-6.9295305555555498</v>
      </c>
      <c r="AE53" s="55">
        <v>0</v>
      </c>
      <c r="AF53" s="55">
        <v>0.81081081081080997</v>
      </c>
    </row>
    <row r="54" spans="1:32" s="57" customFormat="1">
      <c r="A54" s="2" t="s">
        <v>40</v>
      </c>
      <c r="B54" s="2" t="s">
        <v>126</v>
      </c>
      <c r="C54" s="51">
        <f t="shared" si="50"/>
        <v>14.99</v>
      </c>
      <c r="D54" s="51">
        <v>1</v>
      </c>
      <c r="E54" s="51">
        <v>0</v>
      </c>
      <c r="F54" s="51">
        <v>14.99</v>
      </c>
      <c r="G54" s="51">
        <v>0</v>
      </c>
      <c r="H54" s="51">
        <f t="shared" si="51"/>
        <v>0</v>
      </c>
      <c r="I54" s="51">
        <f t="shared" si="52"/>
        <v>-7.2125120450670419E-2</v>
      </c>
      <c r="J54" s="51">
        <f t="shared" si="69"/>
        <v>-1.0811555555555497</v>
      </c>
      <c r="K54" s="51">
        <f t="shared" si="53"/>
        <v>-1.0811555555555497</v>
      </c>
      <c r="L54" s="51">
        <v>6</v>
      </c>
      <c r="M54" s="51">
        <f t="shared" si="54"/>
        <v>0.16666666666666666</v>
      </c>
      <c r="N54" s="51">
        <v>29</v>
      </c>
      <c r="O54" s="51">
        <f t="shared" ref="O54:P54" si="75">D54/7</f>
        <v>0.14285714285714285</v>
      </c>
      <c r="P54" s="51">
        <f t="shared" si="75"/>
        <v>0</v>
      </c>
      <c r="Q54" s="51">
        <f t="shared" si="56"/>
        <v>203</v>
      </c>
      <c r="R54" s="55">
        <f ca="1">IFERROR(__xludf.DUMMYFUNCTION("IFERROR(VLOOKUP($B$2,IMPORTRANGE(""https://docs.google.com/spreadsheets/d/1iVgg6Mw12RULLujzHmfOFIY8Q_KaAD8anoZzgtVAQ74/edit#gid=1503384807"",""Second Star - Summary!A1:AD2000""),9,FALSE),"""")"),0)</f>
        <v>0</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57"/>
        <v>0</v>
      </c>
      <c r="W54" s="55">
        <f t="shared" si="58"/>
        <v>0</v>
      </c>
      <c r="X54" s="55">
        <v>0</v>
      </c>
      <c r="Y54" s="55" t="s">
        <v>35</v>
      </c>
      <c r="Z54" s="56">
        <f t="shared" si="64"/>
        <v>-2.4</v>
      </c>
      <c r="AA54" s="55">
        <v>0.17265624999999998</v>
      </c>
      <c r="AB54" s="55">
        <f t="shared" si="60"/>
        <v>-1.2431249999999998</v>
      </c>
      <c r="AC54" s="55">
        <v>-4.9000000000000004</v>
      </c>
      <c r="AD54" s="55">
        <v>-6.9295305555555498</v>
      </c>
      <c r="AE54" s="55">
        <v>-0.75</v>
      </c>
      <c r="AF54" s="55">
        <v>0.87356321839080397</v>
      </c>
    </row>
    <row r="55" spans="1:32" s="57" customFormat="1" ht="15.75" customHeight="1">
      <c r="A55" s="2" t="s">
        <v>32</v>
      </c>
      <c r="B55" s="2" t="s">
        <v>127</v>
      </c>
      <c r="C55" s="51" t="str">
        <f t="shared" si="50"/>
        <v xml:space="preserve"> - </v>
      </c>
      <c r="D55" s="51">
        <v>0</v>
      </c>
      <c r="E55" s="51">
        <v>0</v>
      </c>
      <c r="F55" s="51">
        <v>0</v>
      </c>
      <c r="G55" s="51">
        <v>0</v>
      </c>
      <c r="H55" s="51" t="e">
        <f t="shared" si="51"/>
        <v>#DIV/0!</v>
      </c>
      <c r="I55" s="51" t="e">
        <f t="shared" si="52"/>
        <v>#DIV/0!</v>
      </c>
      <c r="J55" s="51">
        <f t="shared" si="69"/>
        <v>0</v>
      </c>
      <c r="K55" s="51" t="e">
        <f t="shared" si="53"/>
        <v>#DIV/0!</v>
      </c>
      <c r="L55" s="51">
        <v>0</v>
      </c>
      <c r="M55" s="51" t="str">
        <f t="shared" si="54"/>
        <v>-</v>
      </c>
      <c r="N55" s="51">
        <v>29</v>
      </c>
      <c r="O55" s="51">
        <f t="shared" ref="O55:P55" si="76">D55/7</f>
        <v>0</v>
      </c>
      <c r="P55" s="51">
        <f t="shared" si="76"/>
        <v>0</v>
      </c>
      <c r="Q55" s="51" t="e">
        <f t="shared" si="56"/>
        <v>#DIV/0!</v>
      </c>
      <c r="R55" s="55">
        <v>0</v>
      </c>
      <c r="S55" s="53" t="s">
        <v>34</v>
      </c>
      <c r="T55" s="54" t="s">
        <v>34</v>
      </c>
      <c r="U55" s="55">
        <v>0</v>
      </c>
      <c r="V55" s="55">
        <f t="shared" si="57"/>
        <v>0</v>
      </c>
      <c r="W55" s="55">
        <f t="shared" si="58"/>
        <v>0</v>
      </c>
      <c r="X55" s="55">
        <v>0</v>
      </c>
      <c r="Y55" s="55" t="s">
        <v>35</v>
      </c>
      <c r="Z55" s="56">
        <f t="shared" si="64"/>
        <v>-2.4</v>
      </c>
      <c r="AA55" s="55">
        <v>0.17265624999999998</v>
      </c>
      <c r="AB55" s="55">
        <f t="shared" si="60"/>
        <v>0</v>
      </c>
      <c r="AC55" s="55">
        <v>-4.9000000000000004</v>
      </c>
      <c r="AD55" s="55">
        <v>-6.9295305555555498</v>
      </c>
      <c r="AE55" s="55">
        <v>0</v>
      </c>
      <c r="AF55" s="55">
        <v>0.95</v>
      </c>
    </row>
    <row r="56" spans="1:32" s="57" customFormat="1" ht="15.75" customHeight="1">
      <c r="A56" s="2" t="s">
        <v>36</v>
      </c>
      <c r="B56" s="2"/>
      <c r="C56" s="51">
        <f t="shared" si="50"/>
        <v>15.99</v>
      </c>
      <c r="D56" s="51">
        <v>2</v>
      </c>
      <c r="E56" s="51">
        <v>0</v>
      </c>
      <c r="F56" s="51">
        <v>31.98</v>
      </c>
      <c r="G56" s="51">
        <v>-0.18</v>
      </c>
      <c r="H56" s="51">
        <f t="shared" si="51"/>
        <v>5.6285178236397749E-3</v>
      </c>
      <c r="I56" s="51">
        <f t="shared" si="52"/>
        <v>2.6819539990272052E-2</v>
      </c>
      <c r="J56" s="51">
        <f t="shared" si="69"/>
        <v>0.85768888888890027</v>
      </c>
      <c r="K56" s="51">
        <f t="shared" si="53"/>
        <v>0.42884444444445013</v>
      </c>
      <c r="L56" s="51">
        <v>13</v>
      </c>
      <c r="M56" s="51">
        <f t="shared" si="54"/>
        <v>0.15384615384615385</v>
      </c>
      <c r="N56" s="51">
        <v>27</v>
      </c>
      <c r="O56" s="51">
        <f t="shared" ref="O56:P56" si="77">D56/7</f>
        <v>0.2857142857142857</v>
      </c>
      <c r="P56" s="51">
        <f t="shared" si="77"/>
        <v>0</v>
      </c>
      <c r="Q56" s="51">
        <f t="shared" si="56"/>
        <v>94</v>
      </c>
      <c r="R56" s="55">
        <f ca="1">IFERROR(__xludf.DUMMYFUNCTION("IFERROR(VLOOKUP($B$2,IMPORTRANGE(""https://docs.google.com/spreadsheets/d/1iVgg6Mw12RULLujzHmfOFIY8Q_KaAD8anoZzgtVAQ74/edit#gid=1503384807"",""Second Star - Summary!A1:AD2000""),9,FALSE),"""")"),0)</f>
        <v>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57"/>
        <v>0</v>
      </c>
      <c r="W56" s="55">
        <f t="shared" si="58"/>
        <v>0</v>
      </c>
      <c r="X56" s="55">
        <v>0</v>
      </c>
      <c r="Y56" s="55" t="s">
        <v>35</v>
      </c>
      <c r="Z56" s="56">
        <f t="shared" si="64"/>
        <v>-2.4</v>
      </c>
      <c r="AA56" s="55">
        <v>0.17265624999999998</v>
      </c>
      <c r="AB56" s="55">
        <f t="shared" si="60"/>
        <v>-2.4862499999999996</v>
      </c>
      <c r="AC56" s="55">
        <v>-4.9000000000000004</v>
      </c>
      <c r="AD56" s="55">
        <v>-6.9295305555555498</v>
      </c>
      <c r="AE56" s="55">
        <v>0</v>
      </c>
      <c r="AF56" s="55">
        <v>0.81553398058252402</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E174" s="2"/>
      <c r="P174" s="2"/>
      <c r="AF174" s="23"/>
    </row>
    <row r="175" spans="1:32" ht="15.75" customHeight="1">
      <c r="E175" s="2"/>
      <c r="P175" s="2"/>
      <c r="AF175" s="23"/>
    </row>
    <row r="176" spans="1:32" ht="15.75" customHeight="1">
      <c r="E176" s="2"/>
      <c r="P176" s="2"/>
      <c r="AF176" s="23"/>
    </row>
    <row r="177" spans="5:32" ht="15.75" customHeight="1">
      <c r="E177" s="2"/>
      <c r="P177" s="2"/>
      <c r="AF177" s="23"/>
    </row>
    <row r="178" spans="5:32" ht="15.75" customHeight="1">
      <c r="E178" s="2"/>
      <c r="P178" s="2"/>
      <c r="AF178" s="23"/>
    </row>
    <row r="179" spans="5:32" ht="15.75" customHeight="1">
      <c r="E179" s="2"/>
      <c r="P179" s="2"/>
      <c r="AF179" s="23"/>
    </row>
    <row r="180" spans="5:32" ht="15.75" customHeight="1">
      <c r="E180" s="2"/>
      <c r="P180" s="2"/>
      <c r="AF180" s="23"/>
    </row>
    <row r="181" spans="5:32" ht="15.75" customHeight="1">
      <c r="E181" s="2"/>
      <c r="P181" s="2"/>
      <c r="AF181" s="23"/>
    </row>
    <row r="182" spans="5:32" ht="15.75" customHeight="1">
      <c r="E182" s="2"/>
      <c r="P182" s="2"/>
      <c r="AF182" s="23"/>
    </row>
    <row r="183" spans="5:32" ht="15.75" customHeight="1">
      <c r="E183" s="2"/>
      <c r="P183" s="2"/>
      <c r="AF183" s="23"/>
    </row>
    <row r="184" spans="5:32" ht="15.75" customHeight="1">
      <c r="E184" s="2"/>
      <c r="P184" s="2"/>
      <c r="AF184" s="23"/>
    </row>
    <row r="185" spans="5:32" ht="15.75" customHeight="1">
      <c r="E185" s="2"/>
      <c r="P185" s="2"/>
      <c r="AF185" s="23"/>
    </row>
    <row r="186" spans="5:32" ht="15.75" customHeight="1">
      <c r="E186" s="2"/>
      <c r="P186" s="2"/>
      <c r="AF186" s="23"/>
    </row>
    <row r="187" spans="5:32" ht="15.75" customHeight="1">
      <c r="E187" s="2"/>
      <c r="P187" s="2"/>
      <c r="AF187" s="23"/>
    </row>
    <row r="188" spans="5:32" ht="15.75" customHeight="1">
      <c r="E188" s="2"/>
      <c r="P188" s="2"/>
      <c r="AF188" s="23"/>
    </row>
    <row r="189" spans="5:32" ht="15.75" customHeight="1">
      <c r="E189" s="2"/>
      <c r="P189" s="2"/>
      <c r="AF189" s="23"/>
    </row>
    <row r="190" spans="5:32" ht="15.75" customHeight="1">
      <c r="E190" s="2"/>
      <c r="P190" s="2"/>
      <c r="AF190" s="23"/>
    </row>
    <row r="191" spans="5:32" ht="15.75" customHeight="1">
      <c r="E191" s="2"/>
      <c r="P191" s="2"/>
      <c r="AF191" s="23"/>
    </row>
    <row r="192" spans="5: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513" priority="1" operator="lessThan">
      <formula>100</formula>
    </cfRule>
  </conditionalFormatting>
  <conditionalFormatting sqref="Q1:Q3 Q57:Q1000">
    <cfRule type="cellIs" dxfId="512" priority="2" operator="lessThan">
      <formula>100</formula>
    </cfRule>
  </conditionalFormatting>
  <conditionalFormatting sqref="I1:I3 I57:I1000">
    <cfRule type="cellIs" dxfId="511" priority="3" operator="lessThan">
      <formula>0.05</formula>
    </cfRule>
  </conditionalFormatting>
  <conditionalFormatting sqref="I4:I17">
    <cfRule type="cellIs" dxfId="510" priority="4" operator="lessThan">
      <formula>0.05</formula>
    </cfRule>
  </conditionalFormatting>
  <conditionalFormatting sqref="I18:I56">
    <cfRule type="cellIs" dxfId="509" priority="5" operator="lessThan">
      <formula>0.05</formula>
    </cfRule>
  </conditionalFormatting>
  <conditionalFormatting sqref="Q4:Q56">
    <cfRule type="cellIs" dxfId="508" priority="6" operator="lessThan">
      <formula>100</formula>
    </cfRule>
  </conditionalFormatting>
  <conditionalFormatting sqref="Q4:Q56">
    <cfRule type="cellIs" dxfId="507" priority="7" operator="lessThan">
      <formula>100</formula>
    </cfRule>
  </conditionalFormatting>
  <pageMargins left="0.7" right="0.7" top="0.75" bottom="0.75" header="0" footer="0"/>
  <pageSetup orientation="portrait"/>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2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Info!B1:BJ5000""),4,FALSE),"""")"),"Dry Defender Organic Cotton Waterproof Crib Mattress Pad (Bamboo Crib Pad) - Pack of 2")</f>
        <v>Dry Defender Organic Cotton Waterproof Crib Mattress Pad (Bamboo Crib Pad) - Pack of 2</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Info!B1:BJ5000""),3,FALSE),"""")"),"B08K3MPWZY")</f>
        <v>B08K3MPWZY</v>
      </c>
      <c r="B2" s="4" t="s">
        <v>128</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22.614581699346353</v>
      </c>
      <c r="D3" s="8">
        <f>SUM(D4:D99819)</f>
        <v>8</v>
      </c>
      <c r="E3" s="8"/>
      <c r="F3" s="9">
        <f t="shared" ref="F3:G3" si="0">SUM(F4:F99819)</f>
        <v>187.92</v>
      </c>
      <c r="G3" s="9">
        <f t="shared" si="0"/>
        <v>-30.9</v>
      </c>
      <c r="H3" s="10">
        <f>G3/F3*-1</f>
        <v>0.1644316730523627</v>
      </c>
      <c r="I3" s="11">
        <f>J3/F3</f>
        <v>-0.26912920982924082</v>
      </c>
      <c r="J3" s="9">
        <f>SUM(J4:J99819)</f>
        <v>-50.574761111110931</v>
      </c>
      <c r="K3" s="9">
        <f>J3/D3</f>
        <v>-6.3218451388888663</v>
      </c>
      <c r="L3" s="8"/>
      <c r="M3" s="12"/>
      <c r="N3" s="13"/>
      <c r="O3" s="8" t="str">
        <f ca="1">IFERROR(__xludf.DUMMYFUNCTION("IFERROR(VLOOKUP(B2,IMPORTRANGE(""https://docs.google.com/spreadsheets/d/1owCo6kL_VFQ5nPTdNogErmCBLjNiktT1m3SzTrxu3R0/edit#gid=2146806407"",""Second Star - Compiled!b1:g5000""),2,FALSE),"""")"),"")</f>
        <v/>
      </c>
      <c r="P3" s="8"/>
      <c r="Q3" s="14"/>
      <c r="R3" s="13"/>
      <c r="S3" s="13"/>
      <c r="T3" s="13"/>
      <c r="U3" s="8">
        <f>SUM(U4:U99819)</f>
        <v>1</v>
      </c>
      <c r="V3" s="10">
        <f>AVERAGE(V4:V99819)</f>
        <v>0.14285714285714285</v>
      </c>
      <c r="W3" s="9">
        <f>ROUND(AVERAGE(W4:W99819),2)</f>
        <v>4.3099999999999996</v>
      </c>
      <c r="X3" s="8"/>
      <c r="Y3" s="8"/>
      <c r="Z3" s="8"/>
      <c r="AA3" s="8"/>
      <c r="AB3" s="8"/>
      <c r="AC3" s="15"/>
      <c r="AD3" s="9"/>
      <c r="AE3" s="9">
        <f>SUM(AE4:AE99819)</f>
        <v>-3.5</v>
      </c>
      <c r="AF3" s="16"/>
    </row>
    <row r="4" spans="1:32" s="57" customFormat="1" hidden="1">
      <c r="A4" s="17"/>
      <c r="B4" s="17"/>
      <c r="C4" s="50"/>
      <c r="D4" s="51"/>
      <c r="E4" s="51"/>
      <c r="F4" s="51"/>
      <c r="G4" s="51"/>
      <c r="H4" s="51"/>
      <c r="I4" s="51"/>
      <c r="J4" s="51"/>
      <c r="K4" s="51"/>
      <c r="L4" s="51"/>
      <c r="M4" s="51"/>
      <c r="N4" s="51"/>
      <c r="O4" s="51"/>
      <c r="P4" s="51"/>
      <c r="Q4" s="51"/>
      <c r="R4" s="52"/>
      <c r="S4" s="53"/>
      <c r="T4" s="54"/>
      <c r="U4" s="52"/>
      <c r="V4" s="55"/>
      <c r="W4" s="55"/>
      <c r="X4" s="52"/>
      <c r="Y4" s="56"/>
      <c r="Z4" s="56"/>
      <c r="AA4" s="55"/>
      <c r="AB4" s="55"/>
      <c r="AC4" s="55"/>
      <c r="AD4" s="55"/>
      <c r="AE4" s="55"/>
      <c r="AF4" s="55"/>
    </row>
    <row r="5" spans="1:32" s="57" customFormat="1" ht="15.75" hidden="1" customHeight="1">
      <c r="A5" s="17"/>
      <c r="B5" s="2"/>
      <c r="C5" s="51"/>
      <c r="D5" s="51"/>
      <c r="E5" s="51"/>
      <c r="F5" s="51"/>
      <c r="G5" s="51"/>
      <c r="H5" s="51"/>
      <c r="I5" s="51"/>
      <c r="J5" s="51"/>
      <c r="K5" s="51"/>
      <c r="L5" s="51"/>
      <c r="M5" s="51"/>
      <c r="N5" s="51"/>
      <c r="O5" s="51"/>
      <c r="P5" s="51"/>
      <c r="Q5" s="51"/>
      <c r="R5" s="52"/>
      <c r="S5" s="53"/>
      <c r="T5" s="54"/>
      <c r="U5" s="52"/>
      <c r="V5" s="55"/>
      <c r="W5" s="55"/>
      <c r="X5" s="52"/>
      <c r="Y5" s="52"/>
      <c r="Z5" s="56"/>
      <c r="AA5" s="55"/>
      <c r="AB5" s="55"/>
      <c r="AC5" s="55"/>
      <c r="AD5" s="55"/>
      <c r="AE5" s="55"/>
      <c r="AF5" s="55"/>
    </row>
    <row r="6" spans="1:32" s="57" customFormat="1" ht="15.75" hidden="1" customHeight="1">
      <c r="A6" s="17"/>
      <c r="B6" s="2"/>
      <c r="C6" s="51"/>
      <c r="D6" s="51"/>
      <c r="E6" s="51"/>
      <c r="F6" s="51"/>
      <c r="G6" s="51"/>
      <c r="H6" s="51"/>
      <c r="I6" s="51"/>
      <c r="J6" s="51"/>
      <c r="K6" s="51"/>
      <c r="L6" s="51"/>
      <c r="M6" s="51"/>
      <c r="N6" s="51"/>
      <c r="O6" s="51"/>
      <c r="P6" s="51"/>
      <c r="Q6" s="51"/>
      <c r="R6" s="52"/>
      <c r="S6" s="53"/>
      <c r="T6" s="54"/>
      <c r="U6" s="52"/>
      <c r="V6" s="55"/>
      <c r="W6" s="55"/>
      <c r="X6" s="52"/>
      <c r="Y6" s="52"/>
      <c r="Z6" s="56"/>
      <c r="AA6" s="55"/>
      <c r="AB6" s="55"/>
      <c r="AC6" s="55"/>
      <c r="AD6" s="55"/>
      <c r="AE6" s="55"/>
      <c r="AF6" s="55"/>
    </row>
    <row r="7" spans="1:32" s="57" customFormat="1" ht="15.75" hidden="1" customHeight="1">
      <c r="A7" s="17"/>
      <c r="B7" s="2"/>
      <c r="C7" s="51"/>
      <c r="D7" s="51"/>
      <c r="E7" s="51"/>
      <c r="F7" s="51"/>
      <c r="G7" s="51"/>
      <c r="H7" s="51"/>
      <c r="I7" s="51"/>
      <c r="J7" s="51"/>
      <c r="K7" s="51"/>
      <c r="L7" s="51"/>
      <c r="M7" s="51"/>
      <c r="N7" s="51"/>
      <c r="O7" s="51"/>
      <c r="P7" s="51"/>
      <c r="Q7" s="51"/>
      <c r="R7" s="52"/>
      <c r="S7" s="53"/>
      <c r="T7" s="54"/>
      <c r="U7" s="52"/>
      <c r="V7" s="55"/>
      <c r="W7" s="55"/>
      <c r="X7" s="52"/>
      <c r="Y7" s="52"/>
      <c r="Z7" s="56"/>
      <c r="AA7" s="55"/>
      <c r="AB7" s="55"/>
      <c r="AC7" s="55"/>
      <c r="AD7" s="55"/>
      <c r="AE7" s="55"/>
      <c r="AF7" s="55"/>
    </row>
    <row r="8" spans="1:32" s="57" customFormat="1" ht="15.75" hidden="1" customHeight="1">
      <c r="A8" s="17"/>
      <c r="B8" s="2"/>
      <c r="C8" s="51"/>
      <c r="D8" s="51"/>
      <c r="E8" s="51"/>
      <c r="F8" s="51"/>
      <c r="G8" s="51"/>
      <c r="H8" s="51"/>
      <c r="I8" s="51"/>
      <c r="J8" s="51"/>
      <c r="K8" s="51"/>
      <c r="L8" s="51"/>
      <c r="M8" s="51"/>
      <c r="N8" s="51"/>
      <c r="O8" s="51"/>
      <c r="P8" s="51"/>
      <c r="Q8" s="51"/>
      <c r="R8" s="52"/>
      <c r="S8" s="53"/>
      <c r="T8" s="54"/>
      <c r="U8" s="52"/>
      <c r="V8" s="55"/>
      <c r="W8" s="55"/>
      <c r="X8" s="52"/>
      <c r="Y8" s="52"/>
      <c r="Z8" s="56"/>
      <c r="AA8" s="55"/>
      <c r="AB8" s="55"/>
      <c r="AC8" s="55"/>
      <c r="AD8" s="55"/>
      <c r="AE8" s="55"/>
      <c r="AF8" s="55"/>
    </row>
    <row r="9" spans="1:32" s="57" customFormat="1" ht="15.75" hidden="1" customHeight="1">
      <c r="A9" s="17"/>
      <c r="B9" s="2"/>
      <c r="C9" s="51"/>
      <c r="D9" s="51"/>
      <c r="E9" s="51"/>
      <c r="F9" s="51"/>
      <c r="G9" s="51"/>
      <c r="H9" s="51"/>
      <c r="I9" s="51"/>
      <c r="J9" s="51"/>
      <c r="K9" s="51"/>
      <c r="L9" s="51"/>
      <c r="M9" s="51"/>
      <c r="N9" s="51"/>
      <c r="O9" s="51"/>
      <c r="P9" s="51"/>
      <c r="Q9" s="51"/>
      <c r="R9" s="52"/>
      <c r="S9" s="53"/>
      <c r="T9" s="54"/>
      <c r="U9" s="52"/>
      <c r="V9" s="55"/>
      <c r="W9" s="55"/>
      <c r="X9" s="52"/>
      <c r="Y9" s="52"/>
      <c r="Z9" s="56"/>
      <c r="AA9" s="55"/>
      <c r="AB9" s="55"/>
      <c r="AC9" s="55"/>
      <c r="AD9" s="55"/>
      <c r="AE9" s="55"/>
      <c r="AF9" s="55"/>
    </row>
    <row r="10" spans="1:32" s="57" customFormat="1" ht="15.75" hidden="1" customHeight="1">
      <c r="A10" s="17"/>
      <c r="B10" s="2"/>
      <c r="C10" s="51"/>
      <c r="D10" s="51"/>
      <c r="E10" s="51"/>
      <c r="F10" s="51"/>
      <c r="G10" s="51"/>
      <c r="H10" s="51"/>
      <c r="I10" s="51"/>
      <c r="J10" s="51"/>
      <c r="K10" s="51"/>
      <c r="L10" s="51"/>
      <c r="M10" s="51"/>
      <c r="N10" s="51"/>
      <c r="O10" s="51"/>
      <c r="P10" s="51"/>
      <c r="Q10" s="51"/>
      <c r="R10" s="52"/>
      <c r="S10" s="53"/>
      <c r="T10" s="54"/>
      <c r="U10" s="52"/>
      <c r="V10" s="55"/>
      <c r="W10" s="55"/>
      <c r="X10" s="52"/>
      <c r="Y10" s="52"/>
      <c r="Z10" s="56"/>
      <c r="AA10" s="55"/>
      <c r="AB10" s="55"/>
      <c r="AC10" s="55"/>
      <c r="AD10" s="55"/>
      <c r="AE10" s="55"/>
      <c r="AF10" s="55"/>
    </row>
    <row r="11" spans="1:32" s="57" customFormat="1" ht="15.75" hidden="1" customHeight="1">
      <c r="A11" s="17"/>
      <c r="B11" s="17"/>
      <c r="C11" s="51"/>
      <c r="D11" s="51"/>
      <c r="E11" s="51"/>
      <c r="F11" s="51"/>
      <c r="G11" s="51"/>
      <c r="H11" s="51"/>
      <c r="I11" s="51"/>
      <c r="J11" s="51"/>
      <c r="K11" s="51"/>
      <c r="L11" s="51"/>
      <c r="M11" s="51"/>
      <c r="N11" s="51"/>
      <c r="O11" s="51"/>
      <c r="P11" s="51"/>
      <c r="Q11" s="51"/>
      <c r="R11" s="52"/>
      <c r="S11" s="53"/>
      <c r="T11" s="54"/>
      <c r="U11" s="52"/>
      <c r="V11" s="55"/>
      <c r="W11" s="55"/>
      <c r="X11" s="52"/>
      <c r="Y11" s="52"/>
      <c r="Z11" s="56"/>
      <c r="AA11" s="55"/>
      <c r="AB11" s="55"/>
      <c r="AC11" s="55"/>
      <c r="AD11" s="55"/>
      <c r="AE11" s="55"/>
      <c r="AF11" s="55"/>
    </row>
    <row r="12" spans="1:32" s="57" customFormat="1" ht="15.75" hidden="1" customHeight="1">
      <c r="A12" s="17"/>
      <c r="B12" s="2"/>
      <c r="C12" s="51"/>
      <c r="D12" s="51"/>
      <c r="E12" s="51"/>
      <c r="F12" s="51"/>
      <c r="G12" s="51"/>
      <c r="H12" s="51"/>
      <c r="I12" s="51"/>
      <c r="J12" s="51"/>
      <c r="K12" s="51"/>
      <c r="L12" s="51"/>
      <c r="M12" s="51"/>
      <c r="N12" s="51"/>
      <c r="O12" s="51"/>
      <c r="P12" s="51"/>
      <c r="Q12" s="51"/>
      <c r="R12" s="52"/>
      <c r="S12" s="53"/>
      <c r="T12" s="54"/>
      <c r="U12" s="52"/>
      <c r="V12" s="55"/>
      <c r="W12" s="55"/>
      <c r="X12" s="52"/>
      <c r="Y12" s="52"/>
      <c r="Z12" s="56"/>
      <c r="AA12" s="55"/>
      <c r="AB12" s="55"/>
      <c r="AC12" s="55"/>
      <c r="AD12" s="55"/>
      <c r="AE12" s="55"/>
      <c r="AF12" s="55"/>
    </row>
    <row r="13" spans="1:32" s="57" customFormat="1" ht="15.75" hidden="1" customHeight="1">
      <c r="A13" s="17"/>
      <c r="B13" s="2"/>
      <c r="C13" s="51"/>
      <c r="D13" s="51"/>
      <c r="E13" s="51"/>
      <c r="F13" s="51"/>
      <c r="G13" s="51"/>
      <c r="H13" s="51"/>
      <c r="I13" s="51"/>
      <c r="J13" s="51"/>
      <c r="K13" s="51"/>
      <c r="L13" s="51"/>
      <c r="M13" s="51"/>
      <c r="N13" s="51"/>
      <c r="O13" s="51"/>
      <c r="P13" s="51"/>
      <c r="Q13" s="51"/>
      <c r="R13" s="52"/>
      <c r="S13" s="53"/>
      <c r="T13" s="54"/>
      <c r="U13" s="52"/>
      <c r="V13" s="55"/>
      <c r="W13" s="55"/>
      <c r="X13" s="52"/>
      <c r="Y13" s="52"/>
      <c r="Z13" s="56"/>
      <c r="AA13" s="55"/>
      <c r="AB13" s="55"/>
      <c r="AC13" s="55"/>
      <c r="AD13" s="55"/>
      <c r="AE13" s="55"/>
      <c r="AF13" s="55"/>
    </row>
    <row r="14" spans="1:32" s="57" customFormat="1" ht="15.75" hidden="1" customHeight="1">
      <c r="A14" s="17"/>
      <c r="B14" s="2"/>
      <c r="C14" s="51"/>
      <c r="D14" s="51"/>
      <c r="E14" s="51"/>
      <c r="F14" s="51"/>
      <c r="G14" s="51"/>
      <c r="H14" s="51"/>
      <c r="I14" s="51"/>
      <c r="J14" s="51"/>
      <c r="K14" s="51"/>
      <c r="L14" s="51"/>
      <c r="M14" s="51"/>
      <c r="N14" s="51"/>
      <c r="O14" s="51"/>
      <c r="P14" s="51"/>
      <c r="Q14" s="51"/>
      <c r="R14" s="52"/>
      <c r="S14" s="53"/>
      <c r="T14" s="54"/>
      <c r="U14" s="52"/>
      <c r="V14" s="55"/>
      <c r="W14" s="55"/>
      <c r="X14" s="52"/>
      <c r="Y14" s="52"/>
      <c r="Z14" s="56"/>
      <c r="AA14" s="55"/>
      <c r="AB14" s="55"/>
      <c r="AC14" s="55"/>
      <c r="AD14" s="55"/>
      <c r="AE14" s="55"/>
      <c r="AF14" s="55"/>
    </row>
    <row r="15" spans="1:32" s="57" customFormat="1" ht="15.75" hidden="1" customHeight="1">
      <c r="A15" s="17"/>
      <c r="B15" s="2"/>
      <c r="C15" s="51"/>
      <c r="D15" s="51"/>
      <c r="E15" s="51"/>
      <c r="F15" s="51"/>
      <c r="G15" s="51"/>
      <c r="H15" s="51"/>
      <c r="I15" s="51"/>
      <c r="J15" s="51"/>
      <c r="K15" s="51"/>
      <c r="L15" s="51"/>
      <c r="M15" s="51"/>
      <c r="N15" s="51"/>
      <c r="O15" s="51"/>
      <c r="P15" s="51"/>
      <c r="Q15" s="51"/>
      <c r="R15" s="52"/>
      <c r="S15" s="53"/>
      <c r="T15" s="54"/>
      <c r="U15" s="52"/>
      <c r="V15" s="55"/>
      <c r="W15" s="55"/>
      <c r="X15" s="52"/>
      <c r="Y15" s="52"/>
      <c r="Z15" s="56"/>
      <c r="AA15" s="55"/>
      <c r="AB15" s="55"/>
      <c r="AC15" s="55"/>
      <c r="AD15" s="55"/>
      <c r="AE15" s="55"/>
      <c r="AF15" s="55"/>
    </row>
    <row r="16" spans="1:32" s="57" customFormat="1" ht="15.75" hidden="1" customHeight="1">
      <c r="A16" s="17"/>
      <c r="B16" s="2"/>
      <c r="C16" s="51"/>
      <c r="D16" s="51"/>
      <c r="E16" s="51"/>
      <c r="F16" s="51"/>
      <c r="G16" s="51"/>
      <c r="H16" s="51"/>
      <c r="I16" s="51"/>
      <c r="J16" s="51"/>
      <c r="K16" s="51"/>
      <c r="L16" s="51"/>
      <c r="M16" s="51"/>
      <c r="N16" s="51"/>
      <c r="O16" s="51"/>
      <c r="P16" s="51"/>
      <c r="Q16" s="51"/>
      <c r="R16" s="52"/>
      <c r="S16" s="53"/>
      <c r="T16" s="54"/>
      <c r="U16" s="52"/>
      <c r="V16" s="55"/>
      <c r="W16" s="55"/>
      <c r="X16" s="52"/>
      <c r="Y16" s="52"/>
      <c r="Z16" s="56"/>
      <c r="AA16" s="55"/>
      <c r="AB16" s="55"/>
      <c r="AC16" s="55"/>
      <c r="AD16" s="55"/>
      <c r="AE16" s="55"/>
      <c r="AF16" s="55"/>
    </row>
    <row r="17" spans="1:32" s="57" customFormat="1" ht="15.75" hidden="1" customHeight="1">
      <c r="A17" s="17"/>
      <c r="B17" s="2"/>
      <c r="C17" s="51"/>
      <c r="D17" s="51"/>
      <c r="E17" s="51"/>
      <c r="F17" s="51"/>
      <c r="G17" s="51"/>
      <c r="H17" s="51"/>
      <c r="I17" s="51"/>
      <c r="J17" s="51"/>
      <c r="K17" s="51"/>
      <c r="L17" s="51"/>
      <c r="M17" s="51"/>
      <c r="N17" s="51"/>
      <c r="O17" s="51"/>
      <c r="P17" s="51"/>
      <c r="Q17" s="51"/>
      <c r="R17" s="52"/>
      <c r="S17" s="53"/>
      <c r="T17" s="54"/>
      <c r="U17" s="52"/>
      <c r="V17" s="55"/>
      <c r="W17" s="55"/>
      <c r="X17" s="52"/>
      <c r="Y17" s="52"/>
      <c r="Z17" s="56"/>
      <c r="AA17" s="55"/>
      <c r="AB17" s="55"/>
      <c r="AC17" s="55"/>
      <c r="AD17" s="55"/>
      <c r="AE17" s="55"/>
      <c r="AF17" s="55"/>
    </row>
    <row r="18" spans="1:32" s="57" customFormat="1" ht="15.75" hidden="1" customHeight="1">
      <c r="A18" s="2"/>
      <c r="B18" s="2"/>
      <c r="C18" s="51"/>
      <c r="D18" s="51"/>
      <c r="E18" s="51"/>
      <c r="F18" s="51"/>
      <c r="G18" s="51"/>
      <c r="H18" s="51"/>
      <c r="I18" s="51"/>
      <c r="J18" s="51"/>
      <c r="K18" s="51"/>
      <c r="L18" s="51"/>
      <c r="M18" s="51"/>
      <c r="N18" s="51"/>
      <c r="O18" s="51"/>
      <c r="P18" s="51"/>
      <c r="Q18" s="51"/>
      <c r="R18" s="55"/>
      <c r="S18" s="53"/>
      <c r="T18" s="54"/>
      <c r="U18" s="55"/>
      <c r="V18" s="55"/>
      <c r="W18" s="55"/>
      <c r="X18" s="55"/>
      <c r="Y18" s="55"/>
      <c r="Z18" s="56"/>
      <c r="AA18" s="55"/>
      <c r="AB18" s="58"/>
      <c r="AC18" s="55"/>
      <c r="AD18" s="55"/>
      <c r="AE18" s="55"/>
      <c r="AF18" s="55"/>
    </row>
    <row r="19" spans="1:32" s="57" customFormat="1" ht="15.75" hidden="1" customHeight="1">
      <c r="A19" s="17"/>
      <c r="B19" s="2"/>
      <c r="C19" s="51"/>
      <c r="D19" s="51"/>
      <c r="E19" s="51"/>
      <c r="F19" s="51"/>
      <c r="G19" s="51"/>
      <c r="H19" s="51"/>
      <c r="I19" s="51"/>
      <c r="J19" s="51"/>
      <c r="K19" s="51"/>
      <c r="L19" s="51"/>
      <c r="M19" s="51"/>
      <c r="N19" s="51"/>
      <c r="O19" s="51"/>
      <c r="P19" s="51"/>
      <c r="Q19" s="51"/>
      <c r="R19" s="52"/>
      <c r="S19" s="53"/>
      <c r="T19" s="54"/>
      <c r="U19" s="55"/>
      <c r="V19" s="55"/>
      <c r="W19" s="55"/>
      <c r="X19" s="52"/>
      <c r="Y19" s="52"/>
      <c r="Z19" s="56"/>
      <c r="AA19" s="55"/>
      <c r="AB19" s="55"/>
      <c r="AC19" s="55"/>
      <c r="AD19" s="55"/>
      <c r="AE19" s="55"/>
      <c r="AF19" s="55"/>
    </row>
    <row r="20" spans="1:32" s="57" customFormat="1" ht="15.75" hidden="1" customHeight="1">
      <c r="A20" s="17"/>
      <c r="B20" s="2"/>
      <c r="C20" s="51"/>
      <c r="D20" s="51"/>
      <c r="E20" s="51"/>
      <c r="F20" s="51"/>
      <c r="G20" s="51"/>
      <c r="H20" s="51"/>
      <c r="I20" s="51"/>
      <c r="J20" s="51"/>
      <c r="K20" s="51"/>
      <c r="L20" s="51"/>
      <c r="M20" s="51"/>
      <c r="N20" s="51"/>
      <c r="O20" s="51"/>
      <c r="P20" s="51"/>
      <c r="Q20" s="51"/>
      <c r="R20" s="52"/>
      <c r="S20" s="53"/>
      <c r="T20" s="54"/>
      <c r="U20" s="52"/>
      <c r="V20" s="55"/>
      <c r="W20" s="55"/>
      <c r="X20" s="52"/>
      <c r="Y20" s="52"/>
      <c r="Z20" s="56"/>
      <c r="AA20" s="55"/>
      <c r="AB20" s="55"/>
      <c r="AC20" s="55"/>
      <c r="AD20" s="55"/>
      <c r="AE20" s="55"/>
      <c r="AF20" s="55"/>
    </row>
    <row r="21" spans="1:32" s="57" customFormat="1" ht="15.75" hidden="1" customHeight="1">
      <c r="A21" s="17"/>
      <c r="B21" s="2"/>
      <c r="C21" s="51"/>
      <c r="D21" s="51"/>
      <c r="E21" s="51"/>
      <c r="F21" s="51"/>
      <c r="G21" s="51"/>
      <c r="H21" s="51"/>
      <c r="I21" s="51"/>
      <c r="J21" s="51"/>
      <c r="K21" s="51"/>
      <c r="L21" s="51"/>
      <c r="M21" s="51"/>
      <c r="N21" s="51"/>
      <c r="O21" s="51"/>
      <c r="P21" s="51"/>
      <c r="Q21" s="51"/>
      <c r="R21" s="52"/>
      <c r="S21" s="53"/>
      <c r="T21" s="54"/>
      <c r="U21" s="52"/>
      <c r="V21" s="55"/>
      <c r="W21" s="55"/>
      <c r="X21" s="52"/>
      <c r="Y21" s="52"/>
      <c r="Z21" s="56"/>
      <c r="AA21" s="55"/>
      <c r="AB21" s="55"/>
      <c r="AC21" s="55"/>
      <c r="AD21" s="55"/>
      <c r="AE21" s="55"/>
      <c r="AF21" s="55"/>
    </row>
    <row r="22" spans="1:32" s="57" customFormat="1" ht="15.75" hidden="1" customHeight="1">
      <c r="A22" s="17"/>
      <c r="B22" s="2"/>
      <c r="C22" s="51"/>
      <c r="D22" s="51"/>
      <c r="E22" s="51"/>
      <c r="F22" s="51"/>
      <c r="G22" s="51"/>
      <c r="H22" s="51"/>
      <c r="I22" s="51"/>
      <c r="J22" s="51"/>
      <c r="K22" s="51"/>
      <c r="L22" s="51"/>
      <c r="M22" s="51"/>
      <c r="N22" s="51"/>
      <c r="O22" s="51"/>
      <c r="P22" s="51"/>
      <c r="Q22" s="51"/>
      <c r="R22" s="52"/>
      <c r="S22" s="53"/>
      <c r="T22" s="54"/>
      <c r="U22" s="52"/>
      <c r="V22" s="55"/>
      <c r="W22" s="55"/>
      <c r="X22" s="52"/>
      <c r="Y22" s="52"/>
      <c r="Z22" s="56"/>
      <c r="AA22" s="55"/>
      <c r="AB22" s="55"/>
      <c r="AC22" s="55"/>
      <c r="AD22" s="55"/>
      <c r="AE22" s="55"/>
      <c r="AF22" s="55"/>
    </row>
    <row r="23" spans="1:32" s="57" customFormat="1" ht="15.75" hidden="1" customHeight="1">
      <c r="A23" s="17"/>
      <c r="B23" s="2"/>
      <c r="C23" s="51"/>
      <c r="D23" s="51"/>
      <c r="E23" s="51"/>
      <c r="F23" s="51"/>
      <c r="G23" s="51"/>
      <c r="H23" s="51"/>
      <c r="I23" s="51"/>
      <c r="J23" s="51"/>
      <c r="K23" s="51"/>
      <c r="L23" s="51"/>
      <c r="M23" s="51"/>
      <c r="N23" s="51"/>
      <c r="O23" s="51"/>
      <c r="P23" s="51"/>
      <c r="Q23" s="51"/>
      <c r="R23" s="52"/>
      <c r="S23" s="53"/>
      <c r="T23" s="54"/>
      <c r="U23" s="52"/>
      <c r="V23" s="55"/>
      <c r="W23" s="55"/>
      <c r="X23" s="52"/>
      <c r="Y23" s="52"/>
      <c r="Z23" s="56"/>
      <c r="AA23" s="55"/>
      <c r="AB23" s="55"/>
      <c r="AC23" s="55"/>
      <c r="AD23" s="55"/>
      <c r="AE23" s="55"/>
      <c r="AF23" s="55"/>
    </row>
    <row r="24" spans="1:32" s="57" customFormat="1" ht="15.75" hidden="1" customHeight="1">
      <c r="A24" s="17"/>
      <c r="B24" s="2"/>
      <c r="C24" s="51"/>
      <c r="D24" s="51"/>
      <c r="E24" s="51"/>
      <c r="F24" s="51"/>
      <c r="G24" s="51"/>
      <c r="H24" s="51"/>
      <c r="I24" s="51"/>
      <c r="J24" s="51"/>
      <c r="K24" s="51"/>
      <c r="L24" s="51"/>
      <c r="M24" s="51"/>
      <c r="N24" s="51"/>
      <c r="O24" s="51"/>
      <c r="P24" s="51"/>
      <c r="Q24" s="51"/>
      <c r="R24" s="52"/>
      <c r="S24" s="53"/>
      <c r="T24" s="54"/>
      <c r="U24" s="52"/>
      <c r="V24" s="55"/>
      <c r="W24" s="55"/>
      <c r="X24" s="52"/>
      <c r="Y24" s="52"/>
      <c r="Z24" s="56"/>
      <c r="AA24" s="55"/>
      <c r="AB24" s="55"/>
      <c r="AC24" s="55"/>
      <c r="AD24" s="55"/>
      <c r="AE24" s="55"/>
      <c r="AF24" s="55"/>
    </row>
    <row r="25" spans="1:32" s="57" customFormat="1" ht="15.75" hidden="1" customHeight="1">
      <c r="A25" s="17"/>
      <c r="B25" s="2"/>
      <c r="C25" s="51"/>
      <c r="D25" s="51"/>
      <c r="E25" s="51"/>
      <c r="F25" s="51"/>
      <c r="G25" s="51"/>
      <c r="H25" s="51"/>
      <c r="I25" s="51"/>
      <c r="J25" s="51"/>
      <c r="K25" s="51"/>
      <c r="L25" s="51"/>
      <c r="M25" s="51"/>
      <c r="N25" s="51"/>
      <c r="O25" s="51"/>
      <c r="P25" s="51"/>
      <c r="Q25" s="51"/>
      <c r="R25" s="52"/>
      <c r="S25" s="53"/>
      <c r="T25" s="54"/>
      <c r="U25" s="52"/>
      <c r="V25" s="55"/>
      <c r="W25" s="55"/>
      <c r="X25" s="52"/>
      <c r="Y25" s="52"/>
      <c r="Z25" s="56"/>
      <c r="AA25" s="55"/>
      <c r="AB25" s="55"/>
      <c r="AC25" s="55"/>
      <c r="AD25" s="55"/>
      <c r="AE25" s="55"/>
      <c r="AF25" s="55"/>
    </row>
    <row r="26" spans="1:32" s="57" customFormat="1" ht="15.75" hidden="1" customHeight="1">
      <c r="A26" s="17"/>
      <c r="B26" s="2"/>
      <c r="C26" s="51"/>
      <c r="D26" s="51"/>
      <c r="E26" s="51"/>
      <c r="F26" s="51"/>
      <c r="G26" s="51"/>
      <c r="H26" s="51"/>
      <c r="I26" s="51"/>
      <c r="J26" s="51"/>
      <c r="K26" s="51"/>
      <c r="L26" s="51"/>
      <c r="M26" s="51"/>
      <c r="N26" s="51"/>
      <c r="O26" s="51"/>
      <c r="P26" s="51"/>
      <c r="Q26" s="51"/>
      <c r="R26" s="52"/>
      <c r="S26" s="53"/>
      <c r="T26" s="54"/>
      <c r="U26" s="52"/>
      <c r="V26" s="55"/>
      <c r="W26" s="55"/>
      <c r="X26" s="52"/>
      <c r="Y26" s="52"/>
      <c r="Z26" s="56"/>
      <c r="AA26" s="55"/>
      <c r="AB26" s="55"/>
      <c r="AC26" s="55"/>
      <c r="AD26" s="55"/>
      <c r="AE26" s="55"/>
      <c r="AF26" s="55"/>
    </row>
    <row r="27" spans="1:32" s="57" customFormat="1" ht="15.75" hidden="1" customHeight="1">
      <c r="A27" s="17"/>
      <c r="B27" s="2"/>
      <c r="C27" s="51"/>
      <c r="D27" s="51"/>
      <c r="E27" s="51"/>
      <c r="F27" s="51"/>
      <c r="G27" s="51"/>
      <c r="H27" s="51"/>
      <c r="I27" s="51"/>
      <c r="J27" s="51"/>
      <c r="K27" s="51"/>
      <c r="L27" s="51"/>
      <c r="M27" s="51"/>
      <c r="N27" s="51"/>
      <c r="O27" s="51"/>
      <c r="P27" s="51"/>
      <c r="Q27" s="51"/>
      <c r="R27" s="52"/>
      <c r="S27" s="53"/>
      <c r="T27" s="54"/>
      <c r="U27" s="52"/>
      <c r="V27" s="55"/>
      <c r="W27" s="55"/>
      <c r="X27" s="52"/>
      <c r="Y27" s="52"/>
      <c r="Z27" s="56"/>
      <c r="AA27" s="55"/>
      <c r="AB27" s="55"/>
      <c r="AC27" s="55"/>
      <c r="AD27" s="55"/>
      <c r="AE27" s="55"/>
      <c r="AF27" s="55"/>
    </row>
    <row r="28" spans="1:32" s="57" customFormat="1" ht="15.75" hidden="1" customHeight="1">
      <c r="A28" s="17"/>
      <c r="B28" s="2"/>
      <c r="C28" s="51"/>
      <c r="D28" s="51"/>
      <c r="E28" s="51"/>
      <c r="F28" s="51"/>
      <c r="G28" s="51"/>
      <c r="H28" s="51"/>
      <c r="I28" s="51"/>
      <c r="J28" s="51"/>
      <c r="K28" s="51"/>
      <c r="L28" s="51"/>
      <c r="M28" s="51"/>
      <c r="N28" s="51"/>
      <c r="O28" s="51"/>
      <c r="P28" s="51"/>
      <c r="Q28" s="51"/>
      <c r="R28" s="52"/>
      <c r="S28" s="53"/>
      <c r="T28" s="54"/>
      <c r="U28" s="52"/>
      <c r="V28" s="55"/>
      <c r="W28" s="55"/>
      <c r="X28" s="52"/>
      <c r="Y28" s="52"/>
      <c r="Z28" s="56"/>
      <c r="AA28" s="55"/>
      <c r="AB28" s="55"/>
      <c r="AC28" s="55"/>
      <c r="AD28" s="55"/>
      <c r="AE28" s="55"/>
      <c r="AF28" s="55"/>
    </row>
    <row r="29" spans="1:32" s="57" customFormat="1" ht="15.75" hidden="1" customHeight="1">
      <c r="A29" s="17"/>
      <c r="B29" s="2"/>
      <c r="C29" s="51"/>
      <c r="D29" s="51"/>
      <c r="E29" s="51"/>
      <c r="F29" s="51"/>
      <c r="G29" s="51"/>
      <c r="H29" s="51"/>
      <c r="I29" s="51"/>
      <c r="J29" s="51"/>
      <c r="K29" s="51"/>
      <c r="L29" s="51"/>
      <c r="M29" s="51"/>
      <c r="N29" s="51"/>
      <c r="O29" s="51"/>
      <c r="P29" s="51"/>
      <c r="Q29" s="51"/>
      <c r="R29" s="52"/>
      <c r="S29" s="53"/>
      <c r="T29" s="54"/>
      <c r="U29" s="52"/>
      <c r="V29" s="55"/>
      <c r="W29" s="55"/>
      <c r="X29" s="52"/>
      <c r="Y29" s="52"/>
      <c r="Z29" s="56"/>
      <c r="AA29" s="55"/>
      <c r="AB29" s="55"/>
      <c r="AC29" s="55"/>
      <c r="AD29" s="55"/>
      <c r="AE29" s="55"/>
      <c r="AF29" s="55"/>
    </row>
    <row r="30" spans="1:32" s="57" customFormat="1" ht="15.75" hidden="1" customHeight="1">
      <c r="A30" s="17"/>
      <c r="B30" s="2"/>
      <c r="C30" s="51"/>
      <c r="D30" s="51"/>
      <c r="E30" s="51"/>
      <c r="F30" s="51"/>
      <c r="G30" s="51"/>
      <c r="H30" s="51"/>
      <c r="I30" s="51"/>
      <c r="J30" s="51"/>
      <c r="K30" s="51"/>
      <c r="L30" s="51"/>
      <c r="M30" s="51"/>
      <c r="N30" s="51"/>
      <c r="O30" s="51"/>
      <c r="P30" s="51"/>
      <c r="Q30" s="51"/>
      <c r="R30" s="52"/>
      <c r="S30" s="53"/>
      <c r="T30" s="54"/>
      <c r="U30" s="52"/>
      <c r="V30" s="55"/>
      <c r="W30" s="55"/>
      <c r="X30" s="52"/>
      <c r="Y30" s="52"/>
      <c r="Z30" s="56"/>
      <c r="AA30" s="55"/>
      <c r="AB30" s="55"/>
      <c r="AC30" s="55"/>
      <c r="AD30" s="55"/>
      <c r="AE30" s="55"/>
      <c r="AF30" s="55"/>
    </row>
    <row r="31" spans="1:32" s="57" customFormat="1" ht="15.75" hidden="1" customHeight="1">
      <c r="A31" s="17"/>
      <c r="B31" s="2"/>
      <c r="C31" s="51"/>
      <c r="D31" s="51"/>
      <c r="E31" s="51"/>
      <c r="F31" s="51"/>
      <c r="G31" s="51"/>
      <c r="H31" s="51"/>
      <c r="I31" s="51"/>
      <c r="J31" s="51"/>
      <c r="K31" s="51"/>
      <c r="L31" s="51"/>
      <c r="M31" s="51"/>
      <c r="N31" s="51"/>
      <c r="O31" s="51"/>
      <c r="P31" s="51"/>
      <c r="Q31" s="51"/>
      <c r="R31" s="52"/>
      <c r="S31" s="53"/>
      <c r="T31" s="54"/>
      <c r="U31" s="52"/>
      <c r="V31" s="55"/>
      <c r="W31" s="55"/>
      <c r="X31" s="52"/>
      <c r="Y31" s="52"/>
      <c r="Z31" s="56"/>
      <c r="AA31" s="55"/>
      <c r="AB31" s="55"/>
      <c r="AC31" s="55"/>
      <c r="AD31" s="55"/>
      <c r="AE31" s="55"/>
      <c r="AF31" s="55"/>
    </row>
    <row r="32" spans="1:32" s="57" customFormat="1" ht="15.75" hidden="1" customHeight="1">
      <c r="A32" s="17"/>
      <c r="B32" s="2"/>
      <c r="C32" s="51"/>
      <c r="D32" s="51"/>
      <c r="E32" s="51"/>
      <c r="F32" s="51"/>
      <c r="G32" s="51"/>
      <c r="H32" s="51"/>
      <c r="I32" s="51"/>
      <c r="J32" s="51"/>
      <c r="K32" s="51"/>
      <c r="L32" s="51"/>
      <c r="M32" s="51"/>
      <c r="N32" s="51"/>
      <c r="O32" s="51"/>
      <c r="P32" s="51"/>
      <c r="Q32" s="51"/>
      <c r="R32" s="52"/>
      <c r="S32" s="53"/>
      <c r="T32" s="54"/>
      <c r="U32" s="52"/>
      <c r="V32" s="55"/>
      <c r="W32" s="55"/>
      <c r="X32" s="52"/>
      <c r="Y32" s="52"/>
      <c r="Z32" s="56"/>
      <c r="AA32" s="55"/>
      <c r="AB32" s="55"/>
      <c r="AC32" s="55"/>
      <c r="AD32" s="55"/>
      <c r="AE32" s="55"/>
      <c r="AF32" s="52"/>
    </row>
    <row r="33" spans="1:32" s="57" customFormat="1" ht="15.75" hidden="1" customHeight="1">
      <c r="A33" s="17"/>
      <c r="B33" s="2"/>
      <c r="C33" s="51"/>
      <c r="D33" s="51"/>
      <c r="E33" s="51"/>
      <c r="F33" s="51"/>
      <c r="G33" s="51"/>
      <c r="H33" s="51"/>
      <c r="I33" s="51"/>
      <c r="J33" s="51"/>
      <c r="K33" s="51"/>
      <c r="L33" s="51"/>
      <c r="M33" s="51"/>
      <c r="N33" s="51"/>
      <c r="O33" s="51"/>
      <c r="P33" s="51"/>
      <c r="Q33" s="51"/>
      <c r="R33" s="52"/>
      <c r="S33" s="53"/>
      <c r="T33" s="54"/>
      <c r="U33" s="52"/>
      <c r="V33" s="55"/>
      <c r="W33" s="55"/>
      <c r="X33" s="52"/>
      <c r="Y33" s="52"/>
      <c r="Z33" s="56"/>
      <c r="AA33" s="55"/>
      <c r="AB33" s="55"/>
      <c r="AC33" s="55"/>
      <c r="AD33" s="55"/>
      <c r="AE33" s="55"/>
      <c r="AF33" s="55"/>
    </row>
    <row r="34" spans="1:32" s="57" customFormat="1" ht="15.75" hidden="1" customHeight="1">
      <c r="A34" s="17"/>
      <c r="B34" s="2"/>
      <c r="C34" s="51"/>
      <c r="D34" s="51"/>
      <c r="E34" s="51"/>
      <c r="F34" s="51"/>
      <c r="G34" s="51"/>
      <c r="H34" s="51"/>
      <c r="I34" s="51"/>
      <c r="J34" s="51"/>
      <c r="K34" s="51"/>
      <c r="L34" s="51"/>
      <c r="M34" s="51"/>
      <c r="N34" s="51"/>
      <c r="O34" s="51"/>
      <c r="P34" s="51"/>
      <c r="Q34" s="51"/>
      <c r="R34" s="55"/>
      <c r="S34" s="53"/>
      <c r="T34" s="54"/>
      <c r="U34" s="52"/>
      <c r="V34" s="55"/>
      <c r="W34" s="55"/>
      <c r="X34" s="52"/>
      <c r="Y34" s="52"/>
      <c r="Z34" s="56"/>
      <c r="AA34" s="55"/>
      <c r="AB34" s="55"/>
      <c r="AC34" s="55"/>
      <c r="AD34" s="55"/>
      <c r="AE34" s="55"/>
      <c r="AF34" s="55"/>
    </row>
    <row r="35" spans="1:32" s="57" customFormat="1" ht="15.75" hidden="1" customHeight="1">
      <c r="A35" s="17"/>
      <c r="B35" s="2"/>
      <c r="C35" s="51"/>
      <c r="D35" s="51"/>
      <c r="E35" s="51"/>
      <c r="F35" s="51"/>
      <c r="G35" s="51"/>
      <c r="H35" s="51"/>
      <c r="I35" s="51"/>
      <c r="J35" s="51"/>
      <c r="K35" s="51"/>
      <c r="L35" s="51"/>
      <c r="M35" s="51"/>
      <c r="N35" s="51"/>
      <c r="O35" s="51"/>
      <c r="P35" s="51"/>
      <c r="Q35" s="51"/>
      <c r="R35" s="55"/>
      <c r="S35" s="53"/>
      <c r="T35" s="54"/>
      <c r="U35" s="52"/>
      <c r="V35" s="55"/>
      <c r="W35" s="55"/>
      <c r="X35" s="52"/>
      <c r="Y35" s="52"/>
      <c r="Z35" s="56"/>
      <c r="AA35" s="55"/>
      <c r="AB35" s="55"/>
      <c r="AC35" s="55"/>
      <c r="AD35" s="55"/>
      <c r="AE35" s="55"/>
      <c r="AF35" s="55"/>
    </row>
    <row r="36" spans="1:32" s="57" customFormat="1" ht="15.75" hidden="1" customHeight="1">
      <c r="A36" s="17"/>
      <c r="B36" s="2"/>
      <c r="C36" s="51"/>
      <c r="D36" s="51"/>
      <c r="E36" s="51"/>
      <c r="F36" s="51"/>
      <c r="G36" s="51"/>
      <c r="H36" s="51"/>
      <c r="I36" s="51"/>
      <c r="J36" s="51"/>
      <c r="K36" s="51"/>
      <c r="L36" s="51"/>
      <c r="M36" s="51"/>
      <c r="N36" s="51"/>
      <c r="O36" s="51"/>
      <c r="P36" s="51"/>
      <c r="Q36" s="51"/>
      <c r="R36" s="55"/>
      <c r="S36" s="53"/>
      <c r="T36" s="54"/>
      <c r="U36" s="55"/>
      <c r="V36" s="55"/>
      <c r="W36" s="55"/>
      <c r="X36" s="55"/>
      <c r="Y36" s="52"/>
      <c r="Z36" s="56"/>
      <c r="AA36" s="55"/>
      <c r="AB36" s="55"/>
      <c r="AC36" s="55"/>
      <c r="AD36" s="55"/>
      <c r="AE36" s="55"/>
      <c r="AF36" s="55"/>
    </row>
    <row r="37" spans="1:32" s="57" customFormat="1" ht="15.75" hidden="1" customHeight="1">
      <c r="A37" s="17"/>
      <c r="B37" s="2"/>
      <c r="C37" s="51"/>
      <c r="D37" s="51"/>
      <c r="E37" s="51"/>
      <c r="F37" s="51"/>
      <c r="G37" s="51"/>
      <c r="H37" s="51"/>
      <c r="I37" s="51"/>
      <c r="J37" s="51"/>
      <c r="K37" s="51"/>
      <c r="L37" s="51"/>
      <c r="M37" s="51"/>
      <c r="N37" s="51"/>
      <c r="O37" s="51"/>
      <c r="P37" s="51"/>
      <c r="Q37" s="51"/>
      <c r="R37" s="55"/>
      <c r="S37" s="53"/>
      <c r="T37" s="54"/>
      <c r="U37" s="52"/>
      <c r="V37" s="55"/>
      <c r="W37" s="55"/>
      <c r="X37" s="52"/>
      <c r="Y37" s="52"/>
      <c r="Z37" s="56"/>
      <c r="AA37" s="55"/>
      <c r="AB37" s="55"/>
      <c r="AC37" s="55"/>
      <c r="AD37" s="55"/>
      <c r="AE37" s="55"/>
      <c r="AF37" s="55"/>
    </row>
    <row r="38" spans="1:32" s="57" customFormat="1" ht="15.75" hidden="1" customHeight="1">
      <c r="A38" s="17"/>
      <c r="B38" s="2"/>
      <c r="C38" s="51"/>
      <c r="D38" s="51"/>
      <c r="E38" s="51"/>
      <c r="F38" s="51"/>
      <c r="G38" s="51"/>
      <c r="H38" s="51"/>
      <c r="I38" s="51"/>
      <c r="J38" s="51"/>
      <c r="K38" s="51"/>
      <c r="L38" s="51"/>
      <c r="M38" s="51"/>
      <c r="N38" s="51"/>
      <c r="O38" s="51"/>
      <c r="P38" s="51"/>
      <c r="Q38" s="51"/>
      <c r="R38" s="52"/>
      <c r="S38" s="53"/>
      <c r="T38" s="54"/>
      <c r="U38" s="52"/>
      <c r="V38" s="55"/>
      <c r="W38" s="55"/>
      <c r="X38" s="52"/>
      <c r="Y38" s="52"/>
      <c r="Z38" s="56"/>
      <c r="AA38" s="55"/>
      <c r="AB38" s="55"/>
      <c r="AC38" s="55"/>
      <c r="AD38" s="55"/>
      <c r="AE38" s="55"/>
      <c r="AF38" s="55"/>
    </row>
    <row r="39" spans="1:32" s="57" customFormat="1" ht="15.75" hidden="1" customHeight="1">
      <c r="A39" s="17"/>
      <c r="B39" s="2"/>
      <c r="C39" s="51"/>
      <c r="D39" s="51"/>
      <c r="E39" s="51"/>
      <c r="F39" s="51"/>
      <c r="G39" s="51"/>
      <c r="H39" s="51"/>
      <c r="I39" s="51"/>
      <c r="J39" s="51"/>
      <c r="K39" s="51"/>
      <c r="L39" s="51"/>
      <c r="M39" s="51"/>
      <c r="N39" s="51"/>
      <c r="O39" s="51"/>
      <c r="P39" s="51"/>
      <c r="Q39" s="51"/>
      <c r="R39" s="55"/>
      <c r="S39" s="53"/>
      <c r="T39" s="54"/>
      <c r="U39" s="52"/>
      <c r="V39" s="55"/>
      <c r="W39" s="55"/>
      <c r="X39" s="52"/>
      <c r="Y39" s="52"/>
      <c r="Z39" s="56"/>
      <c r="AA39" s="52"/>
      <c r="AB39" s="55"/>
      <c r="AC39" s="55"/>
      <c r="AD39" s="55"/>
      <c r="AE39" s="55"/>
      <c r="AF39" s="55"/>
    </row>
    <row r="40" spans="1:32" s="57" customFormat="1" ht="15.75" hidden="1" customHeight="1">
      <c r="A40" s="17"/>
      <c r="B40" s="2"/>
      <c r="C40" s="51"/>
      <c r="D40" s="51"/>
      <c r="E40" s="51"/>
      <c r="F40" s="51"/>
      <c r="G40" s="51"/>
      <c r="H40" s="51"/>
      <c r="I40" s="51"/>
      <c r="J40" s="51"/>
      <c r="K40" s="51"/>
      <c r="L40" s="51"/>
      <c r="M40" s="51"/>
      <c r="N40" s="51"/>
      <c r="O40" s="51"/>
      <c r="P40" s="51"/>
      <c r="Q40" s="51"/>
      <c r="R40" s="55"/>
      <c r="S40" s="53"/>
      <c r="T40" s="54"/>
      <c r="U40" s="52"/>
      <c r="V40" s="55"/>
      <c r="W40" s="55"/>
      <c r="X40" s="52"/>
      <c r="Y40" s="52"/>
      <c r="Z40" s="56"/>
      <c r="AA40" s="55"/>
      <c r="AB40" s="55"/>
      <c r="AC40" s="55"/>
      <c r="AD40" s="55"/>
      <c r="AE40" s="55"/>
      <c r="AF40" s="55"/>
    </row>
    <row r="41" spans="1:32" s="57" customFormat="1" ht="15.75" hidden="1" customHeight="1">
      <c r="A41" s="17"/>
      <c r="B41" s="2"/>
      <c r="C41" s="51"/>
      <c r="D41" s="51"/>
      <c r="E41" s="51"/>
      <c r="F41" s="51"/>
      <c r="G41" s="51"/>
      <c r="H41" s="51"/>
      <c r="I41" s="51"/>
      <c r="J41" s="51"/>
      <c r="K41" s="51"/>
      <c r="L41" s="51"/>
      <c r="M41" s="51"/>
      <c r="N41" s="51"/>
      <c r="O41" s="51"/>
      <c r="P41" s="51"/>
      <c r="Q41" s="51"/>
      <c r="R41" s="55"/>
      <c r="S41" s="53"/>
      <c r="T41" s="54"/>
      <c r="U41" s="52"/>
      <c r="V41" s="55"/>
      <c r="W41" s="55"/>
      <c r="X41" s="52"/>
      <c r="Y41" s="52"/>
      <c r="Z41" s="56"/>
      <c r="AA41" s="55"/>
      <c r="AB41" s="55"/>
      <c r="AC41" s="55"/>
      <c r="AD41" s="55"/>
      <c r="AE41" s="55"/>
      <c r="AF41" s="55"/>
    </row>
    <row r="42" spans="1:32" s="57" customFormat="1" ht="15.75" hidden="1" customHeight="1">
      <c r="A42" s="17"/>
      <c r="B42" s="2"/>
      <c r="C42" s="51"/>
      <c r="D42" s="51"/>
      <c r="E42" s="51"/>
      <c r="F42" s="51"/>
      <c r="G42" s="51"/>
      <c r="H42" s="51"/>
      <c r="I42" s="51"/>
      <c r="J42" s="51"/>
      <c r="K42" s="51"/>
      <c r="L42" s="51"/>
      <c r="M42" s="51"/>
      <c r="N42" s="51"/>
      <c r="O42" s="51"/>
      <c r="P42" s="51"/>
      <c r="Q42" s="51"/>
      <c r="R42" s="55"/>
      <c r="S42" s="53"/>
      <c r="T42" s="54"/>
      <c r="U42" s="52"/>
      <c r="V42" s="55"/>
      <c r="W42" s="55"/>
      <c r="X42" s="52"/>
      <c r="Y42" s="52"/>
      <c r="Z42" s="56"/>
      <c r="AA42" s="55"/>
      <c r="AB42" s="55"/>
      <c r="AC42" s="55"/>
      <c r="AD42" s="55"/>
      <c r="AE42" s="55"/>
      <c r="AF42" s="55"/>
    </row>
    <row r="43" spans="1:32" s="57" customFormat="1" ht="15.75" hidden="1" customHeight="1">
      <c r="A43" s="17"/>
      <c r="B43" s="2"/>
      <c r="C43" s="51"/>
      <c r="D43" s="51"/>
      <c r="E43" s="51"/>
      <c r="F43" s="51"/>
      <c r="G43" s="51"/>
      <c r="H43" s="51"/>
      <c r="I43" s="51"/>
      <c r="J43" s="51"/>
      <c r="K43" s="51"/>
      <c r="L43" s="51"/>
      <c r="M43" s="51"/>
      <c r="N43" s="51"/>
      <c r="O43" s="51"/>
      <c r="P43" s="51"/>
      <c r="Q43" s="51"/>
      <c r="R43" s="55"/>
      <c r="S43" s="53"/>
      <c r="T43" s="54"/>
      <c r="U43" s="52"/>
      <c r="V43" s="55"/>
      <c r="W43" s="55"/>
      <c r="X43" s="52"/>
      <c r="Y43" s="52"/>
      <c r="Z43" s="56"/>
      <c r="AA43" s="55"/>
      <c r="AB43" s="55"/>
      <c r="AC43" s="55"/>
      <c r="AD43" s="55"/>
      <c r="AE43" s="55"/>
      <c r="AF43" s="55"/>
    </row>
    <row r="44" spans="1:32" s="57" customFormat="1" ht="15.75" hidden="1" customHeight="1">
      <c r="A44" s="17"/>
      <c r="B44" s="2"/>
      <c r="C44" s="51"/>
      <c r="D44" s="51"/>
      <c r="E44" s="51"/>
      <c r="F44" s="51"/>
      <c r="G44" s="51"/>
      <c r="H44" s="51"/>
      <c r="I44" s="51"/>
      <c r="J44" s="51"/>
      <c r="K44" s="51"/>
      <c r="L44" s="51"/>
      <c r="M44" s="51"/>
      <c r="N44" s="51"/>
      <c r="O44" s="51"/>
      <c r="P44" s="51"/>
      <c r="Q44" s="51"/>
      <c r="R44" s="55"/>
      <c r="S44" s="53"/>
      <c r="T44" s="54"/>
      <c r="U44" s="52"/>
      <c r="V44" s="55"/>
      <c r="W44" s="55"/>
      <c r="X44" s="52"/>
      <c r="Y44" s="52"/>
      <c r="Z44" s="56"/>
      <c r="AA44" s="55"/>
      <c r="AB44" s="55"/>
      <c r="AC44" s="55"/>
      <c r="AD44" s="55"/>
      <c r="AE44" s="55"/>
      <c r="AF44" s="55"/>
    </row>
    <row r="45" spans="1:32" s="57" customFormat="1" ht="15.75" hidden="1" customHeight="1">
      <c r="A45" s="17"/>
      <c r="B45" s="2"/>
      <c r="C45" s="51"/>
      <c r="D45" s="51"/>
      <c r="E45" s="51"/>
      <c r="F45" s="51"/>
      <c r="G45" s="51"/>
      <c r="H45" s="51"/>
      <c r="I45" s="51"/>
      <c r="J45" s="51"/>
      <c r="K45" s="51"/>
      <c r="L45" s="51"/>
      <c r="M45" s="51"/>
      <c r="N45" s="51"/>
      <c r="O45" s="51"/>
      <c r="P45" s="51"/>
      <c r="Q45" s="51"/>
      <c r="R45" s="55"/>
      <c r="S45" s="53"/>
      <c r="T45" s="54"/>
      <c r="U45" s="52"/>
      <c r="V45" s="55"/>
      <c r="W45" s="55"/>
      <c r="X45" s="52"/>
      <c r="Y45" s="52"/>
      <c r="Z45" s="56"/>
      <c r="AA45" s="55"/>
      <c r="AB45" s="55"/>
      <c r="AC45" s="55"/>
      <c r="AD45" s="55"/>
      <c r="AE45" s="55"/>
      <c r="AF45" s="55"/>
    </row>
    <row r="46" spans="1:32" s="57" customFormat="1" ht="15.75" hidden="1" customHeight="1">
      <c r="A46" s="17"/>
      <c r="B46" s="2"/>
      <c r="C46" s="51"/>
      <c r="D46" s="51"/>
      <c r="E46" s="51"/>
      <c r="F46" s="51"/>
      <c r="G46" s="51"/>
      <c r="H46" s="51"/>
      <c r="I46" s="51"/>
      <c r="J46" s="51"/>
      <c r="K46" s="51"/>
      <c r="L46" s="51"/>
      <c r="M46" s="51"/>
      <c r="N46" s="51"/>
      <c r="O46" s="51"/>
      <c r="P46" s="51"/>
      <c r="Q46" s="51"/>
      <c r="R46" s="55"/>
      <c r="S46" s="53"/>
      <c r="T46" s="54"/>
      <c r="U46" s="52"/>
      <c r="V46" s="55"/>
      <c r="W46" s="55"/>
      <c r="X46" s="52"/>
      <c r="Y46" s="52"/>
      <c r="Z46" s="56"/>
      <c r="AA46" s="55"/>
      <c r="AB46" s="55"/>
      <c r="AC46" s="55"/>
      <c r="AD46" s="55"/>
      <c r="AE46" s="55"/>
      <c r="AF46" s="55"/>
    </row>
    <row r="47" spans="1:32" s="57" customFormat="1" ht="15.75" hidden="1" customHeight="1">
      <c r="A47" s="17"/>
      <c r="B47" s="2"/>
      <c r="C47" s="51"/>
      <c r="D47" s="51"/>
      <c r="E47" s="51"/>
      <c r="F47" s="51"/>
      <c r="G47" s="51"/>
      <c r="H47" s="51"/>
      <c r="I47" s="51"/>
      <c r="J47" s="51"/>
      <c r="K47" s="51"/>
      <c r="L47" s="51"/>
      <c r="M47" s="51"/>
      <c r="N47" s="51"/>
      <c r="O47" s="51"/>
      <c r="P47" s="51"/>
      <c r="Q47" s="51"/>
      <c r="R47" s="55"/>
      <c r="S47" s="53"/>
      <c r="T47" s="54"/>
      <c r="U47" s="52"/>
      <c r="V47" s="55"/>
      <c r="W47" s="55"/>
      <c r="X47" s="52"/>
      <c r="Y47" s="52"/>
      <c r="Z47" s="56"/>
      <c r="AA47" s="55"/>
      <c r="AB47" s="55"/>
      <c r="AC47" s="55"/>
      <c r="AD47" s="55"/>
      <c r="AE47" s="55"/>
      <c r="AF47" s="55"/>
    </row>
    <row r="48" spans="1:32" s="57" customFormat="1" ht="15.75" hidden="1" customHeight="1">
      <c r="A48" s="17"/>
      <c r="B48" s="2"/>
      <c r="C48" s="51"/>
      <c r="D48" s="51"/>
      <c r="E48" s="51"/>
      <c r="F48" s="51"/>
      <c r="G48" s="51"/>
      <c r="H48" s="51"/>
      <c r="I48" s="51"/>
      <c r="J48" s="51"/>
      <c r="K48" s="51"/>
      <c r="L48" s="51"/>
      <c r="M48" s="51"/>
      <c r="N48" s="51"/>
      <c r="O48" s="51"/>
      <c r="P48" s="51"/>
      <c r="Q48" s="51"/>
      <c r="R48" s="55"/>
      <c r="S48" s="53"/>
      <c r="T48" s="54"/>
      <c r="U48" s="52"/>
      <c r="V48" s="55"/>
      <c r="W48" s="55"/>
      <c r="X48" s="52"/>
      <c r="Y48" s="52"/>
      <c r="Z48" s="56"/>
      <c r="AA48" s="55"/>
      <c r="AB48" s="55"/>
      <c r="AC48" s="55"/>
      <c r="AD48" s="55"/>
      <c r="AE48" s="55"/>
      <c r="AF48" s="55"/>
    </row>
    <row r="49" spans="1:32" s="57" customFormat="1" ht="15.75" hidden="1" customHeight="1">
      <c r="A49" s="17"/>
      <c r="B49" s="2"/>
      <c r="C49" s="51"/>
      <c r="D49" s="51"/>
      <c r="E49" s="51"/>
      <c r="F49" s="51"/>
      <c r="G49" s="51"/>
      <c r="H49" s="51"/>
      <c r="I49" s="51"/>
      <c r="J49" s="51"/>
      <c r="K49" s="51"/>
      <c r="L49" s="51"/>
      <c r="M49" s="51"/>
      <c r="N49" s="51"/>
      <c r="O49" s="51"/>
      <c r="P49" s="51"/>
      <c r="Q49" s="51"/>
      <c r="R49" s="55"/>
      <c r="S49" s="53"/>
      <c r="T49" s="54"/>
      <c r="U49" s="52"/>
      <c r="V49" s="55"/>
      <c r="W49" s="55"/>
      <c r="X49" s="52"/>
      <c r="Y49" s="52"/>
      <c r="Z49" s="56"/>
      <c r="AA49" s="55"/>
      <c r="AB49" s="55"/>
      <c r="AC49" s="55"/>
      <c r="AD49" s="55"/>
      <c r="AE49" s="55"/>
      <c r="AF49" s="55"/>
    </row>
    <row r="50" spans="1:32" s="57" customFormat="1" ht="15.75" customHeight="1">
      <c r="A50" s="2" t="s">
        <v>119</v>
      </c>
      <c r="B50" s="2" t="s">
        <v>120</v>
      </c>
      <c r="C50" s="51">
        <f t="shared" ref="C50:C56" si="1">IFERROR(F50/D50," - ")</f>
        <v>26.99</v>
      </c>
      <c r="D50" s="51">
        <v>1</v>
      </c>
      <c r="E50" s="51">
        <v>0</v>
      </c>
      <c r="F50" s="51">
        <v>26.99</v>
      </c>
      <c r="G50" s="51">
        <v>-30.189999999999998</v>
      </c>
      <c r="H50" s="51">
        <f t="shared" ref="H50:H56" si="2">G50/F50*-1</f>
        <v>1.1185624305298258</v>
      </c>
      <c r="I50" s="51">
        <f t="shared" ref="I50:I56" si="3">J50/F50</f>
        <v>-1.0772570087686799</v>
      </c>
      <c r="J50" s="51">
        <f t="shared" ref="J50:J56" si="4">F50*0.85+G50+AD50*D50+D50*AC50+AE50+AB50</f>
        <v>-29.075166666666668</v>
      </c>
      <c r="K50" s="51">
        <f t="shared" ref="K50:K56" si="5">J50/D50</f>
        <v>-29.075166666666668</v>
      </c>
      <c r="L50" s="51">
        <v>20</v>
      </c>
      <c r="M50" s="51">
        <f t="shared" ref="M50:M56" si="6">IFERROR(D50/L50,"-")</f>
        <v>0.05</v>
      </c>
      <c r="N50" s="51">
        <v>53</v>
      </c>
      <c r="O50" s="51">
        <f t="shared" ref="O50:P50" si="7">D50/7</f>
        <v>0.14285714285714285</v>
      </c>
      <c r="P50" s="51">
        <f t="shared" si="7"/>
        <v>0</v>
      </c>
      <c r="Q50" s="51">
        <f t="shared" ref="Q50:Q56" si="8">ROUNDDOWN(N50/(O50+P50),0)</f>
        <v>371</v>
      </c>
      <c r="R50" s="55" t="str">
        <f ca="1">IFERROR(__xludf.DUMMYFUNCTION("IFERROR(VLOOKUP($B$2,IMPORTRANGE(""https://docs.google.com/spreadsheets/d/1iVgg6Mw12RULLujzHmfOFIY8Q_KaAD8anoZzgtVAQ74/edit#gid=1503384807"",""Second Star - Summary!A1:AD2000""),9,FALSE),"""")"),"")</f>
        <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1</v>
      </c>
      <c r="V50" s="55">
        <f t="shared" ref="V50:V56" si="9">IFERROR(U50/D50,0)</f>
        <v>1</v>
      </c>
      <c r="W50" s="55">
        <f t="shared" ref="W50:W56" si="10">IFERROR(G50/(U50+X50)*-1,0)</f>
        <v>30.189999999999998</v>
      </c>
      <c r="X50" s="55">
        <v>0</v>
      </c>
      <c r="Y50" s="55" t="s">
        <v>35</v>
      </c>
      <c r="Z50" s="56">
        <f t="shared" ref="Z50:Z56" si="11">IF(OR(Y50="UsLargeStandardSize",Y50="UsSmallStandardSize"),-2.4,-1.2)</f>
        <v>-2.4</v>
      </c>
      <c r="AA50" s="55">
        <v>0.30092592592592593</v>
      </c>
      <c r="AB50" s="55">
        <f t="shared" ref="AB50:AB56" si="12">IFERROR(Z50*AA50*D50*3,0)</f>
        <v>-2.1666666666666665</v>
      </c>
      <c r="AC50" s="55">
        <v>-5.8</v>
      </c>
      <c r="AD50" s="55">
        <v>-13.86</v>
      </c>
      <c r="AE50" s="55">
        <v>0</v>
      </c>
      <c r="AF50" s="55">
        <v>3.7735849056603703E-2</v>
      </c>
    </row>
    <row r="51" spans="1:32" s="57" customFormat="1" ht="15.75" customHeight="1">
      <c r="A51" s="2" t="s">
        <v>121</v>
      </c>
      <c r="B51" s="2" t="s">
        <v>129</v>
      </c>
      <c r="C51" s="51" t="str">
        <f t="shared" si="1"/>
        <v xml:space="preserve"> - </v>
      </c>
      <c r="D51" s="51">
        <v>0</v>
      </c>
      <c r="E51" s="51">
        <v>0</v>
      </c>
      <c r="F51" s="51">
        <v>0</v>
      </c>
      <c r="G51" s="51">
        <v>0</v>
      </c>
      <c r="H51" s="51" t="e">
        <f t="shared" si="2"/>
        <v>#DIV/0!</v>
      </c>
      <c r="I51" s="51" t="e">
        <f t="shared" si="3"/>
        <v>#DIV/0!</v>
      </c>
      <c r="J51" s="51">
        <f t="shared" si="4"/>
        <v>0</v>
      </c>
      <c r="K51" s="51" t="e">
        <f t="shared" si="5"/>
        <v>#DIV/0!</v>
      </c>
      <c r="L51" s="51">
        <v>0</v>
      </c>
      <c r="M51" s="51" t="str">
        <f t="shared" si="6"/>
        <v>-</v>
      </c>
      <c r="N51" s="51">
        <v>53</v>
      </c>
      <c r="O51" s="51">
        <f t="shared" ref="O51:P51" si="13">D51/7</f>
        <v>0</v>
      </c>
      <c r="P51" s="51">
        <f t="shared" si="13"/>
        <v>0</v>
      </c>
      <c r="Q51" s="51" t="e">
        <f t="shared" si="8"/>
        <v>#DIV/0!</v>
      </c>
      <c r="R51" s="55" t="str">
        <f ca="1">IFERROR(__xludf.DUMMYFUNCTION("IFERROR(VLOOKUP($B$2,IMPORTRANGE(""https://docs.google.com/spreadsheets/d/1iVgg6Mw12RULLujzHmfOFIY8Q_KaAD8anoZzgtVAQ74/edit#gid=1503384807"",""Second Star - Summary!A1:AD2000""),9,FALSE),"""")"),"")</f>
        <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9"/>
        <v>0</v>
      </c>
      <c r="W51" s="55">
        <f t="shared" si="10"/>
        <v>0</v>
      </c>
      <c r="X51" s="55">
        <v>0</v>
      </c>
      <c r="Y51" s="55" t="s">
        <v>35</v>
      </c>
      <c r="Z51" s="56">
        <f t="shared" si="11"/>
        <v>-2.4</v>
      </c>
      <c r="AA51" s="55">
        <v>0.30092592592592593</v>
      </c>
      <c r="AB51" s="55">
        <f t="shared" si="12"/>
        <v>0</v>
      </c>
      <c r="AC51" s="55">
        <v>-5.8</v>
      </c>
      <c r="AD51" s="55">
        <v>-13.86</v>
      </c>
      <c r="AE51" s="55">
        <v>0</v>
      </c>
      <c r="AF51" s="55">
        <v>3.7735849056603703E-2</v>
      </c>
    </row>
    <row r="52" spans="1:32" s="57" customFormat="1" ht="15.75" customHeight="1">
      <c r="A52" s="2" t="s">
        <v>123</v>
      </c>
      <c r="B52" s="2" t="s">
        <v>130</v>
      </c>
      <c r="C52" s="51" t="str">
        <f t="shared" si="1"/>
        <v xml:space="preserve"> - </v>
      </c>
      <c r="D52" s="51">
        <v>0</v>
      </c>
      <c r="E52" s="51">
        <v>0</v>
      </c>
      <c r="F52" s="51">
        <v>0</v>
      </c>
      <c r="G52" s="51">
        <v>0</v>
      </c>
      <c r="H52" s="51" t="e">
        <f t="shared" si="2"/>
        <v>#DIV/0!</v>
      </c>
      <c r="I52" s="51" t="e">
        <f t="shared" si="3"/>
        <v>#DIV/0!</v>
      </c>
      <c r="J52" s="51">
        <f t="shared" si="4"/>
        <v>0</v>
      </c>
      <c r="K52" s="51" t="e">
        <f t="shared" si="5"/>
        <v>#DIV/0!</v>
      </c>
      <c r="L52" s="51">
        <v>0</v>
      </c>
      <c r="M52" s="51" t="str">
        <f t="shared" si="6"/>
        <v>-</v>
      </c>
      <c r="N52" s="51">
        <v>53</v>
      </c>
      <c r="O52" s="51">
        <f t="shared" ref="O52:P52" si="14">D52/7</f>
        <v>0</v>
      </c>
      <c r="P52" s="51">
        <f t="shared" si="14"/>
        <v>0</v>
      </c>
      <c r="Q52" s="51" t="e">
        <f t="shared" si="8"/>
        <v>#DIV/0!</v>
      </c>
      <c r="R52" s="55" t="str">
        <f ca="1">IFERROR(__xludf.DUMMYFUNCTION("IFERROR(VLOOKUP($B$2,IMPORTRANGE(""https://docs.google.com/spreadsheets/d/1iVgg6Mw12RULLujzHmfOFIY8Q_KaAD8anoZzgtVAQ74/edit#gid=1503384807"",""Second Star - Summary!A1:AD2000""),9,FALSE),"""")"),"")</f>
        <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9"/>
        <v>0</v>
      </c>
      <c r="W52" s="55">
        <f t="shared" si="10"/>
        <v>0</v>
      </c>
      <c r="X52" s="55">
        <v>0</v>
      </c>
      <c r="Y52" s="55" t="s">
        <v>35</v>
      </c>
      <c r="Z52" s="56">
        <f t="shared" si="11"/>
        <v>-2.4</v>
      </c>
      <c r="AA52" s="55">
        <v>0.30092592592592593</v>
      </c>
      <c r="AB52" s="55">
        <f t="shared" si="12"/>
        <v>0</v>
      </c>
      <c r="AC52" s="55">
        <v>-5.8</v>
      </c>
      <c r="AD52" s="55">
        <v>-13.8590611111111</v>
      </c>
      <c r="AE52" s="55">
        <v>0</v>
      </c>
      <c r="AF52" s="55">
        <v>1.86915887850467E-2</v>
      </c>
    </row>
    <row r="53" spans="1:32" s="57" customFormat="1">
      <c r="A53" s="2" t="s">
        <v>38</v>
      </c>
      <c r="B53" s="2" t="s">
        <v>131</v>
      </c>
      <c r="C53" s="51" t="str">
        <f t="shared" si="1"/>
        <v xml:space="preserve"> - </v>
      </c>
      <c r="D53" s="51">
        <v>0</v>
      </c>
      <c r="E53" s="51">
        <v>0</v>
      </c>
      <c r="F53" s="51">
        <v>0</v>
      </c>
      <c r="G53" s="51">
        <v>0</v>
      </c>
      <c r="H53" s="51" t="e">
        <f t="shared" si="2"/>
        <v>#DIV/0!</v>
      </c>
      <c r="I53" s="51" t="e">
        <f t="shared" si="3"/>
        <v>#DIV/0!</v>
      </c>
      <c r="J53" s="51">
        <f t="shared" si="4"/>
        <v>0</v>
      </c>
      <c r="K53" s="51" t="e">
        <f t="shared" si="5"/>
        <v>#DIV/0!</v>
      </c>
      <c r="L53" s="51">
        <v>2</v>
      </c>
      <c r="M53" s="51">
        <f t="shared" si="6"/>
        <v>0</v>
      </c>
      <c r="N53" s="51">
        <v>53</v>
      </c>
      <c r="O53" s="51">
        <f t="shared" ref="O53:P53" si="15">D53/7</f>
        <v>0</v>
      </c>
      <c r="P53" s="51">
        <f t="shared" si="15"/>
        <v>0</v>
      </c>
      <c r="Q53" s="51" t="e">
        <f t="shared" si="8"/>
        <v>#DIV/0!</v>
      </c>
      <c r="R53" s="55" t="str">
        <f ca="1">IFERROR(__xludf.DUMMYFUNCTION("IFERROR(VLOOKUP($B$2,IMPORTRANGE(""https://docs.google.com/spreadsheets/d/1iVgg6Mw12RULLujzHmfOFIY8Q_KaAD8anoZzgtVAQ74/edit#gid=1503384807"",""Second Star - Summary!A1:AD2000""),9,FALSE),"""")"),"")</f>
        <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9"/>
        <v>0</v>
      </c>
      <c r="W53" s="55">
        <f t="shared" si="10"/>
        <v>0</v>
      </c>
      <c r="X53" s="55">
        <v>0</v>
      </c>
      <c r="Y53" s="55" t="s">
        <v>35</v>
      </c>
      <c r="Z53" s="56">
        <f t="shared" si="11"/>
        <v>-2.4</v>
      </c>
      <c r="AA53" s="55">
        <v>0.30092592592592593</v>
      </c>
      <c r="AB53" s="55">
        <f t="shared" si="12"/>
        <v>0</v>
      </c>
      <c r="AC53" s="55">
        <v>-5.8</v>
      </c>
      <c r="AD53" s="55">
        <v>-13.8590611111111</v>
      </c>
      <c r="AE53" s="55">
        <v>0</v>
      </c>
      <c r="AF53" s="55">
        <v>1.86915887850467E-2</v>
      </c>
    </row>
    <row r="54" spans="1:32" s="57" customFormat="1">
      <c r="A54" s="2" t="s">
        <v>40</v>
      </c>
      <c r="B54" s="2" t="s">
        <v>132</v>
      </c>
      <c r="C54" s="51">
        <f t="shared" si="1"/>
        <v>23.99</v>
      </c>
      <c r="D54" s="51">
        <v>1</v>
      </c>
      <c r="E54" s="51">
        <v>0</v>
      </c>
      <c r="F54" s="51">
        <v>23.99</v>
      </c>
      <c r="G54" s="51">
        <v>-0.71</v>
      </c>
      <c r="H54" s="51">
        <f t="shared" si="2"/>
        <v>2.9595664860358483E-2</v>
      </c>
      <c r="I54" s="51">
        <f t="shared" si="3"/>
        <v>-8.9380065768143807E-2</v>
      </c>
      <c r="J54" s="51">
        <f t="shared" si="4"/>
        <v>-2.1442277777777696</v>
      </c>
      <c r="K54" s="51">
        <f t="shared" si="5"/>
        <v>-2.1442277777777696</v>
      </c>
      <c r="L54" s="51">
        <v>4</v>
      </c>
      <c r="M54" s="51">
        <f t="shared" si="6"/>
        <v>0.25</v>
      </c>
      <c r="N54" s="51">
        <v>50</v>
      </c>
      <c r="O54" s="51">
        <f t="shared" ref="O54:P54" si="16">D54/7</f>
        <v>0.14285714285714285</v>
      </c>
      <c r="P54" s="51">
        <f t="shared" si="16"/>
        <v>0</v>
      </c>
      <c r="Q54" s="51">
        <f t="shared" si="8"/>
        <v>350</v>
      </c>
      <c r="R54" s="55" t="str">
        <f ca="1">IFERROR(__xludf.DUMMYFUNCTION("IFERROR(VLOOKUP($B$2,IMPORTRANGE(""https://docs.google.com/spreadsheets/d/1iVgg6Mw12RULLujzHmfOFIY8Q_KaAD8anoZzgtVAQ74/edit#gid=1503384807"",""Second Star - Summary!A1:AD2000""),9,FALSE),"""")"),"")</f>
        <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9"/>
        <v>0</v>
      </c>
      <c r="W54" s="55">
        <f t="shared" si="10"/>
        <v>0</v>
      </c>
      <c r="X54" s="55">
        <v>0</v>
      </c>
      <c r="Y54" s="55" t="s">
        <v>35</v>
      </c>
      <c r="Z54" s="56">
        <f t="shared" si="11"/>
        <v>-2.4</v>
      </c>
      <c r="AA54" s="55">
        <v>0.30092592592592593</v>
      </c>
      <c r="AB54" s="55">
        <f t="shared" si="12"/>
        <v>-2.1666666666666665</v>
      </c>
      <c r="AC54" s="55">
        <v>-5.8</v>
      </c>
      <c r="AD54" s="55">
        <v>-13.8590611111111</v>
      </c>
      <c r="AE54" s="55">
        <v>0</v>
      </c>
      <c r="AF54" s="55">
        <v>8.6538461538461495E-2</v>
      </c>
    </row>
    <row r="55" spans="1:32" s="57" customFormat="1" ht="15.75" customHeight="1">
      <c r="A55" s="2" t="s">
        <v>32</v>
      </c>
      <c r="B55" s="2" t="s">
        <v>133</v>
      </c>
      <c r="C55" s="51">
        <f t="shared" si="1"/>
        <v>23.656666666666666</v>
      </c>
      <c r="D55" s="51">
        <v>3</v>
      </c>
      <c r="E55" s="51">
        <v>0</v>
      </c>
      <c r="F55" s="51">
        <v>70.97</v>
      </c>
      <c r="G55" s="51">
        <v>0</v>
      </c>
      <c r="H55" s="51">
        <f t="shared" si="2"/>
        <v>0</v>
      </c>
      <c r="I55" s="51">
        <f t="shared" si="3"/>
        <v>-0.10642078812643783</v>
      </c>
      <c r="J55" s="51">
        <f t="shared" si="4"/>
        <v>-7.5526833333332934</v>
      </c>
      <c r="K55" s="51">
        <f t="shared" si="5"/>
        <v>-2.5175611111110978</v>
      </c>
      <c r="L55" s="51">
        <v>9</v>
      </c>
      <c r="M55" s="51">
        <f t="shared" si="6"/>
        <v>0.33333333333333331</v>
      </c>
      <c r="N55" s="51">
        <v>50</v>
      </c>
      <c r="O55" s="51">
        <f t="shared" ref="O55:P55" si="17">D55/7</f>
        <v>0.42857142857142855</v>
      </c>
      <c r="P55" s="51">
        <f t="shared" si="17"/>
        <v>0</v>
      </c>
      <c r="Q55" s="51">
        <f t="shared" si="8"/>
        <v>116</v>
      </c>
      <c r="R55" s="55" t="s">
        <v>34</v>
      </c>
      <c r="S55" s="53" t="s">
        <v>34</v>
      </c>
      <c r="T55" s="54" t="s">
        <v>34</v>
      </c>
      <c r="U55" s="55">
        <v>0</v>
      </c>
      <c r="V55" s="55">
        <f t="shared" si="9"/>
        <v>0</v>
      </c>
      <c r="W55" s="55">
        <f t="shared" si="10"/>
        <v>0</v>
      </c>
      <c r="X55" s="55">
        <v>0</v>
      </c>
      <c r="Y55" s="55" t="s">
        <v>35</v>
      </c>
      <c r="Z55" s="56">
        <f t="shared" si="11"/>
        <v>-2.4</v>
      </c>
      <c r="AA55" s="55">
        <v>0.30092592592592593</v>
      </c>
      <c r="AB55" s="55">
        <f t="shared" si="12"/>
        <v>-6.5</v>
      </c>
      <c r="AC55" s="55">
        <v>-5.8</v>
      </c>
      <c r="AD55" s="55">
        <v>-13.8590611111111</v>
      </c>
      <c r="AE55" s="55">
        <v>-2.4</v>
      </c>
      <c r="AF55" s="55">
        <v>9.6153846153846104E-2</v>
      </c>
    </row>
    <row r="56" spans="1:32" s="57" customFormat="1" ht="15.75" customHeight="1">
      <c r="A56" s="2" t="s">
        <v>36</v>
      </c>
      <c r="B56" s="2"/>
      <c r="C56" s="51">
        <f t="shared" si="1"/>
        <v>21.99</v>
      </c>
      <c r="D56" s="51">
        <v>3</v>
      </c>
      <c r="E56" s="51">
        <v>0</v>
      </c>
      <c r="F56" s="51">
        <v>65.97</v>
      </c>
      <c r="G56" s="51">
        <v>0</v>
      </c>
      <c r="H56" s="51">
        <f t="shared" si="2"/>
        <v>0</v>
      </c>
      <c r="I56" s="51">
        <f t="shared" si="3"/>
        <v>-0.17890985801626796</v>
      </c>
      <c r="J56" s="51">
        <f t="shared" si="4"/>
        <v>-11.802683333333198</v>
      </c>
      <c r="K56" s="51">
        <f t="shared" si="5"/>
        <v>-3.9342277777777324</v>
      </c>
      <c r="L56" s="51">
        <v>10</v>
      </c>
      <c r="M56" s="51">
        <f t="shared" si="6"/>
        <v>0.3</v>
      </c>
      <c r="N56" s="51">
        <v>41</v>
      </c>
      <c r="O56" s="51">
        <f t="shared" ref="O56:P56" si="18">D56/7</f>
        <v>0.42857142857142855</v>
      </c>
      <c r="P56" s="51">
        <f t="shared" si="18"/>
        <v>0</v>
      </c>
      <c r="Q56" s="51">
        <f t="shared" si="8"/>
        <v>95</v>
      </c>
      <c r="R56" s="55" t="str">
        <f ca="1">IFERROR(__xludf.DUMMYFUNCTION("IFERROR(VLOOKUP($B$2,IMPORTRANGE(""https://docs.google.com/spreadsheets/d/1iVgg6Mw12RULLujzHmfOFIY8Q_KaAD8anoZzgtVAQ74/edit#gid=1503384807"",""Second Star - Summary!A1:AD2000""),9,FALSE),"""")"),"")</f>
        <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9"/>
        <v>0</v>
      </c>
      <c r="W56" s="55">
        <f t="shared" si="10"/>
        <v>0</v>
      </c>
      <c r="X56" s="55">
        <v>0</v>
      </c>
      <c r="Y56" s="55" t="s">
        <v>35</v>
      </c>
      <c r="Z56" s="56">
        <f t="shared" si="11"/>
        <v>-2.4</v>
      </c>
      <c r="AA56" s="55">
        <v>0.30092592592592593</v>
      </c>
      <c r="AB56" s="55">
        <f t="shared" si="12"/>
        <v>-6.5</v>
      </c>
      <c r="AC56" s="55">
        <v>-5.8</v>
      </c>
      <c r="AD56" s="55">
        <v>-14.292394444444399</v>
      </c>
      <c r="AE56" s="55">
        <v>-1.1000000000000001</v>
      </c>
      <c r="AF56" s="55">
        <v>0.22</v>
      </c>
    </row>
    <row r="57" spans="1:32" ht="15.75" customHeight="1">
      <c r="A57" s="2"/>
      <c r="B57" s="2"/>
      <c r="C57" s="24"/>
      <c r="D57" s="18"/>
      <c r="E57" s="18"/>
      <c r="F57" s="19"/>
      <c r="G57" s="19"/>
      <c r="H57" s="19"/>
      <c r="I57" s="18"/>
      <c r="J57" s="18"/>
      <c r="K57" s="25"/>
      <c r="L57" s="25"/>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3"/>
    </row>
    <row r="222" spans="1:3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3"/>
    </row>
    <row r="223" spans="1:32"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3"/>
    </row>
    <row r="224" spans="1:32"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3"/>
    </row>
    <row r="225" spans="1:32"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3"/>
    </row>
    <row r="226" spans="1:32"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3"/>
    </row>
    <row r="227" spans="1:32"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3"/>
    </row>
    <row r="228" spans="1:32"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3"/>
    </row>
    <row r="229" spans="1:32"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3"/>
    </row>
    <row r="230" spans="1:32"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3"/>
    </row>
    <row r="231" spans="1:32"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3"/>
    </row>
    <row r="232" spans="1: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3"/>
    </row>
    <row r="233" spans="1:32"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3"/>
    </row>
    <row r="234" spans="1:32"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3"/>
    </row>
    <row r="235" spans="1:32"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3"/>
    </row>
    <row r="236" spans="1:32"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3"/>
    </row>
    <row r="237" spans="1:32"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3"/>
    </row>
    <row r="238" spans="1:32"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3"/>
    </row>
    <row r="239" spans="1:32"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row r="253" spans="1:32" ht="15.75" customHeight="1"/>
    <row r="254" spans="1:32" ht="15.75" customHeight="1"/>
    <row r="255" spans="1:32" ht="15.75" customHeight="1"/>
    <row r="256" spans="1:3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506" priority="1" operator="lessThan">
      <formula>100</formula>
    </cfRule>
  </conditionalFormatting>
  <conditionalFormatting sqref="Q1:Q3 Q57:Q1000">
    <cfRule type="cellIs" dxfId="505" priority="2" operator="lessThan">
      <formula>100</formula>
    </cfRule>
  </conditionalFormatting>
  <conditionalFormatting sqref="I1:I3 I57:I1000">
    <cfRule type="cellIs" dxfId="504" priority="3" operator="lessThan">
      <formula>0.05</formula>
    </cfRule>
  </conditionalFormatting>
  <conditionalFormatting sqref="I4:I17">
    <cfRule type="cellIs" dxfId="503" priority="4" operator="lessThan">
      <formula>0.05</formula>
    </cfRule>
  </conditionalFormatting>
  <conditionalFormatting sqref="I18:I56">
    <cfRule type="cellIs" dxfId="502" priority="5" operator="lessThan">
      <formula>0.05</formula>
    </cfRule>
  </conditionalFormatting>
  <conditionalFormatting sqref="Q4:Q56">
    <cfRule type="cellIs" dxfId="501" priority="6" operator="lessThan">
      <formula>100</formula>
    </cfRule>
  </conditionalFormatting>
  <conditionalFormatting sqref="Q4:Q56">
    <cfRule type="cellIs" dxfId="500" priority="7" operator="lessThan">
      <formula>100</formula>
    </cfRule>
  </conditionalFormatting>
  <pageMargins left="0.7" right="0.7" top="0.75" bottom="0.75" header="0" footer="0"/>
  <pageSetup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38.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28.3320312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11" customWidth="1"/>
  </cols>
  <sheetData>
    <row r="1" spans="1:32" ht="18.75" customHeight="1">
      <c r="A1" s="1" t="str">
        <f ca="1">IFERROR(__xludf.DUMMYFUNCTION("IFERROR(VLOOKUP(B2,IMPORTRANGE(""https://docs.google.com/spreadsheets/d/1x0DhHglkXKoEBOD2MBsuK_EyIr1ouxD2ftIpqOYFa-k/edit?usp=sharing"",""SecondStar-SKU-Specific Info!B1:BJ5000""),4,FALSE),"""")"),"Organic, Waterproof Natural Quilted Fitted Crib Pad Cover")</f>
        <v>Organic, Waterproof Natural Quilted Fitted Crib Pad Cover</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Info!B1:BJ5000""),3,FALSE),"""")"),"B01865W6R0")</f>
        <v>B01865W6R0</v>
      </c>
      <c r="B2" s="4" t="s">
        <v>134</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88.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19.84458949220706</v>
      </c>
      <c r="D3" s="8">
        <f>SUM(D4:D99819)</f>
        <v>2178</v>
      </c>
      <c r="E3" s="8"/>
      <c r="F3" s="9">
        <f t="shared" ref="F3:G3" si="0">SUM(F4:F99819)</f>
        <v>63774.789999999994</v>
      </c>
      <c r="G3" s="9">
        <f t="shared" si="0"/>
        <v>-321.7</v>
      </c>
      <c r="H3" s="10">
        <f t="shared" ref="H3:H39" si="1">G3/F3*-1</f>
        <v>5.0443129644174448E-3</v>
      </c>
      <c r="I3" s="11">
        <f t="shared" ref="I3:I39" si="2">J3/F3</f>
        <v>0.21839595272843085</v>
      </c>
      <c r="J3" s="9">
        <f>SUM(J4:J99819)</f>
        <v>13928.156022105602</v>
      </c>
      <c r="K3" s="9">
        <f t="shared" ref="K3:K39" si="3">J3/D3</f>
        <v>6.394929303078789</v>
      </c>
      <c r="L3" s="8"/>
      <c r="M3" s="12"/>
      <c r="N3" s="13"/>
      <c r="O3" s="8" t="str">
        <f ca="1">IFERROR(__xludf.DUMMYFUNCTION("IFERROR(VLOOKUP(B2,IMPORTRANGE(""https://docs.google.com/spreadsheets/d/1owCo6kL_VFQ5nPTdNogErmCBLjNiktT1m3SzTrxu3R0/edit#gid=2146806407"",""Second Star - Compiled!b1:g5000""),2,FALSE),"""")"),"6 - March
7 - April
8.5 - May
8.5 - Jun
8.5 - Jul
8.5 - Aug
6 - Sept
6 - Oct
6 - Nov
7 - Dec
7 - Jan
6 - Feb")</f>
        <v>6 - March
7 - April
8.5 - May
8.5 - Jun
8.5 - Jul
8.5 - Aug
6 - Sept
6 - Oct
6 - Nov
7 - Dec
7 - Jan
6 - Feb</v>
      </c>
      <c r="P3" s="8"/>
      <c r="Q3" s="14"/>
      <c r="R3" s="13"/>
      <c r="S3" s="13"/>
      <c r="T3" s="13"/>
      <c r="U3" s="8">
        <f>SUM(U4:U99819)</f>
        <v>41</v>
      </c>
      <c r="V3" s="10">
        <f>AVERAGE(V4:V99819)</f>
        <v>1.5196627004206324E-2</v>
      </c>
      <c r="W3" s="9">
        <f>ROUND(AVERAGE(W4:W99819),2)</f>
        <v>2.69</v>
      </c>
      <c r="X3" s="8"/>
      <c r="Y3" s="8"/>
      <c r="Z3" s="8"/>
      <c r="AA3" s="8"/>
      <c r="AB3" s="8"/>
      <c r="AC3" s="15"/>
      <c r="AD3" s="9"/>
      <c r="AE3" s="9">
        <f>SUM(AE4:AE99819)</f>
        <v>-304.75</v>
      </c>
      <c r="AF3" s="16"/>
    </row>
    <row r="4" spans="1:32" s="57" customFormat="1">
      <c r="A4" s="17" t="s">
        <v>48</v>
      </c>
      <c r="B4" s="17"/>
      <c r="C4" s="50">
        <v>29.99</v>
      </c>
      <c r="D4" s="51">
        <v>44</v>
      </c>
      <c r="E4" s="51">
        <v>0</v>
      </c>
      <c r="F4" s="51">
        <v>1361.5600000000002</v>
      </c>
      <c r="G4" s="51">
        <v>-27.509999999999998</v>
      </c>
      <c r="H4" s="51">
        <f t="shared" si="1"/>
        <v>2.0204765122359643E-2</v>
      </c>
      <c r="I4" s="51">
        <f t="shared" si="2"/>
        <v>0.23057774604248743</v>
      </c>
      <c r="J4" s="51">
        <f t="shared" ref="J4:J38" si="4">F4*0.85+G4+AD4*D4+D4*AC4+AE4+AB4</f>
        <v>313.94543590160924</v>
      </c>
      <c r="K4" s="51">
        <f t="shared" si="3"/>
        <v>7.1351235432183922</v>
      </c>
      <c r="L4" s="51">
        <v>302</v>
      </c>
      <c r="M4" s="51">
        <f t="shared" ref="M4:M39" si="5">IFERROR(D4/L4,"-")</f>
        <v>0.14569536423841059</v>
      </c>
      <c r="N4" s="51">
        <v>729</v>
      </c>
      <c r="O4" s="51">
        <f t="shared" ref="O4:P4" si="6">D4/7</f>
        <v>6.2857142857142856</v>
      </c>
      <c r="P4" s="51">
        <f t="shared" si="6"/>
        <v>0</v>
      </c>
      <c r="Q4" s="51">
        <f t="shared" ref="Q4:Q39" si="7">ROUNDDOWN(N4/(O4+P4),0)</f>
        <v>115</v>
      </c>
      <c r="R4" s="52">
        <v>600</v>
      </c>
      <c r="S4" s="53" t="s">
        <v>34</v>
      </c>
      <c r="T4" s="54" t="s">
        <v>34</v>
      </c>
      <c r="U4" s="52">
        <v>1</v>
      </c>
      <c r="V4" s="55">
        <f t="shared" ref="V4:V39" si="8">IFERROR(U4/D4,0)</f>
        <v>2.2727272727272728E-2</v>
      </c>
      <c r="W4" s="55">
        <f t="shared" ref="W4:W39" si="9">IFERROR(G4/(U4+X4)*-1,0)</f>
        <v>9.17</v>
      </c>
      <c r="X4" s="52">
        <v>2</v>
      </c>
      <c r="Y4" s="56" t="s">
        <v>35</v>
      </c>
      <c r="Z4" s="56">
        <f t="shared" ref="Z4:Z10" si="10">IF(OR(Y4="UsLargeStandardSize",Y4="UsSmallStandardSize"),-0.69,-0.48)</f>
        <v>-0.69</v>
      </c>
      <c r="AA4" s="55">
        <v>0.21901765046296295</v>
      </c>
      <c r="AB4" s="55">
        <f t="shared" ref="AB4:AB17" si="11">IFERROR((Z4*AA4*N4)/4,0)</f>
        <v>-27.542017089843746</v>
      </c>
      <c r="AC4" s="55">
        <v>-5.26</v>
      </c>
      <c r="AD4" s="55">
        <v>-12.218376068376068</v>
      </c>
      <c r="AE4" s="55">
        <v>-19.28</v>
      </c>
      <c r="AF4" s="55"/>
    </row>
    <row r="5" spans="1:32" s="57" customFormat="1" ht="15.75" customHeight="1">
      <c r="A5" s="2" t="s">
        <v>49</v>
      </c>
      <c r="B5" s="2" t="s">
        <v>135</v>
      </c>
      <c r="C5" s="51">
        <v>30.99</v>
      </c>
      <c r="D5" s="51">
        <v>69</v>
      </c>
      <c r="E5" s="51">
        <v>0</v>
      </c>
      <c r="F5" s="51">
        <v>2091.31</v>
      </c>
      <c r="G5" s="51">
        <v>-16.87</v>
      </c>
      <c r="H5" s="51">
        <f t="shared" si="1"/>
        <v>8.0667141648057914E-3</v>
      </c>
      <c r="I5" s="51">
        <f t="shared" si="2"/>
        <v>0.23258160787390703</v>
      </c>
      <c r="J5" s="51">
        <f t="shared" si="4"/>
        <v>486.40024236278049</v>
      </c>
      <c r="K5" s="51">
        <f t="shared" si="3"/>
        <v>7.0492788748229058</v>
      </c>
      <c r="L5" s="51">
        <v>302</v>
      </c>
      <c r="M5" s="51">
        <f t="shared" si="5"/>
        <v>0.22847682119205298</v>
      </c>
      <c r="N5" s="51">
        <v>714</v>
      </c>
      <c r="O5" s="51">
        <f t="shared" ref="O5:P5" si="12">D5/7</f>
        <v>9.8571428571428577</v>
      </c>
      <c r="P5" s="51">
        <f t="shared" si="12"/>
        <v>0</v>
      </c>
      <c r="Q5" s="51">
        <f t="shared" si="7"/>
        <v>72</v>
      </c>
      <c r="R5" s="55">
        <v>600</v>
      </c>
      <c r="S5" s="53" t="s">
        <v>34</v>
      </c>
      <c r="T5" s="54" t="s">
        <v>34</v>
      </c>
      <c r="U5" s="55">
        <v>5</v>
      </c>
      <c r="V5" s="55">
        <f t="shared" si="8"/>
        <v>7.2463768115942032E-2</v>
      </c>
      <c r="W5" s="55">
        <f t="shared" si="9"/>
        <v>3.3740000000000001</v>
      </c>
      <c r="X5" s="55">
        <v>0</v>
      </c>
      <c r="Y5" s="55" t="s">
        <v>35</v>
      </c>
      <c r="Z5" s="56">
        <f t="shared" si="10"/>
        <v>-0.69</v>
      </c>
      <c r="AA5" s="55">
        <v>0.21901765046296295</v>
      </c>
      <c r="AB5" s="55">
        <f t="shared" si="11"/>
        <v>-26.97530891927083</v>
      </c>
      <c r="AC5" s="55">
        <v>-5.26</v>
      </c>
      <c r="AD5" s="55">
        <v>-12.218376068376068</v>
      </c>
      <c r="AE5" s="55">
        <v>-41.36</v>
      </c>
      <c r="AF5" s="55"/>
    </row>
    <row r="6" spans="1:32" s="57" customFormat="1" ht="15.75" customHeight="1">
      <c r="A6" s="2" t="s">
        <v>51</v>
      </c>
      <c r="B6" s="2" t="s">
        <v>136</v>
      </c>
      <c r="C6" s="51">
        <v>29.99</v>
      </c>
      <c r="D6" s="51">
        <v>55</v>
      </c>
      <c r="E6" s="51">
        <v>0</v>
      </c>
      <c r="F6" s="51">
        <v>1649.4500000000003</v>
      </c>
      <c r="G6" s="51">
        <v>-23.839999999999996</v>
      </c>
      <c r="H6" s="51">
        <f t="shared" si="1"/>
        <v>1.4453302616023518E-2</v>
      </c>
      <c r="I6" s="51">
        <f t="shared" si="2"/>
        <v>0.22451730763300135</v>
      </c>
      <c r="J6" s="51">
        <f t="shared" si="4"/>
        <v>370.33007307525412</v>
      </c>
      <c r="K6" s="51">
        <f t="shared" si="3"/>
        <v>6.7332740559137116</v>
      </c>
      <c r="L6" s="51">
        <v>320</v>
      </c>
      <c r="M6" s="51">
        <f t="shared" si="5"/>
        <v>0.171875</v>
      </c>
      <c r="N6" s="51">
        <v>630</v>
      </c>
      <c r="O6" s="51">
        <f t="shared" ref="O6:P6" si="13">D6/7</f>
        <v>7.8571428571428568</v>
      </c>
      <c r="P6" s="51">
        <f t="shared" si="13"/>
        <v>0</v>
      </c>
      <c r="Q6" s="51">
        <f t="shared" si="7"/>
        <v>80</v>
      </c>
      <c r="R6" s="55">
        <v>0</v>
      </c>
      <c r="S6" s="53" t="s">
        <v>34</v>
      </c>
      <c r="T6" s="54" t="s">
        <v>34</v>
      </c>
      <c r="U6" s="55">
        <v>2</v>
      </c>
      <c r="V6" s="55">
        <f t="shared" si="8"/>
        <v>3.6363636363636362E-2</v>
      </c>
      <c r="W6" s="55">
        <f t="shared" si="9"/>
        <v>11.919999999999998</v>
      </c>
      <c r="X6" s="55">
        <v>0</v>
      </c>
      <c r="Y6" s="55" t="s">
        <v>35</v>
      </c>
      <c r="Z6" s="56">
        <f t="shared" si="10"/>
        <v>-0.69</v>
      </c>
      <c r="AA6" s="55">
        <v>0.21901765046296295</v>
      </c>
      <c r="AB6" s="55">
        <f t="shared" si="11"/>
        <v>-23.801743164062497</v>
      </c>
      <c r="AC6" s="55">
        <v>-5.26</v>
      </c>
      <c r="AD6" s="55">
        <v>-12.218376068376068</v>
      </c>
      <c r="AE6" s="55">
        <v>-22.75</v>
      </c>
      <c r="AF6" s="55"/>
    </row>
    <row r="7" spans="1:32" s="57" customFormat="1" ht="15.75" customHeight="1">
      <c r="A7" s="2" t="s">
        <v>53</v>
      </c>
      <c r="B7" s="2"/>
      <c r="C7" s="51">
        <v>29.99</v>
      </c>
      <c r="D7" s="51">
        <v>61</v>
      </c>
      <c r="E7" s="51">
        <v>0</v>
      </c>
      <c r="F7" s="51">
        <v>1849.3900000000003</v>
      </c>
      <c r="G7" s="51">
        <v>-18.48</v>
      </c>
      <c r="H7" s="51">
        <f t="shared" si="1"/>
        <v>9.9924840082405535E-3</v>
      </c>
      <c r="I7" s="51">
        <f t="shared" si="2"/>
        <v>0.22747141229538542</v>
      </c>
      <c r="J7" s="51">
        <f t="shared" si="4"/>
        <v>420.68335518496292</v>
      </c>
      <c r="K7" s="51">
        <f t="shared" si="3"/>
        <v>6.89644844565513</v>
      </c>
      <c r="L7" s="51">
        <v>318</v>
      </c>
      <c r="M7" s="51">
        <f t="shared" si="5"/>
        <v>0.1918238993710692</v>
      </c>
      <c r="N7" s="51">
        <v>596</v>
      </c>
      <c r="O7" s="51">
        <f t="shared" ref="O7:P7" si="14">D7/7</f>
        <v>8.7142857142857135</v>
      </c>
      <c r="P7" s="51">
        <f t="shared" si="14"/>
        <v>0</v>
      </c>
      <c r="Q7" s="51">
        <f t="shared" si="7"/>
        <v>68</v>
      </c>
      <c r="R7" s="55">
        <v>0</v>
      </c>
      <c r="S7" s="53" t="s">
        <v>34</v>
      </c>
      <c r="T7" s="54" t="s">
        <v>34</v>
      </c>
      <c r="U7" s="55">
        <v>2</v>
      </c>
      <c r="V7" s="55">
        <f t="shared" si="8"/>
        <v>3.2786885245901641E-2</v>
      </c>
      <c r="W7" s="55">
        <f t="shared" si="9"/>
        <v>9.24</v>
      </c>
      <c r="X7" s="55">
        <v>0</v>
      </c>
      <c r="Y7" s="55" t="s">
        <v>35</v>
      </c>
      <c r="Z7" s="56">
        <f t="shared" si="10"/>
        <v>-0.69</v>
      </c>
      <c r="AA7" s="55">
        <v>0.21901765046296295</v>
      </c>
      <c r="AB7" s="55">
        <f t="shared" si="11"/>
        <v>-22.51720464409722</v>
      </c>
      <c r="AC7" s="55">
        <v>-5.26</v>
      </c>
      <c r="AD7" s="55">
        <v>-12.218376068376068</v>
      </c>
      <c r="AE7" s="55">
        <v>-44.120000000000005</v>
      </c>
      <c r="AF7" s="55"/>
    </row>
    <row r="8" spans="1:32" s="57" customFormat="1" ht="15.75" customHeight="1">
      <c r="A8" s="2" t="s">
        <v>54</v>
      </c>
      <c r="B8" s="2" t="s">
        <v>137</v>
      </c>
      <c r="C8" s="51">
        <v>29.99</v>
      </c>
      <c r="D8" s="51">
        <v>58</v>
      </c>
      <c r="E8" s="51">
        <v>0</v>
      </c>
      <c r="F8" s="51">
        <v>1739.4200000000003</v>
      </c>
      <c r="G8" s="51">
        <v>-12.57</v>
      </c>
      <c r="H8" s="51">
        <f t="shared" si="1"/>
        <v>7.2265467799611351E-3</v>
      </c>
      <c r="I8" s="51">
        <f t="shared" si="2"/>
        <v>0.22822920966116508</v>
      </c>
      <c r="J8" s="51">
        <f t="shared" si="4"/>
        <v>396.98645186882385</v>
      </c>
      <c r="K8" s="51">
        <f t="shared" si="3"/>
        <v>6.8445939977383423</v>
      </c>
      <c r="L8" s="51">
        <v>252</v>
      </c>
      <c r="M8" s="51">
        <f t="shared" si="5"/>
        <v>0.23015873015873015</v>
      </c>
      <c r="N8" s="51">
        <v>507</v>
      </c>
      <c r="O8" s="51">
        <f t="shared" ref="O8:P8" si="15">D8/7</f>
        <v>8.2857142857142865</v>
      </c>
      <c r="P8" s="51">
        <f t="shared" si="15"/>
        <v>0</v>
      </c>
      <c r="Q8" s="51">
        <f t="shared" si="7"/>
        <v>61</v>
      </c>
      <c r="R8" s="55">
        <v>0</v>
      </c>
      <c r="S8" s="53" t="s">
        <v>34</v>
      </c>
      <c r="T8" s="54" t="s">
        <v>34</v>
      </c>
      <c r="U8" s="55">
        <v>2</v>
      </c>
      <c r="V8" s="55">
        <f t="shared" si="8"/>
        <v>3.4482758620689655E-2</v>
      </c>
      <c r="W8" s="55">
        <f t="shared" si="9"/>
        <v>4.1900000000000004</v>
      </c>
      <c r="X8" s="55">
        <v>1</v>
      </c>
      <c r="Y8" s="55" t="s">
        <v>35</v>
      </c>
      <c r="Z8" s="56">
        <f t="shared" si="10"/>
        <v>-0.69</v>
      </c>
      <c r="AA8" s="55">
        <v>0.21901765046296295</v>
      </c>
      <c r="AB8" s="55">
        <f t="shared" si="11"/>
        <v>-19.154736165364582</v>
      </c>
      <c r="AC8" s="55">
        <v>-5.26</v>
      </c>
      <c r="AD8" s="55">
        <v>-12.218376068376068</v>
      </c>
      <c r="AE8" s="55">
        <v>-36.050000000000004</v>
      </c>
      <c r="AF8" s="55"/>
    </row>
    <row r="9" spans="1:32" s="57" customFormat="1" ht="15.75" customHeight="1">
      <c r="A9" s="2" t="s">
        <v>56</v>
      </c>
      <c r="B9" s="2" t="s">
        <v>138</v>
      </c>
      <c r="C9" s="51">
        <v>32.99</v>
      </c>
      <c r="D9" s="51">
        <v>51</v>
      </c>
      <c r="E9" s="51">
        <v>0</v>
      </c>
      <c r="F9" s="51">
        <v>1544.4900000000002</v>
      </c>
      <c r="G9" s="51">
        <v>-20.78</v>
      </c>
      <c r="H9" s="51">
        <f t="shared" si="1"/>
        <v>1.3454279406147011E-2</v>
      </c>
      <c r="I9" s="51">
        <f t="shared" si="2"/>
        <v>0.23277168312884372</v>
      </c>
      <c r="J9" s="51">
        <f t="shared" si="4"/>
        <v>359.51353687566791</v>
      </c>
      <c r="K9" s="51">
        <f t="shared" si="3"/>
        <v>7.0492850367778024</v>
      </c>
      <c r="L9" s="51">
        <v>275</v>
      </c>
      <c r="M9" s="51">
        <f t="shared" si="5"/>
        <v>0.18545454545454546</v>
      </c>
      <c r="N9" s="51">
        <v>484</v>
      </c>
      <c r="O9" s="51">
        <f t="shared" ref="O9:P9" si="16">D9/7</f>
        <v>7.2857142857142856</v>
      </c>
      <c r="P9" s="51">
        <f t="shared" si="16"/>
        <v>0</v>
      </c>
      <c r="Q9" s="51">
        <f t="shared" si="7"/>
        <v>66</v>
      </c>
      <c r="R9" s="55">
        <v>504</v>
      </c>
      <c r="S9" s="53" t="s">
        <v>34</v>
      </c>
      <c r="T9" s="54" t="s">
        <v>34</v>
      </c>
      <c r="U9" s="55">
        <v>5</v>
      </c>
      <c r="V9" s="55">
        <f t="shared" si="8"/>
        <v>9.8039215686274508E-2</v>
      </c>
      <c r="W9" s="55">
        <f t="shared" si="9"/>
        <v>4.1560000000000006</v>
      </c>
      <c r="X9" s="55">
        <v>0</v>
      </c>
      <c r="Y9" s="55" t="s">
        <v>35</v>
      </c>
      <c r="Z9" s="56">
        <f t="shared" si="10"/>
        <v>-0.69</v>
      </c>
      <c r="AA9" s="55">
        <v>0.21901765046296295</v>
      </c>
      <c r="AB9" s="55">
        <f t="shared" si="11"/>
        <v>-18.285783637152775</v>
      </c>
      <c r="AC9" s="55">
        <v>-5.26</v>
      </c>
      <c r="AD9" s="55">
        <v>-12.218376068376068</v>
      </c>
      <c r="AE9" s="55">
        <v>-22.84</v>
      </c>
      <c r="AF9" s="55"/>
    </row>
    <row r="10" spans="1:32" s="57" customFormat="1" ht="15.75" customHeight="1">
      <c r="A10" s="2" t="s">
        <v>58</v>
      </c>
      <c r="B10" s="2" t="s">
        <v>139</v>
      </c>
      <c r="C10" s="51">
        <v>28.99</v>
      </c>
      <c r="D10" s="51">
        <v>45</v>
      </c>
      <c r="E10" s="51">
        <v>0</v>
      </c>
      <c r="F10" s="51">
        <v>1421.5500000000002</v>
      </c>
      <c r="G10" s="51">
        <v>-35.430000000000007</v>
      </c>
      <c r="H10" s="51">
        <f t="shared" si="1"/>
        <v>2.4923498997573072E-2</v>
      </c>
      <c r="I10" s="51">
        <f t="shared" si="2"/>
        <v>0.25430339594433832</v>
      </c>
      <c r="J10" s="51">
        <f t="shared" si="4"/>
        <v>361.50499250467419</v>
      </c>
      <c r="K10" s="51">
        <f t="shared" si="3"/>
        <v>8.0334442778816495</v>
      </c>
      <c r="L10" s="51">
        <v>281</v>
      </c>
      <c r="M10" s="51">
        <f t="shared" si="5"/>
        <v>0.16014234875444841</v>
      </c>
      <c r="N10" s="51">
        <v>412</v>
      </c>
      <c r="O10" s="51">
        <f t="shared" ref="O10:P10" si="17">D10/7</f>
        <v>6.4285714285714288</v>
      </c>
      <c r="P10" s="51">
        <f t="shared" si="17"/>
        <v>0</v>
      </c>
      <c r="Q10" s="51">
        <f t="shared" si="7"/>
        <v>64</v>
      </c>
      <c r="R10" s="55">
        <v>504</v>
      </c>
      <c r="S10" s="53" t="s">
        <v>34</v>
      </c>
      <c r="T10" s="54" t="s">
        <v>34</v>
      </c>
      <c r="U10" s="55">
        <v>2</v>
      </c>
      <c r="V10" s="55">
        <f t="shared" si="8"/>
        <v>4.4444444444444446E-2</v>
      </c>
      <c r="W10" s="55">
        <f t="shared" si="9"/>
        <v>11.810000000000002</v>
      </c>
      <c r="X10" s="55">
        <v>1</v>
      </c>
      <c r="Y10" s="55" t="s">
        <v>35</v>
      </c>
      <c r="Z10" s="56">
        <f t="shared" si="10"/>
        <v>-0.69</v>
      </c>
      <c r="AA10" s="55">
        <v>0.21901765046296295</v>
      </c>
      <c r="AB10" s="55">
        <f t="shared" si="11"/>
        <v>-15.565584418402775</v>
      </c>
      <c r="AC10" s="55">
        <v>-5.26</v>
      </c>
      <c r="AD10" s="55">
        <v>-12.218376068376068</v>
      </c>
      <c r="AE10" s="55">
        <v>-9.2899999999999991</v>
      </c>
      <c r="AF10" s="55"/>
    </row>
    <row r="11" spans="1:32" s="57" customFormat="1" ht="15.75" customHeight="1">
      <c r="A11" s="2" t="s">
        <v>60</v>
      </c>
      <c r="B11" s="2" t="s">
        <v>140</v>
      </c>
      <c r="C11" s="51">
        <v>28.99</v>
      </c>
      <c r="D11" s="51">
        <v>59</v>
      </c>
      <c r="E11" s="51">
        <v>0</v>
      </c>
      <c r="F11" s="51">
        <v>1722.4100000000003</v>
      </c>
      <c r="G11" s="51">
        <v>-26.04</v>
      </c>
      <c r="H11" s="51">
        <f t="shared" si="1"/>
        <v>1.5118351611985529E-2</v>
      </c>
      <c r="I11" s="51">
        <f t="shared" si="2"/>
        <v>0.20389785197896959</v>
      </c>
      <c r="J11" s="51">
        <f t="shared" si="4"/>
        <v>351.19569922709707</v>
      </c>
      <c r="K11" s="51">
        <f t="shared" si="3"/>
        <v>5.9524694784253738</v>
      </c>
      <c r="L11" s="51">
        <v>252</v>
      </c>
      <c r="M11" s="51">
        <f t="shared" si="5"/>
        <v>0.23412698412698413</v>
      </c>
      <c r="N11" s="51">
        <v>374</v>
      </c>
      <c r="O11" s="51">
        <f t="shared" ref="O11:P11" si="18">D11/7</f>
        <v>8.4285714285714288</v>
      </c>
      <c r="P11" s="51">
        <f t="shared" si="18"/>
        <v>0</v>
      </c>
      <c r="Q11" s="51">
        <f t="shared" si="7"/>
        <v>44</v>
      </c>
      <c r="R11" s="55">
        <v>504</v>
      </c>
      <c r="S11" s="53" t="s">
        <v>34</v>
      </c>
      <c r="T11" s="54" t="s">
        <v>34</v>
      </c>
      <c r="U11" s="55">
        <v>2</v>
      </c>
      <c r="V11" s="55">
        <f t="shared" si="8"/>
        <v>3.3898305084745763E-2</v>
      </c>
      <c r="W11" s="55">
        <f t="shared" si="9"/>
        <v>13.02</v>
      </c>
      <c r="X11" s="55">
        <v>0</v>
      </c>
      <c r="Y11" s="55" t="s">
        <v>35</v>
      </c>
      <c r="Z11" s="56">
        <f t="shared" ref="Z11:Z39" si="19">IF(OR(Y11="UsLargeStandardSize",Y11="UsSmallStandardSize"),-0.75,-0.48)</f>
        <v>-0.75</v>
      </c>
      <c r="AA11" s="55">
        <v>0.21901765046296295</v>
      </c>
      <c r="AB11" s="55">
        <f t="shared" si="11"/>
        <v>-15.358612738715276</v>
      </c>
      <c r="AC11" s="55">
        <v>-5.42</v>
      </c>
      <c r="AD11" s="55">
        <v>-12.218376068376068</v>
      </c>
      <c r="AE11" s="55">
        <v>-30.79</v>
      </c>
      <c r="AF11" s="55"/>
    </row>
    <row r="12" spans="1:32" s="57" customFormat="1" ht="15.75" customHeight="1">
      <c r="A12" s="2" t="s">
        <v>62</v>
      </c>
      <c r="B12" s="2" t="s">
        <v>141</v>
      </c>
      <c r="C12" s="51">
        <v>29.99</v>
      </c>
      <c r="D12" s="51">
        <v>66</v>
      </c>
      <c r="E12" s="51">
        <v>0</v>
      </c>
      <c r="F12" s="51">
        <v>2031.3400000000004</v>
      </c>
      <c r="G12" s="51">
        <v>-17.55</v>
      </c>
      <c r="H12" s="51">
        <f t="shared" si="1"/>
        <v>8.6396171984995107E-3</v>
      </c>
      <c r="I12" s="51">
        <f t="shared" si="2"/>
        <v>0.24037749019489224</v>
      </c>
      <c r="J12" s="51">
        <f t="shared" si="4"/>
        <v>488.28841093249247</v>
      </c>
      <c r="K12" s="51">
        <f t="shared" si="3"/>
        <v>7.398309256552916</v>
      </c>
      <c r="L12" s="51">
        <v>266</v>
      </c>
      <c r="M12" s="51">
        <f t="shared" si="5"/>
        <v>0.24812030075187969</v>
      </c>
      <c r="N12" s="51">
        <v>270</v>
      </c>
      <c r="O12" s="51">
        <f t="shared" ref="O12:P12" si="20">D12/7</f>
        <v>9.4285714285714288</v>
      </c>
      <c r="P12" s="51">
        <f t="shared" si="20"/>
        <v>0</v>
      </c>
      <c r="Q12" s="51">
        <f t="shared" si="7"/>
        <v>28</v>
      </c>
      <c r="R12" s="55">
        <v>504</v>
      </c>
      <c r="S12" s="53">
        <v>504</v>
      </c>
      <c r="T12" s="54">
        <v>43896</v>
      </c>
      <c r="U12" s="55">
        <v>2</v>
      </c>
      <c r="V12" s="55">
        <f t="shared" si="8"/>
        <v>3.0303030303030304E-2</v>
      </c>
      <c r="W12" s="55">
        <f t="shared" si="9"/>
        <v>5.8500000000000005</v>
      </c>
      <c r="X12" s="55">
        <v>1</v>
      </c>
      <c r="Y12" s="55" t="s">
        <v>35</v>
      </c>
      <c r="Z12" s="56">
        <f t="shared" si="19"/>
        <v>-0.75</v>
      </c>
      <c r="AA12" s="55">
        <v>0.21901765046296295</v>
      </c>
      <c r="AB12" s="55">
        <f t="shared" si="11"/>
        <v>-11.0877685546875</v>
      </c>
      <c r="AC12" s="55">
        <v>-5.42</v>
      </c>
      <c r="AD12" s="55">
        <v>-12.218376068376068</v>
      </c>
      <c r="AE12" s="55">
        <v>-45.58</v>
      </c>
      <c r="AF12" s="55"/>
    </row>
    <row r="13" spans="1:32" s="57" customFormat="1" ht="15.75" customHeight="1">
      <c r="A13" s="2" t="s">
        <v>63</v>
      </c>
      <c r="B13" s="2" t="s">
        <v>45</v>
      </c>
      <c r="C13" s="51">
        <v>29.99</v>
      </c>
      <c r="D13" s="51">
        <v>61</v>
      </c>
      <c r="E13" s="51">
        <v>0</v>
      </c>
      <c r="F13" s="51">
        <v>1897.3900000000003</v>
      </c>
      <c r="G13" s="51">
        <v>-12.030000000000001</v>
      </c>
      <c r="H13" s="51">
        <f t="shared" si="1"/>
        <v>6.340288501573213E-3</v>
      </c>
      <c r="I13" s="51">
        <f t="shared" si="2"/>
        <v>0.25417271386390078</v>
      </c>
      <c r="J13" s="51">
        <f t="shared" si="4"/>
        <v>482.26476555822683</v>
      </c>
      <c r="K13" s="51">
        <f t="shared" si="3"/>
        <v>7.9059797632496203</v>
      </c>
      <c r="L13" s="51">
        <v>257</v>
      </c>
      <c r="M13" s="51">
        <f t="shared" si="5"/>
        <v>0.23735408560311283</v>
      </c>
      <c r="N13" s="51">
        <v>240</v>
      </c>
      <c r="O13" s="51">
        <f t="shared" ref="O13:P13" si="21">D13/7</f>
        <v>8.7142857142857135</v>
      </c>
      <c r="P13" s="51">
        <f t="shared" si="21"/>
        <v>0</v>
      </c>
      <c r="Q13" s="51">
        <f t="shared" si="7"/>
        <v>27</v>
      </c>
      <c r="R13" s="55">
        <v>0</v>
      </c>
      <c r="S13" s="53" t="s">
        <v>34</v>
      </c>
      <c r="T13" s="54" t="s">
        <v>34</v>
      </c>
      <c r="U13" s="55">
        <v>3</v>
      </c>
      <c r="V13" s="55">
        <f t="shared" si="8"/>
        <v>4.9180327868852458E-2</v>
      </c>
      <c r="W13" s="55">
        <f t="shared" si="9"/>
        <v>4.0100000000000007</v>
      </c>
      <c r="X13" s="55">
        <v>0</v>
      </c>
      <c r="Y13" s="55" t="s">
        <v>35</v>
      </c>
      <c r="Z13" s="56">
        <f t="shared" si="19"/>
        <v>-0.75</v>
      </c>
      <c r="AA13" s="55">
        <v>0.21901765046296295</v>
      </c>
      <c r="AB13" s="55">
        <f t="shared" si="11"/>
        <v>-9.8557942708333321</v>
      </c>
      <c r="AC13" s="55">
        <v>-5.42</v>
      </c>
      <c r="AD13" s="55">
        <v>-12.218376068376068</v>
      </c>
      <c r="AE13" s="55">
        <v>-32.69</v>
      </c>
      <c r="AF13" s="55"/>
    </row>
    <row r="14" spans="1:32" s="57" customFormat="1" ht="15.75" customHeight="1">
      <c r="A14" s="2" t="s">
        <v>64</v>
      </c>
      <c r="B14" s="2"/>
      <c r="C14" s="51">
        <v>34.99</v>
      </c>
      <c r="D14" s="51">
        <v>58</v>
      </c>
      <c r="E14" s="51">
        <v>0</v>
      </c>
      <c r="F14" s="51">
        <v>1790.4200000000003</v>
      </c>
      <c r="G14" s="51">
        <v>-5.44</v>
      </c>
      <c r="H14" s="51">
        <f t="shared" si="1"/>
        <v>3.0383932261703957E-3</v>
      </c>
      <c r="I14" s="51">
        <f t="shared" si="2"/>
        <v>0.26098531809099529</v>
      </c>
      <c r="J14" s="51">
        <f t="shared" si="4"/>
        <v>467.27333321647984</v>
      </c>
      <c r="K14" s="51">
        <f t="shared" si="3"/>
        <v>8.0564367795944793</v>
      </c>
      <c r="L14" s="51">
        <v>216</v>
      </c>
      <c r="M14" s="51">
        <f t="shared" si="5"/>
        <v>0.26851851851851855</v>
      </c>
      <c r="N14" s="51">
        <v>636</v>
      </c>
      <c r="O14" s="51">
        <f t="shared" ref="O14:P14" si="22">D14/7</f>
        <v>8.2857142857142865</v>
      </c>
      <c r="P14" s="51">
        <f t="shared" si="22"/>
        <v>0</v>
      </c>
      <c r="Q14" s="51">
        <f t="shared" si="7"/>
        <v>76</v>
      </c>
      <c r="R14" s="55">
        <v>0</v>
      </c>
      <c r="S14" s="53" t="s">
        <v>34</v>
      </c>
      <c r="T14" s="54" t="s">
        <v>34</v>
      </c>
      <c r="U14" s="55">
        <v>0</v>
      </c>
      <c r="V14" s="55">
        <f t="shared" si="8"/>
        <v>0</v>
      </c>
      <c r="W14" s="55">
        <f t="shared" si="9"/>
        <v>0</v>
      </c>
      <c r="X14" s="55">
        <v>0</v>
      </c>
      <c r="Y14" s="55" t="s">
        <v>35</v>
      </c>
      <c r="Z14" s="56">
        <f t="shared" si="19"/>
        <v>-0.75</v>
      </c>
      <c r="AA14" s="55">
        <v>0.21901765046296295</v>
      </c>
      <c r="AB14" s="55">
        <f t="shared" si="11"/>
        <v>-26.117854817708331</v>
      </c>
      <c r="AC14" s="55">
        <v>-5.42</v>
      </c>
      <c r="AD14" s="55">
        <v>-12.218376068376068</v>
      </c>
      <c r="AE14" s="55">
        <v>0</v>
      </c>
      <c r="AF14" s="55"/>
    </row>
    <row r="15" spans="1:32" s="57" customFormat="1" ht="15.75" customHeight="1">
      <c r="A15" s="2" t="s">
        <v>65</v>
      </c>
      <c r="B15" s="2" t="s">
        <v>142</v>
      </c>
      <c r="C15" s="51">
        <v>31.99</v>
      </c>
      <c r="D15" s="51">
        <v>45</v>
      </c>
      <c r="E15" s="51">
        <v>0</v>
      </c>
      <c r="F15" s="51">
        <v>1396.5500000000002</v>
      </c>
      <c r="G15" s="51">
        <v>-7.6399999999999988</v>
      </c>
      <c r="H15" s="51">
        <f t="shared" si="1"/>
        <v>5.4706240378074528E-3</v>
      </c>
      <c r="I15" s="51">
        <f t="shared" si="2"/>
        <v>0.25768514036131984</v>
      </c>
      <c r="J15" s="51">
        <f t="shared" si="4"/>
        <v>359.87018277160126</v>
      </c>
      <c r="K15" s="51">
        <f t="shared" si="3"/>
        <v>7.9971151727022507</v>
      </c>
      <c r="L15" s="51">
        <v>207</v>
      </c>
      <c r="M15" s="51">
        <f t="shared" si="5"/>
        <v>0.21739130434782608</v>
      </c>
      <c r="N15" s="51">
        <v>629</v>
      </c>
      <c r="O15" s="51">
        <f t="shared" ref="O15:P15" si="23">D15/7</f>
        <v>6.4285714285714288</v>
      </c>
      <c r="P15" s="51">
        <f t="shared" si="23"/>
        <v>0</v>
      </c>
      <c r="Q15" s="51">
        <f t="shared" si="7"/>
        <v>97</v>
      </c>
      <c r="R15" s="55">
        <v>0</v>
      </c>
      <c r="S15" s="53" t="s">
        <v>34</v>
      </c>
      <c r="T15" s="54" t="s">
        <v>34</v>
      </c>
      <c r="U15" s="55">
        <v>1</v>
      </c>
      <c r="V15" s="55">
        <f t="shared" si="8"/>
        <v>2.2222222222222223E-2</v>
      </c>
      <c r="W15" s="55">
        <f t="shared" si="9"/>
        <v>7.6399999999999988</v>
      </c>
      <c r="X15" s="55">
        <v>0</v>
      </c>
      <c r="Y15" s="55" t="s">
        <v>35</v>
      </c>
      <c r="Z15" s="56">
        <f t="shared" si="19"/>
        <v>-0.75</v>
      </c>
      <c r="AA15" s="55">
        <v>0.21901765046296295</v>
      </c>
      <c r="AB15" s="55">
        <f t="shared" si="11"/>
        <v>-25.830394151475694</v>
      </c>
      <c r="AC15" s="55">
        <v>-5.42</v>
      </c>
      <c r="AD15" s="55">
        <v>-12.218376068376068</v>
      </c>
      <c r="AE15" s="55">
        <v>0</v>
      </c>
      <c r="AF15" s="55"/>
    </row>
    <row r="16" spans="1:32" s="57" customFormat="1" ht="15.75" customHeight="1">
      <c r="A16" s="2" t="s">
        <v>66</v>
      </c>
      <c r="B16" s="2" t="s">
        <v>143</v>
      </c>
      <c r="C16" s="51">
        <v>29.99</v>
      </c>
      <c r="D16" s="51">
        <v>29</v>
      </c>
      <c r="E16" s="51">
        <v>0</v>
      </c>
      <c r="F16" s="51">
        <v>876.71000000000015</v>
      </c>
      <c r="G16" s="51">
        <v>-1.1000000000000001</v>
      </c>
      <c r="H16" s="51">
        <f t="shared" si="1"/>
        <v>1.2546908327725245E-3</v>
      </c>
      <c r="I16" s="51">
        <f t="shared" si="2"/>
        <v>0.23841272414597492</v>
      </c>
      <c r="J16" s="51">
        <f t="shared" si="4"/>
        <v>209.0188193860177</v>
      </c>
      <c r="K16" s="51">
        <f t="shared" si="3"/>
        <v>7.2075454960695762</v>
      </c>
      <c r="L16" s="51">
        <v>190</v>
      </c>
      <c r="M16" s="51">
        <f t="shared" si="5"/>
        <v>0.15263157894736842</v>
      </c>
      <c r="N16" s="51">
        <v>574</v>
      </c>
      <c r="O16" s="51">
        <f t="shared" ref="O16:P16" si="24">D16/7</f>
        <v>4.1428571428571432</v>
      </c>
      <c r="P16" s="51">
        <f t="shared" si="24"/>
        <v>0</v>
      </c>
      <c r="Q16" s="51">
        <f t="shared" si="7"/>
        <v>138</v>
      </c>
      <c r="R16" s="55">
        <v>0</v>
      </c>
      <c r="S16" s="53" t="s">
        <v>34</v>
      </c>
      <c r="T16" s="54" t="s">
        <v>34</v>
      </c>
      <c r="U16" s="55">
        <v>0</v>
      </c>
      <c r="V16" s="55">
        <f t="shared" si="8"/>
        <v>0</v>
      </c>
      <c r="W16" s="55">
        <f t="shared" si="9"/>
        <v>0</v>
      </c>
      <c r="X16" s="55">
        <v>0</v>
      </c>
      <c r="Y16" s="55" t="s">
        <v>35</v>
      </c>
      <c r="Z16" s="56">
        <f t="shared" si="19"/>
        <v>-0.75</v>
      </c>
      <c r="AA16" s="55">
        <v>0.21901765046296295</v>
      </c>
      <c r="AB16" s="55">
        <f t="shared" si="11"/>
        <v>-23.571774631076387</v>
      </c>
      <c r="AC16" s="55">
        <v>-5.42</v>
      </c>
      <c r="AD16" s="55">
        <v>-12.218376068376068</v>
      </c>
      <c r="AE16" s="55">
        <v>0</v>
      </c>
      <c r="AF16" s="55"/>
    </row>
    <row r="17" spans="1:32" s="57" customFormat="1" ht="15.75" customHeight="1">
      <c r="A17" s="2" t="s">
        <v>67</v>
      </c>
      <c r="B17" s="2" t="s">
        <v>144</v>
      </c>
      <c r="C17" s="51">
        <v>29.99</v>
      </c>
      <c r="D17" s="51">
        <v>34</v>
      </c>
      <c r="E17" s="51">
        <v>0</v>
      </c>
      <c r="F17" s="51">
        <v>1078.6500000000001</v>
      </c>
      <c r="G17" s="51">
        <v>-2.34</v>
      </c>
      <c r="H17" s="51">
        <f t="shared" si="1"/>
        <v>2.1693783896537333E-3</v>
      </c>
      <c r="I17" s="51">
        <f t="shared" si="2"/>
        <v>0.27099026569336132</v>
      </c>
      <c r="J17" s="51">
        <f t="shared" si="4"/>
        <v>292.30365009014423</v>
      </c>
      <c r="K17" s="51">
        <f t="shared" si="3"/>
        <v>8.5971661791218885</v>
      </c>
      <c r="L17" s="51">
        <v>208</v>
      </c>
      <c r="M17" s="51">
        <f t="shared" si="5"/>
        <v>0.16346153846153846</v>
      </c>
      <c r="N17" s="51">
        <v>548</v>
      </c>
      <c r="O17" s="51">
        <f t="shared" ref="O17:P17" si="25">D17/7</f>
        <v>4.8571428571428568</v>
      </c>
      <c r="P17" s="51">
        <f t="shared" si="25"/>
        <v>0</v>
      </c>
      <c r="Q17" s="51">
        <f t="shared" si="7"/>
        <v>112</v>
      </c>
      <c r="R17" s="55">
        <v>0</v>
      </c>
      <c r="S17" s="53" t="s">
        <v>34</v>
      </c>
      <c r="T17" s="54" t="s">
        <v>34</v>
      </c>
      <c r="U17" s="55">
        <v>0</v>
      </c>
      <c r="V17" s="55">
        <f t="shared" si="8"/>
        <v>0</v>
      </c>
      <c r="W17" s="55">
        <f t="shared" si="9"/>
        <v>0</v>
      </c>
      <c r="X17" s="55">
        <v>0</v>
      </c>
      <c r="Y17" s="55" t="s">
        <v>35</v>
      </c>
      <c r="Z17" s="56">
        <f t="shared" si="19"/>
        <v>-0.75</v>
      </c>
      <c r="AA17" s="55">
        <v>0.21901765046296295</v>
      </c>
      <c r="AB17" s="55">
        <f t="shared" si="11"/>
        <v>-22.504063585069442</v>
      </c>
      <c r="AC17" s="55">
        <v>-5.42</v>
      </c>
      <c r="AD17" s="55">
        <v>-12.218376068376068</v>
      </c>
      <c r="AE17" s="55">
        <v>0</v>
      </c>
      <c r="AF17" s="55"/>
    </row>
    <row r="18" spans="1:32" s="57" customFormat="1" ht="15.75" customHeight="1">
      <c r="A18" s="2" t="s">
        <v>69</v>
      </c>
      <c r="B18" s="2" t="s">
        <v>145</v>
      </c>
      <c r="C18" s="51">
        <v>26.99</v>
      </c>
      <c r="D18" s="51">
        <v>32</v>
      </c>
      <c r="E18" s="51">
        <v>0</v>
      </c>
      <c r="F18" s="51">
        <v>980.68000000000018</v>
      </c>
      <c r="G18" s="51">
        <v>-4.12</v>
      </c>
      <c r="H18" s="51">
        <f t="shared" si="1"/>
        <v>4.2011665375045878E-3</v>
      </c>
      <c r="I18" s="51">
        <f t="shared" si="2"/>
        <v>0.25417128418916723</v>
      </c>
      <c r="J18" s="51">
        <f t="shared" si="4"/>
        <v>249.26069497863256</v>
      </c>
      <c r="K18" s="51">
        <f t="shared" si="3"/>
        <v>7.7893967180822674</v>
      </c>
      <c r="L18" s="51">
        <v>207</v>
      </c>
      <c r="M18" s="51">
        <f t="shared" si="5"/>
        <v>0.15458937198067632</v>
      </c>
      <c r="N18" s="51">
        <v>485</v>
      </c>
      <c r="O18" s="51">
        <f t="shared" ref="O18:P18" si="26">D18/7</f>
        <v>4.5714285714285712</v>
      </c>
      <c r="P18" s="51">
        <f t="shared" si="26"/>
        <v>0</v>
      </c>
      <c r="Q18" s="51">
        <f t="shared" si="7"/>
        <v>106</v>
      </c>
      <c r="R18" s="55">
        <v>0</v>
      </c>
      <c r="S18" s="53" t="s">
        <v>34</v>
      </c>
      <c r="T18" s="54" t="s">
        <v>34</v>
      </c>
      <c r="U18" s="55">
        <v>0</v>
      </c>
      <c r="V18" s="55">
        <f t="shared" si="8"/>
        <v>0</v>
      </c>
      <c r="W18" s="55">
        <f t="shared" si="9"/>
        <v>0</v>
      </c>
      <c r="X18" s="55">
        <v>0</v>
      </c>
      <c r="Y18" s="55" t="s">
        <v>35</v>
      </c>
      <c r="Z18" s="56">
        <f t="shared" si="19"/>
        <v>-0.75</v>
      </c>
      <c r="AA18" s="55">
        <v>0.21901765046296295</v>
      </c>
      <c r="AB18" s="58">
        <f t="shared" ref="AB18:AB39" si="27">IFERROR(Z18*AA18*D18*3,0)</f>
        <v>-15.769270833333334</v>
      </c>
      <c r="AC18" s="55">
        <v>-5.42</v>
      </c>
      <c r="AD18" s="55">
        <v>-12.218376068376068</v>
      </c>
      <c r="AE18" s="55">
        <v>0</v>
      </c>
      <c r="AF18" s="55"/>
    </row>
    <row r="19" spans="1:32" s="57" customFormat="1" ht="30.75" customHeight="1">
      <c r="A19" s="2" t="s">
        <v>71</v>
      </c>
      <c r="B19" s="2" t="s">
        <v>146</v>
      </c>
      <c r="C19" s="51">
        <v>29.99</v>
      </c>
      <c r="D19" s="51">
        <v>59</v>
      </c>
      <c r="E19" s="51">
        <v>0</v>
      </c>
      <c r="F19" s="51">
        <v>1633.4300000000003</v>
      </c>
      <c r="G19" s="51">
        <v>-0.08</v>
      </c>
      <c r="H19" s="51">
        <f t="shared" si="1"/>
        <v>4.8976693216115776E-5</v>
      </c>
      <c r="I19" s="51">
        <f t="shared" si="2"/>
        <v>0.19504767199503745</v>
      </c>
      <c r="J19" s="51">
        <f t="shared" si="4"/>
        <v>318.59671886685408</v>
      </c>
      <c r="K19" s="51">
        <f t="shared" si="3"/>
        <v>5.3999443875737976</v>
      </c>
      <c r="L19" s="51">
        <v>281</v>
      </c>
      <c r="M19" s="51">
        <f t="shared" si="5"/>
        <v>0.20996441281138789</v>
      </c>
      <c r="N19" s="51">
        <v>462</v>
      </c>
      <c r="O19" s="51">
        <f t="shared" ref="O19:P19" si="28">D19/7</f>
        <v>8.4285714285714288</v>
      </c>
      <c r="P19" s="51">
        <f t="shared" si="28"/>
        <v>0</v>
      </c>
      <c r="Q19" s="51">
        <f t="shared" si="7"/>
        <v>54</v>
      </c>
      <c r="R19" s="55">
        <v>0</v>
      </c>
      <c r="S19" s="53" t="s">
        <v>34</v>
      </c>
      <c r="T19" s="54" t="s">
        <v>34</v>
      </c>
      <c r="U19" s="55">
        <v>0</v>
      </c>
      <c r="V19" s="55">
        <f t="shared" si="8"/>
        <v>0</v>
      </c>
      <c r="W19" s="55">
        <f t="shared" si="9"/>
        <v>0</v>
      </c>
      <c r="X19" s="55">
        <v>0</v>
      </c>
      <c r="Y19" s="55" t="s">
        <v>35</v>
      </c>
      <c r="Z19" s="56">
        <f t="shared" si="19"/>
        <v>-0.75</v>
      </c>
      <c r="AA19" s="55">
        <v>0.21901765046296295</v>
      </c>
      <c r="AB19" s="55">
        <f t="shared" si="27"/>
        <v>-29.074593098958331</v>
      </c>
      <c r="AC19" s="55">
        <v>-5.42</v>
      </c>
      <c r="AD19" s="55">
        <v>-12.218376068376068</v>
      </c>
      <c r="AE19" s="55">
        <v>0</v>
      </c>
      <c r="AF19" s="55"/>
    </row>
    <row r="20" spans="1:32" s="57" customFormat="1" ht="15.75" customHeight="1">
      <c r="A20" s="2" t="s">
        <v>73</v>
      </c>
      <c r="B20" s="2" t="s">
        <v>147</v>
      </c>
      <c r="C20" s="51">
        <v>28.99</v>
      </c>
      <c r="D20" s="51">
        <v>56</v>
      </c>
      <c r="E20" s="51">
        <v>0</v>
      </c>
      <c r="F20" s="51">
        <v>1610.4400000000003</v>
      </c>
      <c r="G20" s="51">
        <v>-0.21000000000000002</v>
      </c>
      <c r="H20" s="51">
        <f t="shared" si="1"/>
        <v>1.3039914557512231E-4</v>
      </c>
      <c r="I20" s="51">
        <f t="shared" si="2"/>
        <v>0.21939266052296705</v>
      </c>
      <c r="J20" s="51">
        <f t="shared" si="4"/>
        <v>353.31871621260711</v>
      </c>
      <c r="K20" s="51">
        <f t="shared" si="3"/>
        <v>6.3092627895108411</v>
      </c>
      <c r="L20" s="51">
        <v>281</v>
      </c>
      <c r="M20" s="51">
        <f t="shared" si="5"/>
        <v>0.199288256227758</v>
      </c>
      <c r="N20" s="51">
        <v>368</v>
      </c>
      <c r="O20" s="51">
        <f t="shared" ref="O20:P20" si="29">D20/7</f>
        <v>8</v>
      </c>
      <c r="P20" s="51">
        <f t="shared" si="29"/>
        <v>0</v>
      </c>
      <c r="Q20" s="51">
        <f t="shared" si="7"/>
        <v>46</v>
      </c>
      <c r="R20" s="55">
        <v>360</v>
      </c>
      <c r="S20" s="53" t="s">
        <v>34</v>
      </c>
      <c r="T20" s="54" t="s">
        <v>34</v>
      </c>
      <c r="U20" s="55">
        <v>1</v>
      </c>
      <c r="V20" s="55">
        <f t="shared" si="8"/>
        <v>1.7857142857142856E-2</v>
      </c>
      <c r="W20" s="55">
        <f t="shared" si="9"/>
        <v>0.21000000000000002</v>
      </c>
      <c r="X20" s="55">
        <v>0</v>
      </c>
      <c r="Y20" s="55" t="s">
        <v>35</v>
      </c>
      <c r="Z20" s="56">
        <f t="shared" si="19"/>
        <v>-0.75</v>
      </c>
      <c r="AA20" s="55">
        <v>0.21901765046296295</v>
      </c>
      <c r="AB20" s="55">
        <f t="shared" si="27"/>
        <v>-27.596223958333333</v>
      </c>
      <c r="AC20" s="55">
        <v>-5.42</v>
      </c>
      <c r="AD20" s="55">
        <v>-12.218376068376068</v>
      </c>
      <c r="AE20" s="55">
        <v>0</v>
      </c>
      <c r="AF20" s="55"/>
    </row>
    <row r="21" spans="1:32" s="57" customFormat="1" ht="15.75" customHeight="1">
      <c r="A21" s="2" t="s">
        <v>75</v>
      </c>
      <c r="B21" s="2" t="s">
        <v>148</v>
      </c>
      <c r="C21" s="51">
        <v>29</v>
      </c>
      <c r="D21" s="51">
        <v>44</v>
      </c>
      <c r="E21" s="51">
        <v>0</v>
      </c>
      <c r="F21" s="51">
        <v>1283.6200000000001</v>
      </c>
      <c r="G21" s="51">
        <v>-0.35000000000000003</v>
      </c>
      <c r="H21" s="51">
        <f t="shared" si="1"/>
        <v>2.7266636543525342E-4</v>
      </c>
      <c r="I21" s="51">
        <f t="shared" si="2"/>
        <v>0.22822619279507933</v>
      </c>
      <c r="J21" s="51">
        <f t="shared" si="4"/>
        <v>292.95570559561975</v>
      </c>
      <c r="K21" s="51">
        <f t="shared" si="3"/>
        <v>6.6580842180822666</v>
      </c>
      <c r="L21" s="51">
        <v>298</v>
      </c>
      <c r="M21" s="51">
        <f t="shared" si="5"/>
        <v>0.1476510067114094</v>
      </c>
      <c r="N21" s="51">
        <v>343</v>
      </c>
      <c r="O21" s="51">
        <f t="shared" ref="O21:P21" si="30">D21/7</f>
        <v>6.2857142857142856</v>
      </c>
      <c r="P21" s="51">
        <f t="shared" si="30"/>
        <v>0</v>
      </c>
      <c r="Q21" s="51">
        <f t="shared" si="7"/>
        <v>54</v>
      </c>
      <c r="R21" s="55">
        <v>300</v>
      </c>
      <c r="S21" s="53">
        <v>300</v>
      </c>
      <c r="T21" s="54">
        <v>43969</v>
      </c>
      <c r="U21" s="55">
        <v>0</v>
      </c>
      <c r="V21" s="55">
        <f t="shared" si="8"/>
        <v>0</v>
      </c>
      <c r="W21" s="55">
        <f t="shared" si="9"/>
        <v>0</v>
      </c>
      <c r="X21" s="55">
        <v>0</v>
      </c>
      <c r="Y21" s="55" t="s">
        <v>35</v>
      </c>
      <c r="Z21" s="56">
        <f t="shared" si="19"/>
        <v>-0.75</v>
      </c>
      <c r="AA21" s="55">
        <v>0.21901765046296295</v>
      </c>
      <c r="AB21" s="55">
        <f t="shared" si="27"/>
        <v>-21.682747395833331</v>
      </c>
      <c r="AC21" s="55">
        <v>-5.42</v>
      </c>
      <c r="AD21" s="55">
        <v>-12.218376068376068</v>
      </c>
      <c r="AE21" s="55">
        <v>0</v>
      </c>
      <c r="AF21" s="55"/>
    </row>
    <row r="22" spans="1:32" s="57" customFormat="1" ht="15.75" customHeight="1">
      <c r="A22" s="2" t="s">
        <v>77</v>
      </c>
      <c r="B22" s="2" t="s">
        <v>149</v>
      </c>
      <c r="C22" s="51">
        <v>30.88</v>
      </c>
      <c r="D22" s="51">
        <v>75</v>
      </c>
      <c r="E22" s="51">
        <v>0</v>
      </c>
      <c r="F22" s="51">
        <v>2187.1899999999996</v>
      </c>
      <c r="G22" s="51">
        <v>-0.08</v>
      </c>
      <c r="H22" s="51">
        <f t="shared" si="1"/>
        <v>3.6576611999871987E-5</v>
      </c>
      <c r="I22" s="51">
        <f t="shared" si="2"/>
        <v>0.22823534597184955</v>
      </c>
      <c r="J22" s="51">
        <f t="shared" si="4"/>
        <v>499.19406635616951</v>
      </c>
      <c r="K22" s="51">
        <f t="shared" si="3"/>
        <v>6.6559208847489266</v>
      </c>
      <c r="L22" s="51">
        <v>239</v>
      </c>
      <c r="M22" s="51">
        <f t="shared" si="5"/>
        <v>0.31380753138075312</v>
      </c>
      <c r="N22" s="51">
        <v>266</v>
      </c>
      <c r="O22" s="51">
        <f t="shared" ref="O22:P22" si="31">D22/7</f>
        <v>10.714285714285714</v>
      </c>
      <c r="P22" s="51">
        <f t="shared" si="31"/>
        <v>0</v>
      </c>
      <c r="Q22" s="51">
        <f t="shared" si="7"/>
        <v>24</v>
      </c>
      <c r="R22" s="55">
        <v>300</v>
      </c>
      <c r="S22" s="53">
        <v>300</v>
      </c>
      <c r="T22" s="54">
        <v>43969</v>
      </c>
      <c r="U22" s="55">
        <v>0</v>
      </c>
      <c r="V22" s="55">
        <f t="shared" si="8"/>
        <v>0</v>
      </c>
      <c r="W22" s="55">
        <f t="shared" si="9"/>
        <v>0</v>
      </c>
      <c r="X22" s="55">
        <v>0</v>
      </c>
      <c r="Y22" s="55" t="s">
        <v>35</v>
      </c>
      <c r="Z22" s="56">
        <f t="shared" si="19"/>
        <v>-0.75</v>
      </c>
      <c r="AA22" s="55">
        <v>0.21901765046296295</v>
      </c>
      <c r="AB22" s="55">
        <f t="shared" si="27"/>
        <v>-36.959228515625</v>
      </c>
      <c r="AC22" s="55">
        <v>-5.42</v>
      </c>
      <c r="AD22" s="55">
        <v>-12.218376068376068</v>
      </c>
      <c r="AE22" s="55">
        <v>0</v>
      </c>
      <c r="AF22" s="55"/>
    </row>
    <row r="23" spans="1:32" s="57" customFormat="1" ht="15.75" customHeight="1">
      <c r="A23" s="2" t="s">
        <v>79</v>
      </c>
      <c r="B23" s="2" t="s">
        <v>150</v>
      </c>
      <c r="C23" s="51">
        <v>31.15</v>
      </c>
      <c r="D23" s="51">
        <v>51</v>
      </c>
      <c r="E23" s="51">
        <v>0</v>
      </c>
      <c r="F23" s="51">
        <v>1497.1599999999999</v>
      </c>
      <c r="G23" s="51">
        <v>-0.04</v>
      </c>
      <c r="H23" s="51">
        <f t="shared" si="1"/>
        <v>2.6717251329183256E-5</v>
      </c>
      <c r="I23" s="51">
        <f t="shared" si="2"/>
        <v>0.23234426856327667</v>
      </c>
      <c r="J23" s="51">
        <f t="shared" si="4"/>
        <v>347.85654512219526</v>
      </c>
      <c r="K23" s="51">
        <f t="shared" si="3"/>
        <v>6.8207165710234365</v>
      </c>
      <c r="L23" s="51">
        <v>206</v>
      </c>
      <c r="M23" s="51">
        <f t="shared" si="5"/>
        <v>0.24757281553398058</v>
      </c>
      <c r="N23" s="51">
        <v>233</v>
      </c>
      <c r="O23" s="51">
        <f t="shared" ref="O23:P23" si="32">D23/7</f>
        <v>7.2857142857142856</v>
      </c>
      <c r="P23" s="51">
        <f t="shared" si="32"/>
        <v>0</v>
      </c>
      <c r="Q23" s="51">
        <f t="shared" si="7"/>
        <v>31</v>
      </c>
      <c r="R23" s="55">
        <v>300</v>
      </c>
      <c r="S23" s="53">
        <v>300</v>
      </c>
      <c r="T23" s="54">
        <v>43969</v>
      </c>
      <c r="U23" s="55">
        <v>0</v>
      </c>
      <c r="V23" s="55">
        <f t="shared" si="8"/>
        <v>0</v>
      </c>
      <c r="W23" s="55">
        <f t="shared" si="9"/>
        <v>0</v>
      </c>
      <c r="X23" s="55">
        <v>0</v>
      </c>
      <c r="Y23" s="55" t="s">
        <v>35</v>
      </c>
      <c r="Z23" s="56">
        <f t="shared" si="19"/>
        <v>-0.75</v>
      </c>
      <c r="AA23" s="55">
        <v>0.21901765046296295</v>
      </c>
      <c r="AB23" s="55">
        <f t="shared" si="27"/>
        <v>-25.132275390625001</v>
      </c>
      <c r="AC23" s="55">
        <v>-5.42</v>
      </c>
      <c r="AD23" s="55">
        <v>-12.218376068376068</v>
      </c>
      <c r="AE23" s="55">
        <v>0</v>
      </c>
      <c r="AF23" s="55"/>
    </row>
    <row r="24" spans="1:32" s="57" customFormat="1" ht="15.75" customHeight="1">
      <c r="A24" s="2" t="s">
        <v>80</v>
      </c>
      <c r="B24" s="2" t="s">
        <v>151</v>
      </c>
      <c r="C24" s="51">
        <v>32.65</v>
      </c>
      <c r="D24" s="51">
        <v>60</v>
      </c>
      <c r="E24" s="51">
        <v>0</v>
      </c>
      <c r="F24" s="51">
        <v>1821.7900000000009</v>
      </c>
      <c r="G24" s="51">
        <v>-0.21</v>
      </c>
      <c r="H24" s="51">
        <f t="shared" si="1"/>
        <v>1.1527124421585358E-4</v>
      </c>
      <c r="I24" s="51">
        <f t="shared" si="2"/>
        <v>0.25274128910847926</v>
      </c>
      <c r="J24" s="51">
        <f t="shared" si="4"/>
        <v>460.44155308493663</v>
      </c>
      <c r="K24" s="51">
        <f t="shared" si="3"/>
        <v>7.6740258847489438</v>
      </c>
      <c r="L24" s="51">
        <v>195</v>
      </c>
      <c r="M24" s="51">
        <f t="shared" si="5"/>
        <v>0.30769230769230771</v>
      </c>
      <c r="N24" s="51">
        <v>159</v>
      </c>
      <c r="O24" s="51">
        <f t="shared" ref="O24:P24" si="33">D24/7</f>
        <v>8.5714285714285712</v>
      </c>
      <c r="P24" s="51">
        <f t="shared" si="33"/>
        <v>0</v>
      </c>
      <c r="Q24" s="51">
        <f t="shared" si="7"/>
        <v>18</v>
      </c>
      <c r="R24" s="55">
        <v>300</v>
      </c>
      <c r="S24" s="53">
        <v>300</v>
      </c>
      <c r="T24" s="54">
        <v>43969</v>
      </c>
      <c r="U24" s="55">
        <v>2</v>
      </c>
      <c r="V24" s="55">
        <f t="shared" si="8"/>
        <v>3.3333333333333333E-2</v>
      </c>
      <c r="W24" s="55">
        <f t="shared" si="9"/>
        <v>0.105</v>
      </c>
      <c r="X24" s="55">
        <v>0</v>
      </c>
      <c r="Y24" s="55" t="s">
        <v>35</v>
      </c>
      <c r="Z24" s="56">
        <f t="shared" si="19"/>
        <v>-0.75</v>
      </c>
      <c r="AA24" s="55">
        <v>0.21901765046296295</v>
      </c>
      <c r="AB24" s="55">
        <f t="shared" si="27"/>
        <v>-29.567382812499996</v>
      </c>
      <c r="AC24" s="55">
        <v>-5.42</v>
      </c>
      <c r="AD24" s="55">
        <v>-12.218376068376068</v>
      </c>
      <c r="AE24" s="55">
        <v>0</v>
      </c>
      <c r="AF24" s="55"/>
    </row>
    <row r="25" spans="1:32" s="57" customFormat="1" ht="15.75" customHeight="1">
      <c r="A25" s="2" t="s">
        <v>81</v>
      </c>
      <c r="B25" s="2" t="s">
        <v>152</v>
      </c>
      <c r="C25" s="51"/>
      <c r="D25" s="51">
        <v>42</v>
      </c>
      <c r="E25" s="51">
        <v>0</v>
      </c>
      <c r="F25" s="51">
        <v>1343.4500000000003</v>
      </c>
      <c r="G25" s="51">
        <v>-0.12000000000000001</v>
      </c>
      <c r="H25" s="51">
        <f t="shared" si="1"/>
        <v>8.9322267296884872E-5</v>
      </c>
      <c r="I25" s="51">
        <f t="shared" si="2"/>
        <v>0.28307978500089714</v>
      </c>
      <c r="J25" s="51">
        <f t="shared" si="4"/>
        <v>380.30353715945535</v>
      </c>
      <c r="K25" s="51">
        <f t="shared" si="3"/>
        <v>9.0548461228441752</v>
      </c>
      <c r="L25" s="51">
        <v>130</v>
      </c>
      <c r="M25" s="51">
        <f t="shared" si="5"/>
        <v>0.32307692307692309</v>
      </c>
      <c r="N25" s="51">
        <v>442</v>
      </c>
      <c r="O25" s="51">
        <f t="shared" ref="O25:P25" si="34">D25/7</f>
        <v>6</v>
      </c>
      <c r="P25" s="51">
        <f t="shared" si="34"/>
        <v>0</v>
      </c>
      <c r="Q25" s="51">
        <f t="shared" si="7"/>
        <v>73</v>
      </c>
      <c r="R25" s="55">
        <v>0</v>
      </c>
      <c r="S25" s="53" t="s">
        <v>34</v>
      </c>
      <c r="T25" s="54" t="s">
        <v>34</v>
      </c>
      <c r="U25" s="55">
        <v>0</v>
      </c>
      <c r="V25" s="55">
        <f t="shared" si="8"/>
        <v>0</v>
      </c>
      <c r="W25" s="55">
        <f t="shared" si="9"/>
        <v>0</v>
      </c>
      <c r="X25" s="55">
        <v>0</v>
      </c>
      <c r="Y25" s="55" t="s">
        <v>35</v>
      </c>
      <c r="Z25" s="56">
        <f t="shared" si="19"/>
        <v>-0.75</v>
      </c>
      <c r="AA25" s="55">
        <v>0.21901765046296295</v>
      </c>
      <c r="AB25" s="55">
        <f t="shared" si="27"/>
        <v>-20.697167968750001</v>
      </c>
      <c r="AC25" s="55">
        <v>-5.42</v>
      </c>
      <c r="AD25" s="55">
        <v>-12.218376068376068</v>
      </c>
      <c r="AE25" s="55">
        <v>0</v>
      </c>
      <c r="AF25" s="55"/>
    </row>
    <row r="26" spans="1:32" s="57" customFormat="1" ht="15.75" customHeight="1">
      <c r="A26" s="2" t="s">
        <v>83</v>
      </c>
      <c r="B26" s="2" t="s">
        <v>153</v>
      </c>
      <c r="C26" s="51">
        <f t="shared" ref="C26:C39" si="35">IFERROR(F26/D26," - ")</f>
        <v>31.316595744680857</v>
      </c>
      <c r="D26" s="51">
        <v>47</v>
      </c>
      <c r="E26" s="51">
        <v>0</v>
      </c>
      <c r="F26" s="51">
        <v>1471.8800000000003</v>
      </c>
      <c r="G26" s="51">
        <v>-9.4200000000000017</v>
      </c>
      <c r="H26" s="51">
        <f t="shared" si="1"/>
        <v>6.3999782590972087E-3</v>
      </c>
      <c r="I26" s="51">
        <f t="shared" si="2"/>
        <v>0.2646365248864489</v>
      </c>
      <c r="J26" s="51">
        <f t="shared" si="4"/>
        <v>389.51320824986652</v>
      </c>
      <c r="K26" s="51">
        <f t="shared" si="3"/>
        <v>8.2875150691460959</v>
      </c>
      <c r="L26" s="51">
        <v>165</v>
      </c>
      <c r="M26" s="51">
        <f t="shared" si="5"/>
        <v>0.28484848484848485</v>
      </c>
      <c r="N26" s="51">
        <v>362</v>
      </c>
      <c r="O26" s="51">
        <f t="shared" ref="O26:P26" si="36">D26/7</f>
        <v>6.7142857142857144</v>
      </c>
      <c r="P26" s="51">
        <f t="shared" si="36"/>
        <v>0</v>
      </c>
      <c r="Q26" s="51">
        <f t="shared" si="7"/>
        <v>53</v>
      </c>
      <c r="R26" s="55">
        <v>384</v>
      </c>
      <c r="S26" s="53">
        <v>384</v>
      </c>
      <c r="T26" s="54">
        <v>44008</v>
      </c>
      <c r="U26" s="55">
        <v>3</v>
      </c>
      <c r="V26" s="55">
        <f t="shared" si="8"/>
        <v>6.3829787234042548E-2</v>
      </c>
      <c r="W26" s="55">
        <f t="shared" si="9"/>
        <v>3.1400000000000006</v>
      </c>
      <c r="X26" s="55">
        <v>0</v>
      </c>
      <c r="Y26" s="55" t="s">
        <v>35</v>
      </c>
      <c r="Z26" s="56">
        <f t="shared" si="19"/>
        <v>-0.75</v>
      </c>
      <c r="AA26" s="55">
        <v>0.21901765046296295</v>
      </c>
      <c r="AB26" s="55">
        <f t="shared" si="27"/>
        <v>-23.16111653645833</v>
      </c>
      <c r="AC26" s="55">
        <v>-5.42</v>
      </c>
      <c r="AD26" s="55">
        <v>-12.218376068376068</v>
      </c>
      <c r="AE26" s="55">
        <v>0</v>
      </c>
      <c r="AF26" s="55"/>
    </row>
    <row r="27" spans="1:32" s="57" customFormat="1" ht="15.75" customHeight="1">
      <c r="A27" s="2" t="s">
        <v>84</v>
      </c>
      <c r="B27" s="2" t="s">
        <v>154</v>
      </c>
      <c r="C27" s="51">
        <f t="shared" si="35"/>
        <v>32.9093023255814</v>
      </c>
      <c r="D27" s="51">
        <v>43</v>
      </c>
      <c r="E27" s="51">
        <v>0</v>
      </c>
      <c r="F27" s="51">
        <v>1415.1000000000004</v>
      </c>
      <c r="G27" s="51">
        <v>-24.4</v>
      </c>
      <c r="H27" s="51">
        <f t="shared" si="1"/>
        <v>1.7242597696275876E-2</v>
      </c>
      <c r="I27" s="51">
        <f t="shared" si="2"/>
        <v>0.28181391518446575</v>
      </c>
      <c r="J27" s="51">
        <f t="shared" si="4"/>
        <v>398.79487137753756</v>
      </c>
      <c r="K27" s="51">
        <f t="shared" si="3"/>
        <v>9.2742993343613378</v>
      </c>
      <c r="L27" s="51">
        <v>188</v>
      </c>
      <c r="M27" s="51">
        <f t="shared" si="5"/>
        <v>0.22872340425531915</v>
      </c>
      <c r="N27" s="51">
        <v>338</v>
      </c>
      <c r="O27" s="51">
        <f t="shared" ref="O27:P27" si="37">D27/7</f>
        <v>6.1428571428571432</v>
      </c>
      <c r="P27" s="51">
        <f t="shared" si="37"/>
        <v>0</v>
      </c>
      <c r="Q27" s="51">
        <f t="shared" si="7"/>
        <v>55</v>
      </c>
      <c r="R27" s="55">
        <v>384</v>
      </c>
      <c r="S27" s="53">
        <v>384</v>
      </c>
      <c r="T27" s="54">
        <v>44013</v>
      </c>
      <c r="U27" s="55">
        <v>3</v>
      </c>
      <c r="V27" s="55">
        <f t="shared" si="8"/>
        <v>6.9767441860465115E-2</v>
      </c>
      <c r="W27" s="55">
        <f t="shared" si="9"/>
        <v>6.1</v>
      </c>
      <c r="X27" s="55">
        <v>1</v>
      </c>
      <c r="Y27" s="55" t="s">
        <v>35</v>
      </c>
      <c r="Z27" s="56">
        <f t="shared" si="19"/>
        <v>-0.75</v>
      </c>
      <c r="AA27" s="55">
        <v>0.21901765046296295</v>
      </c>
      <c r="AB27" s="55">
        <f t="shared" si="27"/>
        <v>-21.189957682291666</v>
      </c>
      <c r="AC27" s="55">
        <v>-5.42</v>
      </c>
      <c r="AD27" s="55">
        <v>-12.218376068376068</v>
      </c>
      <c r="AE27" s="55">
        <v>0</v>
      </c>
      <c r="AF27" s="55"/>
    </row>
    <row r="28" spans="1:32" s="57" customFormat="1" ht="15.75" customHeight="1">
      <c r="A28" s="2" t="s">
        <v>86</v>
      </c>
      <c r="B28" s="2" t="s">
        <v>155</v>
      </c>
      <c r="C28" s="51">
        <f t="shared" si="35"/>
        <v>32.021052631578947</v>
      </c>
      <c r="D28" s="51">
        <v>38</v>
      </c>
      <c r="E28" s="51">
        <v>0</v>
      </c>
      <c r="F28" s="51">
        <v>1216.8</v>
      </c>
      <c r="G28" s="51">
        <v>-12.180000000000001</v>
      </c>
      <c r="H28" s="51">
        <f t="shared" si="1"/>
        <v>1.0009861932938858E-2</v>
      </c>
      <c r="I28" s="51">
        <f t="shared" si="2"/>
        <v>0.2737637247593081</v>
      </c>
      <c r="J28" s="51">
        <f t="shared" si="4"/>
        <v>333.11570028712606</v>
      </c>
      <c r="K28" s="51">
        <f t="shared" si="3"/>
        <v>8.7662026391348959</v>
      </c>
      <c r="L28" s="51">
        <v>168</v>
      </c>
      <c r="M28" s="51">
        <f t="shared" si="5"/>
        <v>0.22619047619047619</v>
      </c>
      <c r="N28" s="51">
        <v>292</v>
      </c>
      <c r="O28" s="51">
        <f t="shared" ref="O28:P28" si="38">D28/7</f>
        <v>5.4285714285714288</v>
      </c>
      <c r="P28" s="51">
        <f t="shared" si="38"/>
        <v>0</v>
      </c>
      <c r="Q28" s="51">
        <f t="shared" si="7"/>
        <v>53</v>
      </c>
      <c r="R28" s="55">
        <v>384</v>
      </c>
      <c r="S28" s="53">
        <v>384</v>
      </c>
      <c r="T28" s="54">
        <v>44013</v>
      </c>
      <c r="U28" s="55">
        <v>0</v>
      </c>
      <c r="V28" s="55">
        <f t="shared" si="8"/>
        <v>0</v>
      </c>
      <c r="W28" s="55">
        <f t="shared" si="9"/>
        <v>12.180000000000001</v>
      </c>
      <c r="X28" s="55">
        <v>1</v>
      </c>
      <c r="Y28" s="55" t="s">
        <v>35</v>
      </c>
      <c r="Z28" s="56">
        <f t="shared" si="19"/>
        <v>-0.75</v>
      </c>
      <c r="AA28" s="55">
        <v>0.21901765046296295</v>
      </c>
      <c r="AB28" s="55">
        <f t="shared" si="27"/>
        <v>-18.726009114583334</v>
      </c>
      <c r="AC28" s="55">
        <v>-5.42</v>
      </c>
      <c r="AD28" s="55">
        <v>-12.218376068376068</v>
      </c>
      <c r="AE28" s="55">
        <v>0</v>
      </c>
      <c r="AF28" s="55"/>
    </row>
    <row r="29" spans="1:32" s="57" customFormat="1" ht="15.75" customHeight="1">
      <c r="A29" s="2" t="s">
        <v>87</v>
      </c>
      <c r="B29" s="2" t="s">
        <v>156</v>
      </c>
      <c r="C29" s="51">
        <f t="shared" si="35"/>
        <v>30.926190476190477</v>
      </c>
      <c r="D29" s="51">
        <v>42</v>
      </c>
      <c r="E29" s="51">
        <v>0</v>
      </c>
      <c r="F29" s="51">
        <v>1298.9000000000001</v>
      </c>
      <c r="G29" s="51">
        <v>-0.12000000000000001</v>
      </c>
      <c r="H29" s="51">
        <f t="shared" si="1"/>
        <v>9.2385864962660718E-5</v>
      </c>
      <c r="I29" s="51">
        <f t="shared" si="2"/>
        <v>0.26363541239468419</v>
      </c>
      <c r="J29" s="51">
        <f t="shared" si="4"/>
        <v>342.43603715945528</v>
      </c>
      <c r="K29" s="51">
        <f t="shared" si="3"/>
        <v>8.1532389799870302</v>
      </c>
      <c r="L29" s="51">
        <v>173</v>
      </c>
      <c r="M29" s="51">
        <f t="shared" si="5"/>
        <v>0.24277456647398843</v>
      </c>
      <c r="N29" s="51">
        <v>260</v>
      </c>
      <c r="O29" s="51">
        <f t="shared" ref="O29:P29" si="39">D29/7</f>
        <v>6</v>
      </c>
      <c r="P29" s="51">
        <f t="shared" si="39"/>
        <v>0</v>
      </c>
      <c r="Q29" s="51">
        <f t="shared" si="7"/>
        <v>43</v>
      </c>
      <c r="R29" s="55">
        <v>384</v>
      </c>
      <c r="S29" s="53">
        <v>384</v>
      </c>
      <c r="T29" s="54">
        <v>44013</v>
      </c>
      <c r="U29" s="55">
        <v>0</v>
      </c>
      <c r="V29" s="55">
        <f t="shared" si="8"/>
        <v>0</v>
      </c>
      <c r="W29" s="55">
        <f t="shared" si="9"/>
        <v>0</v>
      </c>
      <c r="X29" s="55">
        <v>0</v>
      </c>
      <c r="Y29" s="55" t="s">
        <v>35</v>
      </c>
      <c r="Z29" s="56">
        <f t="shared" si="19"/>
        <v>-0.75</v>
      </c>
      <c r="AA29" s="55">
        <v>0.21901765046296295</v>
      </c>
      <c r="AB29" s="55">
        <f t="shared" si="27"/>
        <v>-20.697167968750001</v>
      </c>
      <c r="AC29" s="55">
        <v>-5.42</v>
      </c>
      <c r="AD29" s="55">
        <v>-12.218376068376068</v>
      </c>
      <c r="AE29" s="55">
        <v>0</v>
      </c>
      <c r="AF29" s="55"/>
    </row>
    <row r="30" spans="1:32" s="57" customFormat="1" ht="15.75" customHeight="1">
      <c r="A30" s="2" t="s">
        <v>89</v>
      </c>
      <c r="B30" s="2" t="s">
        <v>157</v>
      </c>
      <c r="C30" s="51">
        <f t="shared" si="35"/>
        <v>28.94520000000001</v>
      </c>
      <c r="D30" s="51">
        <v>50</v>
      </c>
      <c r="E30" s="51">
        <v>0</v>
      </c>
      <c r="F30" s="51">
        <v>1447.2600000000004</v>
      </c>
      <c r="G30" s="51">
        <v>-0.21</v>
      </c>
      <c r="H30" s="51">
        <f t="shared" si="1"/>
        <v>1.4510177853322825E-4</v>
      </c>
      <c r="I30" s="51">
        <f t="shared" si="2"/>
        <v>0.22345861206978246</v>
      </c>
      <c r="J30" s="51">
        <f t="shared" si="4"/>
        <v>323.40271090411346</v>
      </c>
      <c r="K30" s="51">
        <f t="shared" si="3"/>
        <v>6.4680542180822691</v>
      </c>
      <c r="L30" s="51">
        <v>164</v>
      </c>
      <c r="M30" s="51">
        <f t="shared" si="5"/>
        <v>0.3048780487804878</v>
      </c>
      <c r="N30" s="51">
        <v>575</v>
      </c>
      <c r="O30" s="51">
        <f t="shared" ref="O30:P30" si="40">D30/7</f>
        <v>7.1428571428571432</v>
      </c>
      <c r="P30" s="51">
        <f t="shared" si="40"/>
        <v>0</v>
      </c>
      <c r="Q30" s="51">
        <f t="shared" si="7"/>
        <v>80</v>
      </c>
      <c r="R30" s="55">
        <v>384</v>
      </c>
      <c r="S30" s="53">
        <v>384</v>
      </c>
      <c r="T30" s="54">
        <v>44013</v>
      </c>
      <c r="U30" s="55">
        <v>0</v>
      </c>
      <c r="V30" s="55">
        <f t="shared" si="8"/>
        <v>0</v>
      </c>
      <c r="W30" s="55">
        <f t="shared" si="9"/>
        <v>0</v>
      </c>
      <c r="X30" s="55">
        <v>0</v>
      </c>
      <c r="Y30" s="55" t="s">
        <v>35</v>
      </c>
      <c r="Z30" s="56">
        <f t="shared" si="19"/>
        <v>-0.75</v>
      </c>
      <c r="AA30" s="55">
        <v>0.21901765046296295</v>
      </c>
      <c r="AB30" s="55">
        <f t="shared" si="27"/>
        <v>-24.639485677083332</v>
      </c>
      <c r="AC30" s="55">
        <v>-5.42</v>
      </c>
      <c r="AD30" s="55">
        <v>-12.218376068376068</v>
      </c>
      <c r="AE30" s="55">
        <v>0</v>
      </c>
      <c r="AF30" s="55"/>
    </row>
    <row r="31" spans="1:32" s="57" customFormat="1" ht="15.75" customHeight="1">
      <c r="A31" s="2" t="s">
        <v>90</v>
      </c>
      <c r="B31" s="2" t="s">
        <v>158</v>
      </c>
      <c r="C31" s="51">
        <f t="shared" si="35"/>
        <v>26.852045454545472</v>
      </c>
      <c r="D31" s="51">
        <v>44</v>
      </c>
      <c r="E31" s="51">
        <v>0</v>
      </c>
      <c r="F31" s="51">
        <v>1181.4900000000007</v>
      </c>
      <c r="G31" s="51">
        <v>-0.1</v>
      </c>
      <c r="H31" s="51">
        <f t="shared" si="1"/>
        <v>8.463888818356478E-5</v>
      </c>
      <c r="I31" s="51">
        <f t="shared" si="2"/>
        <v>0.17469060728031557</v>
      </c>
      <c r="J31" s="51">
        <f t="shared" si="4"/>
        <v>206.39520559562015</v>
      </c>
      <c r="K31" s="51">
        <f t="shared" si="3"/>
        <v>4.6908001271731852</v>
      </c>
      <c r="L31" s="51">
        <v>186</v>
      </c>
      <c r="M31" s="51">
        <f t="shared" si="5"/>
        <v>0.23655913978494625</v>
      </c>
      <c r="N31" s="51">
        <v>551</v>
      </c>
      <c r="O31" s="51">
        <f t="shared" ref="O31:P31" si="41">D31/7</f>
        <v>6.2857142857142856</v>
      </c>
      <c r="P31" s="51">
        <f t="shared" si="41"/>
        <v>0</v>
      </c>
      <c r="Q31" s="51">
        <f t="shared" si="7"/>
        <v>87</v>
      </c>
      <c r="R31" s="55">
        <v>0</v>
      </c>
      <c r="S31" s="53" t="s">
        <v>34</v>
      </c>
      <c r="T31" s="54" t="s">
        <v>34</v>
      </c>
      <c r="U31" s="55">
        <v>1</v>
      </c>
      <c r="V31" s="55">
        <f t="shared" si="8"/>
        <v>2.2727272727272728E-2</v>
      </c>
      <c r="W31" s="55">
        <f t="shared" si="9"/>
        <v>0.1</v>
      </c>
      <c r="X31" s="55">
        <v>0</v>
      </c>
      <c r="Y31" s="55" t="s">
        <v>35</v>
      </c>
      <c r="Z31" s="56">
        <f t="shared" si="19"/>
        <v>-0.75</v>
      </c>
      <c r="AA31" s="55">
        <v>0.21901765046296295</v>
      </c>
      <c r="AB31" s="55">
        <f t="shared" si="27"/>
        <v>-21.682747395833331</v>
      </c>
      <c r="AC31" s="55">
        <v>-5.42</v>
      </c>
      <c r="AD31" s="55">
        <v>-12.218376068376068</v>
      </c>
      <c r="AE31" s="55">
        <v>0</v>
      </c>
      <c r="AF31" s="55"/>
    </row>
    <row r="32" spans="1:32" s="57" customFormat="1" ht="15.75" customHeight="1">
      <c r="A32" s="2" t="s">
        <v>92</v>
      </c>
      <c r="B32" s="2" t="s">
        <v>159</v>
      </c>
      <c r="C32" s="51">
        <f t="shared" si="35"/>
        <v>26.714285714285719</v>
      </c>
      <c r="D32" s="51">
        <v>42</v>
      </c>
      <c r="E32" s="51">
        <v>0</v>
      </c>
      <c r="F32" s="51">
        <v>1122.0000000000002</v>
      </c>
      <c r="G32" s="51">
        <v>-9.0000000000000011E-2</v>
      </c>
      <c r="H32" s="51">
        <f t="shared" si="1"/>
        <v>8.0213903743315507E-5</v>
      </c>
      <c r="I32" s="51">
        <f t="shared" si="2"/>
        <v>0.17121304559666242</v>
      </c>
      <c r="J32" s="51">
        <f t="shared" si="4"/>
        <v>192.10103715945527</v>
      </c>
      <c r="K32" s="51">
        <f t="shared" si="3"/>
        <v>4.5738342180822684</v>
      </c>
      <c r="L32" s="51">
        <v>157</v>
      </c>
      <c r="M32" s="51">
        <f t="shared" si="5"/>
        <v>0.26751592356687898</v>
      </c>
      <c r="N32" s="51">
        <v>427</v>
      </c>
      <c r="O32" s="51">
        <f t="shared" ref="O32:P32" si="42">D32/7</f>
        <v>6</v>
      </c>
      <c r="P32" s="51">
        <f t="shared" si="42"/>
        <v>0</v>
      </c>
      <c r="Q32" s="51">
        <f t="shared" si="7"/>
        <v>71</v>
      </c>
      <c r="R32" s="55">
        <v>0</v>
      </c>
      <c r="S32" s="53" t="s">
        <v>34</v>
      </c>
      <c r="T32" s="54" t="s">
        <v>34</v>
      </c>
      <c r="U32" s="55">
        <v>0</v>
      </c>
      <c r="V32" s="55">
        <f t="shared" si="8"/>
        <v>0</v>
      </c>
      <c r="W32" s="55">
        <f t="shared" si="9"/>
        <v>0</v>
      </c>
      <c r="X32" s="55">
        <v>0</v>
      </c>
      <c r="Y32" s="55" t="s">
        <v>35</v>
      </c>
      <c r="Z32" s="56">
        <f t="shared" si="19"/>
        <v>-0.75</v>
      </c>
      <c r="AA32" s="55">
        <v>0.21901765046296295</v>
      </c>
      <c r="AB32" s="55">
        <f t="shared" si="27"/>
        <v>-20.697167968750001</v>
      </c>
      <c r="AC32" s="55">
        <v>-5.42</v>
      </c>
      <c r="AD32" s="55">
        <v>-12.218376068376068</v>
      </c>
      <c r="AE32" s="55">
        <v>0</v>
      </c>
      <c r="AF32" s="52">
        <v>1.64028776978417</v>
      </c>
    </row>
    <row r="33" spans="1:32" s="57" customFormat="1" ht="15.75" customHeight="1">
      <c r="A33" s="2" t="s">
        <v>94</v>
      </c>
      <c r="B33" s="2" t="s">
        <v>160</v>
      </c>
      <c r="C33" s="51">
        <f t="shared" si="35"/>
        <v>28.862340425531919</v>
      </c>
      <c r="D33" s="51">
        <v>47</v>
      </c>
      <c r="E33" s="51">
        <v>0</v>
      </c>
      <c r="F33" s="51">
        <v>1356.5300000000002</v>
      </c>
      <c r="G33" s="51">
        <v>-0.14000000000000001</v>
      </c>
      <c r="H33" s="51">
        <f t="shared" si="1"/>
        <v>1.0320449971618762E-4</v>
      </c>
      <c r="I33" s="51">
        <f t="shared" si="2"/>
        <v>0.2217022168694141</v>
      </c>
      <c r="J33" s="51">
        <f t="shared" si="4"/>
        <v>300.74570824986637</v>
      </c>
      <c r="K33" s="51">
        <f t="shared" si="3"/>
        <v>6.3988448563801352</v>
      </c>
      <c r="L33" s="51">
        <v>166</v>
      </c>
      <c r="M33" s="51">
        <f t="shared" si="5"/>
        <v>0.28313253012048195</v>
      </c>
      <c r="N33" s="51">
        <v>397</v>
      </c>
      <c r="O33" s="51">
        <f t="shared" ref="O33:P33" si="43">D33/7</f>
        <v>6.7142857142857144</v>
      </c>
      <c r="P33" s="51">
        <f t="shared" si="43"/>
        <v>0</v>
      </c>
      <c r="Q33" s="51">
        <f t="shared" si="7"/>
        <v>59</v>
      </c>
      <c r="R33" s="55">
        <v>0</v>
      </c>
      <c r="S33" s="53" t="s">
        <v>34</v>
      </c>
      <c r="T33" s="54" t="s">
        <v>34</v>
      </c>
      <c r="U33" s="55">
        <v>0</v>
      </c>
      <c r="V33" s="55">
        <f t="shared" si="8"/>
        <v>0</v>
      </c>
      <c r="W33" s="55">
        <f t="shared" si="9"/>
        <v>0</v>
      </c>
      <c r="X33" s="55">
        <v>0</v>
      </c>
      <c r="Y33" s="55" t="s">
        <v>35</v>
      </c>
      <c r="Z33" s="56">
        <f t="shared" si="19"/>
        <v>-0.75</v>
      </c>
      <c r="AA33" s="55">
        <v>0.21901765046296295</v>
      </c>
      <c r="AB33" s="55">
        <f t="shared" si="27"/>
        <v>-23.16111653645833</v>
      </c>
      <c r="AC33" s="55">
        <v>-5.42</v>
      </c>
      <c r="AD33" s="55">
        <v>-12.218376068376068</v>
      </c>
      <c r="AE33" s="55">
        <v>0</v>
      </c>
      <c r="AF33" s="55">
        <v>1.73863636363636</v>
      </c>
    </row>
    <row r="34" spans="1:32" s="57" customFormat="1" ht="15.75" customHeight="1">
      <c r="A34" s="2" t="s">
        <v>95</v>
      </c>
      <c r="B34" s="2" t="s">
        <v>45</v>
      </c>
      <c r="C34" s="51">
        <f t="shared" si="35"/>
        <v>28.990000000000006</v>
      </c>
      <c r="D34" s="51">
        <v>43</v>
      </c>
      <c r="E34" s="51">
        <v>0</v>
      </c>
      <c r="F34" s="51">
        <v>1246.5700000000002</v>
      </c>
      <c r="G34" s="51">
        <v>-0.29000000000000004</v>
      </c>
      <c r="H34" s="51">
        <f t="shared" si="1"/>
        <v>2.3263835965890402E-4</v>
      </c>
      <c r="I34" s="51">
        <f t="shared" si="2"/>
        <v>0.2243390835472838</v>
      </c>
      <c r="J34" s="51">
        <f t="shared" si="4"/>
        <v>279.65437137753759</v>
      </c>
      <c r="K34" s="51">
        <f t="shared" si="3"/>
        <v>6.503590032035758</v>
      </c>
      <c r="L34" s="51">
        <v>155</v>
      </c>
      <c r="M34" s="51">
        <f t="shared" si="5"/>
        <v>0.27741935483870966</v>
      </c>
      <c r="N34" s="51">
        <v>342</v>
      </c>
      <c r="O34" s="51">
        <f t="shared" ref="O34:P34" si="44">D34/7</f>
        <v>6.1428571428571432</v>
      </c>
      <c r="P34" s="51">
        <f t="shared" si="44"/>
        <v>0</v>
      </c>
      <c r="Q34" s="51">
        <f t="shared" si="7"/>
        <v>55</v>
      </c>
      <c r="R34" s="55">
        <v>0</v>
      </c>
      <c r="S34" s="53" t="s">
        <v>34</v>
      </c>
      <c r="T34" s="54" t="s">
        <v>34</v>
      </c>
      <c r="U34" s="55">
        <v>1</v>
      </c>
      <c r="V34" s="55">
        <f t="shared" si="8"/>
        <v>2.3255813953488372E-2</v>
      </c>
      <c r="W34" s="55">
        <f t="shared" si="9"/>
        <v>0.29000000000000004</v>
      </c>
      <c r="X34" s="55">
        <v>0</v>
      </c>
      <c r="Y34" s="55" t="s">
        <v>35</v>
      </c>
      <c r="Z34" s="56">
        <f t="shared" si="19"/>
        <v>-0.75</v>
      </c>
      <c r="AA34" s="55">
        <v>0.21901765046296295</v>
      </c>
      <c r="AB34" s="55">
        <f t="shared" si="27"/>
        <v>-21.189957682291666</v>
      </c>
      <c r="AC34" s="55">
        <v>-5.42</v>
      </c>
      <c r="AD34" s="55">
        <v>-12.218376068376068</v>
      </c>
      <c r="AE34" s="55">
        <v>0</v>
      </c>
      <c r="AF34" s="55">
        <v>1.6932862190812701</v>
      </c>
    </row>
    <row r="35" spans="1:32" s="57" customFormat="1" ht="15.75" customHeight="1">
      <c r="A35" s="2" t="s">
        <v>96</v>
      </c>
      <c r="B35" s="2" t="s">
        <v>161</v>
      </c>
      <c r="C35" s="51">
        <f t="shared" si="35"/>
        <v>28.990000000000006</v>
      </c>
      <c r="D35" s="51">
        <v>47</v>
      </c>
      <c r="E35" s="51">
        <v>0</v>
      </c>
      <c r="F35" s="51">
        <v>1362.5300000000002</v>
      </c>
      <c r="G35" s="51">
        <v>-0.06</v>
      </c>
      <c r="H35" s="51">
        <f t="shared" si="1"/>
        <v>4.4035727653703027E-5</v>
      </c>
      <c r="I35" s="51">
        <f t="shared" si="2"/>
        <v>0.22452768617928898</v>
      </c>
      <c r="J35" s="51">
        <f t="shared" si="4"/>
        <v>305.92570824986666</v>
      </c>
      <c r="K35" s="51">
        <f t="shared" si="3"/>
        <v>6.5090576223375889</v>
      </c>
      <c r="L35" s="51">
        <v>159</v>
      </c>
      <c r="M35" s="51">
        <f t="shared" si="5"/>
        <v>0.29559748427672955</v>
      </c>
      <c r="N35" s="51">
        <v>310</v>
      </c>
      <c r="O35" s="51">
        <f t="shared" ref="O35:P35" si="45">D35/7</f>
        <v>6.7142857142857144</v>
      </c>
      <c r="P35" s="51">
        <f t="shared" si="45"/>
        <v>0</v>
      </c>
      <c r="Q35" s="51">
        <f t="shared" si="7"/>
        <v>46</v>
      </c>
      <c r="R35" s="55">
        <v>0</v>
      </c>
      <c r="S35" s="53" t="s">
        <v>34</v>
      </c>
      <c r="T35" s="54" t="s">
        <v>34</v>
      </c>
      <c r="U35" s="55">
        <v>0</v>
      </c>
      <c r="V35" s="55">
        <f t="shared" si="8"/>
        <v>0</v>
      </c>
      <c r="W35" s="55">
        <f t="shared" si="9"/>
        <v>0</v>
      </c>
      <c r="X35" s="55">
        <v>0</v>
      </c>
      <c r="Y35" s="55" t="s">
        <v>35</v>
      </c>
      <c r="Z35" s="56">
        <f t="shared" si="19"/>
        <v>-0.75</v>
      </c>
      <c r="AA35" s="55">
        <v>0.21901765046296295</v>
      </c>
      <c r="AB35" s="55">
        <f t="shared" si="27"/>
        <v>-23.16111653645833</v>
      </c>
      <c r="AC35" s="55">
        <v>-5.42</v>
      </c>
      <c r="AD35" s="55">
        <v>-12.218376068376068</v>
      </c>
      <c r="AE35" s="55">
        <v>0</v>
      </c>
      <c r="AF35" s="55">
        <v>1.42925659472422</v>
      </c>
    </row>
    <row r="36" spans="1:32" s="57" customFormat="1" ht="15.75" customHeight="1">
      <c r="A36" s="2" t="s">
        <v>98</v>
      </c>
      <c r="B36" s="2" t="s">
        <v>162</v>
      </c>
      <c r="C36" s="51">
        <f t="shared" si="35"/>
        <v>28.990000000000006</v>
      </c>
      <c r="D36" s="51">
        <v>35</v>
      </c>
      <c r="E36" s="51">
        <v>0</v>
      </c>
      <c r="F36" s="51">
        <v>1014.6500000000002</v>
      </c>
      <c r="G36" s="51">
        <v>-0.02</v>
      </c>
      <c r="H36" s="51">
        <f t="shared" si="1"/>
        <v>1.9711230473562308E-5</v>
      </c>
      <c r="I36" s="51">
        <f t="shared" si="2"/>
        <v>0.22455201067646904</v>
      </c>
      <c r="J36" s="51">
        <f t="shared" si="4"/>
        <v>227.84169763287937</v>
      </c>
      <c r="K36" s="51">
        <f t="shared" si="3"/>
        <v>6.5097627895108392</v>
      </c>
      <c r="L36" s="51">
        <v>167</v>
      </c>
      <c r="M36" s="51">
        <f t="shared" si="5"/>
        <v>0.20958083832335328</v>
      </c>
      <c r="N36" s="51">
        <v>270</v>
      </c>
      <c r="O36" s="51">
        <f t="shared" ref="O36:P36" si="46">D36/7</f>
        <v>5</v>
      </c>
      <c r="P36" s="51">
        <f t="shared" si="46"/>
        <v>0</v>
      </c>
      <c r="Q36" s="51">
        <f t="shared" si="7"/>
        <v>54</v>
      </c>
      <c r="R36" s="55">
        <v>0</v>
      </c>
      <c r="S36" s="53"/>
      <c r="T36" s="54" t="s">
        <v>34</v>
      </c>
      <c r="U36" s="55"/>
      <c r="V36" s="55">
        <f t="shared" si="8"/>
        <v>0</v>
      </c>
      <c r="W36" s="55">
        <f t="shared" si="9"/>
        <v>0</v>
      </c>
      <c r="X36" s="55"/>
      <c r="Y36" s="55" t="s">
        <v>35</v>
      </c>
      <c r="Z36" s="56">
        <f t="shared" si="19"/>
        <v>-0.75</v>
      </c>
      <c r="AA36" s="55">
        <v>0.21901765046296295</v>
      </c>
      <c r="AB36" s="55">
        <f t="shared" si="27"/>
        <v>-17.247639973958332</v>
      </c>
      <c r="AC36" s="55">
        <v>-5.42</v>
      </c>
      <c r="AD36" s="55">
        <v>-12.218376068376068</v>
      </c>
      <c r="AE36" s="55">
        <v>0</v>
      </c>
      <c r="AF36" s="55">
        <v>1.6913767019667101</v>
      </c>
    </row>
    <row r="37" spans="1:32" s="57" customFormat="1" ht="15.75" customHeight="1">
      <c r="A37" s="2" t="s">
        <v>99</v>
      </c>
      <c r="B37" s="2" t="s">
        <v>163</v>
      </c>
      <c r="C37" s="51">
        <f t="shared" si="35"/>
        <v>28.990000000000002</v>
      </c>
      <c r="D37" s="51">
        <v>42</v>
      </c>
      <c r="E37" s="51">
        <v>0</v>
      </c>
      <c r="F37" s="51">
        <v>1217.5800000000002</v>
      </c>
      <c r="G37" s="51">
        <v>-0.13</v>
      </c>
      <c r="H37" s="51">
        <f t="shared" si="1"/>
        <v>1.0676916506512917E-4</v>
      </c>
      <c r="I37" s="51">
        <f t="shared" si="2"/>
        <v>0.22504999576138132</v>
      </c>
      <c r="J37" s="51">
        <f t="shared" si="4"/>
        <v>274.01637383914272</v>
      </c>
      <c r="K37" s="51">
        <f t="shared" si="3"/>
        <v>6.5241993771224456</v>
      </c>
      <c r="L37" s="51">
        <v>198</v>
      </c>
      <c r="M37" s="51">
        <f t="shared" si="5"/>
        <v>0.21212121212121213</v>
      </c>
      <c r="N37" s="51">
        <v>233</v>
      </c>
      <c r="O37" s="51">
        <f t="shared" ref="O37:P37" si="47">D37/7</f>
        <v>6</v>
      </c>
      <c r="P37" s="51">
        <f t="shared" si="47"/>
        <v>0</v>
      </c>
      <c r="Q37" s="51">
        <f t="shared" si="7"/>
        <v>38</v>
      </c>
      <c r="R37" s="55">
        <v>216</v>
      </c>
      <c r="S37" s="53">
        <v>216</v>
      </c>
      <c r="T37" s="54">
        <v>44078</v>
      </c>
      <c r="U37" s="55">
        <v>0</v>
      </c>
      <c r="V37" s="55">
        <f t="shared" si="8"/>
        <v>0</v>
      </c>
      <c r="W37" s="55">
        <f t="shared" si="9"/>
        <v>0</v>
      </c>
      <c r="X37" s="55">
        <v>0</v>
      </c>
      <c r="Y37" s="55" t="s">
        <v>35</v>
      </c>
      <c r="Z37" s="56">
        <f t="shared" si="19"/>
        <v>-0.75</v>
      </c>
      <c r="AA37" s="55">
        <v>0.21147969618055557</v>
      </c>
      <c r="AB37" s="55">
        <f t="shared" si="27"/>
        <v>-19.984831289062498</v>
      </c>
      <c r="AC37" s="55">
        <v>-5.42</v>
      </c>
      <c r="AD37" s="55">
        <v>-12.218376068376068</v>
      </c>
      <c r="AE37" s="55">
        <v>0</v>
      </c>
      <c r="AF37" s="55">
        <v>1.87219917012448</v>
      </c>
    </row>
    <row r="38" spans="1:32" s="57" customFormat="1" ht="15.75" customHeight="1">
      <c r="A38" s="2" t="s">
        <v>100</v>
      </c>
      <c r="B38" s="2" t="s">
        <v>164</v>
      </c>
      <c r="C38" s="51">
        <f t="shared" si="35"/>
        <v>28.990000000000006</v>
      </c>
      <c r="D38" s="51">
        <v>30</v>
      </c>
      <c r="E38" s="51">
        <v>0</v>
      </c>
      <c r="F38" s="51">
        <v>869.70000000000016</v>
      </c>
      <c r="G38" s="51">
        <v>-0.2</v>
      </c>
      <c r="H38" s="51">
        <f t="shared" si="1"/>
        <v>2.2996435552489361E-4</v>
      </c>
      <c r="I38" s="51">
        <f t="shared" si="2"/>
        <v>0.2249268005709216</v>
      </c>
      <c r="J38" s="51">
        <f t="shared" si="4"/>
        <v>195.61883845653054</v>
      </c>
      <c r="K38" s="51">
        <f t="shared" si="3"/>
        <v>6.5206279485510183</v>
      </c>
      <c r="L38" s="51">
        <v>181</v>
      </c>
      <c r="M38" s="51">
        <f t="shared" si="5"/>
        <v>0.16574585635359115</v>
      </c>
      <c r="N38" s="51">
        <v>191</v>
      </c>
      <c r="O38" s="51">
        <f t="shared" ref="O38:P38" si="48">D38/7</f>
        <v>4.2857142857142856</v>
      </c>
      <c r="P38" s="51">
        <f t="shared" si="48"/>
        <v>0</v>
      </c>
      <c r="Q38" s="51">
        <f t="shared" si="7"/>
        <v>44</v>
      </c>
      <c r="R38" s="55">
        <v>216</v>
      </c>
      <c r="S38" s="53"/>
      <c r="T38" s="54">
        <v>44078</v>
      </c>
      <c r="U38" s="55">
        <v>0</v>
      </c>
      <c r="V38" s="55">
        <f t="shared" si="8"/>
        <v>0</v>
      </c>
      <c r="W38" s="55">
        <f t="shared" si="9"/>
        <v>0</v>
      </c>
      <c r="X38" s="55">
        <v>0</v>
      </c>
      <c r="Y38" s="55" t="s">
        <v>35</v>
      </c>
      <c r="Z38" s="56">
        <f t="shared" si="19"/>
        <v>-0.75</v>
      </c>
      <c r="AA38" s="55">
        <v>0.21147969618055557</v>
      </c>
      <c r="AB38" s="55">
        <f t="shared" si="27"/>
        <v>-14.274879492187498</v>
      </c>
      <c r="AC38" s="55">
        <v>-5.42</v>
      </c>
      <c r="AD38" s="55">
        <v>-12.218376068376068</v>
      </c>
      <c r="AE38" s="55">
        <v>0</v>
      </c>
      <c r="AF38" s="55">
        <v>1.66233766233766</v>
      </c>
    </row>
    <row r="39" spans="1:32" s="57" customFormat="1" ht="15.75" customHeight="1">
      <c r="A39" s="2" t="s">
        <v>101</v>
      </c>
      <c r="B39" s="2" t="s">
        <v>165</v>
      </c>
      <c r="C39" s="51">
        <f t="shared" si="35"/>
        <v>28.080909090909095</v>
      </c>
      <c r="D39" s="51">
        <v>33</v>
      </c>
      <c r="E39" s="51">
        <v>0</v>
      </c>
      <c r="F39" s="51">
        <v>926.67000000000019</v>
      </c>
      <c r="G39" s="51">
        <v>-0.22000000000000003</v>
      </c>
      <c r="H39" s="51">
        <f t="shared" si="1"/>
        <v>2.374092179524534E-4</v>
      </c>
      <c r="I39" s="51">
        <f t="shared" si="2"/>
        <v>0.20469069064735645</v>
      </c>
      <c r="J39" s="51">
        <f>F39*0.85+G39+AD39*D39+D39*AC39+AE40+AB39</f>
        <v>189.68072230218584</v>
      </c>
      <c r="K39" s="51">
        <f t="shared" si="3"/>
        <v>5.7479006758238134</v>
      </c>
      <c r="L39" s="51">
        <v>173</v>
      </c>
      <c r="M39" s="51">
        <f t="shared" si="5"/>
        <v>0.19075144508670519</v>
      </c>
      <c r="N39" s="51">
        <v>187</v>
      </c>
      <c r="O39" s="51">
        <f t="shared" ref="O39:P39" si="49">D39/7</f>
        <v>4.7142857142857144</v>
      </c>
      <c r="P39" s="51">
        <f t="shared" si="49"/>
        <v>0</v>
      </c>
      <c r="Q39" s="51">
        <f t="shared" si="7"/>
        <v>39</v>
      </c>
      <c r="R39" s="55">
        <v>216</v>
      </c>
      <c r="S39" s="53">
        <v>216</v>
      </c>
      <c r="T39" s="54">
        <v>44078</v>
      </c>
      <c r="U39" s="55">
        <v>0</v>
      </c>
      <c r="V39" s="55">
        <f t="shared" si="8"/>
        <v>0</v>
      </c>
      <c r="W39" s="55">
        <f t="shared" si="9"/>
        <v>0</v>
      </c>
      <c r="X39" s="55">
        <v>0</v>
      </c>
      <c r="Y39" s="55" t="s">
        <v>35</v>
      </c>
      <c r="Z39" s="56">
        <f t="shared" si="19"/>
        <v>-0.75</v>
      </c>
      <c r="AA39" s="55">
        <v>0.21147969618055557</v>
      </c>
      <c r="AB39" s="55">
        <f t="shared" si="27"/>
        <v>-15.702367441406249</v>
      </c>
      <c r="AC39" s="55">
        <v>-5.42</v>
      </c>
      <c r="AD39" s="55">
        <v>-12.218376068375999</v>
      </c>
      <c r="AE39" s="55">
        <v>0</v>
      </c>
      <c r="AF39" s="55">
        <v>1.4825174825174801</v>
      </c>
    </row>
    <row r="40" spans="1:32" s="57" customFormat="1" ht="15.75" customHeight="1">
      <c r="A40" s="2" t="s">
        <v>102</v>
      </c>
      <c r="B40" s="2" t="s">
        <v>166</v>
      </c>
      <c r="C40" s="51">
        <v>26.990000000000006</v>
      </c>
      <c r="D40" s="51">
        <v>35</v>
      </c>
      <c r="E40" s="51">
        <v>0</v>
      </c>
      <c r="F40" s="51">
        <v>944.6500000000002</v>
      </c>
      <c r="G40" s="51">
        <v>-0.11</v>
      </c>
      <c r="H40" s="51">
        <v>1.1644524427036466E-4</v>
      </c>
      <c r="I40" s="51">
        <v>0.17873848677565379</v>
      </c>
      <c r="J40" s="51">
        <v>168.84531153262139</v>
      </c>
      <c r="K40" s="51">
        <v>4.8241517580748967</v>
      </c>
      <c r="L40" s="51">
        <v>169</v>
      </c>
      <c r="M40" s="51">
        <v>0.20710059171597633</v>
      </c>
      <c r="N40" s="51">
        <v>100</v>
      </c>
      <c r="O40" s="51">
        <v>5</v>
      </c>
      <c r="P40" s="51">
        <v>0</v>
      </c>
      <c r="Q40" s="51">
        <v>20</v>
      </c>
      <c r="R40" s="55">
        <v>216</v>
      </c>
      <c r="S40" s="53">
        <v>216</v>
      </c>
      <c r="T40" s="54">
        <v>44078</v>
      </c>
      <c r="U40" s="55">
        <v>0</v>
      </c>
      <c r="V40" s="55">
        <v>0</v>
      </c>
      <c r="W40" s="55">
        <v>0</v>
      </c>
      <c r="X40" s="55">
        <v>0</v>
      </c>
      <c r="Y40" s="55" t="s">
        <v>35</v>
      </c>
      <c r="Z40" s="56">
        <v>-0.75</v>
      </c>
      <c r="AA40" s="55">
        <v>0.21147969618055557</v>
      </c>
      <c r="AB40" s="55">
        <v>-16.654026074218748</v>
      </c>
      <c r="AC40" s="55">
        <v>-5.42</v>
      </c>
      <c r="AD40" s="55">
        <v>-12.218376068375999</v>
      </c>
      <c r="AE40" s="55">
        <v>0</v>
      </c>
      <c r="AF40" s="55">
        <v>1.6085300837776</v>
      </c>
    </row>
    <row r="41" spans="1:32" s="57" customFormat="1" ht="15.75" customHeight="1">
      <c r="A41" s="2" t="s">
        <v>105</v>
      </c>
      <c r="B41" s="2" t="s">
        <v>45</v>
      </c>
      <c r="C41" s="51">
        <f t="shared" ref="C41:C56" si="50">IFERROR(F41/D41," - ")</f>
        <v>26.990000000000006</v>
      </c>
      <c r="D41" s="51">
        <v>50</v>
      </c>
      <c r="E41" s="51">
        <v>0</v>
      </c>
      <c r="F41" s="51">
        <v>1349.5000000000002</v>
      </c>
      <c r="G41" s="51">
        <v>-0.05</v>
      </c>
      <c r="H41" s="51">
        <f t="shared" ref="H41:H56" si="51">G41/F41*-1</f>
        <v>3.7050759540570575E-5</v>
      </c>
      <c r="I41" s="51">
        <f t="shared" ref="I41:I56" si="52">J41/F41</f>
        <v>0.17881788126038373</v>
      </c>
      <c r="J41" s="51">
        <f t="shared" ref="J41:J48" si="53">F41*0.85+G41+AD41*D41+D41*AC41+AE42+AB41</f>
        <v>241.31473076088787</v>
      </c>
      <c r="K41" s="51">
        <f t="shared" ref="K41:K56" si="54">J41/D41</f>
        <v>4.8262946152177575</v>
      </c>
      <c r="L41" s="51">
        <v>163</v>
      </c>
      <c r="M41" s="51">
        <f t="shared" ref="M41:M56" si="55">IFERROR(D41/L41,"-")</f>
        <v>0.30674846625766872</v>
      </c>
      <c r="N41" s="51">
        <v>66</v>
      </c>
      <c r="O41" s="51">
        <f t="shared" ref="O41:P41" si="56">D41/7</f>
        <v>7.1428571428571432</v>
      </c>
      <c r="P41" s="51">
        <f t="shared" si="56"/>
        <v>0</v>
      </c>
      <c r="Q41" s="51">
        <f t="shared" ref="Q41:Q56" si="57">ROUNDDOWN(N41/(O41+P41),0)</f>
        <v>9</v>
      </c>
      <c r="R41" s="55">
        <v>216</v>
      </c>
      <c r="S41" s="53">
        <v>216</v>
      </c>
      <c r="T41" s="54">
        <v>44078</v>
      </c>
      <c r="U41" s="55">
        <v>0</v>
      </c>
      <c r="V41" s="55">
        <f t="shared" ref="V41:V56" si="58">IFERROR(U41/D41,0)</f>
        <v>0</v>
      </c>
      <c r="W41" s="55">
        <f t="shared" ref="W41:W56" si="59">IFERROR(G41/(U41+X41)*-1,0)</f>
        <v>0</v>
      </c>
      <c r="X41" s="55">
        <v>0</v>
      </c>
      <c r="Y41" s="52" t="s">
        <v>35</v>
      </c>
      <c r="Z41" s="56">
        <f t="shared" ref="Z41:Z43" si="60">IF(OR(Y41="UsLargeStandardSize",Y41="UsSmallStandardSize"),-0.75,-0.48)</f>
        <v>-0.75</v>
      </c>
      <c r="AA41" s="55">
        <v>0.21147969618055557</v>
      </c>
      <c r="AB41" s="55">
        <f t="shared" ref="AB41:AB56" si="61">IFERROR(Z41*AA41*D41*3,0)</f>
        <v>-23.791465820312499</v>
      </c>
      <c r="AC41" s="55">
        <v>-5.42</v>
      </c>
      <c r="AD41" s="55">
        <v>-12.218376068375999</v>
      </c>
      <c r="AE41" s="55">
        <v>0</v>
      </c>
      <c r="AF41" s="55">
        <v>1.9294117647058799</v>
      </c>
    </row>
    <row r="42" spans="1:32" s="57" customFormat="1" ht="15.75" customHeight="1">
      <c r="A42" s="2" t="s">
        <v>106</v>
      </c>
      <c r="B42" s="2" t="s">
        <v>167</v>
      </c>
      <c r="C42" s="51">
        <f t="shared" si="50"/>
        <v>26.990000000000002</v>
      </c>
      <c r="D42" s="51">
        <v>42</v>
      </c>
      <c r="E42" s="51">
        <v>0</v>
      </c>
      <c r="F42" s="51">
        <v>1133.5800000000002</v>
      </c>
      <c r="G42" s="51">
        <v>-0.02</v>
      </c>
      <c r="H42" s="51">
        <f t="shared" si="51"/>
        <v>1.7643218828843132E-5</v>
      </c>
      <c r="I42" s="51">
        <f t="shared" si="52"/>
        <v>0.1788372888010954</v>
      </c>
      <c r="J42" s="51">
        <f t="shared" si="53"/>
        <v>202.72637383914574</v>
      </c>
      <c r="K42" s="51">
        <f t="shared" si="54"/>
        <v>4.8268184247415649</v>
      </c>
      <c r="L42" s="51">
        <v>151</v>
      </c>
      <c r="M42" s="51">
        <f t="shared" si="55"/>
        <v>0.27814569536423839</v>
      </c>
      <c r="N42" s="51">
        <v>13</v>
      </c>
      <c r="O42" s="51">
        <f t="shared" ref="O42:P42" si="62">D42/7</f>
        <v>6</v>
      </c>
      <c r="P42" s="51">
        <f t="shared" si="62"/>
        <v>0</v>
      </c>
      <c r="Q42" s="51">
        <f t="shared" si="57"/>
        <v>2</v>
      </c>
      <c r="R42" s="55">
        <f ca="1">IFERROR(__xludf.DUMMYFUNCTION("IFERROR(VLOOKUP($B$2,IMPORTRANGE(""https://docs.google.com/spreadsheets/d/1iVgg6Mw12RULLujzHmfOFIY8Q_KaAD8anoZzgtVAQ74/edit#gid=1503384807"",""Second Star - Summary!A1:AD2000""),9,FALSE),"""")"),911)</f>
        <v>911</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0</v>
      </c>
      <c r="V42" s="55">
        <f t="shared" si="58"/>
        <v>0</v>
      </c>
      <c r="W42" s="55">
        <f t="shared" si="59"/>
        <v>0</v>
      </c>
      <c r="X42" s="55">
        <v>0</v>
      </c>
      <c r="Y42" s="55" t="s">
        <v>35</v>
      </c>
      <c r="Z42" s="56">
        <f t="shared" si="60"/>
        <v>-0.75</v>
      </c>
      <c r="AA42" s="55">
        <v>0.21147969618055557</v>
      </c>
      <c r="AB42" s="55">
        <f t="shared" si="61"/>
        <v>-19.984831289062498</v>
      </c>
      <c r="AC42" s="55">
        <v>-5.42</v>
      </c>
      <c r="AD42" s="55">
        <v>-12.218376068375999</v>
      </c>
      <c r="AE42" s="55">
        <v>0</v>
      </c>
      <c r="AF42" s="55">
        <v>2.2369263607257199</v>
      </c>
    </row>
    <row r="43" spans="1:32" s="57" customFormat="1" ht="15.75" customHeight="1">
      <c r="A43" s="2" t="s">
        <v>107</v>
      </c>
      <c r="B43" s="2" t="s">
        <v>168</v>
      </c>
      <c r="C43" s="51">
        <f t="shared" si="50"/>
        <v>26.990000000000006</v>
      </c>
      <c r="D43" s="51">
        <v>27</v>
      </c>
      <c r="E43" s="51">
        <v>0</v>
      </c>
      <c r="F43" s="51">
        <v>728.73000000000013</v>
      </c>
      <c r="G43" s="51">
        <v>-0.08</v>
      </c>
      <c r="H43" s="51">
        <f t="shared" si="51"/>
        <v>1.0978002826835726E-4</v>
      </c>
      <c r="I43" s="51">
        <f t="shared" si="52"/>
        <v>0.17874515199165567</v>
      </c>
      <c r="J43" s="51">
        <f t="shared" si="53"/>
        <v>130.25695461087926</v>
      </c>
      <c r="K43" s="51">
        <f t="shared" si="54"/>
        <v>4.8243316522547879</v>
      </c>
      <c r="L43" s="51">
        <v>143</v>
      </c>
      <c r="M43" s="51">
        <f t="shared" si="55"/>
        <v>0.1888111888111888</v>
      </c>
      <c r="N43" s="51">
        <v>1</v>
      </c>
      <c r="O43" s="51">
        <f t="shared" ref="O43:P43" si="63">D43/7</f>
        <v>3.8571428571428572</v>
      </c>
      <c r="P43" s="51">
        <f t="shared" si="63"/>
        <v>0</v>
      </c>
      <c r="Q43" s="51">
        <f t="shared" si="57"/>
        <v>0</v>
      </c>
      <c r="R43" s="55">
        <v>186</v>
      </c>
      <c r="S43" s="53">
        <v>186</v>
      </c>
      <c r="T43" s="54">
        <v>44137</v>
      </c>
      <c r="U43" s="55">
        <v>0</v>
      </c>
      <c r="V43" s="55">
        <f t="shared" si="58"/>
        <v>0</v>
      </c>
      <c r="W43" s="55">
        <f t="shared" si="59"/>
        <v>0</v>
      </c>
      <c r="X43" s="55">
        <v>0</v>
      </c>
      <c r="Y43" s="55" t="s">
        <v>35</v>
      </c>
      <c r="Z43" s="56">
        <f t="shared" si="60"/>
        <v>-0.75</v>
      </c>
      <c r="AA43" s="55">
        <v>0.21147969618055557</v>
      </c>
      <c r="AB43" s="55">
        <f t="shared" si="61"/>
        <v>-12.847391542968751</v>
      </c>
      <c r="AC43" s="55">
        <v>-5.42</v>
      </c>
      <c r="AD43" s="55">
        <v>-12.218376068375999</v>
      </c>
      <c r="AE43" s="55">
        <v>0</v>
      </c>
      <c r="AF43" s="55">
        <v>1.73345101500441</v>
      </c>
    </row>
    <row r="44" spans="1:32" s="57" customFormat="1" ht="15.75" customHeight="1">
      <c r="A44" s="2" t="s">
        <v>108</v>
      </c>
      <c r="B44" s="2" t="s">
        <v>168</v>
      </c>
      <c r="C44" s="51">
        <f t="shared" si="50"/>
        <v>26.99</v>
      </c>
      <c r="D44" s="51">
        <v>1</v>
      </c>
      <c r="E44" s="51">
        <v>1</v>
      </c>
      <c r="F44" s="51">
        <v>26.99</v>
      </c>
      <c r="G44" s="51">
        <v>0</v>
      </c>
      <c r="H44" s="51">
        <f t="shared" si="51"/>
        <v>0</v>
      </c>
      <c r="I44" s="51">
        <f t="shared" si="52"/>
        <v>0.1400692893339755</v>
      </c>
      <c r="J44" s="51">
        <f t="shared" si="53"/>
        <v>3.7804701191239989</v>
      </c>
      <c r="K44" s="51">
        <f t="shared" si="54"/>
        <v>3.7804701191239989</v>
      </c>
      <c r="L44" s="51">
        <v>35</v>
      </c>
      <c r="M44" s="51">
        <f t="shared" si="55"/>
        <v>2.8571428571428571E-2</v>
      </c>
      <c r="N44" s="51">
        <v>0</v>
      </c>
      <c r="O44" s="51">
        <f t="shared" ref="O44:P44" si="64">D44/7</f>
        <v>0.14285714285714285</v>
      </c>
      <c r="P44" s="51">
        <f t="shared" si="64"/>
        <v>0.14285714285714285</v>
      </c>
      <c r="Q44" s="51">
        <f t="shared" si="57"/>
        <v>0</v>
      </c>
      <c r="R44" s="55">
        <v>132</v>
      </c>
      <c r="S44" s="53">
        <v>132</v>
      </c>
      <c r="T44" s="54">
        <v>44137</v>
      </c>
      <c r="U44" s="55">
        <v>0</v>
      </c>
      <c r="V44" s="55">
        <f t="shared" si="58"/>
        <v>0</v>
      </c>
      <c r="W44" s="55">
        <f t="shared" si="59"/>
        <v>0</v>
      </c>
      <c r="X44" s="55">
        <v>0</v>
      </c>
      <c r="Y44" s="55" t="s">
        <v>35</v>
      </c>
      <c r="Z44" s="56">
        <f t="shared" ref="Z44:Z56" si="65">IF(OR(Y44="UsLargeStandardSize",Y44="UsSmallStandardSize"),-2.4,-1.2)</f>
        <v>-2.4</v>
      </c>
      <c r="AA44" s="55">
        <v>0.21147969618055557</v>
      </c>
      <c r="AB44" s="55">
        <f t="shared" si="61"/>
        <v>-1.5226538124999998</v>
      </c>
      <c r="AC44" s="55">
        <v>-5.42</v>
      </c>
      <c r="AD44" s="55">
        <v>-12.218376068375999</v>
      </c>
      <c r="AE44" s="55">
        <v>0</v>
      </c>
      <c r="AF44" s="55">
        <v>1.8426966292134801</v>
      </c>
    </row>
    <row r="45" spans="1:32" s="57" customFormat="1" ht="15.75" customHeight="1">
      <c r="A45" s="2" t="s">
        <v>109</v>
      </c>
      <c r="B45" s="2" t="s">
        <v>169</v>
      </c>
      <c r="C45" s="51">
        <f t="shared" si="50"/>
        <v>26.99</v>
      </c>
      <c r="D45" s="51">
        <v>2</v>
      </c>
      <c r="E45" s="51">
        <v>0</v>
      </c>
      <c r="F45" s="51">
        <v>53.98</v>
      </c>
      <c r="G45" s="51">
        <v>0</v>
      </c>
      <c r="H45" s="51">
        <f t="shared" si="51"/>
        <v>0</v>
      </c>
      <c r="I45" s="51">
        <f t="shared" si="52"/>
        <v>0.1400692893339755</v>
      </c>
      <c r="J45" s="51">
        <f t="shared" si="53"/>
        <v>7.5609402382479978</v>
      </c>
      <c r="K45" s="51">
        <f t="shared" si="54"/>
        <v>3.7804701191239989</v>
      </c>
      <c r="L45" s="51">
        <v>72</v>
      </c>
      <c r="M45" s="51">
        <f t="shared" si="55"/>
        <v>2.7777777777777776E-2</v>
      </c>
      <c r="N45" s="51">
        <v>209</v>
      </c>
      <c r="O45" s="51">
        <f t="shared" ref="O45:P45" si="66">D45/7</f>
        <v>0.2857142857142857</v>
      </c>
      <c r="P45" s="51">
        <f t="shared" si="66"/>
        <v>0</v>
      </c>
      <c r="Q45" s="51">
        <f t="shared" si="57"/>
        <v>731</v>
      </c>
      <c r="R45" s="55">
        <v>132</v>
      </c>
      <c r="S45" s="53">
        <v>132</v>
      </c>
      <c r="T45" s="54">
        <v>44137</v>
      </c>
      <c r="U45" s="55">
        <v>0</v>
      </c>
      <c r="V45" s="55">
        <f t="shared" si="58"/>
        <v>0</v>
      </c>
      <c r="W45" s="55">
        <f t="shared" si="59"/>
        <v>0</v>
      </c>
      <c r="X45" s="55">
        <v>0</v>
      </c>
      <c r="Y45" s="55" t="s">
        <v>35</v>
      </c>
      <c r="Z45" s="56">
        <f t="shared" si="65"/>
        <v>-2.4</v>
      </c>
      <c r="AA45" s="55">
        <v>0.21147969618055557</v>
      </c>
      <c r="AB45" s="55">
        <f t="shared" si="61"/>
        <v>-3.0453076249999995</v>
      </c>
      <c r="AC45" s="55">
        <v>-5.42</v>
      </c>
      <c r="AD45" s="55">
        <v>-12.218376068375999</v>
      </c>
      <c r="AE45" s="55">
        <v>0</v>
      </c>
      <c r="AF45" s="55">
        <v>1.6045411542100201</v>
      </c>
    </row>
    <row r="46" spans="1:32" s="57" customFormat="1" ht="15.75" customHeight="1">
      <c r="A46" s="2" t="s">
        <v>111</v>
      </c>
      <c r="B46" s="2" t="s">
        <v>170</v>
      </c>
      <c r="C46" s="51">
        <f t="shared" si="50"/>
        <v>27.100714285714293</v>
      </c>
      <c r="D46" s="51">
        <v>28</v>
      </c>
      <c r="E46" s="51">
        <v>0</v>
      </c>
      <c r="F46" s="51">
        <v>758.82000000000016</v>
      </c>
      <c r="G46" s="51">
        <v>-0.11</v>
      </c>
      <c r="H46" s="51">
        <f t="shared" si="51"/>
        <v>1.4496191455154052E-4</v>
      </c>
      <c r="I46" s="51">
        <f t="shared" si="52"/>
        <v>0.14282460047899645</v>
      </c>
      <c r="J46" s="51">
        <f t="shared" si="53"/>
        <v>108.37816333547211</v>
      </c>
      <c r="K46" s="51">
        <f t="shared" si="54"/>
        <v>3.8706486905525752</v>
      </c>
      <c r="L46" s="51">
        <v>135</v>
      </c>
      <c r="M46" s="51">
        <f t="shared" si="55"/>
        <v>0.2074074074074074</v>
      </c>
      <c r="N46" s="51">
        <v>180</v>
      </c>
      <c r="O46" s="51">
        <f t="shared" ref="O46:P46" si="67">D46/7</f>
        <v>4</v>
      </c>
      <c r="P46" s="51">
        <f t="shared" si="67"/>
        <v>0</v>
      </c>
      <c r="Q46" s="51">
        <f t="shared" si="57"/>
        <v>45</v>
      </c>
      <c r="R46" s="55">
        <v>0</v>
      </c>
      <c r="S46" s="53" t="s">
        <v>34</v>
      </c>
      <c r="T46" s="54" t="s">
        <v>34</v>
      </c>
      <c r="U46" s="55">
        <v>0</v>
      </c>
      <c r="V46" s="55">
        <f t="shared" si="58"/>
        <v>0</v>
      </c>
      <c r="W46" s="55">
        <f t="shared" si="59"/>
        <v>0</v>
      </c>
      <c r="X46" s="55">
        <v>0</v>
      </c>
      <c r="Y46" s="55" t="s">
        <v>35</v>
      </c>
      <c r="Z46" s="56">
        <f t="shared" si="65"/>
        <v>-2.4</v>
      </c>
      <c r="AA46" s="55">
        <v>0.21147969618055557</v>
      </c>
      <c r="AB46" s="55">
        <f t="shared" si="61"/>
        <v>-42.634306749999993</v>
      </c>
      <c r="AC46" s="55">
        <v>-5.42</v>
      </c>
      <c r="AD46" s="55">
        <v>-12.218376068375999</v>
      </c>
      <c r="AE46" s="55">
        <v>0</v>
      </c>
      <c r="AF46" s="55">
        <v>1.8399098083427201</v>
      </c>
    </row>
    <row r="47" spans="1:32" s="57" customFormat="1" ht="15.75" customHeight="1">
      <c r="A47" s="2" t="s">
        <v>113</v>
      </c>
      <c r="B47" s="2" t="s">
        <v>171</v>
      </c>
      <c r="C47" s="51">
        <f t="shared" si="50"/>
        <v>26.990000000000006</v>
      </c>
      <c r="D47" s="51">
        <v>30</v>
      </c>
      <c r="E47" s="51">
        <v>0</v>
      </c>
      <c r="F47" s="51">
        <v>809.70000000000016</v>
      </c>
      <c r="G47" s="51">
        <v>-0.05</v>
      </c>
      <c r="H47" s="51">
        <f t="shared" si="51"/>
        <v>6.1751265900950955E-5</v>
      </c>
      <c r="I47" s="51">
        <f t="shared" si="52"/>
        <v>0.14000753806807478</v>
      </c>
      <c r="J47" s="51">
        <f t="shared" si="53"/>
        <v>113.36410357372017</v>
      </c>
      <c r="K47" s="51">
        <f t="shared" si="54"/>
        <v>3.7788034524573391</v>
      </c>
      <c r="L47" s="51">
        <v>147</v>
      </c>
      <c r="M47" s="51">
        <f t="shared" si="55"/>
        <v>0.20408163265306123</v>
      </c>
      <c r="N47" s="51">
        <v>251</v>
      </c>
      <c r="O47" s="51">
        <f t="shared" ref="O47:P47" si="68">D47/7</f>
        <v>4.2857142857142856</v>
      </c>
      <c r="P47" s="51">
        <f t="shared" si="68"/>
        <v>0</v>
      </c>
      <c r="Q47" s="51">
        <f t="shared" si="57"/>
        <v>58</v>
      </c>
      <c r="R47" s="55">
        <v>0</v>
      </c>
      <c r="S47" s="53" t="s">
        <v>34</v>
      </c>
      <c r="T47" s="54" t="s">
        <v>34</v>
      </c>
      <c r="U47" s="55">
        <v>0</v>
      </c>
      <c r="V47" s="55">
        <f t="shared" si="58"/>
        <v>0</v>
      </c>
      <c r="W47" s="55">
        <f t="shared" si="59"/>
        <v>0</v>
      </c>
      <c r="X47" s="55">
        <v>0</v>
      </c>
      <c r="Y47" s="55" t="s">
        <v>35</v>
      </c>
      <c r="Z47" s="56">
        <f t="shared" si="65"/>
        <v>-2.4</v>
      </c>
      <c r="AA47" s="55">
        <v>0.21147969618055557</v>
      </c>
      <c r="AB47" s="55">
        <f t="shared" si="61"/>
        <v>-45.679614375</v>
      </c>
      <c r="AC47" s="55">
        <v>-5.42</v>
      </c>
      <c r="AD47" s="55">
        <v>-12.218376068375999</v>
      </c>
      <c r="AE47" s="55">
        <v>0</v>
      </c>
      <c r="AF47" s="55">
        <v>1.90545454545454</v>
      </c>
    </row>
    <row r="48" spans="1:32" s="57" customFormat="1" ht="15.75" customHeight="1">
      <c r="A48" s="2" t="s">
        <v>115</v>
      </c>
      <c r="B48" s="2" t="s">
        <v>172</v>
      </c>
      <c r="C48" s="51">
        <f t="shared" si="50"/>
        <v>26.847142857142863</v>
      </c>
      <c r="D48" s="51">
        <v>28</v>
      </c>
      <c r="E48" s="51">
        <v>0</v>
      </c>
      <c r="F48" s="51">
        <v>751.72000000000014</v>
      </c>
      <c r="G48" s="51">
        <v>-0.02</v>
      </c>
      <c r="H48" s="51">
        <f t="shared" si="51"/>
        <v>2.6605651040280951E-5</v>
      </c>
      <c r="I48" s="51">
        <f t="shared" si="52"/>
        <v>0.13626504993278368</v>
      </c>
      <c r="J48" s="51">
        <f t="shared" si="53"/>
        <v>102.43316333547217</v>
      </c>
      <c r="K48" s="51">
        <f t="shared" si="54"/>
        <v>3.6583272619811491</v>
      </c>
      <c r="L48" s="51">
        <v>143</v>
      </c>
      <c r="M48" s="51">
        <f t="shared" si="55"/>
        <v>0.19580419580419581</v>
      </c>
      <c r="N48" s="51">
        <v>213</v>
      </c>
      <c r="O48" s="51">
        <f t="shared" ref="O48:P48" si="69">D48/7</f>
        <v>4</v>
      </c>
      <c r="P48" s="51">
        <f t="shared" si="69"/>
        <v>0</v>
      </c>
      <c r="Q48" s="51">
        <f t="shared" si="57"/>
        <v>53</v>
      </c>
      <c r="R48" s="55">
        <f ca="1">IFERROR(__xludf.DUMMYFUNCTION("IFERROR(VLOOKUP($B$2,IMPORTRANGE(""https://docs.google.com/spreadsheets/d/1iVgg6Mw12RULLujzHmfOFIY8Q_KaAD8anoZzgtVAQ74/edit#gid=1503384807"",""Second Star - Summary!A1:AD2000""),9,FALSE),"""")"),911)</f>
        <v>911</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si="58"/>
        <v>0</v>
      </c>
      <c r="W48" s="55">
        <f t="shared" si="59"/>
        <v>0</v>
      </c>
      <c r="X48" s="55">
        <v>0</v>
      </c>
      <c r="Y48" s="55" t="s">
        <v>35</v>
      </c>
      <c r="Z48" s="56">
        <f t="shared" si="65"/>
        <v>-2.4</v>
      </c>
      <c r="AA48" s="55">
        <v>0.21147969618055557</v>
      </c>
      <c r="AB48" s="55">
        <f t="shared" si="61"/>
        <v>-42.634306749999993</v>
      </c>
      <c r="AC48" s="55">
        <v>-5.42</v>
      </c>
      <c r="AD48" s="55">
        <v>-12.218376068375999</v>
      </c>
      <c r="AE48" s="55">
        <v>0</v>
      </c>
      <c r="AF48" s="55">
        <v>2.0131752305665298</v>
      </c>
    </row>
    <row r="49" spans="1:32" s="57" customFormat="1" ht="15.75" customHeight="1">
      <c r="A49" s="2" t="s">
        <v>117</v>
      </c>
      <c r="B49" s="2" t="s">
        <v>173</v>
      </c>
      <c r="C49" s="51">
        <f t="shared" si="50"/>
        <v>25.990000000000006</v>
      </c>
      <c r="D49" s="51">
        <v>29</v>
      </c>
      <c r="E49" s="51">
        <v>0</v>
      </c>
      <c r="F49" s="51">
        <v>753.71000000000015</v>
      </c>
      <c r="G49" s="51">
        <v>-7.63</v>
      </c>
      <c r="H49" s="51">
        <f t="shared" si="51"/>
        <v>1.0123256955592998E-2</v>
      </c>
      <c r="I49" s="51">
        <f t="shared" si="52"/>
        <v>0.10099429283755831</v>
      </c>
      <c r="J49" s="51">
        <f t="shared" ref="J49:J56" si="70">F49*0.85+G49+AD49*D49+D49*AC49+AE49+AB49</f>
        <v>76.120408454596088</v>
      </c>
      <c r="K49" s="51">
        <f t="shared" si="54"/>
        <v>2.624841670848141</v>
      </c>
      <c r="L49" s="51">
        <v>317</v>
      </c>
      <c r="M49" s="51">
        <f t="shared" si="55"/>
        <v>9.1482649842271294E-2</v>
      </c>
      <c r="N49" s="51">
        <v>180</v>
      </c>
      <c r="O49" s="51">
        <f t="shared" ref="O49:P49" si="71">D49/7</f>
        <v>4.1428571428571432</v>
      </c>
      <c r="P49" s="51">
        <f t="shared" si="71"/>
        <v>0</v>
      </c>
      <c r="Q49" s="51">
        <f t="shared" si="57"/>
        <v>43</v>
      </c>
      <c r="R49" s="55">
        <f ca="1">IFERROR(__xludf.DUMMYFUNCTION("IFERROR(VLOOKUP($B$2,IMPORTRANGE(""https://docs.google.com/spreadsheets/d/1iVgg6Mw12RULLujzHmfOFIY8Q_KaAD8anoZzgtVAQ74/edit#gid=1503384807"",""Second Star - Summary!A1:AD2000""),9,FALSE),"""")"),911)</f>
        <v>911</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1</v>
      </c>
      <c r="V49" s="55">
        <f t="shared" si="58"/>
        <v>3.4482758620689655E-2</v>
      </c>
      <c r="W49" s="55">
        <f t="shared" si="59"/>
        <v>7.63</v>
      </c>
      <c r="X49" s="55">
        <v>0</v>
      </c>
      <c r="Y49" s="55" t="s">
        <v>35</v>
      </c>
      <c r="Z49" s="56">
        <f t="shared" si="65"/>
        <v>-2.4</v>
      </c>
      <c r="AA49" s="55">
        <v>0.21147969618055557</v>
      </c>
      <c r="AB49" s="55">
        <f t="shared" si="61"/>
        <v>-44.156960562499997</v>
      </c>
      <c r="AC49" s="55">
        <v>-5.42</v>
      </c>
      <c r="AD49" s="55">
        <v>-12.260901068376</v>
      </c>
      <c r="AE49" s="55">
        <v>0</v>
      </c>
      <c r="AF49" s="55">
        <v>2.29892141756548</v>
      </c>
    </row>
    <row r="50" spans="1:32" s="57" customFormat="1" ht="15.75" customHeight="1">
      <c r="A50" s="2" t="s">
        <v>119</v>
      </c>
      <c r="B50" s="2" t="s">
        <v>174</v>
      </c>
      <c r="C50" s="51">
        <f t="shared" si="50"/>
        <v>26.296046511627935</v>
      </c>
      <c r="D50" s="51">
        <v>43</v>
      </c>
      <c r="E50" s="51">
        <v>0</v>
      </c>
      <c r="F50" s="51">
        <v>1130.7300000000012</v>
      </c>
      <c r="G50" s="51">
        <v>-10.940000000000001</v>
      </c>
      <c r="H50" s="51">
        <f t="shared" si="51"/>
        <v>9.6751656009834274E-3</v>
      </c>
      <c r="I50" s="51">
        <f t="shared" si="52"/>
        <v>0.11004186686683182</v>
      </c>
      <c r="J50" s="51">
        <f t="shared" si="70"/>
        <v>124.42764012233286</v>
      </c>
      <c r="K50" s="51">
        <f t="shared" si="54"/>
        <v>2.893666049356578</v>
      </c>
      <c r="L50" s="51">
        <v>250</v>
      </c>
      <c r="M50" s="51">
        <f t="shared" si="55"/>
        <v>0.17199999999999999</v>
      </c>
      <c r="N50" s="51">
        <v>141</v>
      </c>
      <c r="O50" s="51">
        <f t="shared" ref="O50:P50" si="72">D50/7</f>
        <v>6.1428571428571432</v>
      </c>
      <c r="P50" s="51">
        <f t="shared" si="72"/>
        <v>0</v>
      </c>
      <c r="Q50" s="51">
        <f t="shared" si="57"/>
        <v>22</v>
      </c>
      <c r="R50" s="55">
        <f ca="1">IFERROR(__xludf.DUMMYFUNCTION("IFERROR(VLOOKUP($B$2,IMPORTRANGE(""https://docs.google.com/spreadsheets/d/1iVgg6Mw12RULLujzHmfOFIY8Q_KaAD8anoZzgtVAQ74/edit#gid=1503384807"",""Second Star - Summary!A1:AD2000""),9,FALSE),"""")"),911)</f>
        <v>911</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1</v>
      </c>
      <c r="V50" s="55">
        <f t="shared" si="58"/>
        <v>2.3255813953488372E-2</v>
      </c>
      <c r="W50" s="55">
        <f t="shared" si="59"/>
        <v>10.940000000000001</v>
      </c>
      <c r="X50" s="55">
        <v>0</v>
      </c>
      <c r="Y50" s="55" t="s">
        <v>35</v>
      </c>
      <c r="Z50" s="56">
        <f t="shared" si="65"/>
        <v>-2.4</v>
      </c>
      <c r="AA50" s="55">
        <v>0.21147969618055557</v>
      </c>
      <c r="AB50" s="55">
        <f t="shared" si="61"/>
        <v>-65.474113937499993</v>
      </c>
      <c r="AC50" s="55">
        <v>-5.42</v>
      </c>
      <c r="AD50" s="55">
        <v>-12.260901068376</v>
      </c>
      <c r="AE50" s="55">
        <v>0</v>
      </c>
      <c r="AF50" s="55">
        <v>1.93377483443708</v>
      </c>
    </row>
    <row r="51" spans="1:32" s="57" customFormat="1" ht="15.75" customHeight="1">
      <c r="A51" s="2" t="s">
        <v>121</v>
      </c>
      <c r="B51" s="2" t="s">
        <v>175</v>
      </c>
      <c r="C51" s="51">
        <f t="shared" si="50"/>
        <v>25.990000000000006</v>
      </c>
      <c r="D51" s="51">
        <v>30</v>
      </c>
      <c r="E51" s="51">
        <v>0</v>
      </c>
      <c r="F51" s="51">
        <v>779.70000000000016</v>
      </c>
      <c r="G51" s="51">
        <v>0</v>
      </c>
      <c r="H51" s="51">
        <f t="shared" si="51"/>
        <v>0</v>
      </c>
      <c r="I51" s="51">
        <f t="shared" si="52"/>
        <v>0.11111754979315133</v>
      </c>
      <c r="J51" s="51">
        <f t="shared" si="70"/>
        <v>86.63835357372011</v>
      </c>
      <c r="K51" s="51">
        <f t="shared" si="54"/>
        <v>2.8879451191240038</v>
      </c>
      <c r="L51" s="51">
        <v>143</v>
      </c>
      <c r="M51" s="51">
        <f t="shared" si="55"/>
        <v>0.20979020979020979</v>
      </c>
      <c r="N51" s="51">
        <v>108</v>
      </c>
      <c r="O51" s="51">
        <f t="shared" ref="O51:P51" si="73">D51/7</f>
        <v>4.2857142857142856</v>
      </c>
      <c r="P51" s="51">
        <f t="shared" si="73"/>
        <v>0</v>
      </c>
      <c r="Q51" s="51">
        <f t="shared" si="57"/>
        <v>25</v>
      </c>
      <c r="R51" s="55">
        <f ca="1">IFERROR(__xludf.DUMMYFUNCTION("IFERROR(VLOOKUP($B$2,IMPORTRANGE(""https://docs.google.com/spreadsheets/d/1iVgg6Mw12RULLujzHmfOFIY8Q_KaAD8anoZzgtVAQ74/edit#gid=1503384807"",""Second Star - Summary!A1:AD2000""),9,FALSE),"""")"),911)</f>
        <v>911</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58"/>
        <v>0</v>
      </c>
      <c r="W51" s="55">
        <f t="shared" si="59"/>
        <v>0</v>
      </c>
      <c r="X51" s="55">
        <v>0</v>
      </c>
      <c r="Y51" s="55" t="s">
        <v>35</v>
      </c>
      <c r="Z51" s="56">
        <f t="shared" si="65"/>
        <v>-2.4</v>
      </c>
      <c r="AA51" s="55">
        <v>0.21147969618055557</v>
      </c>
      <c r="AB51" s="55">
        <f t="shared" si="61"/>
        <v>-45.679614375</v>
      </c>
      <c r="AC51" s="55">
        <v>-5.42</v>
      </c>
      <c r="AD51" s="55">
        <v>-12.260901068376</v>
      </c>
      <c r="AE51" s="55">
        <v>0</v>
      </c>
      <c r="AF51" s="55">
        <v>2.4590163934426199</v>
      </c>
    </row>
    <row r="52" spans="1:32" s="57" customFormat="1" ht="15.75" customHeight="1">
      <c r="A52" s="2" t="s">
        <v>123</v>
      </c>
      <c r="B52" s="2" t="s">
        <v>176</v>
      </c>
      <c r="C52" s="51">
        <f t="shared" si="50"/>
        <v>26.107804878048782</v>
      </c>
      <c r="D52" s="51">
        <v>41</v>
      </c>
      <c r="E52" s="51">
        <v>0</v>
      </c>
      <c r="F52" s="51">
        <v>1070.42</v>
      </c>
      <c r="G52" s="51">
        <v>-0.17</v>
      </c>
      <c r="H52" s="51">
        <f t="shared" si="51"/>
        <v>1.5881616561723436E-4</v>
      </c>
      <c r="I52" s="51">
        <f t="shared" si="52"/>
        <v>0.11429275413770676</v>
      </c>
      <c r="J52" s="51">
        <f t="shared" si="70"/>
        <v>122.34124988408408</v>
      </c>
      <c r="K52" s="51">
        <f t="shared" si="54"/>
        <v>2.9839329240020507</v>
      </c>
      <c r="L52" s="51">
        <v>223</v>
      </c>
      <c r="M52" s="51">
        <f t="shared" si="55"/>
        <v>0.18385650224215247</v>
      </c>
      <c r="N52" s="51">
        <v>60</v>
      </c>
      <c r="O52" s="51">
        <f t="shared" ref="O52:P52" si="74">D52/7</f>
        <v>5.8571428571428568</v>
      </c>
      <c r="P52" s="51">
        <f t="shared" si="74"/>
        <v>0</v>
      </c>
      <c r="Q52" s="51">
        <f t="shared" si="57"/>
        <v>10</v>
      </c>
      <c r="R52" s="55">
        <f ca="1">IFERROR(__xludf.DUMMYFUNCTION("IFERROR(VLOOKUP($B$2,IMPORTRANGE(""https://docs.google.com/spreadsheets/d/1iVgg6Mw12RULLujzHmfOFIY8Q_KaAD8anoZzgtVAQ74/edit#gid=1503384807"",""Second Star - Summary!A1:AD2000""),9,FALSE),"""")"),911)</f>
        <v>911</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58"/>
        <v>0</v>
      </c>
      <c r="W52" s="55">
        <f t="shared" si="59"/>
        <v>0</v>
      </c>
      <c r="X52" s="55">
        <v>0</v>
      </c>
      <c r="Y52" s="55" t="s">
        <v>35</v>
      </c>
      <c r="Z52" s="56">
        <f t="shared" si="65"/>
        <v>-2.4</v>
      </c>
      <c r="AA52" s="55">
        <v>0.21147969618055557</v>
      </c>
      <c r="AB52" s="55">
        <f t="shared" si="61"/>
        <v>-62.428806312499994</v>
      </c>
      <c r="AC52" s="55">
        <v>-5.42</v>
      </c>
      <c r="AD52" s="55">
        <v>-12.260901068376</v>
      </c>
      <c r="AE52" s="55">
        <v>0</v>
      </c>
      <c r="AF52" s="55">
        <v>2.50246305418719</v>
      </c>
    </row>
    <row r="53" spans="1:32" s="57" customFormat="1">
      <c r="A53" s="2" t="s">
        <v>38</v>
      </c>
      <c r="B53" s="2" t="s">
        <v>177</v>
      </c>
      <c r="C53" s="51">
        <f t="shared" si="50"/>
        <v>26.0425</v>
      </c>
      <c r="D53" s="51">
        <v>20</v>
      </c>
      <c r="E53" s="51">
        <v>0</v>
      </c>
      <c r="F53" s="51">
        <v>520.85</v>
      </c>
      <c r="G53" s="51">
        <v>0</v>
      </c>
      <c r="H53" s="51">
        <f t="shared" si="51"/>
        <v>0</v>
      </c>
      <c r="I53" s="51">
        <f t="shared" si="52"/>
        <v>0.1126070891475089</v>
      </c>
      <c r="J53" s="51">
        <f t="shared" si="70"/>
        <v>58.651402382480015</v>
      </c>
      <c r="K53" s="51">
        <f t="shared" si="54"/>
        <v>2.9325701191240006</v>
      </c>
      <c r="L53" s="51">
        <v>116</v>
      </c>
      <c r="M53" s="51">
        <f t="shared" si="55"/>
        <v>0.17241379310344829</v>
      </c>
      <c r="N53" s="51">
        <v>6</v>
      </c>
      <c r="O53" s="51">
        <f t="shared" ref="O53:P53" si="75">D53/7</f>
        <v>2.8571428571428572</v>
      </c>
      <c r="P53" s="51">
        <f t="shared" si="75"/>
        <v>0</v>
      </c>
      <c r="Q53" s="51">
        <f t="shared" si="57"/>
        <v>2</v>
      </c>
      <c r="R53" s="55">
        <f ca="1">IFERROR(__xludf.DUMMYFUNCTION("IFERROR(VLOOKUP($B$2,IMPORTRANGE(""https://docs.google.com/spreadsheets/d/1iVgg6Mw12RULLujzHmfOFIY8Q_KaAD8anoZzgtVAQ74/edit#gid=1503384807"",""Second Star - Summary!A1:AD2000""),9,FALSE),"""")"),911)</f>
        <v>911</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58"/>
        <v>0</v>
      </c>
      <c r="W53" s="55">
        <f t="shared" si="59"/>
        <v>0</v>
      </c>
      <c r="X53" s="55">
        <v>0</v>
      </c>
      <c r="Y53" s="55" t="s">
        <v>35</v>
      </c>
      <c r="Z53" s="56">
        <f t="shared" si="65"/>
        <v>-2.4</v>
      </c>
      <c r="AA53" s="55">
        <v>0.21147969618055557</v>
      </c>
      <c r="AB53" s="55">
        <f t="shared" si="61"/>
        <v>-30.453076249999999</v>
      </c>
      <c r="AC53" s="55">
        <v>-5.42</v>
      </c>
      <c r="AD53" s="55">
        <v>-12.260901068376</v>
      </c>
      <c r="AE53" s="55">
        <v>0</v>
      </c>
      <c r="AF53" s="55">
        <v>3.63063063063063</v>
      </c>
    </row>
    <row r="54" spans="1:32" s="57" customFormat="1">
      <c r="A54" s="2" t="s">
        <v>40</v>
      </c>
      <c r="B54" s="2" t="s">
        <v>178</v>
      </c>
      <c r="C54" s="51">
        <f t="shared" si="50"/>
        <v>26.74</v>
      </c>
      <c r="D54" s="51">
        <v>4</v>
      </c>
      <c r="E54" s="51">
        <v>0</v>
      </c>
      <c r="F54" s="51">
        <v>106.96</v>
      </c>
      <c r="G54" s="51">
        <v>-0.87999999999999989</v>
      </c>
      <c r="H54" s="51">
        <f t="shared" si="51"/>
        <v>8.2273747195213166E-3</v>
      </c>
      <c r="I54" s="51">
        <f t="shared" si="52"/>
        <v>0.12361425277202694</v>
      </c>
      <c r="J54" s="51">
        <f t="shared" si="70"/>
        <v>13.221780476496001</v>
      </c>
      <c r="K54" s="51">
        <f t="shared" si="54"/>
        <v>3.3054451191240002</v>
      </c>
      <c r="L54" s="51">
        <v>77</v>
      </c>
      <c r="M54" s="51">
        <f t="shared" si="55"/>
        <v>5.1948051948051951E-2</v>
      </c>
      <c r="N54" s="51">
        <v>0</v>
      </c>
      <c r="O54" s="51">
        <f t="shared" ref="O54:P54" si="76">D54/7</f>
        <v>0.5714285714285714</v>
      </c>
      <c r="P54" s="51">
        <f t="shared" si="76"/>
        <v>0</v>
      </c>
      <c r="Q54" s="51">
        <f t="shared" si="57"/>
        <v>0</v>
      </c>
      <c r="R54" s="55">
        <f ca="1">IFERROR(__xludf.DUMMYFUNCTION("IFERROR(VLOOKUP($B$2,IMPORTRANGE(""https://docs.google.com/spreadsheets/d/1iVgg6Mw12RULLujzHmfOFIY8Q_KaAD8anoZzgtVAQ74/edit#gid=1503384807"",""Second Star - Summary!A1:AD2000""),9,FALSE),"""")"),911)</f>
        <v>911</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58"/>
        <v>0</v>
      </c>
      <c r="W54" s="55">
        <f t="shared" si="59"/>
        <v>0</v>
      </c>
      <c r="X54" s="55">
        <v>0</v>
      </c>
      <c r="Y54" s="55" t="s">
        <v>35</v>
      </c>
      <c r="Z54" s="56">
        <f t="shared" si="65"/>
        <v>-2.4</v>
      </c>
      <c r="AA54" s="55">
        <v>0.21147969618055557</v>
      </c>
      <c r="AB54" s="55">
        <f t="shared" si="61"/>
        <v>-6.090615249999999</v>
      </c>
      <c r="AC54" s="55">
        <v>-5.42</v>
      </c>
      <c r="AD54" s="55">
        <v>-12.260901068376</v>
      </c>
      <c r="AE54" s="55">
        <v>0</v>
      </c>
      <c r="AF54" s="55">
        <v>2.9364161849710899</v>
      </c>
    </row>
    <row r="55" spans="1:32" s="57" customFormat="1" ht="15.75" customHeight="1">
      <c r="A55" s="2" t="s">
        <v>32</v>
      </c>
      <c r="B55" s="2" t="s">
        <v>179</v>
      </c>
      <c r="C55" s="51">
        <f t="shared" si="50"/>
        <v>28.99</v>
      </c>
      <c r="D55" s="51">
        <v>6</v>
      </c>
      <c r="E55" s="51">
        <v>0</v>
      </c>
      <c r="F55" s="51">
        <v>173.94</v>
      </c>
      <c r="G55" s="51">
        <v>-3.89</v>
      </c>
      <c r="H55" s="51">
        <f t="shared" si="51"/>
        <v>2.2364033574795907E-2</v>
      </c>
      <c r="I55" s="51">
        <f t="shared" si="52"/>
        <v>0.16521599813006788</v>
      </c>
      <c r="J55" s="51">
        <f t="shared" si="70"/>
        <v>28.737670714744006</v>
      </c>
      <c r="K55" s="51">
        <f t="shared" si="54"/>
        <v>4.7896117857906679</v>
      </c>
      <c r="L55" s="51">
        <v>89</v>
      </c>
      <c r="M55" s="51">
        <f t="shared" si="55"/>
        <v>6.741573033707865E-2</v>
      </c>
      <c r="N55" s="51">
        <v>1</v>
      </c>
      <c r="O55" s="51">
        <f t="shared" ref="O55:P55" si="77">D55/7</f>
        <v>0.8571428571428571</v>
      </c>
      <c r="P55" s="51">
        <f t="shared" si="77"/>
        <v>0</v>
      </c>
      <c r="Q55" s="51">
        <f t="shared" si="57"/>
        <v>1</v>
      </c>
      <c r="R55" s="55">
        <v>72</v>
      </c>
      <c r="S55" s="53">
        <v>72</v>
      </c>
      <c r="T55" s="54">
        <v>44211</v>
      </c>
      <c r="U55" s="55">
        <v>0</v>
      </c>
      <c r="V55" s="55">
        <f t="shared" si="58"/>
        <v>0</v>
      </c>
      <c r="W55" s="55">
        <f t="shared" si="59"/>
        <v>0</v>
      </c>
      <c r="X55" s="55">
        <v>0</v>
      </c>
      <c r="Y55" s="55" t="s">
        <v>35</v>
      </c>
      <c r="Z55" s="56">
        <f t="shared" si="65"/>
        <v>-2.4</v>
      </c>
      <c r="AA55" s="55">
        <v>0.21147969618055557</v>
      </c>
      <c r="AB55" s="55">
        <f t="shared" si="61"/>
        <v>-9.1359228749999986</v>
      </c>
      <c r="AC55" s="55">
        <v>-5.42</v>
      </c>
      <c r="AD55" s="55">
        <v>-12.260901068376</v>
      </c>
      <c r="AE55" s="55">
        <v>0</v>
      </c>
      <c r="AF55" s="55">
        <v>2.4480874316939798</v>
      </c>
    </row>
    <row r="56" spans="1:32" s="57" customFormat="1" ht="15.75" customHeight="1">
      <c r="A56" s="2" t="s">
        <v>36</v>
      </c>
      <c r="B56" s="2"/>
      <c r="C56" s="51">
        <f t="shared" si="50"/>
        <v>28.990000000000006</v>
      </c>
      <c r="D56" s="51">
        <v>25</v>
      </c>
      <c r="E56" s="51">
        <v>0</v>
      </c>
      <c r="F56" s="51">
        <v>724.75000000000011</v>
      </c>
      <c r="G56" s="51">
        <v>-17.34</v>
      </c>
      <c r="H56" s="51">
        <f t="shared" si="51"/>
        <v>2.3925491548809932E-2</v>
      </c>
      <c r="I56" s="51">
        <f t="shared" si="52"/>
        <v>0.16365454015605388</v>
      </c>
      <c r="J56" s="51">
        <f t="shared" si="70"/>
        <v>118.60862797810006</v>
      </c>
      <c r="K56" s="51">
        <f t="shared" si="54"/>
        <v>4.7443451191240023</v>
      </c>
      <c r="L56" s="51">
        <v>193</v>
      </c>
      <c r="M56" s="51">
        <f t="shared" si="55"/>
        <v>0.12953367875647667</v>
      </c>
      <c r="N56" s="51">
        <v>57</v>
      </c>
      <c r="O56" s="51">
        <f t="shared" ref="O56:P56" si="78">D56/7</f>
        <v>3.5714285714285716</v>
      </c>
      <c r="P56" s="51">
        <f t="shared" si="78"/>
        <v>0</v>
      </c>
      <c r="Q56" s="51">
        <f t="shared" si="57"/>
        <v>15</v>
      </c>
      <c r="R56" s="55">
        <f ca="1">IFERROR(__xludf.DUMMYFUNCTION("IFERROR(VLOOKUP($B$2,IMPORTRANGE(""https://docs.google.com/spreadsheets/d/1iVgg6Mw12RULLujzHmfOFIY8Q_KaAD8anoZzgtVAQ74/edit#gid=1503384807"",""Second Star - Summary!A1:AD2000""),9,FALSE),"""")"),911)</f>
        <v>911</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1</v>
      </c>
      <c r="V56" s="55">
        <f t="shared" si="58"/>
        <v>0.04</v>
      </c>
      <c r="W56" s="55">
        <f t="shared" si="59"/>
        <v>17.34</v>
      </c>
      <c r="X56" s="55">
        <v>0</v>
      </c>
      <c r="Y56" s="55" t="s">
        <v>35</v>
      </c>
      <c r="Z56" s="56">
        <f t="shared" si="65"/>
        <v>-2.4</v>
      </c>
      <c r="AA56" s="55">
        <v>0.21147969618055557</v>
      </c>
      <c r="AB56" s="55">
        <f t="shared" si="61"/>
        <v>-38.066345312499998</v>
      </c>
      <c r="AC56" s="55">
        <v>-5.42</v>
      </c>
      <c r="AD56" s="55">
        <v>-12.260901068376</v>
      </c>
      <c r="AE56" s="55">
        <v>0</v>
      </c>
      <c r="AF56" s="55">
        <v>3.3220338983050799</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E173" s="2"/>
      <c r="P173" s="2"/>
      <c r="AF173" s="23"/>
    </row>
    <row r="174" spans="1:32" ht="15.75" customHeight="1">
      <c r="E174" s="2"/>
      <c r="P174" s="2"/>
      <c r="AF174" s="23"/>
    </row>
    <row r="175" spans="1:32" ht="15.75" customHeight="1">
      <c r="E175" s="2"/>
      <c r="P175" s="2"/>
      <c r="AF175" s="23"/>
    </row>
    <row r="176" spans="1:32" ht="15.75" customHeight="1">
      <c r="E176" s="2"/>
      <c r="P176" s="2"/>
      <c r="AF176" s="23"/>
    </row>
    <row r="177" spans="5:32" ht="15.75" customHeight="1">
      <c r="E177" s="2"/>
      <c r="P177" s="2"/>
      <c r="AF177" s="23"/>
    </row>
    <row r="178" spans="5:32" ht="15.75" customHeight="1">
      <c r="E178" s="2"/>
      <c r="P178" s="2"/>
      <c r="AF178" s="23"/>
    </row>
    <row r="179" spans="5:32" ht="15.75" customHeight="1">
      <c r="E179" s="2"/>
      <c r="P179" s="2"/>
      <c r="AF179" s="23"/>
    </row>
    <row r="180" spans="5:32" ht="15.75" customHeight="1">
      <c r="E180" s="2"/>
      <c r="P180" s="2"/>
      <c r="AF180" s="23"/>
    </row>
    <row r="181" spans="5:32" ht="15.75" customHeight="1">
      <c r="E181" s="2"/>
      <c r="P181" s="2"/>
      <c r="AF181" s="23"/>
    </row>
    <row r="182" spans="5:32" ht="15.75" customHeight="1">
      <c r="E182" s="2"/>
      <c r="P182" s="2"/>
      <c r="AF182" s="23"/>
    </row>
    <row r="183" spans="5:32" ht="15.75" customHeight="1">
      <c r="E183" s="2"/>
      <c r="P183" s="2"/>
      <c r="AF183" s="23"/>
    </row>
    <row r="184" spans="5:32" ht="15.75" customHeight="1">
      <c r="E184" s="2"/>
      <c r="P184" s="2"/>
      <c r="AF184" s="23"/>
    </row>
    <row r="185" spans="5:32" ht="15.75" customHeight="1">
      <c r="E185" s="2"/>
      <c r="P185" s="2"/>
      <c r="AF185" s="23"/>
    </row>
    <row r="186" spans="5:32" ht="15.75" customHeight="1">
      <c r="E186" s="2"/>
      <c r="P186" s="2"/>
      <c r="AF186" s="23"/>
    </row>
    <row r="187" spans="5:32" ht="15.75" customHeight="1">
      <c r="E187" s="2"/>
      <c r="P187" s="2"/>
      <c r="AF187" s="23"/>
    </row>
    <row r="188" spans="5:32" ht="15.75" customHeight="1">
      <c r="E188" s="2"/>
      <c r="P188" s="2"/>
      <c r="AF188" s="23"/>
    </row>
    <row r="189" spans="5:32" ht="15.75" customHeight="1">
      <c r="E189" s="2"/>
      <c r="P189" s="2"/>
      <c r="AF189" s="23"/>
    </row>
    <row r="190" spans="5:32" ht="15.75" customHeight="1">
      <c r="E190" s="2"/>
      <c r="P190" s="2"/>
      <c r="AF190" s="23"/>
    </row>
    <row r="191" spans="5:32" ht="15.75" customHeight="1">
      <c r="E191" s="2"/>
      <c r="P191" s="2"/>
      <c r="AF191" s="23"/>
    </row>
    <row r="192" spans="5: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499" priority="1" operator="lessThan">
      <formula>100</formula>
    </cfRule>
  </conditionalFormatting>
  <conditionalFormatting sqref="Q1:Q3 Q57:Q1000">
    <cfRule type="cellIs" dxfId="498" priority="2" operator="lessThan">
      <formula>100</formula>
    </cfRule>
  </conditionalFormatting>
  <conditionalFormatting sqref="I1:I3 I57:I1000">
    <cfRule type="cellIs" dxfId="497" priority="3" operator="lessThan">
      <formula>0.05</formula>
    </cfRule>
  </conditionalFormatting>
  <conditionalFormatting sqref="I4:I17">
    <cfRule type="cellIs" dxfId="496" priority="4" operator="lessThan">
      <formula>0.05</formula>
    </cfRule>
  </conditionalFormatting>
  <conditionalFormatting sqref="I18:I56">
    <cfRule type="cellIs" dxfId="495" priority="5" operator="lessThan">
      <formula>0.05</formula>
    </cfRule>
  </conditionalFormatting>
  <conditionalFormatting sqref="Q4:Q56">
    <cfRule type="cellIs" dxfId="494" priority="6" operator="lessThan">
      <formula>100</formula>
    </cfRule>
  </conditionalFormatting>
  <conditionalFormatting sqref="Q4:Q56">
    <cfRule type="cellIs" dxfId="493" priority="7" operator="lessThan">
      <formula>100</formula>
    </cfRule>
  </conditionalFormatting>
  <pageMargins left="0.7" right="0.7" top="0.75" bottom="0.75" header="0" footer="0"/>
  <pageSetup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44.6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Info!B1:BJ5000""),4,FALSE),"""")"),"Organic, Cotton Quilted Pack 'n Play Size Fitted Mattress Pad Cover, Natural")</f>
        <v>Organic, Cotton Quilted Pack 'n Play Size Fitted Mattress Pad Cover, Natural</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Info!B1:BJ5000""),3,FALSE),"""")"),"B01865W8OG")</f>
        <v>B01865W8OG</v>
      </c>
      <c r="B2" s="4" t="s">
        <v>180</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13.688362996480636</v>
      </c>
      <c r="D3" s="8">
        <f>SUM(D4:D99819)</f>
        <v>657</v>
      </c>
      <c r="E3" s="8"/>
      <c r="F3" s="9">
        <f t="shared" ref="F3:G3" si="0">SUM(F4:F99819)</f>
        <v>14957.63</v>
      </c>
      <c r="G3" s="9">
        <f t="shared" si="0"/>
        <v>-84.269999999999982</v>
      </c>
      <c r="H3" s="10">
        <f t="shared" ref="H3:H39" si="1">G3/F3*-1</f>
        <v>5.6339139288777689E-3</v>
      </c>
      <c r="I3" s="11">
        <f t="shared" ref="I3:I39" si="2">J3/F3</f>
        <v>0.29246818324847507</v>
      </c>
      <c r="J3" s="9">
        <f>SUM(J4:J99819)</f>
        <v>4374.6308718028877</v>
      </c>
      <c r="K3" s="9">
        <f t="shared" ref="K3:K39" si="3">J3/D3</f>
        <v>6.6584944776299659</v>
      </c>
      <c r="L3" s="8"/>
      <c r="M3" s="12"/>
      <c r="N3" s="13"/>
      <c r="O3" s="8" t="str">
        <f ca="1">IFERROR(__xludf.DUMMYFUNCTION("IFERROR(VLOOKUP(B2,IMPORTRANGE(""https://docs.google.com/spreadsheets/d/1owCo6kL_VFQ5nPTdNogErmCBLjNiktT1m3SzTrxu3R0/edit#gid=2146806407"",""Second Star - Compiled!b1:g5000""),2,FALSE),"""")"),"3 - March
4 - April
3 - May
3 - Jun
3 - Jul
3 - Aug
3 - Sept
3 - Oct
3 - Nov
4 - Dec
4 - Jan
3 - Feb")</f>
        <v>3 - March
4 - April
3 - May
3 - Jun
3 - Jul
3 - Aug
3 - Sept
3 - Oct
3 - Nov
4 - Dec
4 - Jan
3 - Feb</v>
      </c>
      <c r="P3" s="8"/>
      <c r="Q3" s="14"/>
      <c r="R3" s="13"/>
      <c r="S3" s="13"/>
      <c r="T3" s="13"/>
      <c r="U3" s="8">
        <f>SUM(U4:U99819)</f>
        <v>1</v>
      </c>
      <c r="V3" s="10">
        <f>AVERAGE(V4:V99819)</f>
        <v>1.1792452830188679E-3</v>
      </c>
      <c r="W3" s="9">
        <f>ROUND(AVERAGE(W4:W99819),2)</f>
        <v>0.09</v>
      </c>
      <c r="X3" s="8"/>
      <c r="Y3" s="8"/>
      <c r="Z3" s="8"/>
      <c r="AA3" s="8"/>
      <c r="AB3" s="8"/>
      <c r="AC3" s="15"/>
      <c r="AD3" s="9"/>
      <c r="AE3" s="9">
        <f>SUM(AE4:AE99819)</f>
        <v>-9.86</v>
      </c>
      <c r="AF3" s="16"/>
    </row>
    <row r="4" spans="1:32" s="57" customFormat="1">
      <c r="A4" s="17" t="s">
        <v>48</v>
      </c>
      <c r="B4" s="17"/>
      <c r="C4" s="50">
        <v>26.99</v>
      </c>
      <c r="D4" s="51">
        <v>13</v>
      </c>
      <c r="E4" s="51">
        <v>0</v>
      </c>
      <c r="F4" s="51">
        <v>350.87000000000006</v>
      </c>
      <c r="G4" s="51">
        <v>-0.75</v>
      </c>
      <c r="H4" s="51">
        <f t="shared" si="1"/>
        <v>2.1375438196483024E-3</v>
      </c>
      <c r="I4" s="51">
        <f t="shared" si="2"/>
        <v>0.39223765496697899</v>
      </c>
      <c r="J4" s="51">
        <f t="shared" ref="J4:J38" si="4">F4*0.85+G4+AD4*D4+D4*AC4+AE4+AB4</f>
        <v>137.62442599826394</v>
      </c>
      <c r="K4" s="51">
        <f t="shared" si="3"/>
        <v>10.586494307558764</v>
      </c>
      <c r="L4" s="51">
        <v>120</v>
      </c>
      <c r="M4" s="51">
        <f t="shared" ref="M4:M39" si="5">IFERROR(D4/L4,"-")</f>
        <v>0.10833333333333334</v>
      </c>
      <c r="N4" s="51">
        <v>175</v>
      </c>
      <c r="O4" s="51">
        <f t="shared" ref="O4:P4" si="6">D4/7</f>
        <v>1.8571428571428572</v>
      </c>
      <c r="P4" s="51">
        <f t="shared" si="6"/>
        <v>0</v>
      </c>
      <c r="Q4" s="51">
        <f t="shared" ref="Q4:Q39" si="7">ROUNDDOWN(N4/(O4+P4),0)</f>
        <v>94</v>
      </c>
      <c r="R4" s="52">
        <v>132</v>
      </c>
      <c r="S4" s="53" t="s">
        <v>34</v>
      </c>
      <c r="T4" s="54" t="s">
        <v>34</v>
      </c>
      <c r="U4" s="52">
        <v>0</v>
      </c>
      <c r="V4" s="55">
        <f t="shared" ref="V4:V39" si="8">IFERROR(U4/D4,0)</f>
        <v>0</v>
      </c>
      <c r="W4" s="55">
        <f t="shared" ref="W4:W39" si="9">IFERROR(G4/(U4+X4)*-1,0)</f>
        <v>0</v>
      </c>
      <c r="X4" s="52">
        <v>0</v>
      </c>
      <c r="Y4" s="56" t="s">
        <v>35</v>
      </c>
      <c r="Z4" s="56">
        <f t="shared" ref="Z4:Z10" si="10">IF(OR(Y4="UsLargeStandardSize",Y4="UsSmallStandardSize"),-0.69,-0.48)</f>
        <v>-0.69</v>
      </c>
      <c r="AA4" s="55">
        <v>0.15946875000000002</v>
      </c>
      <c r="AB4" s="55">
        <f t="shared" ref="AB4:AB17" si="11">IFERROR((Z4*AA4*N4)/4,0)</f>
        <v>-4.8139628906250005</v>
      </c>
      <c r="AC4" s="55">
        <v>-3.28</v>
      </c>
      <c r="AD4" s="55">
        <v>-8.6470085470085465</v>
      </c>
      <c r="AE4" s="55">
        <v>0</v>
      </c>
      <c r="AF4" s="55"/>
    </row>
    <row r="5" spans="1:32" s="57" customFormat="1" ht="15.75" customHeight="1">
      <c r="A5" s="2" t="s">
        <v>49</v>
      </c>
      <c r="B5" s="2" t="s">
        <v>181</v>
      </c>
      <c r="C5" s="51">
        <v>26.99</v>
      </c>
      <c r="D5" s="51">
        <v>19</v>
      </c>
      <c r="E5" s="51">
        <v>0</v>
      </c>
      <c r="F5" s="51">
        <v>512.81000000000006</v>
      </c>
      <c r="G5" s="51">
        <v>-0.08</v>
      </c>
      <c r="H5" s="51">
        <f t="shared" si="1"/>
        <v>1.5600319806556034E-4</v>
      </c>
      <c r="I5" s="51">
        <f t="shared" si="2"/>
        <v>0.39983926862037134</v>
      </c>
      <c r="J5" s="51">
        <f t="shared" si="4"/>
        <v>205.04157534121265</v>
      </c>
      <c r="K5" s="51">
        <f t="shared" si="3"/>
        <v>10.791661860063824</v>
      </c>
      <c r="L5" s="51">
        <v>121</v>
      </c>
      <c r="M5" s="51">
        <f t="shared" si="5"/>
        <v>0.15702479338842976</v>
      </c>
      <c r="N5" s="51">
        <v>151</v>
      </c>
      <c r="O5" s="51">
        <f t="shared" ref="O5:P5" si="12">D5/7</f>
        <v>2.7142857142857144</v>
      </c>
      <c r="P5" s="51">
        <f t="shared" si="12"/>
        <v>0</v>
      </c>
      <c r="Q5" s="51">
        <f t="shared" si="7"/>
        <v>55</v>
      </c>
      <c r="R5" s="55">
        <v>132</v>
      </c>
      <c r="S5" s="53" t="s">
        <v>34</v>
      </c>
      <c r="T5" s="54" t="s">
        <v>34</v>
      </c>
      <c r="U5" s="55">
        <v>0</v>
      </c>
      <c r="V5" s="55">
        <f t="shared" si="8"/>
        <v>0</v>
      </c>
      <c r="W5" s="55">
        <f t="shared" si="9"/>
        <v>0</v>
      </c>
      <c r="X5" s="55">
        <v>0</v>
      </c>
      <c r="Y5" s="55" t="s">
        <v>35</v>
      </c>
      <c r="Z5" s="56">
        <f t="shared" si="10"/>
        <v>-0.69</v>
      </c>
      <c r="AA5" s="55">
        <v>0.15946875000000002</v>
      </c>
      <c r="AB5" s="55">
        <f t="shared" si="11"/>
        <v>-4.1537622656250006</v>
      </c>
      <c r="AC5" s="55">
        <v>-3.28</v>
      </c>
      <c r="AD5" s="55">
        <v>-8.6470085470085465</v>
      </c>
      <c r="AE5" s="55">
        <v>0</v>
      </c>
      <c r="AF5" s="55"/>
    </row>
    <row r="6" spans="1:32" s="57" customFormat="1" ht="15.75" customHeight="1">
      <c r="A6" s="2" t="s">
        <v>51</v>
      </c>
      <c r="B6" s="2" t="s">
        <v>182</v>
      </c>
      <c r="C6" s="51">
        <v>25.99</v>
      </c>
      <c r="D6" s="51">
        <v>16</v>
      </c>
      <c r="E6" s="51">
        <v>0</v>
      </c>
      <c r="F6" s="51">
        <v>426.84000000000009</v>
      </c>
      <c r="G6" s="51">
        <v>-2.52</v>
      </c>
      <c r="H6" s="51">
        <f t="shared" si="1"/>
        <v>5.9038515603036254E-3</v>
      </c>
      <c r="I6" s="51">
        <f t="shared" si="2"/>
        <v>0.38857245846157418</v>
      </c>
      <c r="J6" s="51">
        <f t="shared" si="4"/>
        <v>165.85826816973835</v>
      </c>
      <c r="K6" s="51">
        <f t="shared" si="3"/>
        <v>10.366141760608647</v>
      </c>
      <c r="L6" s="51">
        <v>138</v>
      </c>
      <c r="M6" s="51">
        <f t="shared" si="5"/>
        <v>0.11594202898550725</v>
      </c>
      <c r="N6" s="51">
        <v>131</v>
      </c>
      <c r="O6" s="51">
        <f t="shared" ref="O6:P6" si="13">D6/7</f>
        <v>2.2857142857142856</v>
      </c>
      <c r="P6" s="51">
        <f t="shared" si="13"/>
        <v>0</v>
      </c>
      <c r="Q6" s="51">
        <f t="shared" si="7"/>
        <v>57</v>
      </c>
      <c r="R6" s="55">
        <v>0</v>
      </c>
      <c r="S6" s="53" t="s">
        <v>34</v>
      </c>
      <c r="T6" s="54" t="s">
        <v>34</v>
      </c>
      <c r="U6" s="55">
        <v>0</v>
      </c>
      <c r="V6" s="55">
        <f t="shared" si="8"/>
        <v>0</v>
      </c>
      <c r="W6" s="55">
        <f t="shared" si="9"/>
        <v>0</v>
      </c>
      <c r="X6" s="55">
        <v>0</v>
      </c>
      <c r="Y6" s="55" t="s">
        <v>35</v>
      </c>
      <c r="Z6" s="56">
        <f t="shared" si="10"/>
        <v>-0.69</v>
      </c>
      <c r="AA6" s="55">
        <v>0.15946875000000002</v>
      </c>
      <c r="AB6" s="55">
        <f t="shared" si="11"/>
        <v>-3.6035950781250006</v>
      </c>
      <c r="AC6" s="55">
        <v>-3.28</v>
      </c>
      <c r="AD6" s="55">
        <v>-8.6470085470085465</v>
      </c>
      <c r="AE6" s="55">
        <v>0</v>
      </c>
      <c r="AF6" s="55"/>
    </row>
    <row r="7" spans="1:32" s="57" customFormat="1" ht="15.75" customHeight="1">
      <c r="A7" s="2" t="s">
        <v>53</v>
      </c>
      <c r="B7" s="2"/>
      <c r="C7" s="51">
        <v>25.99</v>
      </c>
      <c r="D7" s="51">
        <v>16</v>
      </c>
      <c r="E7" s="51">
        <v>0</v>
      </c>
      <c r="F7" s="51">
        <v>415.84000000000009</v>
      </c>
      <c r="G7" s="51">
        <v>-3.9600000000000004</v>
      </c>
      <c r="H7" s="51">
        <f t="shared" si="1"/>
        <v>9.5228934205463626E-3</v>
      </c>
      <c r="I7" s="51">
        <f t="shared" si="2"/>
        <v>0.37356519758437934</v>
      </c>
      <c r="J7" s="51">
        <f t="shared" si="4"/>
        <v>155.34335176348833</v>
      </c>
      <c r="K7" s="51">
        <f t="shared" si="3"/>
        <v>9.7089594852180205</v>
      </c>
      <c r="L7" s="51">
        <v>119</v>
      </c>
      <c r="M7" s="51">
        <f t="shared" si="5"/>
        <v>0.13445378151260504</v>
      </c>
      <c r="N7" s="51">
        <v>121</v>
      </c>
      <c r="O7" s="51">
        <f t="shared" ref="O7:P7" si="14">D7/7</f>
        <v>2.2857142857142856</v>
      </c>
      <c r="P7" s="51">
        <f t="shared" si="14"/>
        <v>0</v>
      </c>
      <c r="Q7" s="51">
        <f t="shared" si="7"/>
        <v>52</v>
      </c>
      <c r="R7" s="55">
        <v>0</v>
      </c>
      <c r="S7" s="53" t="s">
        <v>34</v>
      </c>
      <c r="T7" s="54" t="s">
        <v>34</v>
      </c>
      <c r="U7" s="55">
        <v>1</v>
      </c>
      <c r="V7" s="55">
        <f t="shared" si="8"/>
        <v>6.25E-2</v>
      </c>
      <c r="W7" s="55">
        <f t="shared" si="9"/>
        <v>3.9600000000000004</v>
      </c>
      <c r="X7" s="55">
        <v>0</v>
      </c>
      <c r="Y7" s="55" t="s">
        <v>35</v>
      </c>
      <c r="Z7" s="56">
        <f t="shared" si="10"/>
        <v>-0.69</v>
      </c>
      <c r="AA7" s="55">
        <v>0.15946875000000002</v>
      </c>
      <c r="AB7" s="55">
        <f t="shared" si="11"/>
        <v>-3.3285114843750003</v>
      </c>
      <c r="AC7" s="55">
        <v>-3.28</v>
      </c>
      <c r="AD7" s="55">
        <v>-8.6470085470085465</v>
      </c>
      <c r="AE7" s="55">
        <v>0</v>
      </c>
      <c r="AF7" s="55"/>
    </row>
    <row r="8" spans="1:32" s="57" customFormat="1" ht="15.75" customHeight="1">
      <c r="A8" s="2" t="s">
        <v>54</v>
      </c>
      <c r="B8" s="2" t="s">
        <v>183</v>
      </c>
      <c r="C8" s="51">
        <v>25.99</v>
      </c>
      <c r="D8" s="51">
        <v>21</v>
      </c>
      <c r="E8" s="51">
        <v>0</v>
      </c>
      <c r="F8" s="51">
        <v>519.80000000000007</v>
      </c>
      <c r="G8" s="51">
        <v>-10.32</v>
      </c>
      <c r="H8" s="51">
        <f t="shared" si="1"/>
        <v>1.9853789919199689E-2</v>
      </c>
      <c r="I8" s="51">
        <f t="shared" si="2"/>
        <v>0.34310696670656132</v>
      </c>
      <c r="J8" s="51">
        <f t="shared" si="4"/>
        <v>178.34700129407059</v>
      </c>
      <c r="K8" s="51">
        <f t="shared" si="3"/>
        <v>8.4927143473366957</v>
      </c>
      <c r="L8" s="51">
        <v>112</v>
      </c>
      <c r="M8" s="51">
        <f t="shared" si="5"/>
        <v>0.1875</v>
      </c>
      <c r="N8" s="51">
        <v>98</v>
      </c>
      <c r="O8" s="51">
        <f t="shared" ref="O8:P8" si="15">D8/7</f>
        <v>3</v>
      </c>
      <c r="P8" s="51">
        <f t="shared" si="15"/>
        <v>0</v>
      </c>
      <c r="Q8" s="51">
        <f t="shared" si="7"/>
        <v>32</v>
      </c>
      <c r="R8" s="55">
        <v>0</v>
      </c>
      <c r="S8" s="53" t="s">
        <v>34</v>
      </c>
      <c r="T8" s="54" t="s">
        <v>34</v>
      </c>
      <c r="U8" s="55">
        <v>0</v>
      </c>
      <c r="V8" s="55">
        <f t="shared" si="8"/>
        <v>0</v>
      </c>
      <c r="W8" s="55">
        <f t="shared" si="9"/>
        <v>0</v>
      </c>
      <c r="X8" s="55">
        <v>0</v>
      </c>
      <c r="Y8" s="55" t="s">
        <v>35</v>
      </c>
      <c r="Z8" s="56">
        <f t="shared" si="10"/>
        <v>-0.69</v>
      </c>
      <c r="AA8" s="55">
        <v>0.15946875000000002</v>
      </c>
      <c r="AB8" s="55">
        <f t="shared" si="11"/>
        <v>-2.6958192187500001</v>
      </c>
      <c r="AC8" s="55">
        <v>-3.28</v>
      </c>
      <c r="AD8" s="55">
        <v>-8.6470085470085465</v>
      </c>
      <c r="AE8" s="55">
        <v>0</v>
      </c>
      <c r="AF8" s="55"/>
    </row>
    <row r="9" spans="1:32" s="57" customFormat="1" ht="15.75" customHeight="1">
      <c r="A9" s="2" t="s">
        <v>56</v>
      </c>
      <c r="B9" s="2" t="s">
        <v>184</v>
      </c>
      <c r="C9" s="51">
        <v>26.99</v>
      </c>
      <c r="D9" s="51">
        <v>12</v>
      </c>
      <c r="E9" s="51">
        <v>0</v>
      </c>
      <c r="F9" s="51">
        <v>322.88000000000005</v>
      </c>
      <c r="G9" s="51">
        <v>-7.08</v>
      </c>
      <c r="H9" s="51">
        <f t="shared" si="1"/>
        <v>2.1927651139742314E-2</v>
      </c>
      <c r="I9" s="51">
        <f t="shared" si="2"/>
        <v>0.37704607511388899</v>
      </c>
      <c r="J9" s="51">
        <f t="shared" si="4"/>
        <v>121.7406367327725</v>
      </c>
      <c r="K9" s="51">
        <f t="shared" si="3"/>
        <v>10.145053061064376</v>
      </c>
      <c r="L9" s="51">
        <v>139</v>
      </c>
      <c r="M9" s="51">
        <f t="shared" si="5"/>
        <v>8.6330935251798566E-2</v>
      </c>
      <c r="N9" s="51">
        <v>91</v>
      </c>
      <c r="O9" s="51">
        <f t="shared" ref="O9:P9" si="16">D9/7</f>
        <v>1.7142857142857142</v>
      </c>
      <c r="P9" s="51">
        <f t="shared" si="16"/>
        <v>0</v>
      </c>
      <c r="Q9" s="51">
        <f t="shared" si="7"/>
        <v>53</v>
      </c>
      <c r="R9" s="55">
        <v>180</v>
      </c>
      <c r="S9" s="53" t="s">
        <v>34</v>
      </c>
      <c r="T9" s="54" t="s">
        <v>34</v>
      </c>
      <c r="U9" s="55">
        <v>0</v>
      </c>
      <c r="V9" s="55">
        <f t="shared" si="8"/>
        <v>0</v>
      </c>
      <c r="W9" s="55">
        <f t="shared" si="9"/>
        <v>0</v>
      </c>
      <c r="X9" s="55">
        <v>0</v>
      </c>
      <c r="Y9" s="55" t="s">
        <v>35</v>
      </c>
      <c r="Z9" s="56">
        <f t="shared" si="10"/>
        <v>-0.69</v>
      </c>
      <c r="AA9" s="55">
        <v>0.15946875000000002</v>
      </c>
      <c r="AB9" s="55">
        <f t="shared" si="11"/>
        <v>-2.503260703125</v>
      </c>
      <c r="AC9" s="55">
        <v>-3.28</v>
      </c>
      <c r="AD9" s="55">
        <v>-8.6470085470085465</v>
      </c>
      <c r="AE9" s="55">
        <v>0</v>
      </c>
      <c r="AF9" s="55"/>
    </row>
    <row r="10" spans="1:32" s="57" customFormat="1" ht="15.75" customHeight="1">
      <c r="A10" s="2" t="s">
        <v>58</v>
      </c>
      <c r="B10" s="2" t="s">
        <v>185</v>
      </c>
      <c r="C10" s="51">
        <v>26.99</v>
      </c>
      <c r="D10" s="51">
        <v>12</v>
      </c>
      <c r="E10" s="51">
        <v>0</v>
      </c>
      <c r="F10" s="51">
        <v>333.88000000000005</v>
      </c>
      <c r="G10" s="51">
        <v>-0.29000000000000004</v>
      </c>
      <c r="H10" s="51">
        <f t="shared" si="1"/>
        <v>8.6857553612076195E-4</v>
      </c>
      <c r="I10" s="51">
        <f t="shared" si="2"/>
        <v>0.41428288751279646</v>
      </c>
      <c r="J10" s="51">
        <f t="shared" si="4"/>
        <v>138.3207704827725</v>
      </c>
      <c r="K10" s="51">
        <f t="shared" si="3"/>
        <v>11.526730873564375</v>
      </c>
      <c r="L10" s="51">
        <v>134</v>
      </c>
      <c r="M10" s="51">
        <f t="shared" si="5"/>
        <v>8.9552238805970144E-2</v>
      </c>
      <c r="N10" s="51">
        <v>75</v>
      </c>
      <c r="O10" s="51">
        <f t="shared" ref="O10:P10" si="17">D10/7</f>
        <v>1.7142857142857142</v>
      </c>
      <c r="P10" s="51">
        <f t="shared" si="17"/>
        <v>0</v>
      </c>
      <c r="Q10" s="51">
        <f t="shared" si="7"/>
        <v>43</v>
      </c>
      <c r="R10" s="55">
        <v>180</v>
      </c>
      <c r="S10" s="53" t="s">
        <v>34</v>
      </c>
      <c r="T10" s="54" t="s">
        <v>34</v>
      </c>
      <c r="U10" s="55">
        <v>0</v>
      </c>
      <c r="V10" s="55">
        <f t="shared" si="8"/>
        <v>0</v>
      </c>
      <c r="W10" s="55">
        <f t="shared" si="9"/>
        <v>0</v>
      </c>
      <c r="X10" s="55">
        <v>0</v>
      </c>
      <c r="Y10" s="55" t="s">
        <v>35</v>
      </c>
      <c r="Z10" s="56">
        <f t="shared" si="10"/>
        <v>-0.69</v>
      </c>
      <c r="AA10" s="55">
        <v>0.15946875000000002</v>
      </c>
      <c r="AB10" s="55">
        <f t="shared" si="11"/>
        <v>-2.0631269531250003</v>
      </c>
      <c r="AC10" s="55">
        <v>-3.28</v>
      </c>
      <c r="AD10" s="55">
        <v>-8.6470085470085465</v>
      </c>
      <c r="AE10" s="55">
        <v>0</v>
      </c>
      <c r="AF10" s="55"/>
    </row>
    <row r="11" spans="1:32" s="57" customFormat="1" ht="15.75" customHeight="1">
      <c r="A11" s="2" t="s">
        <v>60</v>
      </c>
      <c r="B11" s="2" t="s">
        <v>186</v>
      </c>
      <c r="C11" s="51">
        <v>27.99</v>
      </c>
      <c r="D11" s="51">
        <v>12</v>
      </c>
      <c r="E11" s="51">
        <v>0</v>
      </c>
      <c r="F11" s="51">
        <v>319.88000000000005</v>
      </c>
      <c r="G11" s="51">
        <v>-0.16</v>
      </c>
      <c r="H11" s="51">
        <f t="shared" si="1"/>
        <v>5.0018757033887696E-4</v>
      </c>
      <c r="I11" s="51">
        <f t="shared" si="2"/>
        <v>0.3881167015217345</v>
      </c>
      <c r="J11" s="51">
        <f t="shared" si="4"/>
        <v>124.15077048277244</v>
      </c>
      <c r="K11" s="51">
        <f t="shared" si="3"/>
        <v>10.345897540231038</v>
      </c>
      <c r="L11" s="51">
        <v>130</v>
      </c>
      <c r="M11" s="51">
        <f t="shared" si="5"/>
        <v>9.2307692307692313E-2</v>
      </c>
      <c r="N11" s="51">
        <v>69</v>
      </c>
      <c r="O11" s="51">
        <f t="shared" ref="O11:P11" si="18">D11/7</f>
        <v>1.7142857142857142</v>
      </c>
      <c r="P11" s="51">
        <f t="shared" si="18"/>
        <v>0</v>
      </c>
      <c r="Q11" s="51">
        <f t="shared" si="7"/>
        <v>40</v>
      </c>
      <c r="R11" s="55">
        <v>180</v>
      </c>
      <c r="S11" s="53" t="s">
        <v>34</v>
      </c>
      <c r="T11" s="54" t="s">
        <v>34</v>
      </c>
      <c r="U11" s="55">
        <v>0</v>
      </c>
      <c r="V11" s="55">
        <f t="shared" si="8"/>
        <v>0</v>
      </c>
      <c r="W11" s="55">
        <f t="shared" si="9"/>
        <v>0</v>
      </c>
      <c r="X11" s="55">
        <v>0</v>
      </c>
      <c r="Y11" s="55" t="s">
        <v>35</v>
      </c>
      <c r="Z11" s="56">
        <f t="shared" ref="Z11:Z39" si="19">IF(OR(Y11="UsLargeStandardSize",Y11="UsSmallStandardSize"),-0.75,-0.48)</f>
        <v>-0.75</v>
      </c>
      <c r="AA11" s="55">
        <v>0.15946875000000002</v>
      </c>
      <c r="AB11" s="55">
        <f t="shared" si="11"/>
        <v>-2.0631269531250003</v>
      </c>
      <c r="AC11" s="55">
        <v>-3.48</v>
      </c>
      <c r="AD11" s="55">
        <v>-8.6470085470085465</v>
      </c>
      <c r="AE11" s="55">
        <v>0</v>
      </c>
      <c r="AF11" s="55"/>
    </row>
    <row r="12" spans="1:32" s="57" customFormat="1" ht="15.75" customHeight="1">
      <c r="A12" s="2" t="s">
        <v>62</v>
      </c>
      <c r="B12" s="2" t="s">
        <v>187</v>
      </c>
      <c r="C12" s="51">
        <v>25.99</v>
      </c>
      <c r="D12" s="51">
        <v>17</v>
      </c>
      <c r="E12" s="51">
        <v>0</v>
      </c>
      <c r="F12" s="51">
        <v>422.83000000000004</v>
      </c>
      <c r="G12" s="51">
        <v>-0.30000000000000004</v>
      </c>
      <c r="H12" s="51">
        <f t="shared" si="1"/>
        <v>7.0950500201026417E-4</v>
      </c>
      <c r="I12" s="51">
        <f t="shared" si="2"/>
        <v>0.3585385074917336</v>
      </c>
      <c r="J12" s="51">
        <f t="shared" si="4"/>
        <v>151.60083712272973</v>
      </c>
      <c r="K12" s="51">
        <f t="shared" si="3"/>
        <v>8.9176963013370436</v>
      </c>
      <c r="L12" s="51">
        <v>132</v>
      </c>
      <c r="M12" s="51">
        <f t="shared" si="5"/>
        <v>0.12878787878787878</v>
      </c>
      <c r="N12" s="51">
        <v>45</v>
      </c>
      <c r="O12" s="51">
        <f t="shared" ref="O12:P12" si="20">D12/7</f>
        <v>2.4285714285714284</v>
      </c>
      <c r="P12" s="51">
        <f t="shared" si="20"/>
        <v>0</v>
      </c>
      <c r="Q12" s="51">
        <f t="shared" si="7"/>
        <v>18</v>
      </c>
      <c r="R12" s="55">
        <v>180</v>
      </c>
      <c r="S12" s="53">
        <v>180</v>
      </c>
      <c r="T12" s="54">
        <v>43896</v>
      </c>
      <c r="U12" s="55">
        <v>0</v>
      </c>
      <c r="V12" s="55">
        <f t="shared" si="8"/>
        <v>0</v>
      </c>
      <c r="W12" s="55">
        <f t="shared" si="9"/>
        <v>0</v>
      </c>
      <c r="X12" s="55">
        <v>0</v>
      </c>
      <c r="Y12" s="55" t="s">
        <v>35</v>
      </c>
      <c r="Z12" s="56">
        <f t="shared" si="19"/>
        <v>-0.75</v>
      </c>
      <c r="AA12" s="55">
        <v>0.15946875000000002</v>
      </c>
      <c r="AB12" s="55">
        <f t="shared" si="11"/>
        <v>-1.3455175781250002</v>
      </c>
      <c r="AC12" s="55">
        <v>-3.48</v>
      </c>
      <c r="AD12" s="55">
        <v>-8.6470085470085465</v>
      </c>
      <c r="AE12" s="55">
        <v>0</v>
      </c>
      <c r="AF12" s="55"/>
    </row>
    <row r="13" spans="1:32" s="57" customFormat="1" ht="15.75" customHeight="1">
      <c r="A13" s="2" t="s">
        <v>63</v>
      </c>
      <c r="B13" s="2" t="s">
        <v>147</v>
      </c>
      <c r="C13" s="51">
        <v>27.99</v>
      </c>
      <c r="D13" s="51">
        <v>21</v>
      </c>
      <c r="E13" s="51">
        <v>0</v>
      </c>
      <c r="F13" s="51">
        <v>543.79000000000008</v>
      </c>
      <c r="G13" s="51">
        <v>-0.32</v>
      </c>
      <c r="H13" s="51">
        <f t="shared" si="1"/>
        <v>5.8846245793412887E-4</v>
      </c>
      <c r="I13" s="51">
        <f t="shared" si="2"/>
        <v>0.37949798485572661</v>
      </c>
      <c r="J13" s="51">
        <f t="shared" si="4"/>
        <v>206.36720918469561</v>
      </c>
      <c r="K13" s="51">
        <f t="shared" si="3"/>
        <v>9.8270099611759818</v>
      </c>
      <c r="L13" s="51">
        <v>129</v>
      </c>
      <c r="M13" s="51">
        <f t="shared" si="5"/>
        <v>0.16279069767441862</v>
      </c>
      <c r="N13" s="51">
        <v>29</v>
      </c>
      <c r="O13" s="51">
        <f t="shared" ref="O13:P13" si="21">D13/7</f>
        <v>3</v>
      </c>
      <c r="P13" s="51">
        <f t="shared" si="21"/>
        <v>0</v>
      </c>
      <c r="Q13" s="51">
        <f t="shared" si="7"/>
        <v>9</v>
      </c>
      <c r="R13" s="55">
        <v>0</v>
      </c>
      <c r="S13" s="53" t="s">
        <v>34</v>
      </c>
      <c r="T13" s="54" t="s">
        <v>34</v>
      </c>
      <c r="U13" s="55">
        <v>0</v>
      </c>
      <c r="V13" s="55">
        <f t="shared" si="8"/>
        <v>0</v>
      </c>
      <c r="W13" s="55">
        <f t="shared" si="9"/>
        <v>0.32</v>
      </c>
      <c r="X13" s="55">
        <v>1</v>
      </c>
      <c r="Y13" s="55" t="s">
        <v>35</v>
      </c>
      <c r="Z13" s="56">
        <f t="shared" si="19"/>
        <v>-0.75</v>
      </c>
      <c r="AA13" s="55">
        <v>0.15946875000000002</v>
      </c>
      <c r="AB13" s="55">
        <f t="shared" si="11"/>
        <v>-0.86711132812500002</v>
      </c>
      <c r="AC13" s="55">
        <v>-3.48</v>
      </c>
      <c r="AD13" s="55">
        <v>-8.6470085470085465</v>
      </c>
      <c r="AE13" s="55">
        <v>0</v>
      </c>
      <c r="AF13" s="55"/>
    </row>
    <row r="14" spans="1:32" s="57" customFormat="1" ht="15.75" customHeight="1">
      <c r="A14" s="2" t="s">
        <v>64</v>
      </c>
      <c r="B14" s="2"/>
      <c r="C14" s="51">
        <v>24.99</v>
      </c>
      <c r="D14" s="51">
        <v>15</v>
      </c>
      <c r="E14" s="51">
        <v>0</v>
      </c>
      <c r="F14" s="51">
        <v>397.85000000000008</v>
      </c>
      <c r="G14" s="51">
        <v>-0.16</v>
      </c>
      <c r="H14" s="51">
        <f t="shared" si="1"/>
        <v>4.0216161870051519E-4</v>
      </c>
      <c r="I14" s="51">
        <f t="shared" si="2"/>
        <v>0.37884957014546139</v>
      </c>
      <c r="J14" s="51">
        <f t="shared" si="4"/>
        <v>150.72530148237183</v>
      </c>
      <c r="K14" s="51">
        <f t="shared" si="3"/>
        <v>10.048353432158121</v>
      </c>
      <c r="L14" s="51">
        <v>130</v>
      </c>
      <c r="M14" s="51">
        <f t="shared" si="5"/>
        <v>0.11538461538461539</v>
      </c>
      <c r="N14" s="51">
        <v>180</v>
      </c>
      <c r="O14" s="51">
        <f t="shared" ref="O14:P14" si="22">D14/7</f>
        <v>2.1428571428571428</v>
      </c>
      <c r="P14" s="51">
        <f t="shared" si="22"/>
        <v>0</v>
      </c>
      <c r="Q14" s="51">
        <f t="shared" si="7"/>
        <v>84</v>
      </c>
      <c r="R14" s="55">
        <v>0</v>
      </c>
      <c r="S14" s="53" t="s">
        <v>34</v>
      </c>
      <c r="T14" s="54" t="s">
        <v>34</v>
      </c>
      <c r="U14" s="55">
        <v>0</v>
      </c>
      <c r="V14" s="55">
        <f t="shared" si="8"/>
        <v>0</v>
      </c>
      <c r="W14" s="55">
        <f t="shared" si="9"/>
        <v>0</v>
      </c>
      <c r="X14" s="55">
        <v>0</v>
      </c>
      <c r="Y14" s="55" t="s">
        <v>35</v>
      </c>
      <c r="Z14" s="56">
        <f t="shared" si="19"/>
        <v>-0.75</v>
      </c>
      <c r="AA14" s="55">
        <v>0.15946875000000002</v>
      </c>
      <c r="AB14" s="55">
        <f t="shared" si="11"/>
        <v>-5.3820703125000007</v>
      </c>
      <c r="AC14" s="55">
        <v>-3.48</v>
      </c>
      <c r="AD14" s="55">
        <v>-8.6470085470085465</v>
      </c>
      <c r="AE14" s="55">
        <v>0</v>
      </c>
      <c r="AF14" s="55"/>
    </row>
    <row r="15" spans="1:32" s="57" customFormat="1" ht="15.75" customHeight="1">
      <c r="A15" s="2" t="s">
        <v>65</v>
      </c>
      <c r="B15" s="2" t="s">
        <v>188</v>
      </c>
      <c r="C15" s="51">
        <v>24.99</v>
      </c>
      <c r="D15" s="51">
        <v>8</v>
      </c>
      <c r="E15" s="51">
        <v>0</v>
      </c>
      <c r="F15" s="51">
        <v>201.92000000000002</v>
      </c>
      <c r="G15" s="51">
        <v>0</v>
      </c>
      <c r="H15" s="51">
        <f t="shared" si="1"/>
        <v>0</v>
      </c>
      <c r="I15" s="51">
        <f t="shared" si="2"/>
        <v>0.34347000234712571</v>
      </c>
      <c r="J15" s="51">
        <f t="shared" si="4"/>
        <v>69.353462873931633</v>
      </c>
      <c r="K15" s="51">
        <f t="shared" si="3"/>
        <v>8.6691828592414542</v>
      </c>
      <c r="L15" s="51">
        <v>112</v>
      </c>
      <c r="M15" s="51">
        <f t="shared" si="5"/>
        <v>7.1428571428571425E-2</v>
      </c>
      <c r="N15" s="51">
        <v>176</v>
      </c>
      <c r="O15" s="51">
        <f t="shared" ref="O15:P15" si="23">D15/7</f>
        <v>1.1428571428571428</v>
      </c>
      <c r="P15" s="51">
        <f t="shared" si="23"/>
        <v>0</v>
      </c>
      <c r="Q15" s="51">
        <f t="shared" si="7"/>
        <v>154</v>
      </c>
      <c r="R15" s="55">
        <v>0</v>
      </c>
      <c r="S15" s="53" t="s">
        <v>34</v>
      </c>
      <c r="T15" s="54" t="s">
        <v>34</v>
      </c>
      <c r="U15" s="55">
        <v>0</v>
      </c>
      <c r="V15" s="55">
        <f t="shared" si="8"/>
        <v>0</v>
      </c>
      <c r="W15" s="55">
        <f t="shared" si="9"/>
        <v>0</v>
      </c>
      <c r="X15" s="55">
        <v>0</v>
      </c>
      <c r="Y15" s="55" t="s">
        <v>35</v>
      </c>
      <c r="Z15" s="56">
        <f t="shared" si="19"/>
        <v>-0.75</v>
      </c>
      <c r="AA15" s="55">
        <v>0.15946875000000002</v>
      </c>
      <c r="AB15" s="55">
        <f t="shared" si="11"/>
        <v>-5.26246875</v>
      </c>
      <c r="AC15" s="55">
        <v>-3.48</v>
      </c>
      <c r="AD15" s="55">
        <v>-8.6470085470085465</v>
      </c>
      <c r="AE15" s="55">
        <v>0</v>
      </c>
      <c r="AF15" s="55"/>
    </row>
    <row r="16" spans="1:32" s="57" customFormat="1" ht="15.75" customHeight="1">
      <c r="A16" s="2" t="s">
        <v>66</v>
      </c>
      <c r="B16" s="2" t="s">
        <v>189</v>
      </c>
      <c r="C16" s="51">
        <v>25.99</v>
      </c>
      <c r="D16" s="51">
        <v>8</v>
      </c>
      <c r="E16" s="51">
        <v>0</v>
      </c>
      <c r="F16" s="51">
        <v>201.92000000000002</v>
      </c>
      <c r="G16" s="51">
        <v>-0.08</v>
      </c>
      <c r="H16" s="51">
        <f t="shared" si="1"/>
        <v>3.9619651347068142E-4</v>
      </c>
      <c r="I16" s="51">
        <f t="shared" si="2"/>
        <v>0.34499885079267339</v>
      </c>
      <c r="J16" s="51">
        <f t="shared" si="4"/>
        <v>69.66216795205662</v>
      </c>
      <c r="K16" s="51">
        <f t="shared" si="3"/>
        <v>8.7077709940070775</v>
      </c>
      <c r="L16" s="51">
        <v>100</v>
      </c>
      <c r="M16" s="51">
        <f t="shared" si="5"/>
        <v>0.08</v>
      </c>
      <c r="N16" s="51">
        <v>163</v>
      </c>
      <c r="O16" s="51">
        <f t="shared" ref="O16:P16" si="24">D16/7</f>
        <v>1.1428571428571428</v>
      </c>
      <c r="P16" s="51">
        <f t="shared" si="24"/>
        <v>0</v>
      </c>
      <c r="Q16" s="51">
        <f t="shared" si="7"/>
        <v>142</v>
      </c>
      <c r="R16" s="55">
        <v>0</v>
      </c>
      <c r="S16" s="53" t="s">
        <v>34</v>
      </c>
      <c r="T16" s="54" t="s">
        <v>34</v>
      </c>
      <c r="U16" s="55">
        <v>0</v>
      </c>
      <c r="V16" s="55">
        <f t="shared" si="8"/>
        <v>0</v>
      </c>
      <c r="W16" s="55">
        <f t="shared" si="9"/>
        <v>0</v>
      </c>
      <c r="X16" s="55">
        <v>0</v>
      </c>
      <c r="Y16" s="55" t="s">
        <v>35</v>
      </c>
      <c r="Z16" s="56">
        <f t="shared" si="19"/>
        <v>-0.75</v>
      </c>
      <c r="AA16" s="55">
        <v>0.15946875000000002</v>
      </c>
      <c r="AB16" s="55">
        <f t="shared" si="11"/>
        <v>-4.8737636718750004</v>
      </c>
      <c r="AC16" s="55">
        <v>-3.48</v>
      </c>
      <c r="AD16" s="55">
        <v>-8.6470085470085465</v>
      </c>
      <c r="AE16" s="55">
        <v>0</v>
      </c>
      <c r="AF16" s="55"/>
    </row>
    <row r="17" spans="1:32" s="57" customFormat="1" ht="15.75" customHeight="1">
      <c r="A17" s="2" t="s">
        <v>67</v>
      </c>
      <c r="B17" s="2" t="s">
        <v>190</v>
      </c>
      <c r="C17" s="51">
        <v>24.99</v>
      </c>
      <c r="D17" s="51">
        <v>4</v>
      </c>
      <c r="E17" s="51">
        <v>0</v>
      </c>
      <c r="F17" s="51">
        <v>102.96</v>
      </c>
      <c r="G17" s="51">
        <v>0</v>
      </c>
      <c r="H17" s="51">
        <f t="shared" si="1"/>
        <v>0</v>
      </c>
      <c r="I17" s="51">
        <f t="shared" si="2"/>
        <v>0.33239999331746123</v>
      </c>
      <c r="J17" s="51">
        <f t="shared" si="4"/>
        <v>34.223903311965806</v>
      </c>
      <c r="K17" s="51">
        <f t="shared" si="3"/>
        <v>8.5559758279914515</v>
      </c>
      <c r="L17" s="51">
        <v>84</v>
      </c>
      <c r="M17" s="51">
        <f t="shared" si="5"/>
        <v>4.7619047619047616E-2</v>
      </c>
      <c r="N17" s="51">
        <v>160</v>
      </c>
      <c r="O17" s="51">
        <f t="shared" ref="O17:P17" si="25">D17/7</f>
        <v>0.5714285714285714</v>
      </c>
      <c r="P17" s="51">
        <f t="shared" si="25"/>
        <v>0</v>
      </c>
      <c r="Q17" s="51">
        <f t="shared" si="7"/>
        <v>280</v>
      </c>
      <c r="R17" s="55">
        <v>0</v>
      </c>
      <c r="S17" s="53" t="s">
        <v>34</v>
      </c>
      <c r="T17" s="54" t="s">
        <v>34</v>
      </c>
      <c r="U17" s="55">
        <v>0</v>
      </c>
      <c r="V17" s="55">
        <f t="shared" si="8"/>
        <v>0</v>
      </c>
      <c r="W17" s="55">
        <f t="shared" si="9"/>
        <v>0</v>
      </c>
      <c r="X17" s="55">
        <v>0</v>
      </c>
      <c r="Y17" s="55" t="s">
        <v>35</v>
      </c>
      <c r="Z17" s="56">
        <f t="shared" si="19"/>
        <v>-0.75</v>
      </c>
      <c r="AA17" s="55">
        <v>0.15946875000000002</v>
      </c>
      <c r="AB17" s="55">
        <f t="shared" si="11"/>
        <v>-4.7840625000000001</v>
      </c>
      <c r="AC17" s="55">
        <v>-3.48</v>
      </c>
      <c r="AD17" s="55">
        <v>-8.6470085470085465</v>
      </c>
      <c r="AE17" s="55">
        <v>0</v>
      </c>
      <c r="AF17" s="55"/>
    </row>
    <row r="18" spans="1:32" s="57" customFormat="1" ht="15.75" customHeight="1">
      <c r="A18" s="2" t="s">
        <v>69</v>
      </c>
      <c r="B18" s="2" t="s">
        <v>191</v>
      </c>
      <c r="C18" s="51">
        <v>22.99</v>
      </c>
      <c r="D18" s="51">
        <v>5</v>
      </c>
      <c r="E18" s="51">
        <v>0</v>
      </c>
      <c r="F18" s="51">
        <v>119.94999999999999</v>
      </c>
      <c r="G18" s="51">
        <v>-12.819999999999999</v>
      </c>
      <c r="H18" s="51">
        <f t="shared" si="1"/>
        <v>0.10687786577740725</v>
      </c>
      <c r="I18" s="51">
        <f t="shared" si="2"/>
        <v>0.22266305816971455</v>
      </c>
      <c r="J18" s="51">
        <f t="shared" si="4"/>
        <v>26.708433827457256</v>
      </c>
      <c r="K18" s="51">
        <f t="shared" si="3"/>
        <v>5.3416867654914508</v>
      </c>
      <c r="L18" s="51">
        <v>135</v>
      </c>
      <c r="M18" s="51">
        <f t="shared" si="5"/>
        <v>3.7037037037037035E-2</v>
      </c>
      <c r="N18" s="51">
        <v>152</v>
      </c>
      <c r="O18" s="51">
        <f t="shared" ref="O18:P18" si="26">D18/7</f>
        <v>0.7142857142857143</v>
      </c>
      <c r="P18" s="51">
        <f t="shared" si="26"/>
        <v>0</v>
      </c>
      <c r="Q18" s="51">
        <f t="shared" si="7"/>
        <v>212</v>
      </c>
      <c r="R18" s="55">
        <v>0</v>
      </c>
      <c r="S18" s="53" t="s">
        <v>34</v>
      </c>
      <c r="T18" s="54" t="s">
        <v>34</v>
      </c>
      <c r="U18" s="55">
        <v>0</v>
      </c>
      <c r="V18" s="55">
        <f t="shared" si="8"/>
        <v>0</v>
      </c>
      <c r="W18" s="55">
        <f t="shared" si="9"/>
        <v>0</v>
      </c>
      <c r="X18" s="55">
        <v>0</v>
      </c>
      <c r="Y18" s="55" t="s">
        <v>35</v>
      </c>
      <c r="Z18" s="56">
        <f t="shared" si="19"/>
        <v>-0.75</v>
      </c>
      <c r="AA18" s="55">
        <v>0.15946875000000002</v>
      </c>
      <c r="AB18" s="58">
        <f t="shared" ref="AB18:AB39" si="27">IFERROR(Z18*AA18*D18*3,0)</f>
        <v>-1.7940234374999999</v>
      </c>
      <c r="AC18" s="55">
        <v>-3.48</v>
      </c>
      <c r="AD18" s="55">
        <v>-8.6470085470085465</v>
      </c>
      <c r="AE18" s="55">
        <v>0</v>
      </c>
      <c r="AF18" s="55"/>
    </row>
    <row r="19" spans="1:32" s="57" customFormat="1" ht="15.75" customHeight="1">
      <c r="A19" s="2" t="s">
        <v>71</v>
      </c>
      <c r="B19" s="2" t="s">
        <v>192</v>
      </c>
      <c r="C19" s="51">
        <v>18.989999999999998</v>
      </c>
      <c r="D19" s="51">
        <v>10</v>
      </c>
      <c r="E19" s="51">
        <v>0</v>
      </c>
      <c r="F19" s="51">
        <v>207.9</v>
      </c>
      <c r="G19" s="51">
        <v>-21.1</v>
      </c>
      <c r="H19" s="51">
        <f t="shared" si="1"/>
        <v>0.10149110149110149</v>
      </c>
      <c r="I19" s="51">
        <f t="shared" si="2"/>
        <v>0.14794068136082034</v>
      </c>
      <c r="J19" s="51">
        <f t="shared" si="4"/>
        <v>30.756867654914547</v>
      </c>
      <c r="K19" s="51">
        <f t="shared" si="3"/>
        <v>3.0756867654914548</v>
      </c>
      <c r="L19" s="51">
        <v>137</v>
      </c>
      <c r="M19" s="51">
        <f t="shared" si="5"/>
        <v>7.2992700729927001E-2</v>
      </c>
      <c r="N19" s="51">
        <v>144</v>
      </c>
      <c r="O19" s="51">
        <f t="shared" ref="O19:P19" si="28">D19/7</f>
        <v>1.4285714285714286</v>
      </c>
      <c r="P19" s="51">
        <f t="shared" si="28"/>
        <v>0</v>
      </c>
      <c r="Q19" s="51">
        <f t="shared" si="7"/>
        <v>100</v>
      </c>
      <c r="R19" s="55">
        <v>0</v>
      </c>
      <c r="S19" s="53" t="s">
        <v>34</v>
      </c>
      <c r="T19" s="54" t="s">
        <v>34</v>
      </c>
      <c r="U19" s="55">
        <v>0</v>
      </c>
      <c r="V19" s="55">
        <f t="shared" si="8"/>
        <v>0</v>
      </c>
      <c r="W19" s="55">
        <f t="shared" si="9"/>
        <v>0</v>
      </c>
      <c r="X19" s="55">
        <v>0</v>
      </c>
      <c r="Y19" s="55" t="s">
        <v>35</v>
      </c>
      <c r="Z19" s="56">
        <f t="shared" si="19"/>
        <v>-0.75</v>
      </c>
      <c r="AA19" s="55">
        <v>0.15946875000000002</v>
      </c>
      <c r="AB19" s="55">
        <f t="shared" si="27"/>
        <v>-3.5880468749999999</v>
      </c>
      <c r="AC19" s="55">
        <v>-3.48</v>
      </c>
      <c r="AD19" s="55">
        <v>-8.6470085470085465</v>
      </c>
      <c r="AE19" s="55">
        <v>0</v>
      </c>
      <c r="AF19" s="55"/>
    </row>
    <row r="20" spans="1:32" s="57" customFormat="1" ht="15.75" customHeight="1">
      <c r="A20" s="2" t="s">
        <v>73</v>
      </c>
      <c r="B20" s="2" t="s">
        <v>193</v>
      </c>
      <c r="C20" s="51">
        <v>19.989999999999998</v>
      </c>
      <c r="D20" s="51">
        <v>7</v>
      </c>
      <c r="E20" s="51">
        <v>0</v>
      </c>
      <c r="F20" s="51">
        <v>155.93</v>
      </c>
      <c r="G20" s="51">
        <v>-0.62</v>
      </c>
      <c r="H20" s="51">
        <f t="shared" si="1"/>
        <v>3.9761431411530811E-3</v>
      </c>
      <c r="I20" s="51">
        <f t="shared" si="2"/>
        <v>0.28551149463502967</v>
      </c>
      <c r="J20" s="51">
        <f t="shared" si="4"/>
        <v>44.519807358440175</v>
      </c>
      <c r="K20" s="51">
        <f t="shared" si="3"/>
        <v>6.3599724797771682</v>
      </c>
      <c r="L20" s="51">
        <v>122</v>
      </c>
      <c r="M20" s="51">
        <f t="shared" si="5"/>
        <v>5.737704918032787E-2</v>
      </c>
      <c r="N20" s="51">
        <v>126</v>
      </c>
      <c r="O20" s="51">
        <f t="shared" ref="O20:P20" si="29">D20/7</f>
        <v>1</v>
      </c>
      <c r="P20" s="51">
        <f t="shared" si="29"/>
        <v>0</v>
      </c>
      <c r="Q20" s="51">
        <f t="shared" si="7"/>
        <v>126</v>
      </c>
      <c r="R20" s="55">
        <v>96</v>
      </c>
      <c r="S20" s="53" t="s">
        <v>34</v>
      </c>
      <c r="T20" s="54" t="s">
        <v>34</v>
      </c>
      <c r="U20" s="55">
        <v>0</v>
      </c>
      <c r="V20" s="55">
        <f t="shared" si="8"/>
        <v>0</v>
      </c>
      <c r="W20" s="55">
        <f t="shared" si="9"/>
        <v>0</v>
      </c>
      <c r="X20" s="55">
        <v>0</v>
      </c>
      <c r="Y20" s="55" t="s">
        <v>35</v>
      </c>
      <c r="Z20" s="56">
        <f t="shared" si="19"/>
        <v>-0.75</v>
      </c>
      <c r="AA20" s="55">
        <v>0.15946875000000002</v>
      </c>
      <c r="AB20" s="55">
        <f t="shared" si="27"/>
        <v>-2.5116328125000003</v>
      </c>
      <c r="AC20" s="55">
        <v>-3.48</v>
      </c>
      <c r="AD20" s="55">
        <v>-8.6470085470085465</v>
      </c>
      <c r="AE20" s="55">
        <v>0</v>
      </c>
      <c r="AF20" s="55"/>
    </row>
    <row r="21" spans="1:32" s="57" customFormat="1" ht="15.75" customHeight="1">
      <c r="A21" s="2" t="s">
        <v>75</v>
      </c>
      <c r="B21" s="2" t="s">
        <v>194</v>
      </c>
      <c r="C21" s="51">
        <v>18.39</v>
      </c>
      <c r="D21" s="51">
        <v>17</v>
      </c>
      <c r="E21" s="51">
        <v>0</v>
      </c>
      <c r="F21" s="51">
        <v>342.8300000000001</v>
      </c>
      <c r="G21" s="51">
        <v>-0.70000000000000007</v>
      </c>
      <c r="H21" s="51">
        <f t="shared" si="1"/>
        <v>2.0418283114079861E-3</v>
      </c>
      <c r="I21" s="51">
        <f t="shared" si="2"/>
        <v>0.22882091711155611</v>
      </c>
      <c r="J21" s="51">
        <f t="shared" si="4"/>
        <v>78.446675013354806</v>
      </c>
      <c r="K21" s="51">
        <f t="shared" si="3"/>
        <v>4.6145102949032237</v>
      </c>
      <c r="L21" s="51">
        <v>115</v>
      </c>
      <c r="M21" s="51">
        <f t="shared" si="5"/>
        <v>0.14782608695652175</v>
      </c>
      <c r="N21" s="51">
        <v>118</v>
      </c>
      <c r="O21" s="51">
        <f t="shared" ref="O21:P21" si="30">D21/7</f>
        <v>2.4285714285714284</v>
      </c>
      <c r="P21" s="51">
        <f t="shared" si="30"/>
        <v>0</v>
      </c>
      <c r="Q21" s="51">
        <f t="shared" si="7"/>
        <v>48</v>
      </c>
      <c r="R21" s="55">
        <v>0</v>
      </c>
      <c r="S21" s="53" t="s">
        <v>34</v>
      </c>
      <c r="T21" s="54" t="s">
        <v>34</v>
      </c>
      <c r="U21" s="55">
        <v>0</v>
      </c>
      <c r="V21" s="55">
        <f t="shared" si="8"/>
        <v>0</v>
      </c>
      <c r="W21" s="55">
        <f t="shared" si="9"/>
        <v>0</v>
      </c>
      <c r="X21" s="55">
        <v>0</v>
      </c>
      <c r="Y21" s="55" t="s">
        <v>35</v>
      </c>
      <c r="Z21" s="56">
        <f t="shared" si="19"/>
        <v>-0.75</v>
      </c>
      <c r="AA21" s="55">
        <v>0.15946875000000002</v>
      </c>
      <c r="AB21" s="55">
        <f t="shared" si="27"/>
        <v>-6.099679687500001</v>
      </c>
      <c r="AC21" s="55">
        <v>-3.48</v>
      </c>
      <c r="AD21" s="55">
        <v>-8.6470085470085465</v>
      </c>
      <c r="AE21" s="55">
        <v>0</v>
      </c>
      <c r="AF21" s="55"/>
    </row>
    <row r="22" spans="1:32" s="57" customFormat="1" ht="15.75" customHeight="1">
      <c r="A22" s="2" t="s">
        <v>77</v>
      </c>
      <c r="B22" s="2" t="s">
        <v>195</v>
      </c>
      <c r="C22" s="51">
        <v>19.989999999999998</v>
      </c>
      <c r="D22" s="51">
        <v>14</v>
      </c>
      <c r="E22" s="51">
        <v>0</v>
      </c>
      <c r="F22" s="51">
        <v>275.41000000000003</v>
      </c>
      <c r="G22" s="51">
        <v>-0.44000000000000006</v>
      </c>
      <c r="H22" s="51">
        <f t="shared" si="1"/>
        <v>1.597618096655895E-3</v>
      </c>
      <c r="I22" s="51">
        <f t="shared" si="2"/>
        <v>0.21370725361054554</v>
      </c>
      <c r="J22" s="51">
        <f t="shared" si="4"/>
        <v>58.857114716880353</v>
      </c>
      <c r="K22" s="51">
        <f t="shared" si="3"/>
        <v>4.2040796226343113</v>
      </c>
      <c r="L22" s="51">
        <v>121</v>
      </c>
      <c r="M22" s="51">
        <f t="shared" si="5"/>
        <v>0.11570247933884298</v>
      </c>
      <c r="N22" s="51">
        <v>97</v>
      </c>
      <c r="O22" s="51">
        <f t="shared" ref="O22:P22" si="31">D22/7</f>
        <v>2</v>
      </c>
      <c r="P22" s="51">
        <f t="shared" si="31"/>
        <v>0</v>
      </c>
      <c r="Q22" s="51">
        <f t="shared" si="7"/>
        <v>48</v>
      </c>
      <c r="R22" s="55">
        <v>0</v>
      </c>
      <c r="S22" s="53" t="s">
        <v>34</v>
      </c>
      <c r="T22" s="54" t="s">
        <v>34</v>
      </c>
      <c r="U22" s="55">
        <v>0</v>
      </c>
      <c r="V22" s="55">
        <f t="shared" si="8"/>
        <v>0</v>
      </c>
      <c r="W22" s="55">
        <f t="shared" si="9"/>
        <v>0</v>
      </c>
      <c r="X22" s="55">
        <v>0</v>
      </c>
      <c r="Y22" s="55" t="s">
        <v>35</v>
      </c>
      <c r="Z22" s="56">
        <f t="shared" si="19"/>
        <v>-0.75</v>
      </c>
      <c r="AA22" s="55">
        <v>0.15946875000000002</v>
      </c>
      <c r="AB22" s="55">
        <f t="shared" si="27"/>
        <v>-5.0232656250000005</v>
      </c>
      <c r="AC22" s="55">
        <v>-3.48</v>
      </c>
      <c r="AD22" s="55">
        <v>-8.6470085470085465</v>
      </c>
      <c r="AE22" s="55">
        <v>0</v>
      </c>
      <c r="AF22" s="55"/>
    </row>
    <row r="23" spans="1:32" s="57" customFormat="1" ht="15.75" customHeight="1">
      <c r="A23" s="2" t="s">
        <v>79</v>
      </c>
      <c r="B23" s="2" t="s">
        <v>196</v>
      </c>
      <c r="C23" s="51">
        <v>18.39</v>
      </c>
      <c r="D23" s="51">
        <v>23</v>
      </c>
      <c r="E23" s="51">
        <v>0</v>
      </c>
      <c r="F23" s="51">
        <v>440.11999999999995</v>
      </c>
      <c r="G23" s="51">
        <v>-0.31000000000000005</v>
      </c>
      <c r="H23" s="51">
        <f t="shared" si="1"/>
        <v>7.0435335817504335E-4</v>
      </c>
      <c r="I23" s="51">
        <f t="shared" si="2"/>
        <v>0.19680608835386565</v>
      </c>
      <c r="J23" s="51">
        <f t="shared" si="4"/>
        <v>86.618295606303334</v>
      </c>
      <c r="K23" s="51">
        <f t="shared" si="3"/>
        <v>3.7660128524479712</v>
      </c>
      <c r="L23" s="51">
        <v>129</v>
      </c>
      <c r="M23" s="51">
        <f t="shared" si="5"/>
        <v>0.17829457364341086</v>
      </c>
      <c r="N23" s="51">
        <v>83</v>
      </c>
      <c r="O23" s="51">
        <f t="shared" ref="O23:P23" si="32">D23/7</f>
        <v>3.2857142857142856</v>
      </c>
      <c r="P23" s="51">
        <f t="shared" si="32"/>
        <v>0</v>
      </c>
      <c r="Q23" s="51">
        <f t="shared" si="7"/>
        <v>25</v>
      </c>
      <c r="R23" s="55">
        <v>0</v>
      </c>
      <c r="S23" s="53" t="s">
        <v>34</v>
      </c>
      <c r="T23" s="54" t="s">
        <v>34</v>
      </c>
      <c r="U23" s="55">
        <v>0</v>
      </c>
      <c r="V23" s="55">
        <f t="shared" si="8"/>
        <v>0</v>
      </c>
      <c r="W23" s="55">
        <f t="shared" si="9"/>
        <v>0</v>
      </c>
      <c r="X23" s="55">
        <v>0</v>
      </c>
      <c r="Y23" s="55" t="s">
        <v>35</v>
      </c>
      <c r="Z23" s="56">
        <f t="shared" si="19"/>
        <v>-0.75</v>
      </c>
      <c r="AA23" s="55">
        <v>0.15946875000000002</v>
      </c>
      <c r="AB23" s="55">
        <f t="shared" si="27"/>
        <v>-8.2525078125000011</v>
      </c>
      <c r="AC23" s="55">
        <v>-3.48</v>
      </c>
      <c r="AD23" s="55">
        <v>-8.6470085470085465</v>
      </c>
      <c r="AE23" s="55">
        <v>0</v>
      </c>
      <c r="AF23" s="55"/>
    </row>
    <row r="24" spans="1:32" s="57" customFormat="1" ht="15.75" customHeight="1">
      <c r="A24" s="2" t="s">
        <v>80</v>
      </c>
      <c r="B24" s="2" t="s">
        <v>197</v>
      </c>
      <c r="C24" s="51"/>
      <c r="D24" s="51">
        <v>27</v>
      </c>
      <c r="E24" s="51">
        <v>0</v>
      </c>
      <c r="F24" s="51">
        <v>509.48000000000008</v>
      </c>
      <c r="G24" s="51">
        <v>-0.52</v>
      </c>
      <c r="H24" s="51">
        <f t="shared" si="1"/>
        <v>1.0206485043573838E-3</v>
      </c>
      <c r="I24" s="51">
        <f t="shared" si="2"/>
        <v>0.18729104708382918</v>
      </c>
      <c r="J24" s="51">
        <f t="shared" si="4"/>
        <v>95.421042668269308</v>
      </c>
      <c r="K24" s="51">
        <f t="shared" si="3"/>
        <v>3.5341126914173819</v>
      </c>
      <c r="L24" s="51">
        <v>143</v>
      </c>
      <c r="M24" s="51">
        <f t="shared" si="5"/>
        <v>0.1888111888111888</v>
      </c>
      <c r="N24" s="51">
        <v>46</v>
      </c>
      <c r="O24" s="51">
        <f t="shared" ref="O24:P24" si="33">D24/7</f>
        <v>3.8571428571428572</v>
      </c>
      <c r="P24" s="51">
        <f t="shared" si="33"/>
        <v>0</v>
      </c>
      <c r="Q24" s="51">
        <f t="shared" si="7"/>
        <v>11</v>
      </c>
      <c r="R24" s="55">
        <v>0</v>
      </c>
      <c r="S24" s="53" t="s">
        <v>34</v>
      </c>
      <c r="T24" s="54" t="s">
        <v>34</v>
      </c>
      <c r="U24" s="55">
        <v>0</v>
      </c>
      <c r="V24" s="55">
        <f t="shared" si="8"/>
        <v>0</v>
      </c>
      <c r="W24" s="55">
        <f t="shared" si="9"/>
        <v>0</v>
      </c>
      <c r="X24" s="55">
        <v>0</v>
      </c>
      <c r="Y24" s="55" t="s">
        <v>35</v>
      </c>
      <c r="Z24" s="56">
        <f t="shared" si="19"/>
        <v>-0.75</v>
      </c>
      <c r="AA24" s="55">
        <v>0.15946875000000002</v>
      </c>
      <c r="AB24" s="55">
        <f t="shared" si="27"/>
        <v>-9.6877265625</v>
      </c>
      <c r="AC24" s="55">
        <v>-3.48</v>
      </c>
      <c r="AD24" s="55">
        <v>-8.6470085470085465</v>
      </c>
      <c r="AE24" s="55">
        <v>0</v>
      </c>
      <c r="AF24" s="55"/>
    </row>
    <row r="25" spans="1:32" s="57" customFormat="1" ht="15.75" customHeight="1">
      <c r="A25" s="2" t="s">
        <v>81</v>
      </c>
      <c r="B25" s="2" t="s">
        <v>198</v>
      </c>
      <c r="C25" s="51"/>
      <c r="D25" s="51">
        <v>22</v>
      </c>
      <c r="E25" s="51">
        <v>0</v>
      </c>
      <c r="F25" s="51">
        <v>474.86</v>
      </c>
      <c r="G25" s="51">
        <v>-0.43</v>
      </c>
      <c r="H25" s="51">
        <f t="shared" si="1"/>
        <v>9.0553005096238892E-4</v>
      </c>
      <c r="I25" s="51">
        <f t="shared" si="2"/>
        <v>0.27063367906501279</v>
      </c>
      <c r="J25" s="51">
        <f t="shared" si="4"/>
        <v>128.51310884081198</v>
      </c>
      <c r="K25" s="51">
        <f t="shared" si="3"/>
        <v>5.8415049473096357</v>
      </c>
      <c r="L25" s="51">
        <v>104</v>
      </c>
      <c r="M25" s="51">
        <f t="shared" si="5"/>
        <v>0.21153846153846154</v>
      </c>
      <c r="N25" s="51">
        <v>36</v>
      </c>
      <c r="O25" s="51">
        <f t="shared" ref="O25:P25" si="34">D25/7</f>
        <v>3.1428571428571428</v>
      </c>
      <c r="P25" s="51">
        <f t="shared" si="34"/>
        <v>0</v>
      </c>
      <c r="Q25" s="51">
        <f t="shared" si="7"/>
        <v>11</v>
      </c>
      <c r="R25" s="55">
        <v>96</v>
      </c>
      <c r="S25" s="53">
        <v>96</v>
      </c>
      <c r="T25" s="54">
        <v>43990</v>
      </c>
      <c r="U25" s="55">
        <v>0</v>
      </c>
      <c r="V25" s="55">
        <f t="shared" si="8"/>
        <v>0</v>
      </c>
      <c r="W25" s="55">
        <f t="shared" si="9"/>
        <v>0.43</v>
      </c>
      <c r="X25" s="55">
        <v>1</v>
      </c>
      <c r="Y25" s="55" t="s">
        <v>35</v>
      </c>
      <c r="Z25" s="56">
        <f t="shared" si="19"/>
        <v>-0.75</v>
      </c>
      <c r="AA25" s="55">
        <v>0.15946875000000002</v>
      </c>
      <c r="AB25" s="55">
        <f t="shared" si="27"/>
        <v>-7.893703125</v>
      </c>
      <c r="AC25" s="55">
        <v>-3.48</v>
      </c>
      <c r="AD25" s="55">
        <v>-8.6470085470085465</v>
      </c>
      <c r="AE25" s="55">
        <v>0</v>
      </c>
      <c r="AF25" s="55"/>
    </row>
    <row r="26" spans="1:32" s="57" customFormat="1" ht="15.75" customHeight="1">
      <c r="A26" s="2" t="s">
        <v>83</v>
      </c>
      <c r="B26" s="2" t="s">
        <v>199</v>
      </c>
      <c r="C26" s="51">
        <f t="shared" ref="C26:C39" si="35">IFERROR(F26/D26," - ")</f>
        <v>26.822500000000002</v>
      </c>
      <c r="D26" s="51">
        <v>8</v>
      </c>
      <c r="E26" s="51">
        <v>0</v>
      </c>
      <c r="F26" s="51">
        <v>214.58</v>
      </c>
      <c r="G26" s="51">
        <v>-0.45</v>
      </c>
      <c r="H26" s="51">
        <f t="shared" si="1"/>
        <v>2.0971199552614408E-3</v>
      </c>
      <c r="I26" s="51">
        <f t="shared" si="2"/>
        <v>0.35989604867150543</v>
      </c>
      <c r="J26" s="51">
        <f t="shared" si="4"/>
        <v>77.226494123931644</v>
      </c>
      <c r="K26" s="51">
        <f t="shared" si="3"/>
        <v>9.6533117654914555</v>
      </c>
      <c r="L26" s="51">
        <v>103</v>
      </c>
      <c r="M26" s="51">
        <f t="shared" si="5"/>
        <v>7.7669902912621352E-2</v>
      </c>
      <c r="N26" s="51">
        <v>23</v>
      </c>
      <c r="O26" s="51">
        <f t="shared" ref="O26:P26" si="36">D26/7</f>
        <v>1.1428571428571428</v>
      </c>
      <c r="P26" s="51">
        <f t="shared" si="36"/>
        <v>0</v>
      </c>
      <c r="Q26" s="51">
        <f t="shared" si="7"/>
        <v>20</v>
      </c>
      <c r="R26" s="55">
        <v>180</v>
      </c>
      <c r="S26" s="53">
        <v>96</v>
      </c>
      <c r="T26" s="54">
        <v>43990</v>
      </c>
      <c r="U26" s="55">
        <v>0</v>
      </c>
      <c r="V26" s="55">
        <f t="shared" si="8"/>
        <v>0</v>
      </c>
      <c r="W26" s="55">
        <f t="shared" si="9"/>
        <v>0</v>
      </c>
      <c r="X26" s="55">
        <v>0</v>
      </c>
      <c r="Y26" s="55" t="s">
        <v>35</v>
      </c>
      <c r="Z26" s="56">
        <f t="shared" si="19"/>
        <v>-0.75</v>
      </c>
      <c r="AA26" s="55">
        <v>0.15946875000000002</v>
      </c>
      <c r="AB26" s="55">
        <f t="shared" si="27"/>
        <v>-2.8704375000000004</v>
      </c>
      <c r="AC26" s="55">
        <v>-3.48</v>
      </c>
      <c r="AD26" s="55">
        <v>-8.6470085470085465</v>
      </c>
      <c r="AE26" s="55">
        <v>-4.83</v>
      </c>
      <c r="AF26" s="55"/>
    </row>
    <row r="27" spans="1:32" s="57" customFormat="1" ht="15.75" customHeight="1">
      <c r="A27" s="2" t="s">
        <v>84</v>
      </c>
      <c r="B27" s="2" t="s">
        <v>200</v>
      </c>
      <c r="C27" s="51">
        <f t="shared" si="35"/>
        <v>28.520000000000003</v>
      </c>
      <c r="D27" s="51">
        <v>11</v>
      </c>
      <c r="E27" s="51">
        <v>0</v>
      </c>
      <c r="F27" s="51">
        <v>313.72000000000003</v>
      </c>
      <c r="G27" s="51">
        <v>-0.43999999999999995</v>
      </c>
      <c r="H27" s="51">
        <f t="shared" si="1"/>
        <v>1.4025245441795229E-3</v>
      </c>
      <c r="I27" s="51">
        <f t="shared" si="2"/>
        <v>0.41080598756982661</v>
      </c>
      <c r="J27" s="51">
        <f t="shared" si="4"/>
        <v>128.87805442040602</v>
      </c>
      <c r="K27" s="51">
        <f t="shared" si="3"/>
        <v>11.716186765491456</v>
      </c>
      <c r="L27" s="51">
        <v>111</v>
      </c>
      <c r="M27" s="51">
        <f t="shared" si="5"/>
        <v>9.90990990990991E-2</v>
      </c>
      <c r="N27" s="51">
        <v>17</v>
      </c>
      <c r="O27" s="51">
        <f t="shared" ref="O27:P27" si="37">D27/7</f>
        <v>1.5714285714285714</v>
      </c>
      <c r="P27" s="51">
        <f t="shared" si="37"/>
        <v>0</v>
      </c>
      <c r="Q27" s="51">
        <f t="shared" si="7"/>
        <v>10</v>
      </c>
      <c r="R27" s="55">
        <v>180</v>
      </c>
      <c r="S27" s="53">
        <v>96</v>
      </c>
      <c r="T27" s="54">
        <v>43992</v>
      </c>
      <c r="U27" s="55">
        <v>0</v>
      </c>
      <c r="V27" s="55">
        <f t="shared" si="8"/>
        <v>0</v>
      </c>
      <c r="W27" s="55">
        <f t="shared" si="9"/>
        <v>0</v>
      </c>
      <c r="X27" s="55">
        <v>0</v>
      </c>
      <c r="Y27" s="55" t="s">
        <v>35</v>
      </c>
      <c r="Z27" s="56">
        <f t="shared" si="19"/>
        <v>-0.75</v>
      </c>
      <c r="AA27" s="55">
        <v>0.15946875000000002</v>
      </c>
      <c r="AB27" s="55">
        <f t="shared" si="27"/>
        <v>-3.9468515625</v>
      </c>
      <c r="AC27" s="55">
        <v>-3.48</v>
      </c>
      <c r="AD27" s="55">
        <v>-8.6470085470085465</v>
      </c>
      <c r="AE27" s="55">
        <v>0</v>
      </c>
      <c r="AF27" s="55"/>
    </row>
    <row r="28" spans="1:32" s="57" customFormat="1" ht="15.75" customHeight="1">
      <c r="A28" s="2" t="s">
        <v>86</v>
      </c>
      <c r="B28" s="2" t="s">
        <v>201</v>
      </c>
      <c r="C28" s="51">
        <f t="shared" si="35"/>
        <v>27.342857142857145</v>
      </c>
      <c r="D28" s="51">
        <v>14</v>
      </c>
      <c r="E28" s="51">
        <v>0</v>
      </c>
      <c r="F28" s="51">
        <v>382.8</v>
      </c>
      <c r="G28" s="51">
        <v>-0.36</v>
      </c>
      <c r="H28" s="51">
        <f t="shared" si="1"/>
        <v>9.4043887147335413E-4</v>
      </c>
      <c r="I28" s="51">
        <f t="shared" si="2"/>
        <v>0.39242062360731533</v>
      </c>
      <c r="J28" s="51">
        <f t="shared" si="4"/>
        <v>150.21861471688032</v>
      </c>
      <c r="K28" s="51">
        <f t="shared" si="3"/>
        <v>10.729901051205738</v>
      </c>
      <c r="L28" s="51">
        <v>118</v>
      </c>
      <c r="M28" s="51">
        <f t="shared" si="5"/>
        <v>0.11864406779661017</v>
      </c>
      <c r="N28" s="51">
        <v>97</v>
      </c>
      <c r="O28" s="51">
        <f t="shared" ref="O28:P28" si="38">D28/7</f>
        <v>2</v>
      </c>
      <c r="P28" s="51">
        <f t="shared" si="38"/>
        <v>0</v>
      </c>
      <c r="Q28" s="51">
        <f t="shared" si="7"/>
        <v>48</v>
      </c>
      <c r="R28" s="55">
        <v>180</v>
      </c>
      <c r="S28" s="53">
        <v>96</v>
      </c>
      <c r="T28" s="54">
        <v>43992</v>
      </c>
      <c r="U28" s="55">
        <v>0</v>
      </c>
      <c r="V28" s="55">
        <f t="shared" si="8"/>
        <v>0</v>
      </c>
      <c r="W28" s="55">
        <f t="shared" si="9"/>
        <v>0</v>
      </c>
      <c r="X28" s="55">
        <v>0</v>
      </c>
      <c r="Y28" s="55" t="s">
        <v>35</v>
      </c>
      <c r="Z28" s="56">
        <f t="shared" si="19"/>
        <v>-0.75</v>
      </c>
      <c r="AA28" s="55">
        <v>0.15946875000000002</v>
      </c>
      <c r="AB28" s="55">
        <f t="shared" si="27"/>
        <v>-5.0232656250000005</v>
      </c>
      <c r="AC28" s="55">
        <v>-3.48</v>
      </c>
      <c r="AD28" s="55">
        <v>-8.6470085470085465</v>
      </c>
      <c r="AE28" s="55">
        <v>0</v>
      </c>
      <c r="AF28" s="55"/>
    </row>
    <row r="29" spans="1:32" s="57" customFormat="1" ht="15.75" customHeight="1">
      <c r="A29" s="2" t="s">
        <v>87</v>
      </c>
      <c r="B29" s="2" t="s">
        <v>202</v>
      </c>
      <c r="C29" s="51">
        <f t="shared" si="35"/>
        <v>28.056666666666668</v>
      </c>
      <c r="D29" s="51">
        <v>6</v>
      </c>
      <c r="E29" s="51">
        <v>0</v>
      </c>
      <c r="F29" s="51">
        <v>168.34</v>
      </c>
      <c r="G29" s="51">
        <v>-0.48000000000000009</v>
      </c>
      <c r="H29" s="51">
        <f t="shared" si="1"/>
        <v>2.8513722228822626E-3</v>
      </c>
      <c r="I29" s="51">
        <f t="shared" si="2"/>
        <v>0.40212736481495032</v>
      </c>
      <c r="J29" s="51">
        <f t="shared" si="4"/>
        <v>67.694120592948735</v>
      </c>
      <c r="K29" s="51">
        <f t="shared" si="3"/>
        <v>11.282353432158123</v>
      </c>
      <c r="L29" s="51">
        <v>103</v>
      </c>
      <c r="M29" s="51">
        <f t="shared" si="5"/>
        <v>5.8252427184466021E-2</v>
      </c>
      <c r="N29" s="51">
        <v>82</v>
      </c>
      <c r="O29" s="51">
        <f t="shared" ref="O29:P29" si="39">D29/7</f>
        <v>0.8571428571428571</v>
      </c>
      <c r="P29" s="51">
        <f t="shared" si="39"/>
        <v>0</v>
      </c>
      <c r="Q29" s="51">
        <f t="shared" si="7"/>
        <v>95</v>
      </c>
      <c r="R29" s="55">
        <v>84</v>
      </c>
      <c r="S29" s="53">
        <v>84</v>
      </c>
      <c r="T29" s="54">
        <v>44013</v>
      </c>
      <c r="U29" s="55">
        <v>0</v>
      </c>
      <c r="V29" s="55">
        <f t="shared" si="8"/>
        <v>0</v>
      </c>
      <c r="W29" s="55">
        <f t="shared" si="9"/>
        <v>0</v>
      </c>
      <c r="X29" s="55">
        <v>0</v>
      </c>
      <c r="Y29" s="55" t="s">
        <v>35</v>
      </c>
      <c r="Z29" s="56">
        <f t="shared" si="19"/>
        <v>-0.75</v>
      </c>
      <c r="AA29" s="55">
        <v>0.15946875000000002</v>
      </c>
      <c r="AB29" s="55">
        <f t="shared" si="27"/>
        <v>-2.1528281250000001</v>
      </c>
      <c r="AC29" s="55">
        <v>-3.48</v>
      </c>
      <c r="AD29" s="55">
        <v>-8.6470085470085465</v>
      </c>
      <c r="AE29" s="55">
        <v>0</v>
      </c>
      <c r="AF29" s="55"/>
    </row>
    <row r="30" spans="1:32" s="57" customFormat="1" ht="15.75" customHeight="1">
      <c r="A30" s="2" t="s">
        <v>89</v>
      </c>
      <c r="B30" s="2" t="s">
        <v>203</v>
      </c>
      <c r="C30" s="51">
        <f t="shared" si="35"/>
        <v>24.219047619047618</v>
      </c>
      <c r="D30" s="51">
        <v>21</v>
      </c>
      <c r="E30" s="51">
        <v>0</v>
      </c>
      <c r="F30" s="51">
        <v>508.59999999999997</v>
      </c>
      <c r="G30" s="51">
        <v>-0.4</v>
      </c>
      <c r="H30" s="51">
        <f t="shared" si="1"/>
        <v>7.8647267007471498E-4</v>
      </c>
      <c r="I30" s="51">
        <f t="shared" si="2"/>
        <v>0.33367660651852243</v>
      </c>
      <c r="J30" s="51">
        <f t="shared" si="4"/>
        <v>169.70792207532051</v>
      </c>
      <c r="K30" s="51">
        <f t="shared" si="3"/>
        <v>8.0813296226343105</v>
      </c>
      <c r="L30" s="51">
        <v>123</v>
      </c>
      <c r="M30" s="51">
        <f t="shared" si="5"/>
        <v>0.17073170731707318</v>
      </c>
      <c r="N30" s="51">
        <v>141</v>
      </c>
      <c r="O30" s="51">
        <f t="shared" ref="O30:P30" si="40">D30/7</f>
        <v>3</v>
      </c>
      <c r="P30" s="51">
        <f t="shared" si="40"/>
        <v>0</v>
      </c>
      <c r="Q30" s="51">
        <f t="shared" si="7"/>
        <v>47</v>
      </c>
      <c r="R30" s="55">
        <v>84</v>
      </c>
      <c r="S30" s="53">
        <v>84</v>
      </c>
      <c r="T30" s="54">
        <v>44013</v>
      </c>
      <c r="U30" s="55">
        <v>0</v>
      </c>
      <c r="V30" s="55">
        <f t="shared" si="8"/>
        <v>0</v>
      </c>
      <c r="W30" s="55">
        <f t="shared" si="9"/>
        <v>0</v>
      </c>
      <c r="X30" s="55">
        <v>0</v>
      </c>
      <c r="Y30" s="55" t="s">
        <v>35</v>
      </c>
      <c r="Z30" s="56">
        <f t="shared" si="19"/>
        <v>-0.75</v>
      </c>
      <c r="AA30" s="55">
        <v>0.15946875000000002</v>
      </c>
      <c r="AB30" s="55">
        <f t="shared" si="27"/>
        <v>-7.5348984375000008</v>
      </c>
      <c r="AC30" s="55">
        <v>-3.48</v>
      </c>
      <c r="AD30" s="55">
        <v>-8.6470085470085465</v>
      </c>
      <c r="AE30" s="55">
        <v>0</v>
      </c>
      <c r="AF30" s="55"/>
    </row>
    <row r="31" spans="1:32" s="57" customFormat="1" ht="15.75" customHeight="1">
      <c r="A31" s="2" t="s">
        <v>90</v>
      </c>
      <c r="B31" s="2" t="s">
        <v>204</v>
      </c>
      <c r="C31" s="51">
        <f t="shared" si="35"/>
        <v>22.598999999999997</v>
      </c>
      <c r="D31" s="51">
        <v>20</v>
      </c>
      <c r="E31" s="51">
        <v>0</v>
      </c>
      <c r="F31" s="51">
        <v>451.97999999999996</v>
      </c>
      <c r="G31" s="51">
        <v>-0.23000000000000004</v>
      </c>
      <c r="H31" s="51">
        <f t="shared" si="1"/>
        <v>5.0887207398557467E-4</v>
      </c>
      <c r="I31" s="51">
        <f t="shared" si="2"/>
        <v>0.29699706913984908</v>
      </c>
      <c r="J31" s="51">
        <f t="shared" si="4"/>
        <v>134.23673530982899</v>
      </c>
      <c r="K31" s="51">
        <f t="shared" si="3"/>
        <v>6.7118367654914497</v>
      </c>
      <c r="L31" s="51">
        <v>116</v>
      </c>
      <c r="M31" s="51">
        <f t="shared" si="5"/>
        <v>0.17241379310344829</v>
      </c>
      <c r="N31" s="51">
        <v>127</v>
      </c>
      <c r="O31" s="51">
        <f t="shared" ref="O31:P31" si="41">D31/7</f>
        <v>2.8571428571428572</v>
      </c>
      <c r="P31" s="51">
        <f t="shared" si="41"/>
        <v>0</v>
      </c>
      <c r="Q31" s="51">
        <f t="shared" si="7"/>
        <v>44</v>
      </c>
      <c r="R31" s="55">
        <v>0</v>
      </c>
      <c r="S31" s="53" t="s">
        <v>34</v>
      </c>
      <c r="T31" s="54" t="s">
        <v>34</v>
      </c>
      <c r="U31" s="55">
        <v>0</v>
      </c>
      <c r="V31" s="55">
        <f t="shared" si="8"/>
        <v>0</v>
      </c>
      <c r="W31" s="55">
        <f t="shared" si="9"/>
        <v>0</v>
      </c>
      <c r="X31" s="55">
        <v>0</v>
      </c>
      <c r="Y31" s="55" t="s">
        <v>35</v>
      </c>
      <c r="Z31" s="56">
        <f t="shared" si="19"/>
        <v>-0.75</v>
      </c>
      <c r="AA31" s="55">
        <v>0.15946875000000002</v>
      </c>
      <c r="AB31" s="55">
        <f t="shared" si="27"/>
        <v>-7.1760937499999997</v>
      </c>
      <c r="AC31" s="55">
        <v>-3.48</v>
      </c>
      <c r="AD31" s="55">
        <v>-8.6470085470085465</v>
      </c>
      <c r="AE31" s="55">
        <v>0</v>
      </c>
      <c r="AF31" s="55"/>
    </row>
    <row r="32" spans="1:32" s="57" customFormat="1" ht="15.75" customHeight="1">
      <c r="A32" s="2" t="s">
        <v>92</v>
      </c>
      <c r="B32" s="2" t="s">
        <v>205</v>
      </c>
      <c r="C32" s="51">
        <f t="shared" si="35"/>
        <v>20.376999999999999</v>
      </c>
      <c r="D32" s="51">
        <v>30</v>
      </c>
      <c r="E32" s="51">
        <v>0</v>
      </c>
      <c r="F32" s="51">
        <v>611.30999999999995</v>
      </c>
      <c r="G32" s="51">
        <v>-0.32</v>
      </c>
      <c r="H32" s="51">
        <f t="shared" si="1"/>
        <v>5.2346599924751771E-4</v>
      </c>
      <c r="I32" s="51">
        <f t="shared" si="2"/>
        <v>0.23673603076138697</v>
      </c>
      <c r="J32" s="51">
        <f t="shared" si="4"/>
        <v>144.71910296474346</v>
      </c>
      <c r="K32" s="51">
        <f t="shared" si="3"/>
        <v>4.8239700988247822</v>
      </c>
      <c r="L32" s="51">
        <v>156</v>
      </c>
      <c r="M32" s="51">
        <f t="shared" si="5"/>
        <v>0.19230769230769232</v>
      </c>
      <c r="N32" s="51">
        <v>61</v>
      </c>
      <c r="O32" s="51">
        <f t="shared" ref="O32:P32" si="42">D32/7</f>
        <v>4.2857142857142856</v>
      </c>
      <c r="P32" s="51">
        <f t="shared" si="42"/>
        <v>0</v>
      </c>
      <c r="Q32" s="51">
        <f t="shared" si="7"/>
        <v>14</v>
      </c>
      <c r="R32" s="55">
        <v>0</v>
      </c>
      <c r="S32" s="53" t="s">
        <v>34</v>
      </c>
      <c r="T32" s="54" t="s">
        <v>34</v>
      </c>
      <c r="U32" s="55">
        <v>0</v>
      </c>
      <c r="V32" s="55">
        <f t="shared" si="8"/>
        <v>0</v>
      </c>
      <c r="W32" s="55">
        <f t="shared" si="9"/>
        <v>0</v>
      </c>
      <c r="X32" s="55">
        <v>0</v>
      </c>
      <c r="Y32" s="55" t="s">
        <v>35</v>
      </c>
      <c r="Z32" s="56">
        <f t="shared" si="19"/>
        <v>-0.75</v>
      </c>
      <c r="AA32" s="55">
        <v>0.15946875000000002</v>
      </c>
      <c r="AB32" s="55">
        <f t="shared" si="27"/>
        <v>-10.764140625000001</v>
      </c>
      <c r="AC32" s="55">
        <v>-3.48</v>
      </c>
      <c r="AD32" s="55">
        <v>-8.6470085470085465</v>
      </c>
      <c r="AE32" s="55">
        <v>0</v>
      </c>
      <c r="AF32" s="52">
        <v>2.6503067484662499</v>
      </c>
    </row>
    <row r="33" spans="1:32" s="57" customFormat="1" ht="15.75" customHeight="1">
      <c r="A33" s="2" t="s">
        <v>94</v>
      </c>
      <c r="B33" s="2" t="s">
        <v>206</v>
      </c>
      <c r="C33" s="51">
        <f t="shared" si="35"/>
        <v>19.664333333333335</v>
      </c>
      <c r="D33" s="51">
        <v>30</v>
      </c>
      <c r="E33" s="51">
        <v>0</v>
      </c>
      <c r="F33" s="51">
        <v>589.93000000000006</v>
      </c>
      <c r="G33" s="51">
        <v>-0.28000000000000003</v>
      </c>
      <c r="H33" s="51">
        <f t="shared" si="1"/>
        <v>4.7463258352685911E-4</v>
      </c>
      <c r="I33" s="51">
        <f t="shared" si="2"/>
        <v>0.20944197271666748</v>
      </c>
      <c r="J33" s="51">
        <f t="shared" si="4"/>
        <v>123.55610296474366</v>
      </c>
      <c r="K33" s="51">
        <f t="shared" si="3"/>
        <v>4.1185367654914549</v>
      </c>
      <c r="L33" s="51">
        <v>131</v>
      </c>
      <c r="M33" s="51">
        <f t="shared" si="5"/>
        <v>0.22900763358778625</v>
      </c>
      <c r="N33" s="51">
        <v>33</v>
      </c>
      <c r="O33" s="51">
        <f t="shared" ref="O33:P33" si="43">D33/7</f>
        <v>4.2857142857142856</v>
      </c>
      <c r="P33" s="51">
        <f t="shared" si="43"/>
        <v>0</v>
      </c>
      <c r="Q33" s="51">
        <f t="shared" si="7"/>
        <v>7</v>
      </c>
      <c r="R33" s="55">
        <v>0</v>
      </c>
      <c r="S33" s="53" t="s">
        <v>34</v>
      </c>
      <c r="T33" s="54" t="s">
        <v>34</v>
      </c>
      <c r="U33" s="55">
        <v>0</v>
      </c>
      <c r="V33" s="55">
        <f t="shared" si="8"/>
        <v>0</v>
      </c>
      <c r="W33" s="55">
        <f t="shared" si="9"/>
        <v>0</v>
      </c>
      <c r="X33" s="55">
        <v>0</v>
      </c>
      <c r="Y33" s="55" t="s">
        <v>35</v>
      </c>
      <c r="Z33" s="56">
        <f t="shared" si="19"/>
        <v>-0.75</v>
      </c>
      <c r="AA33" s="55">
        <v>0.15946875000000002</v>
      </c>
      <c r="AB33" s="55">
        <f t="shared" si="27"/>
        <v>-10.764140625000001</v>
      </c>
      <c r="AC33" s="55">
        <v>-3.48</v>
      </c>
      <c r="AD33" s="55">
        <v>-8.6470085470085465</v>
      </c>
      <c r="AE33" s="55">
        <v>-3.03</v>
      </c>
      <c r="AF33" s="55">
        <v>2.4812834224598901</v>
      </c>
    </row>
    <row r="34" spans="1:32" s="57" customFormat="1" ht="15.75" customHeight="1">
      <c r="A34" s="2" t="s">
        <v>95</v>
      </c>
      <c r="B34" s="2" t="s">
        <v>45</v>
      </c>
      <c r="C34" s="51">
        <f t="shared" si="35"/>
        <v>19.933076923076921</v>
      </c>
      <c r="D34" s="51">
        <v>13</v>
      </c>
      <c r="E34" s="51">
        <v>0</v>
      </c>
      <c r="F34" s="51">
        <v>259.13</v>
      </c>
      <c r="G34" s="51">
        <v>-0.13</v>
      </c>
      <c r="H34" s="51">
        <f t="shared" si="1"/>
        <v>5.0167869409176863E-4</v>
      </c>
      <c r="I34" s="51">
        <f t="shared" si="2"/>
        <v>0.22311167348971128</v>
      </c>
      <c r="J34" s="51">
        <f t="shared" si="4"/>
        <v>57.814927951388881</v>
      </c>
      <c r="K34" s="51">
        <f t="shared" si="3"/>
        <v>4.4473021501068368</v>
      </c>
      <c r="L34" s="51">
        <v>96</v>
      </c>
      <c r="M34" s="51">
        <f t="shared" si="5"/>
        <v>0.13541666666666666</v>
      </c>
      <c r="N34" s="51">
        <v>16</v>
      </c>
      <c r="O34" s="51">
        <f t="shared" ref="O34:P34" si="44">D34/7</f>
        <v>1.8571428571428572</v>
      </c>
      <c r="P34" s="51">
        <f t="shared" si="44"/>
        <v>0</v>
      </c>
      <c r="Q34" s="51">
        <f t="shared" si="7"/>
        <v>8</v>
      </c>
      <c r="R34" s="55">
        <v>0</v>
      </c>
      <c r="S34" s="53" t="s">
        <v>34</v>
      </c>
      <c r="T34" s="54" t="s">
        <v>34</v>
      </c>
      <c r="U34" s="55">
        <v>0</v>
      </c>
      <c r="V34" s="55">
        <f t="shared" si="8"/>
        <v>0</v>
      </c>
      <c r="W34" s="55">
        <f t="shared" si="9"/>
        <v>0</v>
      </c>
      <c r="X34" s="55">
        <v>0</v>
      </c>
      <c r="Y34" s="55" t="s">
        <v>35</v>
      </c>
      <c r="Z34" s="56">
        <f t="shared" si="19"/>
        <v>-0.75</v>
      </c>
      <c r="AA34" s="55">
        <v>0.15946875000000002</v>
      </c>
      <c r="AB34" s="55">
        <f t="shared" si="27"/>
        <v>-4.6644609375000003</v>
      </c>
      <c r="AC34" s="55">
        <v>-3.48</v>
      </c>
      <c r="AD34" s="55">
        <v>-8.6470085470085465</v>
      </c>
      <c r="AE34" s="55">
        <v>0</v>
      </c>
      <c r="AF34" s="55">
        <v>3.6946564885496098</v>
      </c>
    </row>
    <row r="35" spans="1:32" s="57" customFormat="1" ht="15.75" customHeight="1">
      <c r="A35" s="2" t="s">
        <v>96</v>
      </c>
      <c r="B35" s="2" t="s">
        <v>178</v>
      </c>
      <c r="C35" s="51">
        <f t="shared" si="35"/>
        <v>20.420000000000009</v>
      </c>
      <c r="D35" s="51">
        <v>14</v>
      </c>
      <c r="E35" s="51">
        <v>0</v>
      </c>
      <c r="F35" s="51">
        <v>285.88000000000011</v>
      </c>
      <c r="G35" s="51">
        <v>-0.35000000000000003</v>
      </c>
      <c r="H35" s="51">
        <f t="shared" si="1"/>
        <v>1.224289911851126E-3</v>
      </c>
      <c r="I35" s="51">
        <f t="shared" si="2"/>
        <v>0.23732550271750524</v>
      </c>
      <c r="J35" s="51">
        <f t="shared" si="4"/>
        <v>67.846614716880424</v>
      </c>
      <c r="K35" s="51">
        <f t="shared" si="3"/>
        <v>4.846186765491459</v>
      </c>
      <c r="L35" s="51">
        <v>105</v>
      </c>
      <c r="M35" s="51">
        <f t="shared" si="5"/>
        <v>0.13333333333333333</v>
      </c>
      <c r="N35" s="51">
        <v>8</v>
      </c>
      <c r="O35" s="51">
        <f t="shared" ref="O35:P35" si="45">D35/7</f>
        <v>2</v>
      </c>
      <c r="P35" s="51">
        <f t="shared" si="45"/>
        <v>0</v>
      </c>
      <c r="Q35" s="51">
        <f t="shared" si="7"/>
        <v>4</v>
      </c>
      <c r="R35" s="55">
        <v>0</v>
      </c>
      <c r="S35" s="53" t="s">
        <v>34</v>
      </c>
      <c r="T35" s="54" t="s">
        <v>34</v>
      </c>
      <c r="U35" s="55">
        <v>0</v>
      </c>
      <c r="V35" s="55">
        <f t="shared" si="8"/>
        <v>0</v>
      </c>
      <c r="W35" s="55">
        <f t="shared" si="9"/>
        <v>0</v>
      </c>
      <c r="X35" s="55">
        <v>0</v>
      </c>
      <c r="Y35" s="55" t="s">
        <v>35</v>
      </c>
      <c r="Z35" s="56">
        <f t="shared" si="19"/>
        <v>-0.75</v>
      </c>
      <c r="AA35" s="55">
        <v>0.15946875000000002</v>
      </c>
      <c r="AB35" s="55">
        <f t="shared" si="27"/>
        <v>-5.0232656250000005</v>
      </c>
      <c r="AC35" s="55">
        <v>-3.48</v>
      </c>
      <c r="AD35" s="55">
        <v>-8.6470085470085465</v>
      </c>
      <c r="AE35" s="55">
        <v>0</v>
      </c>
      <c r="AF35" s="55">
        <v>2.98089171974522</v>
      </c>
    </row>
    <row r="36" spans="1:32" s="57" customFormat="1" ht="15.75" customHeight="1">
      <c r="A36" s="2" t="s">
        <v>98</v>
      </c>
      <c r="B36" s="2"/>
      <c r="C36" s="51">
        <f t="shared" si="35"/>
        <v>20.419999999999998</v>
      </c>
      <c r="D36" s="51">
        <v>7</v>
      </c>
      <c r="E36" s="51">
        <v>0</v>
      </c>
      <c r="F36" s="51">
        <v>142.94</v>
      </c>
      <c r="G36" s="51">
        <v>-0.25</v>
      </c>
      <c r="H36" s="51">
        <f t="shared" si="1"/>
        <v>1.7489855883587519E-3</v>
      </c>
      <c r="I36" s="51">
        <f t="shared" si="2"/>
        <v>0.2368008070409974</v>
      </c>
      <c r="J36" s="51">
        <f t="shared" si="4"/>
        <v>33.848307358440167</v>
      </c>
      <c r="K36" s="51">
        <f t="shared" si="3"/>
        <v>4.8354724797771667</v>
      </c>
      <c r="L36" s="51">
        <v>47</v>
      </c>
      <c r="M36" s="51">
        <f t="shared" si="5"/>
        <v>0.14893617021276595</v>
      </c>
      <c r="N36" s="51">
        <v>0</v>
      </c>
      <c r="O36" s="51">
        <f t="shared" ref="O36:P36" si="46">D36/7</f>
        <v>1</v>
      </c>
      <c r="P36" s="51">
        <f t="shared" si="46"/>
        <v>0</v>
      </c>
      <c r="Q36" s="51">
        <f t="shared" si="7"/>
        <v>0</v>
      </c>
      <c r="R36" s="55">
        <v>0</v>
      </c>
      <c r="S36" s="53"/>
      <c r="T36" s="54" t="s">
        <v>34</v>
      </c>
      <c r="U36" s="55"/>
      <c r="V36" s="55">
        <f t="shared" si="8"/>
        <v>0</v>
      </c>
      <c r="W36" s="55">
        <f t="shared" si="9"/>
        <v>0</v>
      </c>
      <c r="X36" s="55"/>
      <c r="Y36" s="55" t="s">
        <v>35</v>
      </c>
      <c r="Z36" s="56">
        <f t="shared" si="19"/>
        <v>-0.75</v>
      </c>
      <c r="AA36" s="55">
        <v>0.15946875000000002</v>
      </c>
      <c r="AB36" s="55">
        <f t="shared" si="27"/>
        <v>-2.5116328125000003</v>
      </c>
      <c r="AC36" s="55">
        <v>-3.48</v>
      </c>
      <c r="AD36" s="55">
        <v>-8.6470085470085465</v>
      </c>
      <c r="AE36" s="55">
        <v>0</v>
      </c>
      <c r="AF36" s="55">
        <v>4.7292817679557997</v>
      </c>
    </row>
    <row r="37" spans="1:32" s="57" customFormat="1" ht="15.75" customHeight="1">
      <c r="A37" s="2" t="s">
        <v>99</v>
      </c>
      <c r="B37" s="2" t="s">
        <v>207</v>
      </c>
      <c r="C37" s="51" t="str">
        <f t="shared" si="35"/>
        <v xml:space="preserve"> - </v>
      </c>
      <c r="D37" s="51">
        <v>0</v>
      </c>
      <c r="E37" s="51">
        <v>0</v>
      </c>
      <c r="F37" s="51">
        <v>0</v>
      </c>
      <c r="G37" s="51">
        <v>-0.18</v>
      </c>
      <c r="H37" s="51" t="e">
        <f t="shared" si="1"/>
        <v>#DIV/0!</v>
      </c>
      <c r="I37" s="51" t="e">
        <f t="shared" si="2"/>
        <v>#DIV/0!</v>
      </c>
      <c r="J37" s="51">
        <f t="shared" si="4"/>
        <v>-0.18</v>
      </c>
      <c r="K37" s="51" t="e">
        <f t="shared" si="3"/>
        <v>#DIV/0!</v>
      </c>
      <c r="L37" s="51">
        <v>0</v>
      </c>
      <c r="M37" s="51" t="str">
        <f t="shared" si="5"/>
        <v>-</v>
      </c>
      <c r="N37" s="51">
        <v>11</v>
      </c>
      <c r="O37" s="51">
        <f t="shared" ref="O37:P37" si="47">D37/7</f>
        <v>0</v>
      </c>
      <c r="P37" s="51">
        <f t="shared" si="47"/>
        <v>0</v>
      </c>
      <c r="Q37" s="51" t="e">
        <f t="shared" si="7"/>
        <v>#DIV/0!</v>
      </c>
      <c r="R37" s="55">
        <v>0</v>
      </c>
      <c r="S37" s="53" t="s">
        <v>34</v>
      </c>
      <c r="T37" s="54" t="s">
        <v>34</v>
      </c>
      <c r="U37" s="55">
        <v>0</v>
      </c>
      <c r="V37" s="55">
        <f t="shared" si="8"/>
        <v>0</v>
      </c>
      <c r="W37" s="55">
        <f t="shared" si="9"/>
        <v>0</v>
      </c>
      <c r="X37" s="55">
        <v>0</v>
      </c>
      <c r="Y37" s="55" t="s">
        <v>35</v>
      </c>
      <c r="Z37" s="56">
        <f t="shared" si="19"/>
        <v>-0.75</v>
      </c>
      <c r="AA37" s="55">
        <v>0.15946875000000002</v>
      </c>
      <c r="AB37" s="55">
        <f t="shared" si="27"/>
        <v>0</v>
      </c>
      <c r="AC37" s="55">
        <v>-3.48</v>
      </c>
      <c r="AD37" s="55">
        <v>-8.6470085470085465</v>
      </c>
      <c r="AE37" s="55">
        <v>0</v>
      </c>
      <c r="AF37" s="55">
        <v>3.3</v>
      </c>
    </row>
    <row r="38" spans="1:32" s="57" customFormat="1" ht="15.75" customHeight="1">
      <c r="A38" s="2" t="s">
        <v>100</v>
      </c>
      <c r="B38" s="2" t="s">
        <v>208</v>
      </c>
      <c r="C38" s="51">
        <f t="shared" si="35"/>
        <v>20.420000000000002</v>
      </c>
      <c r="D38" s="51">
        <v>1</v>
      </c>
      <c r="E38" s="51">
        <v>0</v>
      </c>
      <c r="F38" s="51">
        <v>20.420000000000002</v>
      </c>
      <c r="G38" s="51">
        <v>0</v>
      </c>
      <c r="H38" s="51">
        <f t="shared" si="1"/>
        <v>0</v>
      </c>
      <c r="I38" s="51">
        <f t="shared" si="2"/>
        <v>0.23854979262935611</v>
      </c>
      <c r="J38" s="51">
        <f t="shared" si="4"/>
        <v>4.8711867654914522</v>
      </c>
      <c r="K38" s="51">
        <f t="shared" si="3"/>
        <v>4.8711867654914522</v>
      </c>
      <c r="L38" s="51">
        <v>11</v>
      </c>
      <c r="M38" s="51">
        <f t="shared" si="5"/>
        <v>9.0909090909090912E-2</v>
      </c>
      <c r="N38" s="51">
        <v>58</v>
      </c>
      <c r="O38" s="51">
        <f t="shared" ref="O38:P38" si="48">D38/7</f>
        <v>0.14285714285714285</v>
      </c>
      <c r="P38" s="51">
        <f t="shared" si="48"/>
        <v>0</v>
      </c>
      <c r="Q38" s="51">
        <f t="shared" si="7"/>
        <v>406</v>
      </c>
      <c r="R38" s="55">
        <v>0</v>
      </c>
      <c r="S38" s="53"/>
      <c r="T38" s="54" t="s">
        <v>34</v>
      </c>
      <c r="U38" s="55">
        <v>0</v>
      </c>
      <c r="V38" s="55">
        <f t="shared" si="8"/>
        <v>0</v>
      </c>
      <c r="W38" s="55">
        <f t="shared" si="9"/>
        <v>0</v>
      </c>
      <c r="X38" s="55">
        <v>0</v>
      </c>
      <c r="Y38" s="55" t="s">
        <v>35</v>
      </c>
      <c r="Z38" s="56">
        <f t="shared" si="19"/>
        <v>-0.75</v>
      </c>
      <c r="AA38" s="55">
        <v>0.15946875000000002</v>
      </c>
      <c r="AB38" s="55">
        <f t="shared" si="27"/>
        <v>-0.35880468750000005</v>
      </c>
      <c r="AC38" s="55">
        <v>-3.48</v>
      </c>
      <c r="AD38" s="55">
        <v>-8.6470085470085465</v>
      </c>
      <c r="AE38" s="55">
        <v>0</v>
      </c>
      <c r="AF38" s="55">
        <v>3.4285714285714199</v>
      </c>
    </row>
    <row r="39" spans="1:32" s="57" customFormat="1" ht="15.75" customHeight="1">
      <c r="A39" s="2" t="s">
        <v>101</v>
      </c>
      <c r="B39" s="2" t="s">
        <v>209</v>
      </c>
      <c r="C39" s="51">
        <f t="shared" si="35"/>
        <v>21.342500000000005</v>
      </c>
      <c r="D39" s="51">
        <v>12</v>
      </c>
      <c r="E39" s="51">
        <v>0</v>
      </c>
      <c r="F39" s="51">
        <v>256.11000000000007</v>
      </c>
      <c r="G39" s="51">
        <v>-0.31</v>
      </c>
      <c r="H39" s="51">
        <f t="shared" si="1"/>
        <v>1.210417398773964E-3</v>
      </c>
      <c r="I39" s="51">
        <f t="shared" si="2"/>
        <v>0.26376846349575406</v>
      </c>
      <c r="J39" s="51">
        <f>F39*0.85+G39+AD39*D39+D39*AC39+AE40+AB39</f>
        <v>67.553741185897593</v>
      </c>
      <c r="K39" s="51">
        <f t="shared" si="3"/>
        <v>5.629478432158133</v>
      </c>
      <c r="L39" s="51">
        <v>37</v>
      </c>
      <c r="M39" s="51">
        <f t="shared" si="5"/>
        <v>0.32432432432432434</v>
      </c>
      <c r="N39" s="51">
        <v>55</v>
      </c>
      <c r="O39" s="51">
        <f t="shared" ref="O39:P39" si="49">D39/7</f>
        <v>1.7142857142857142</v>
      </c>
      <c r="P39" s="51">
        <f t="shared" si="49"/>
        <v>0</v>
      </c>
      <c r="Q39" s="51">
        <f t="shared" si="7"/>
        <v>32</v>
      </c>
      <c r="R39" s="55">
        <v>0</v>
      </c>
      <c r="S39" s="53" t="s">
        <v>34</v>
      </c>
      <c r="T39" s="54" t="s">
        <v>34</v>
      </c>
      <c r="U39" s="55">
        <v>0</v>
      </c>
      <c r="V39" s="55">
        <f t="shared" si="8"/>
        <v>0</v>
      </c>
      <c r="W39" s="55">
        <f t="shared" si="9"/>
        <v>0</v>
      </c>
      <c r="X39" s="55">
        <v>0</v>
      </c>
      <c r="Y39" s="55" t="s">
        <v>35</v>
      </c>
      <c r="Z39" s="56">
        <f t="shared" si="19"/>
        <v>-0.75</v>
      </c>
      <c r="AA39" s="55">
        <v>0.15946875000000002</v>
      </c>
      <c r="AB39" s="55">
        <f t="shared" si="27"/>
        <v>-4.3056562500000002</v>
      </c>
      <c r="AC39" s="55">
        <v>-3.48</v>
      </c>
      <c r="AD39" s="55">
        <v>-8.6470085470085394</v>
      </c>
      <c r="AE39" s="55">
        <v>0</v>
      </c>
      <c r="AF39" s="55">
        <v>3.24663677130044</v>
      </c>
    </row>
    <row r="40" spans="1:32" s="57" customFormat="1" ht="15.75" customHeight="1">
      <c r="A40" s="2" t="s">
        <v>102</v>
      </c>
      <c r="B40" s="2" t="s">
        <v>210</v>
      </c>
      <c r="C40" s="51">
        <v>22.02</v>
      </c>
      <c r="D40" s="51">
        <v>11</v>
      </c>
      <c r="E40" s="51">
        <v>0</v>
      </c>
      <c r="F40" s="51">
        <v>242.22</v>
      </c>
      <c r="G40" s="51">
        <v>-0.36000000000000004</v>
      </c>
      <c r="H40" s="51">
        <v>1.4862521674510777E-3</v>
      </c>
      <c r="I40" s="51">
        <v>0.28149225671045353</v>
      </c>
      <c r="J40" s="51">
        <v>68.183054420406052</v>
      </c>
      <c r="K40" s="51">
        <v>6.1984594927641865</v>
      </c>
      <c r="L40" s="51">
        <v>70</v>
      </c>
      <c r="M40" s="51">
        <v>0.15714285714285714</v>
      </c>
      <c r="N40" s="51">
        <v>24</v>
      </c>
      <c r="O40" s="51">
        <v>1.5714285714285714</v>
      </c>
      <c r="P40" s="51">
        <v>0</v>
      </c>
      <c r="Q40" s="51">
        <v>15</v>
      </c>
      <c r="R40" s="55">
        <v>0</v>
      </c>
      <c r="S40" s="53" t="s">
        <v>34</v>
      </c>
      <c r="T40" s="54" t="s">
        <v>34</v>
      </c>
      <c r="U40" s="55">
        <v>0</v>
      </c>
      <c r="V40" s="55">
        <v>0</v>
      </c>
      <c r="W40" s="55">
        <v>0</v>
      </c>
      <c r="X40" s="55">
        <v>0</v>
      </c>
      <c r="Y40" s="55" t="s">
        <v>35</v>
      </c>
      <c r="Z40" s="56">
        <v>-0.75</v>
      </c>
      <c r="AA40" s="55">
        <v>0.15946875000000002</v>
      </c>
      <c r="AB40" s="55">
        <v>-3.9468515625</v>
      </c>
      <c r="AC40" s="55">
        <v>-3.48</v>
      </c>
      <c r="AD40" s="55">
        <v>-8.6470085470085394</v>
      </c>
      <c r="AE40" s="55">
        <v>0</v>
      </c>
      <c r="AF40" s="55">
        <v>4.6797385620915</v>
      </c>
    </row>
    <row r="41" spans="1:32" s="57" customFormat="1" ht="15.75" customHeight="1">
      <c r="A41" s="2" t="s">
        <v>105</v>
      </c>
      <c r="B41" s="2" t="s">
        <v>211</v>
      </c>
      <c r="C41" s="51">
        <f t="shared" ref="C41:C56" si="50">IFERROR(F41/D41," - ")</f>
        <v>21.38111111111111</v>
      </c>
      <c r="D41" s="51">
        <v>18</v>
      </c>
      <c r="E41" s="51">
        <v>0</v>
      </c>
      <c r="F41" s="51">
        <v>384.86</v>
      </c>
      <c r="G41" s="51">
        <v>-0.02</v>
      </c>
      <c r="H41" s="51">
        <f t="shared" ref="H41:H56" si="51">G41/F41*-1</f>
        <v>5.1966949020423007E-5</v>
      </c>
      <c r="I41" s="51">
        <f t="shared" ref="I41:I56" si="52">J41/F41</f>
        <v>0.26598337519837428</v>
      </c>
      <c r="J41" s="51">
        <f t="shared" ref="J41:J48" si="53">F41*0.85+G41+AD41*D41+D41*AC41+AE42+AB41</f>
        <v>102.36636177884634</v>
      </c>
      <c r="K41" s="51">
        <f t="shared" ref="K41:K56" si="54">J41/D41</f>
        <v>5.6870200988247968</v>
      </c>
      <c r="L41" s="51">
        <v>78</v>
      </c>
      <c r="M41" s="51">
        <f t="shared" ref="M41:M56" si="55">IFERROR(D41/L41,"-")</f>
        <v>0.23076923076923078</v>
      </c>
      <c r="N41" s="51">
        <v>12</v>
      </c>
      <c r="O41" s="51">
        <f t="shared" ref="O41:P41" si="56">D41/7</f>
        <v>2.5714285714285716</v>
      </c>
      <c r="P41" s="51">
        <f t="shared" si="56"/>
        <v>0</v>
      </c>
      <c r="Q41" s="51">
        <f t="shared" ref="Q41:Q56" si="57">ROUNDDOWN(N41/(O41+P41),0)</f>
        <v>4</v>
      </c>
      <c r="R41" s="55">
        <v>0</v>
      </c>
      <c r="S41" s="53" t="s">
        <v>34</v>
      </c>
      <c r="T41" s="54" t="s">
        <v>34</v>
      </c>
      <c r="U41" s="55">
        <v>0</v>
      </c>
      <c r="V41" s="55">
        <f t="shared" ref="V41:V56" si="58">IFERROR(U41/D41,0)</f>
        <v>0</v>
      </c>
      <c r="W41" s="55">
        <f t="shared" ref="W41:W56" si="59">IFERROR(G41/(U41+X41)*-1,0)</f>
        <v>0</v>
      </c>
      <c r="X41" s="55">
        <v>0</v>
      </c>
      <c r="Y41" s="52" t="s">
        <v>35</v>
      </c>
      <c r="Z41" s="56">
        <f t="shared" ref="Z41:Z43" si="60">IF(OR(Y41="UsLargeStandardSize",Y41="UsSmallStandardSize"),-0.75,-0.48)</f>
        <v>-0.75</v>
      </c>
      <c r="AA41" s="55">
        <v>0.15946875000000002</v>
      </c>
      <c r="AB41" s="55">
        <f t="shared" ref="AB41:AB56" si="61">IFERROR(Z41*AA41*D41*3,0)</f>
        <v>-6.4584843750000003</v>
      </c>
      <c r="AC41" s="55">
        <v>-3.48</v>
      </c>
      <c r="AD41" s="55">
        <v>-8.6470085470085394</v>
      </c>
      <c r="AE41" s="55">
        <v>0</v>
      </c>
      <c r="AF41" s="55">
        <v>3.7731958762886499</v>
      </c>
    </row>
    <row r="42" spans="1:32" s="57" customFormat="1" ht="15.75" customHeight="1">
      <c r="A42" s="2" t="s">
        <v>106</v>
      </c>
      <c r="B42" s="2" t="s">
        <v>46</v>
      </c>
      <c r="C42" s="51">
        <f t="shared" si="50"/>
        <v>20.990000000000002</v>
      </c>
      <c r="D42" s="51">
        <v>11</v>
      </c>
      <c r="E42" s="51">
        <v>0</v>
      </c>
      <c r="F42" s="51">
        <v>230.89000000000001</v>
      </c>
      <c r="G42" s="51">
        <v>-0.77</v>
      </c>
      <c r="H42" s="51">
        <f t="shared" si="51"/>
        <v>3.3349213911386373E-3</v>
      </c>
      <c r="I42" s="51">
        <f t="shared" si="52"/>
        <v>0.25181928372994095</v>
      </c>
      <c r="J42" s="51">
        <f t="shared" si="53"/>
        <v>58.142554420406071</v>
      </c>
      <c r="K42" s="51">
        <f t="shared" si="54"/>
        <v>5.2856867654914614</v>
      </c>
      <c r="L42" s="51">
        <v>115</v>
      </c>
      <c r="M42" s="51">
        <f t="shared" si="55"/>
        <v>9.5652173913043481E-2</v>
      </c>
      <c r="N42" s="51">
        <v>1</v>
      </c>
      <c r="O42" s="51">
        <f t="shared" ref="O42:P42" si="62">D42/7</f>
        <v>1.5714285714285714</v>
      </c>
      <c r="P42" s="51">
        <f t="shared" si="62"/>
        <v>0</v>
      </c>
      <c r="Q42" s="51">
        <f t="shared" si="57"/>
        <v>0</v>
      </c>
      <c r="R42" s="55">
        <f ca="1">IFERROR(__xludf.DUMMYFUNCTION("IFERROR(VLOOKUP($B$2,IMPORTRANGE(""https://docs.google.com/spreadsheets/d/1iVgg6Mw12RULLujzHmfOFIY8Q_KaAD8anoZzgtVAQ74/edit#gid=1503384807"",""Second Star - Summary!A1:AD2000""),9,FALSE),"""")"),278)</f>
        <v>278</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0</v>
      </c>
      <c r="V42" s="55">
        <f t="shared" si="58"/>
        <v>0</v>
      </c>
      <c r="W42" s="55">
        <f t="shared" si="59"/>
        <v>0</v>
      </c>
      <c r="X42" s="55">
        <v>0</v>
      </c>
      <c r="Y42" s="55" t="s">
        <v>35</v>
      </c>
      <c r="Z42" s="56">
        <f t="shared" si="60"/>
        <v>-0.75</v>
      </c>
      <c r="AA42" s="55">
        <v>0.15946875000000002</v>
      </c>
      <c r="AB42" s="55">
        <f t="shared" si="61"/>
        <v>-3.9468515625</v>
      </c>
      <c r="AC42" s="55">
        <v>-3.48</v>
      </c>
      <c r="AD42" s="55">
        <v>-8.6470085470085394</v>
      </c>
      <c r="AE42" s="55">
        <v>0</v>
      </c>
      <c r="AF42" s="55" t="e">
        <v>#N/A</v>
      </c>
    </row>
    <row r="43" spans="1:32" s="57" customFormat="1" ht="15.75" customHeight="1">
      <c r="A43" s="2" t="s">
        <v>107</v>
      </c>
      <c r="B43" s="2" t="s">
        <v>46</v>
      </c>
      <c r="C43" s="51">
        <f t="shared" si="50"/>
        <v>21.283333333333335</v>
      </c>
      <c r="D43" s="51">
        <v>6</v>
      </c>
      <c r="E43" s="51">
        <v>0</v>
      </c>
      <c r="F43" s="51">
        <v>127.7</v>
      </c>
      <c r="G43" s="51">
        <v>-0.13</v>
      </c>
      <c r="H43" s="51">
        <f t="shared" si="51"/>
        <v>1.0180109631949884E-3</v>
      </c>
      <c r="I43" s="51">
        <f t="shared" si="52"/>
        <v>0.262334538707508</v>
      </c>
      <c r="J43" s="51">
        <f t="shared" si="53"/>
        <v>33.500120592948775</v>
      </c>
      <c r="K43" s="51">
        <f t="shared" si="54"/>
        <v>5.5833534321581295</v>
      </c>
      <c r="L43" s="51">
        <v>41</v>
      </c>
      <c r="M43" s="51">
        <f t="shared" si="55"/>
        <v>0.14634146341463414</v>
      </c>
      <c r="N43" s="51">
        <v>0</v>
      </c>
      <c r="O43" s="51">
        <f t="shared" ref="O43:P43" si="63">D43/7</f>
        <v>0.8571428571428571</v>
      </c>
      <c r="P43" s="51">
        <f t="shared" si="63"/>
        <v>0</v>
      </c>
      <c r="Q43" s="51">
        <f t="shared" si="57"/>
        <v>0</v>
      </c>
      <c r="R43" s="55">
        <v>160</v>
      </c>
      <c r="S43" s="53">
        <v>108</v>
      </c>
      <c r="T43" s="54">
        <v>44118</v>
      </c>
      <c r="U43" s="55">
        <v>0</v>
      </c>
      <c r="V43" s="55">
        <f t="shared" si="58"/>
        <v>0</v>
      </c>
      <c r="W43" s="55">
        <f t="shared" si="59"/>
        <v>0</v>
      </c>
      <c r="X43" s="55">
        <v>0</v>
      </c>
      <c r="Y43" s="55" t="s">
        <v>35</v>
      </c>
      <c r="Z43" s="56">
        <f t="shared" si="60"/>
        <v>-0.75</v>
      </c>
      <c r="AA43" s="55">
        <v>0.15946875000000002</v>
      </c>
      <c r="AB43" s="55">
        <f t="shared" si="61"/>
        <v>-2.1528281250000001</v>
      </c>
      <c r="AC43" s="55">
        <v>-3.48</v>
      </c>
      <c r="AD43" s="55">
        <v>-8.6470085470085394</v>
      </c>
      <c r="AE43" s="55">
        <v>0</v>
      </c>
      <c r="AF43" s="55" t="e">
        <v>#N/A</v>
      </c>
    </row>
    <row r="44" spans="1:32" s="57" customFormat="1" ht="15.75" customHeight="1">
      <c r="A44" s="2" t="s">
        <v>108</v>
      </c>
      <c r="B44" s="2" t="s">
        <v>212</v>
      </c>
      <c r="C44" s="51" t="str">
        <f t="shared" si="50"/>
        <v xml:space="preserve"> - </v>
      </c>
      <c r="D44" s="51">
        <v>0</v>
      </c>
      <c r="E44" s="51">
        <v>0</v>
      </c>
      <c r="F44" s="51">
        <v>0</v>
      </c>
      <c r="G44" s="51">
        <v>0</v>
      </c>
      <c r="H44" s="51" t="e">
        <f t="shared" si="51"/>
        <v>#DIV/0!</v>
      </c>
      <c r="I44" s="51" t="e">
        <f t="shared" si="52"/>
        <v>#DIV/0!</v>
      </c>
      <c r="J44" s="51">
        <f t="shared" si="53"/>
        <v>0</v>
      </c>
      <c r="K44" s="51" t="e">
        <f t="shared" si="54"/>
        <v>#DIV/0!</v>
      </c>
      <c r="L44" s="51">
        <v>0</v>
      </c>
      <c r="M44" s="51" t="str">
        <f t="shared" si="55"/>
        <v>-</v>
      </c>
      <c r="N44" s="51">
        <v>0</v>
      </c>
      <c r="O44" s="51">
        <f t="shared" ref="O44:P44" si="64">D44/7</f>
        <v>0</v>
      </c>
      <c r="P44" s="51">
        <f t="shared" si="64"/>
        <v>0</v>
      </c>
      <c r="Q44" s="51" t="e">
        <f t="shared" si="57"/>
        <v>#DIV/0!</v>
      </c>
      <c r="R44" s="55">
        <v>156</v>
      </c>
      <c r="S44" s="53">
        <v>108</v>
      </c>
      <c r="T44" s="54">
        <v>44117</v>
      </c>
      <c r="U44" s="55">
        <v>0</v>
      </c>
      <c r="V44" s="55">
        <f t="shared" si="58"/>
        <v>0</v>
      </c>
      <c r="W44" s="55">
        <f t="shared" si="59"/>
        <v>0</v>
      </c>
      <c r="X44" s="55">
        <v>0</v>
      </c>
      <c r="Y44" s="55" t="e">
        <v>#N/A</v>
      </c>
      <c r="Z44" s="56" t="e">
        <f t="shared" ref="Z44:Z56" si="65">IF(OR(Y44="UsLargeStandardSize",Y44="UsSmallStandardSize"),-2.4,-1.2)</f>
        <v>#N/A</v>
      </c>
      <c r="AA44" s="55" t="e">
        <v>#N/A</v>
      </c>
      <c r="AB44" s="55">
        <f t="shared" si="61"/>
        <v>0</v>
      </c>
      <c r="AC44" s="55">
        <v>0</v>
      </c>
      <c r="AD44" s="55">
        <v>-8.6470085470085394</v>
      </c>
      <c r="AE44" s="55">
        <v>0</v>
      </c>
      <c r="AF44" s="55" t="e">
        <v>#N/A</v>
      </c>
    </row>
    <row r="45" spans="1:32" s="57" customFormat="1" ht="15.75" customHeight="1">
      <c r="A45" s="2" t="s">
        <v>109</v>
      </c>
      <c r="B45" s="2" t="s">
        <v>212</v>
      </c>
      <c r="C45" s="51" t="str">
        <f t="shared" si="50"/>
        <v xml:space="preserve"> - </v>
      </c>
      <c r="D45" s="51">
        <v>0</v>
      </c>
      <c r="E45" s="51">
        <v>0</v>
      </c>
      <c r="F45" s="51">
        <v>0</v>
      </c>
      <c r="G45" s="51">
        <v>0</v>
      </c>
      <c r="H45" s="51" t="e">
        <f t="shared" si="51"/>
        <v>#DIV/0!</v>
      </c>
      <c r="I45" s="51" t="e">
        <f t="shared" si="52"/>
        <v>#DIV/0!</v>
      </c>
      <c r="J45" s="51">
        <f t="shared" si="53"/>
        <v>0</v>
      </c>
      <c r="K45" s="51" t="e">
        <f t="shared" si="54"/>
        <v>#DIV/0!</v>
      </c>
      <c r="L45" s="51">
        <v>0</v>
      </c>
      <c r="M45" s="51" t="str">
        <f t="shared" si="55"/>
        <v>-</v>
      </c>
      <c r="N45" s="51">
        <v>0</v>
      </c>
      <c r="O45" s="51">
        <f t="shared" ref="O45:P45" si="66">D45/7</f>
        <v>0</v>
      </c>
      <c r="P45" s="51">
        <f t="shared" si="66"/>
        <v>0</v>
      </c>
      <c r="Q45" s="51" t="e">
        <f t="shared" si="57"/>
        <v>#DIV/0!</v>
      </c>
      <c r="R45" s="55">
        <v>156</v>
      </c>
      <c r="S45" s="53">
        <v>108</v>
      </c>
      <c r="T45" s="54">
        <v>44117</v>
      </c>
      <c r="U45" s="55">
        <v>0</v>
      </c>
      <c r="V45" s="55">
        <f t="shared" si="58"/>
        <v>0</v>
      </c>
      <c r="W45" s="55">
        <f t="shared" si="59"/>
        <v>0</v>
      </c>
      <c r="X45" s="55">
        <v>0</v>
      </c>
      <c r="Y45" s="55" t="e">
        <v>#N/A</v>
      </c>
      <c r="Z45" s="56" t="e">
        <f t="shared" si="65"/>
        <v>#N/A</v>
      </c>
      <c r="AA45" s="55" t="e">
        <v>#N/A</v>
      </c>
      <c r="AB45" s="55">
        <f t="shared" si="61"/>
        <v>0</v>
      </c>
      <c r="AC45" s="55">
        <v>0</v>
      </c>
      <c r="AD45" s="55">
        <v>-8.6470085470085394</v>
      </c>
      <c r="AE45" s="55">
        <v>0</v>
      </c>
      <c r="AF45" s="55" t="e">
        <v>#N/A</v>
      </c>
    </row>
    <row r="46" spans="1:32" s="57" customFormat="1" ht="15.75" customHeight="1">
      <c r="A46" s="2" t="s">
        <v>111</v>
      </c>
      <c r="B46" s="2" t="s">
        <v>213</v>
      </c>
      <c r="C46" s="51" t="str">
        <f t="shared" si="50"/>
        <v xml:space="preserve"> - </v>
      </c>
      <c r="D46" s="51">
        <v>0</v>
      </c>
      <c r="E46" s="51">
        <v>1</v>
      </c>
      <c r="F46" s="51">
        <v>0</v>
      </c>
      <c r="G46" s="51">
        <v>0</v>
      </c>
      <c r="H46" s="51" t="e">
        <f t="shared" si="51"/>
        <v>#DIV/0!</v>
      </c>
      <c r="I46" s="51" t="e">
        <f t="shared" si="52"/>
        <v>#DIV/0!</v>
      </c>
      <c r="J46" s="51">
        <f t="shared" si="53"/>
        <v>0</v>
      </c>
      <c r="K46" s="51" t="e">
        <f t="shared" si="54"/>
        <v>#DIV/0!</v>
      </c>
      <c r="L46" s="51">
        <v>0</v>
      </c>
      <c r="M46" s="51" t="str">
        <f t="shared" si="55"/>
        <v>-</v>
      </c>
      <c r="N46" s="51">
        <v>23</v>
      </c>
      <c r="O46" s="51">
        <f t="shared" ref="O46:P46" si="67">D46/7</f>
        <v>0</v>
      </c>
      <c r="P46" s="51">
        <f t="shared" si="67"/>
        <v>0.14285714285714285</v>
      </c>
      <c r="Q46" s="51">
        <f t="shared" si="57"/>
        <v>161</v>
      </c>
      <c r="R46" s="55">
        <v>0</v>
      </c>
      <c r="S46" s="53" t="s">
        <v>34</v>
      </c>
      <c r="T46" s="54" t="s">
        <v>34</v>
      </c>
      <c r="U46" s="55">
        <v>0</v>
      </c>
      <c r="V46" s="55">
        <f t="shared" si="58"/>
        <v>0</v>
      </c>
      <c r="W46" s="55">
        <f t="shared" si="59"/>
        <v>0</v>
      </c>
      <c r="X46" s="55">
        <v>0</v>
      </c>
      <c r="Y46" s="55" t="s">
        <v>35</v>
      </c>
      <c r="Z46" s="56">
        <f t="shared" si="65"/>
        <v>-2.4</v>
      </c>
      <c r="AA46" s="55">
        <v>0.15946875000000002</v>
      </c>
      <c r="AB46" s="55">
        <f t="shared" si="61"/>
        <v>0</v>
      </c>
      <c r="AC46" s="55">
        <v>-3.48</v>
      </c>
      <c r="AD46" s="55">
        <v>-8.6470085470085394</v>
      </c>
      <c r="AE46" s="55">
        <v>0</v>
      </c>
      <c r="AF46" s="55">
        <v>4.9577464788732302</v>
      </c>
    </row>
    <row r="47" spans="1:32" s="57" customFormat="1" ht="15.75" customHeight="1">
      <c r="A47" s="2" t="s">
        <v>113</v>
      </c>
      <c r="B47" s="2" t="s">
        <v>214</v>
      </c>
      <c r="C47" s="51">
        <f t="shared" si="50"/>
        <v>20.938333333333329</v>
      </c>
      <c r="D47" s="51">
        <v>6</v>
      </c>
      <c r="E47" s="51">
        <v>0</v>
      </c>
      <c r="F47" s="51">
        <v>125.62999999999998</v>
      </c>
      <c r="G47" s="51">
        <v>0</v>
      </c>
      <c r="H47" s="51">
        <f t="shared" si="51"/>
        <v>0</v>
      </c>
      <c r="I47" s="51">
        <f t="shared" si="52"/>
        <v>0.21598661719293763</v>
      </c>
      <c r="J47" s="51">
        <f t="shared" si="53"/>
        <v>27.134398717948752</v>
      </c>
      <c r="K47" s="51">
        <f t="shared" si="54"/>
        <v>4.522399786324792</v>
      </c>
      <c r="L47" s="51">
        <v>66</v>
      </c>
      <c r="M47" s="51">
        <f t="shared" si="55"/>
        <v>9.0909090909090912E-2</v>
      </c>
      <c r="N47" s="51">
        <v>143</v>
      </c>
      <c r="O47" s="51">
        <f t="shared" ref="O47:P47" si="68">D47/7</f>
        <v>0.8571428571428571</v>
      </c>
      <c r="P47" s="51">
        <f t="shared" si="68"/>
        <v>0</v>
      </c>
      <c r="Q47" s="51">
        <f t="shared" si="57"/>
        <v>166</v>
      </c>
      <c r="R47" s="55">
        <v>0</v>
      </c>
      <c r="S47" s="53" t="s">
        <v>34</v>
      </c>
      <c r="T47" s="54" t="s">
        <v>34</v>
      </c>
      <c r="U47" s="55">
        <v>0</v>
      </c>
      <c r="V47" s="55">
        <f t="shared" si="58"/>
        <v>0</v>
      </c>
      <c r="W47" s="55">
        <f t="shared" si="59"/>
        <v>0</v>
      </c>
      <c r="X47" s="55">
        <v>0</v>
      </c>
      <c r="Y47" s="55" t="s">
        <v>35</v>
      </c>
      <c r="Z47" s="56">
        <f t="shared" si="65"/>
        <v>-2.4</v>
      </c>
      <c r="AA47" s="55">
        <v>0.15946875000000002</v>
      </c>
      <c r="AB47" s="55">
        <f t="shared" si="61"/>
        <v>-6.889050000000001</v>
      </c>
      <c r="AC47" s="55">
        <v>-3.48</v>
      </c>
      <c r="AD47" s="55">
        <v>-8.6470085470085394</v>
      </c>
      <c r="AE47" s="55">
        <v>0</v>
      </c>
      <c r="AF47" s="55">
        <v>1.50218340611353</v>
      </c>
    </row>
    <row r="48" spans="1:32" s="57" customFormat="1" ht="15.75" customHeight="1">
      <c r="A48" s="2" t="s">
        <v>115</v>
      </c>
      <c r="B48" s="2" t="s">
        <v>215</v>
      </c>
      <c r="C48" s="51">
        <f t="shared" si="50"/>
        <v>19.276</v>
      </c>
      <c r="D48" s="51">
        <v>5</v>
      </c>
      <c r="E48" s="51">
        <v>0</v>
      </c>
      <c r="F48" s="51">
        <v>96.38</v>
      </c>
      <c r="G48" s="51">
        <v>-0.11</v>
      </c>
      <c r="H48" s="51">
        <f t="shared" si="51"/>
        <v>1.1413156256484748E-3</v>
      </c>
      <c r="I48" s="51">
        <f t="shared" si="52"/>
        <v>0.16016893821287914</v>
      </c>
      <c r="J48" s="51">
        <f t="shared" si="53"/>
        <v>15.437082264957292</v>
      </c>
      <c r="K48" s="51">
        <f t="shared" si="54"/>
        <v>3.0874164529914583</v>
      </c>
      <c r="L48" s="51">
        <v>64</v>
      </c>
      <c r="M48" s="51">
        <f t="shared" si="55"/>
        <v>7.8125E-2</v>
      </c>
      <c r="N48" s="51">
        <v>139</v>
      </c>
      <c r="O48" s="51">
        <f t="shared" ref="O48:P48" si="69">D48/7</f>
        <v>0.7142857142857143</v>
      </c>
      <c r="P48" s="51">
        <f t="shared" si="69"/>
        <v>0</v>
      </c>
      <c r="Q48" s="51">
        <f t="shared" si="57"/>
        <v>194</v>
      </c>
      <c r="R48" s="55">
        <f ca="1">IFERROR(__xludf.DUMMYFUNCTION("IFERROR(VLOOKUP($B$2,IMPORTRANGE(""https://docs.google.com/spreadsheets/d/1iVgg6Mw12RULLujzHmfOFIY8Q_KaAD8anoZzgtVAQ74/edit#gid=1503384807"",""Second Star - Summary!A1:AD2000""),9,FALSE),"""")"),278)</f>
        <v>278</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si="58"/>
        <v>0</v>
      </c>
      <c r="W48" s="55">
        <f t="shared" si="59"/>
        <v>0</v>
      </c>
      <c r="X48" s="55">
        <v>0</v>
      </c>
      <c r="Y48" s="55" t="s">
        <v>35</v>
      </c>
      <c r="Z48" s="56">
        <f t="shared" si="65"/>
        <v>-2.4</v>
      </c>
      <c r="AA48" s="55">
        <v>0.15946875000000002</v>
      </c>
      <c r="AB48" s="55">
        <f t="shared" si="61"/>
        <v>-5.7408750000000008</v>
      </c>
      <c r="AC48" s="55">
        <v>-3.48</v>
      </c>
      <c r="AD48" s="55">
        <v>-8.6470085470085394</v>
      </c>
      <c r="AE48" s="55">
        <v>0</v>
      </c>
      <c r="AF48" s="55">
        <v>1.55023923444976</v>
      </c>
    </row>
    <row r="49" spans="1:32" s="57" customFormat="1" ht="15.75" customHeight="1">
      <c r="A49" s="2" t="s">
        <v>117</v>
      </c>
      <c r="B49" s="2" t="s">
        <v>216</v>
      </c>
      <c r="C49" s="51">
        <f t="shared" si="50"/>
        <v>18.814999999999998</v>
      </c>
      <c r="D49" s="51">
        <v>6</v>
      </c>
      <c r="E49" s="51">
        <v>0</v>
      </c>
      <c r="F49" s="51">
        <v>112.88999999999999</v>
      </c>
      <c r="G49" s="51">
        <v>-5.71</v>
      </c>
      <c r="H49" s="51">
        <f t="shared" si="51"/>
        <v>5.058021082469661E-2</v>
      </c>
      <c r="I49" s="51">
        <f t="shared" si="52"/>
        <v>9.2256167224278124E-2</v>
      </c>
      <c r="J49" s="51">
        <f t="shared" ref="J49:J56" si="70">F49*0.85+G49+AD49*D49+D49*AC49+AE49+AB49</f>
        <v>10.414798717948756</v>
      </c>
      <c r="K49" s="51">
        <f t="shared" si="54"/>
        <v>1.7357997863247927</v>
      </c>
      <c r="L49" s="51">
        <v>101</v>
      </c>
      <c r="M49" s="51">
        <f t="shared" si="55"/>
        <v>5.9405940594059403E-2</v>
      </c>
      <c r="N49" s="51">
        <v>122</v>
      </c>
      <c r="O49" s="51">
        <f t="shared" ref="O49:P49" si="71">D49/7</f>
        <v>0.8571428571428571</v>
      </c>
      <c r="P49" s="51">
        <f t="shared" si="71"/>
        <v>0</v>
      </c>
      <c r="Q49" s="51">
        <f t="shared" si="57"/>
        <v>142</v>
      </c>
      <c r="R49" s="55">
        <f ca="1">IFERROR(__xludf.DUMMYFUNCTION("IFERROR(VLOOKUP($B$2,IMPORTRANGE(""https://docs.google.com/spreadsheets/d/1iVgg6Mw12RULLujzHmfOFIY8Q_KaAD8anoZzgtVAQ74/edit#gid=1503384807"",""Second Star - Summary!A1:AD2000""),9,FALSE),"""")"),278)</f>
        <v>278</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58"/>
        <v>0</v>
      </c>
      <c r="W49" s="55">
        <f t="shared" si="59"/>
        <v>0</v>
      </c>
      <c r="X49" s="55">
        <v>0</v>
      </c>
      <c r="Y49" s="55" t="s">
        <v>35</v>
      </c>
      <c r="Z49" s="56">
        <f t="shared" si="65"/>
        <v>-2.4</v>
      </c>
      <c r="AA49" s="55">
        <v>0.15946875000000002</v>
      </c>
      <c r="AB49" s="55">
        <f t="shared" si="61"/>
        <v>-6.889050000000001</v>
      </c>
      <c r="AC49" s="55">
        <v>-3.48</v>
      </c>
      <c r="AD49" s="55">
        <v>-8.6771085470085403</v>
      </c>
      <c r="AE49" s="55">
        <v>0</v>
      </c>
      <c r="AF49" s="55">
        <v>1.8554216867469799</v>
      </c>
    </row>
    <row r="50" spans="1:32" s="57" customFormat="1" ht="15.75" customHeight="1">
      <c r="A50" s="2" t="s">
        <v>119</v>
      </c>
      <c r="B50" s="2" t="s">
        <v>217</v>
      </c>
      <c r="C50" s="51">
        <f t="shared" si="50"/>
        <v>18.384</v>
      </c>
      <c r="D50" s="51">
        <v>20</v>
      </c>
      <c r="E50" s="51">
        <v>0</v>
      </c>
      <c r="F50" s="51">
        <v>367.68</v>
      </c>
      <c r="G50" s="51">
        <v>-9.33</v>
      </c>
      <c r="H50" s="51">
        <f t="shared" si="51"/>
        <v>2.5375326370757179E-2</v>
      </c>
      <c r="I50" s="51">
        <f t="shared" si="52"/>
        <v>0.10088209600693325</v>
      </c>
      <c r="J50" s="51">
        <f t="shared" si="70"/>
        <v>37.092329059829218</v>
      </c>
      <c r="K50" s="51">
        <f t="shared" si="54"/>
        <v>1.8546164529914608</v>
      </c>
      <c r="L50" s="51">
        <v>108</v>
      </c>
      <c r="M50" s="51">
        <f t="shared" si="55"/>
        <v>0.18518518518518517</v>
      </c>
      <c r="N50" s="51">
        <v>103</v>
      </c>
      <c r="O50" s="51">
        <f t="shared" ref="O50:P50" si="72">D50/7</f>
        <v>2.8571428571428572</v>
      </c>
      <c r="P50" s="51">
        <f t="shared" si="72"/>
        <v>0</v>
      </c>
      <c r="Q50" s="51">
        <f t="shared" si="57"/>
        <v>36</v>
      </c>
      <c r="R50" s="55">
        <f ca="1">IFERROR(__xludf.DUMMYFUNCTION("IFERROR(VLOOKUP($B$2,IMPORTRANGE(""https://docs.google.com/spreadsheets/d/1iVgg6Mw12RULLujzHmfOFIY8Q_KaAD8anoZzgtVAQ74/edit#gid=1503384807"",""Second Star - Summary!A1:AD2000""),9,FALSE),"""")"),278)</f>
        <v>278</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58"/>
        <v>0</v>
      </c>
      <c r="W50" s="55">
        <f t="shared" si="59"/>
        <v>0</v>
      </c>
      <c r="X50" s="55">
        <v>0</v>
      </c>
      <c r="Y50" s="55" t="s">
        <v>35</v>
      </c>
      <c r="Z50" s="56">
        <f t="shared" si="65"/>
        <v>-2.4</v>
      </c>
      <c r="AA50" s="55">
        <v>0.15946875000000002</v>
      </c>
      <c r="AB50" s="55">
        <f t="shared" si="61"/>
        <v>-22.963500000000003</v>
      </c>
      <c r="AC50" s="55">
        <v>-3.48</v>
      </c>
      <c r="AD50" s="55">
        <v>-8.6771085470085403</v>
      </c>
      <c r="AE50" s="55">
        <v>0</v>
      </c>
      <c r="AF50" s="55">
        <v>2.30872483221476</v>
      </c>
    </row>
    <row r="51" spans="1:32" s="57" customFormat="1" ht="15.75" customHeight="1">
      <c r="A51" s="2" t="s">
        <v>121</v>
      </c>
      <c r="B51" s="2" t="s">
        <v>218</v>
      </c>
      <c r="C51" s="51">
        <f t="shared" si="50"/>
        <v>19.372000000000003</v>
      </c>
      <c r="D51" s="51">
        <v>15</v>
      </c>
      <c r="E51" s="51">
        <v>0</v>
      </c>
      <c r="F51" s="51">
        <v>290.58000000000004</v>
      </c>
      <c r="G51" s="51">
        <v>0</v>
      </c>
      <c r="H51" s="51">
        <f t="shared" si="51"/>
        <v>0</v>
      </c>
      <c r="I51" s="51">
        <f t="shared" si="52"/>
        <v>0.16316933992316027</v>
      </c>
      <c r="J51" s="51">
        <f t="shared" si="70"/>
        <v>47.413746794871919</v>
      </c>
      <c r="K51" s="51">
        <f t="shared" si="54"/>
        <v>3.1609164529914611</v>
      </c>
      <c r="L51" s="51">
        <v>63</v>
      </c>
      <c r="M51" s="51">
        <f t="shared" si="55"/>
        <v>0.23809523809523808</v>
      </c>
      <c r="N51" s="51">
        <v>87</v>
      </c>
      <c r="O51" s="51">
        <f t="shared" ref="O51:P51" si="73">D51/7</f>
        <v>2.1428571428571428</v>
      </c>
      <c r="P51" s="51">
        <f t="shared" si="73"/>
        <v>0</v>
      </c>
      <c r="Q51" s="51">
        <f t="shared" si="57"/>
        <v>40</v>
      </c>
      <c r="R51" s="55">
        <f ca="1">IFERROR(__xludf.DUMMYFUNCTION("IFERROR(VLOOKUP($B$2,IMPORTRANGE(""https://docs.google.com/spreadsheets/d/1iVgg6Mw12RULLujzHmfOFIY8Q_KaAD8anoZzgtVAQ74/edit#gid=1503384807"",""Second Star - Summary!A1:AD2000""),9,FALSE),"""")"),278)</f>
        <v>278</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58"/>
        <v>0</v>
      </c>
      <c r="W51" s="55">
        <f t="shared" si="59"/>
        <v>0</v>
      </c>
      <c r="X51" s="55">
        <v>0</v>
      </c>
      <c r="Y51" s="55" t="s">
        <v>35</v>
      </c>
      <c r="Z51" s="56">
        <f t="shared" si="65"/>
        <v>-2.4</v>
      </c>
      <c r="AA51" s="55">
        <v>0.15946875000000002</v>
      </c>
      <c r="AB51" s="55">
        <f t="shared" si="61"/>
        <v>-17.222625000000001</v>
      </c>
      <c r="AC51" s="55">
        <v>-3.48</v>
      </c>
      <c r="AD51" s="55">
        <v>-8.6771085470085403</v>
      </c>
      <c r="AE51" s="55">
        <v>0</v>
      </c>
      <c r="AF51" s="55">
        <v>3.3282442748091601</v>
      </c>
    </row>
    <row r="52" spans="1:32" s="57" customFormat="1" ht="15.75" customHeight="1">
      <c r="A52" s="2" t="s">
        <v>123</v>
      </c>
      <c r="B52" s="2" t="s">
        <v>218</v>
      </c>
      <c r="C52" s="51">
        <f t="shared" si="50"/>
        <v>18.053749999999997</v>
      </c>
      <c r="D52" s="51">
        <v>8</v>
      </c>
      <c r="E52" s="51">
        <v>0</v>
      </c>
      <c r="F52" s="51">
        <v>144.42999999999998</v>
      </c>
      <c r="G52" s="51">
        <v>-0.16</v>
      </c>
      <c r="H52" s="51">
        <f t="shared" si="51"/>
        <v>1.107803088001108E-3</v>
      </c>
      <c r="I52" s="51">
        <f t="shared" si="52"/>
        <v>0.11191048690667907</v>
      </c>
      <c r="J52" s="51">
        <f t="shared" si="70"/>
        <v>16.163231623931654</v>
      </c>
      <c r="K52" s="51">
        <f t="shared" si="54"/>
        <v>2.0204039529914568</v>
      </c>
      <c r="L52" s="51">
        <v>106</v>
      </c>
      <c r="M52" s="51">
        <f t="shared" si="55"/>
        <v>7.5471698113207544E-2</v>
      </c>
      <c r="N52" s="51">
        <v>125</v>
      </c>
      <c r="O52" s="51">
        <f t="shared" ref="O52:P52" si="74">D52/7</f>
        <v>1.1428571428571428</v>
      </c>
      <c r="P52" s="51">
        <f t="shared" si="74"/>
        <v>0</v>
      </c>
      <c r="Q52" s="51">
        <f t="shared" si="57"/>
        <v>109</v>
      </c>
      <c r="R52" s="55">
        <f ca="1">IFERROR(__xludf.DUMMYFUNCTION("IFERROR(VLOOKUP($B$2,IMPORTRANGE(""https://docs.google.com/spreadsheets/d/1iVgg6Mw12RULLujzHmfOFIY8Q_KaAD8anoZzgtVAQ74/edit#gid=1503384807"",""Second Star - Summary!A1:AD2000""),9,FALSE),"""")"),278)</f>
        <v>278</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58"/>
        <v>0</v>
      </c>
      <c r="W52" s="55">
        <f t="shared" si="59"/>
        <v>0</v>
      </c>
      <c r="X52" s="55">
        <v>0</v>
      </c>
      <c r="Y52" s="55" t="s">
        <v>35</v>
      </c>
      <c r="Z52" s="56">
        <f t="shared" si="65"/>
        <v>-2.4</v>
      </c>
      <c r="AA52" s="55">
        <v>0.15946875000000002</v>
      </c>
      <c r="AB52" s="55">
        <f t="shared" si="61"/>
        <v>-9.1854000000000013</v>
      </c>
      <c r="AC52" s="55">
        <v>-3.48</v>
      </c>
      <c r="AD52" s="55">
        <v>-8.6771085470085403</v>
      </c>
      <c r="AE52" s="55">
        <v>0</v>
      </c>
      <c r="AF52" s="55">
        <v>1.31395348837209</v>
      </c>
    </row>
    <row r="53" spans="1:32" s="57" customFormat="1">
      <c r="A53" s="2" t="s">
        <v>38</v>
      </c>
      <c r="B53" s="2" t="s">
        <v>219</v>
      </c>
      <c r="C53" s="51">
        <f t="shared" si="50"/>
        <v>17.989999999999998</v>
      </c>
      <c r="D53" s="51">
        <v>7</v>
      </c>
      <c r="E53" s="51">
        <v>0</v>
      </c>
      <c r="F53" s="51">
        <v>125.92999999999998</v>
      </c>
      <c r="G53" s="51">
        <v>-0.04</v>
      </c>
      <c r="H53" s="51">
        <f t="shared" si="51"/>
        <v>3.1763678233939497E-4</v>
      </c>
      <c r="I53" s="51">
        <f t="shared" si="52"/>
        <v>0.11008905877027078</v>
      </c>
      <c r="J53" s="51">
        <f t="shared" si="70"/>
        <v>13.863515170940197</v>
      </c>
      <c r="K53" s="51">
        <f t="shared" si="54"/>
        <v>1.980502167277171</v>
      </c>
      <c r="L53" s="51">
        <v>67</v>
      </c>
      <c r="M53" s="51">
        <f t="shared" si="55"/>
        <v>0.1044776119402985</v>
      </c>
      <c r="N53" s="51">
        <v>117</v>
      </c>
      <c r="O53" s="51">
        <f t="shared" ref="O53:P53" si="75">D53/7</f>
        <v>1</v>
      </c>
      <c r="P53" s="51">
        <f t="shared" si="75"/>
        <v>0</v>
      </c>
      <c r="Q53" s="51">
        <f t="shared" si="57"/>
        <v>117</v>
      </c>
      <c r="R53" s="55">
        <f ca="1">IFERROR(__xludf.DUMMYFUNCTION("IFERROR(VLOOKUP($B$2,IMPORTRANGE(""https://docs.google.com/spreadsheets/d/1iVgg6Mw12RULLujzHmfOFIY8Q_KaAD8anoZzgtVAQ74/edit#gid=1503384807"",""Second Star - Summary!A1:AD2000""),9,FALSE),"""")"),278)</f>
        <v>278</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58"/>
        <v>0</v>
      </c>
      <c r="W53" s="55">
        <f t="shared" si="59"/>
        <v>0</v>
      </c>
      <c r="X53" s="55">
        <v>0</v>
      </c>
      <c r="Y53" s="55" t="s">
        <v>35</v>
      </c>
      <c r="Z53" s="56">
        <f t="shared" si="65"/>
        <v>-2.4</v>
      </c>
      <c r="AA53" s="55">
        <v>0.15946875000000002</v>
      </c>
      <c r="AB53" s="55">
        <f t="shared" si="61"/>
        <v>-8.0372249999999994</v>
      </c>
      <c r="AC53" s="55">
        <v>-3.48</v>
      </c>
      <c r="AD53" s="55">
        <v>-8.6771085470085403</v>
      </c>
      <c r="AE53" s="55">
        <v>0</v>
      </c>
      <c r="AF53" s="55">
        <v>1.4086378737541501</v>
      </c>
    </row>
    <row r="54" spans="1:32" s="57" customFormat="1">
      <c r="A54" s="2" t="s">
        <v>40</v>
      </c>
      <c r="B54" s="2" t="s">
        <v>220</v>
      </c>
      <c r="C54" s="51">
        <f t="shared" si="50"/>
        <v>23.337500000000006</v>
      </c>
      <c r="D54" s="51">
        <v>16</v>
      </c>
      <c r="E54" s="51">
        <v>0</v>
      </c>
      <c r="F54" s="51">
        <v>373.40000000000009</v>
      </c>
      <c r="G54" s="51">
        <v>-0.1</v>
      </c>
      <c r="H54" s="51">
        <f t="shared" si="51"/>
        <v>2.6780931976432774E-4</v>
      </c>
      <c r="I54" s="51">
        <f t="shared" si="52"/>
        <v>0.27425137452561155</v>
      </c>
      <c r="J54" s="51">
        <f t="shared" si="70"/>
        <v>102.40546324786337</v>
      </c>
      <c r="K54" s="51">
        <f t="shared" si="54"/>
        <v>6.4003414529914604</v>
      </c>
      <c r="L54" s="51">
        <v>84</v>
      </c>
      <c r="M54" s="51">
        <f t="shared" si="55"/>
        <v>0.19047619047619047</v>
      </c>
      <c r="N54" s="51">
        <v>100</v>
      </c>
      <c r="O54" s="51">
        <f t="shared" ref="O54:P54" si="76">D54/7</f>
        <v>2.2857142857142856</v>
      </c>
      <c r="P54" s="51">
        <f t="shared" si="76"/>
        <v>0</v>
      </c>
      <c r="Q54" s="51">
        <f t="shared" si="57"/>
        <v>43</v>
      </c>
      <c r="R54" s="55">
        <f ca="1">IFERROR(__xludf.DUMMYFUNCTION("IFERROR(VLOOKUP($B$2,IMPORTRANGE(""https://docs.google.com/spreadsheets/d/1iVgg6Mw12RULLujzHmfOFIY8Q_KaAD8anoZzgtVAQ74/edit#gid=1503384807"",""Second Star - Summary!A1:AD2000""),9,FALSE),"""")"),278)</f>
        <v>278</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58"/>
        <v>0</v>
      </c>
      <c r="W54" s="55">
        <f t="shared" si="59"/>
        <v>0</v>
      </c>
      <c r="X54" s="55">
        <v>0</v>
      </c>
      <c r="Y54" s="55" t="s">
        <v>35</v>
      </c>
      <c r="Z54" s="56">
        <f t="shared" si="65"/>
        <v>-2.4</v>
      </c>
      <c r="AA54" s="55">
        <v>0.15946875000000002</v>
      </c>
      <c r="AB54" s="55">
        <f t="shared" si="61"/>
        <v>-18.370800000000003</v>
      </c>
      <c r="AC54" s="55">
        <v>-3.48</v>
      </c>
      <c r="AD54" s="55">
        <v>-8.6771085470085403</v>
      </c>
      <c r="AE54" s="55">
        <v>-2</v>
      </c>
      <c r="AF54" s="55">
        <v>1.73553719008264</v>
      </c>
    </row>
    <row r="55" spans="1:32" s="57" customFormat="1" ht="15.75" customHeight="1">
      <c r="A55" s="2" t="s">
        <v>32</v>
      </c>
      <c r="B55" s="2" t="s">
        <v>221</v>
      </c>
      <c r="C55" s="51">
        <f t="shared" si="50"/>
        <v>24.04111111111111</v>
      </c>
      <c r="D55" s="51">
        <v>9</v>
      </c>
      <c r="E55" s="51">
        <v>0</v>
      </c>
      <c r="F55" s="51">
        <v>216.37</v>
      </c>
      <c r="G55" s="51">
        <v>-0.1</v>
      </c>
      <c r="H55" s="51">
        <f t="shared" si="51"/>
        <v>4.6217128067661876E-4</v>
      </c>
      <c r="I55" s="51">
        <f t="shared" si="52"/>
        <v>0.2960990344175401</v>
      </c>
      <c r="J55" s="51">
        <f t="shared" si="70"/>
        <v>64.066948076923154</v>
      </c>
      <c r="K55" s="51">
        <f t="shared" si="54"/>
        <v>7.1185497863247953</v>
      </c>
      <c r="L55" s="51">
        <v>49</v>
      </c>
      <c r="M55" s="51">
        <f t="shared" si="55"/>
        <v>0.18367346938775511</v>
      </c>
      <c r="N55" s="51">
        <v>92</v>
      </c>
      <c r="O55" s="51">
        <f t="shared" ref="O55:P55" si="77">D55/7</f>
        <v>1.2857142857142858</v>
      </c>
      <c r="P55" s="51">
        <f t="shared" si="77"/>
        <v>0</v>
      </c>
      <c r="Q55" s="51">
        <f t="shared" si="57"/>
        <v>71</v>
      </c>
      <c r="R55" s="55">
        <v>48</v>
      </c>
      <c r="S55" s="53">
        <v>48</v>
      </c>
      <c r="T55" s="54">
        <v>44211</v>
      </c>
      <c r="U55" s="55">
        <v>0</v>
      </c>
      <c r="V55" s="55">
        <f t="shared" si="58"/>
        <v>0</v>
      </c>
      <c r="W55" s="55">
        <f t="shared" si="59"/>
        <v>0</v>
      </c>
      <c r="X55" s="55">
        <v>0</v>
      </c>
      <c r="Y55" s="55" t="s">
        <v>35</v>
      </c>
      <c r="Z55" s="56">
        <f t="shared" si="65"/>
        <v>-2.4</v>
      </c>
      <c r="AA55" s="55">
        <v>0.15946875000000002</v>
      </c>
      <c r="AB55" s="55">
        <f t="shared" si="61"/>
        <v>-10.333575000000002</v>
      </c>
      <c r="AC55" s="55">
        <v>-3.48</v>
      </c>
      <c r="AD55" s="55">
        <v>-8.6771085470085403</v>
      </c>
      <c r="AE55" s="55">
        <v>0</v>
      </c>
      <c r="AF55" s="55">
        <v>1.1008174386920899</v>
      </c>
    </row>
    <row r="56" spans="1:32" s="57" customFormat="1" ht="15.75" customHeight="1">
      <c r="A56" s="2" t="s">
        <v>36</v>
      </c>
      <c r="B56" s="2"/>
      <c r="C56" s="51">
        <f t="shared" si="50"/>
        <v>24.029230769230772</v>
      </c>
      <c r="D56" s="51">
        <v>13</v>
      </c>
      <c r="E56" s="51">
        <v>0</v>
      </c>
      <c r="F56" s="51">
        <v>312.38000000000005</v>
      </c>
      <c r="G56" s="51">
        <v>-0.30000000000000004</v>
      </c>
      <c r="H56" s="51">
        <f t="shared" si="51"/>
        <v>9.6036878161213902E-4</v>
      </c>
      <c r="I56" s="51">
        <f t="shared" si="52"/>
        <v>0.29532721009312035</v>
      </c>
      <c r="J56" s="51">
        <f t="shared" si="70"/>
        <v>92.254313888888959</v>
      </c>
      <c r="K56" s="51">
        <f t="shared" si="54"/>
        <v>7.0964856837606893</v>
      </c>
      <c r="L56" s="51">
        <v>75</v>
      </c>
      <c r="M56" s="51">
        <f t="shared" si="55"/>
        <v>0.17333333333333334</v>
      </c>
      <c r="N56" s="51">
        <v>100</v>
      </c>
      <c r="O56" s="51">
        <f t="shared" ref="O56:P56" si="78">D56/7</f>
        <v>1.8571428571428572</v>
      </c>
      <c r="P56" s="51">
        <f t="shared" si="78"/>
        <v>0</v>
      </c>
      <c r="Q56" s="51">
        <f t="shared" si="57"/>
        <v>53</v>
      </c>
      <c r="R56" s="55">
        <f ca="1">IFERROR(__xludf.DUMMYFUNCTION("IFERROR(VLOOKUP($B$2,IMPORTRANGE(""https://docs.google.com/spreadsheets/d/1iVgg6Mw12RULLujzHmfOFIY8Q_KaAD8anoZzgtVAQ74/edit#gid=1503384807"",""Second Star - Summary!A1:AD2000""),9,FALSE),"""")"),278)</f>
        <v>278</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58"/>
        <v>0</v>
      </c>
      <c r="W56" s="55">
        <f t="shared" si="59"/>
        <v>0</v>
      </c>
      <c r="X56" s="55">
        <v>0</v>
      </c>
      <c r="Y56" s="55" t="s">
        <v>35</v>
      </c>
      <c r="Z56" s="56">
        <f t="shared" si="65"/>
        <v>-2.4</v>
      </c>
      <c r="AA56" s="55">
        <v>0.15946875000000002</v>
      </c>
      <c r="AB56" s="55">
        <f t="shared" si="61"/>
        <v>-14.926275</v>
      </c>
      <c r="AC56" s="55">
        <v>-3.48</v>
      </c>
      <c r="AD56" s="55">
        <v>-8.6771085470085403</v>
      </c>
      <c r="AE56" s="55">
        <v>0</v>
      </c>
      <c r="AF56" s="55">
        <v>1.1946666666666601</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E173" s="2"/>
      <c r="P173" s="2"/>
      <c r="AF173" s="23"/>
    </row>
    <row r="174" spans="1:32" ht="15.75" customHeight="1">
      <c r="E174" s="2"/>
      <c r="P174" s="2"/>
      <c r="AF174" s="23"/>
    </row>
    <row r="175" spans="1:32" ht="15.75" customHeight="1">
      <c r="E175" s="2"/>
      <c r="P175" s="2"/>
      <c r="AF175" s="23"/>
    </row>
    <row r="176" spans="1:32" ht="15.75" customHeight="1">
      <c r="E176" s="2"/>
      <c r="P176" s="2"/>
      <c r="AF176" s="23"/>
    </row>
    <row r="177" spans="5:32" ht="15.75" customHeight="1">
      <c r="E177" s="2"/>
      <c r="P177" s="2"/>
      <c r="AF177" s="23"/>
    </row>
    <row r="178" spans="5:32" ht="15.75" customHeight="1">
      <c r="E178" s="2"/>
      <c r="P178" s="2"/>
      <c r="AF178" s="23"/>
    </row>
    <row r="179" spans="5:32" ht="15.75" customHeight="1">
      <c r="E179" s="2"/>
      <c r="P179" s="2"/>
      <c r="AF179" s="23"/>
    </row>
    <row r="180" spans="5:32" ht="15.75" customHeight="1">
      <c r="E180" s="2"/>
      <c r="P180" s="2"/>
      <c r="AF180" s="23"/>
    </row>
    <row r="181" spans="5:32" ht="15.75" customHeight="1">
      <c r="E181" s="2"/>
      <c r="P181" s="2"/>
      <c r="AF181" s="23"/>
    </row>
    <row r="182" spans="5:32" ht="15.75" customHeight="1">
      <c r="E182" s="2"/>
      <c r="P182" s="2"/>
      <c r="AF182" s="23"/>
    </row>
    <row r="183" spans="5:32" ht="15.75" customHeight="1">
      <c r="E183" s="2"/>
      <c r="P183" s="2"/>
      <c r="AF183" s="23"/>
    </row>
    <row r="184" spans="5:32" ht="15.75" customHeight="1">
      <c r="E184" s="2"/>
      <c r="P184" s="2"/>
      <c r="AF184" s="23"/>
    </row>
    <row r="185" spans="5:32" ht="15.75" customHeight="1">
      <c r="E185" s="2"/>
      <c r="P185" s="2"/>
      <c r="AF185" s="23"/>
    </row>
    <row r="186" spans="5:32" ht="15.75" customHeight="1">
      <c r="E186" s="2"/>
      <c r="P186" s="2"/>
      <c r="AF186" s="23"/>
    </row>
    <row r="187" spans="5:32" ht="15.75" customHeight="1">
      <c r="E187" s="2"/>
      <c r="P187" s="2"/>
      <c r="AF187" s="23"/>
    </row>
    <row r="188" spans="5:32" ht="15.75" customHeight="1">
      <c r="E188" s="2"/>
      <c r="P188" s="2"/>
      <c r="AF188" s="23"/>
    </row>
    <row r="189" spans="5:32" ht="15.75" customHeight="1">
      <c r="E189" s="2"/>
      <c r="P189" s="2"/>
      <c r="AF189" s="23"/>
    </row>
    <row r="190" spans="5:32" ht="15.75" customHeight="1">
      <c r="E190" s="2"/>
      <c r="P190" s="2"/>
      <c r="AF190" s="23"/>
    </row>
    <row r="191" spans="5:32" ht="15.75" customHeight="1">
      <c r="E191" s="2"/>
      <c r="P191" s="2"/>
      <c r="AF191" s="23"/>
    </row>
    <row r="192" spans="5: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492" priority="1" operator="lessThan">
      <formula>100</formula>
    </cfRule>
  </conditionalFormatting>
  <conditionalFormatting sqref="Q1:Q3 Q57:Q1000">
    <cfRule type="cellIs" dxfId="491" priority="2" operator="lessThan">
      <formula>100</formula>
    </cfRule>
  </conditionalFormatting>
  <conditionalFormatting sqref="I1:I3 I57:I1000">
    <cfRule type="cellIs" dxfId="490" priority="3" operator="lessThan">
      <formula>0.05</formula>
    </cfRule>
  </conditionalFormatting>
  <conditionalFormatting sqref="I4:I17">
    <cfRule type="cellIs" dxfId="489" priority="4" operator="lessThan">
      <formula>0.05</formula>
    </cfRule>
  </conditionalFormatting>
  <conditionalFormatting sqref="I18:I56">
    <cfRule type="cellIs" dxfId="488" priority="5" operator="lessThan">
      <formula>0.05</formula>
    </cfRule>
  </conditionalFormatting>
  <conditionalFormatting sqref="Q4:Q56">
    <cfRule type="cellIs" dxfId="487" priority="6" operator="lessThan">
      <formula>100</formula>
    </cfRule>
  </conditionalFormatting>
  <conditionalFormatting sqref="Q4:Q56">
    <cfRule type="cellIs" dxfId="486" priority="7" operator="lessThan">
      <formula>100</formula>
    </cfRule>
  </conditionalFormatting>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44" customWidth="1"/>
    <col min="3" max="3" width="8"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6.3320312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Info!B1:BJ5000""),4,FALSE),"""")"),"Organic, Waterproof Natural Quilted Fitted Portable/Mini Crib Pad Cover")</f>
        <v>Organic, Waterproof Natural Quilted Fitted Portable/Mini Crib Pad Cover</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Info!B1:BJ5000""),3,FALSE),"""")"),"B01865W7P6")</f>
        <v>B01865W7P6</v>
      </c>
      <c r="B2" s="4" t="s">
        <v>222</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15.108362996480636</v>
      </c>
      <c r="D3" s="8">
        <f>SUM(D4:D99819)</f>
        <v>698</v>
      </c>
      <c r="E3" s="8"/>
      <c r="F3" s="9">
        <f t="shared" ref="F3:G3" si="0">SUM(F4:F99819)</f>
        <v>14707.009999999998</v>
      </c>
      <c r="G3" s="9">
        <f t="shared" si="0"/>
        <v>-75.600000000000009</v>
      </c>
      <c r="H3" s="10">
        <f t="shared" ref="H3:H39" si="1">G3/F3*-1</f>
        <v>5.1404058336806746E-3</v>
      </c>
      <c r="I3" s="11">
        <f t="shared" ref="I3:I39" si="2">J3/F3</f>
        <v>0.17025040374882697</v>
      </c>
      <c r="J3" s="9">
        <f>SUM(J4:J99819)</f>
        <v>2503.8743904380353</v>
      </c>
      <c r="K3" s="9">
        <f t="shared" ref="K3:K39" si="3">J3/D3</f>
        <v>3.5872125937507668</v>
      </c>
      <c r="L3" s="8"/>
      <c r="M3" s="12"/>
      <c r="N3" s="13"/>
      <c r="O3" s="8" t="str">
        <f ca="1">IFERROR(__xludf.DUMMYFUNCTION("IFERROR(VLOOKUP(B2,IMPORTRANGE(""https://docs.google.com/spreadsheets/d/1owCo6kL_VFQ5nPTdNogErmCBLjNiktT1m3SzTrxu3R0/edit#gid=2146806407"",""Second Star - Compiled!b1:g5000""),2,FALSE),"""")"),"2.5 - March
3 - April
2.5 - May
2.5 - Jun
2.5 - Jul
2.5 - Aug
2.5 - Sept
2.5 - Oct
2.5 - Nov
2.5 - Dec
2.5 - Jan
2.5 - Feb")</f>
        <v>2.5 - March
3 - April
2.5 - May
2.5 - Jun
2.5 - Jul
2.5 - Aug
2.5 - Sept
2.5 - Oct
2.5 - Nov
2.5 - Dec
2.5 - Jan
2.5 - Feb</v>
      </c>
      <c r="P3" s="8"/>
      <c r="Q3" s="14"/>
      <c r="R3" s="13"/>
      <c r="S3" s="13"/>
      <c r="T3" s="13"/>
      <c r="U3" s="8">
        <f>SUM(U4:U99819)</f>
        <v>5</v>
      </c>
      <c r="V3" s="10">
        <f>AVERAGE(V4:V99819)</f>
        <v>6.8134171907756813E-3</v>
      </c>
      <c r="W3" s="9">
        <f>ROUND(AVERAGE(W4:W99819),2)</f>
        <v>0.6</v>
      </c>
      <c r="X3" s="8"/>
      <c r="Y3" s="8"/>
      <c r="Z3" s="8"/>
      <c r="AA3" s="8"/>
      <c r="AB3" s="8"/>
      <c r="AC3" s="15"/>
      <c r="AD3" s="9"/>
      <c r="AE3" s="9">
        <f>SUM(AE4:AE99819)</f>
        <v>-99.960000000000008</v>
      </c>
      <c r="AF3" s="16"/>
    </row>
    <row r="4" spans="1:32" s="57" customFormat="1">
      <c r="A4" s="17" t="s">
        <v>48</v>
      </c>
      <c r="B4" s="17"/>
      <c r="C4" s="50">
        <v>21.99</v>
      </c>
      <c r="D4" s="51">
        <v>14</v>
      </c>
      <c r="E4" s="51">
        <v>0</v>
      </c>
      <c r="F4" s="51">
        <v>303.86000000000007</v>
      </c>
      <c r="G4" s="51">
        <v>-0.39</v>
      </c>
      <c r="H4" s="51">
        <f t="shared" si="1"/>
        <v>1.2834858158362402E-3</v>
      </c>
      <c r="I4" s="51">
        <f t="shared" si="2"/>
        <v>0.18375466610241689</v>
      </c>
      <c r="J4" s="51">
        <f t="shared" ref="J4:J38" si="4">F4*0.85+G4+AD4*D4+D4*AC4+AE4+AB4</f>
        <v>55.835692841880409</v>
      </c>
      <c r="K4" s="51">
        <f t="shared" si="3"/>
        <v>3.9882637744200293</v>
      </c>
      <c r="L4" s="51">
        <v>112</v>
      </c>
      <c r="M4" s="51">
        <f t="shared" ref="M4:M39" si="5">IFERROR(D4/L4,"-")</f>
        <v>0.125</v>
      </c>
      <c r="N4" s="51">
        <v>180</v>
      </c>
      <c r="O4" s="51">
        <f t="shared" ref="O4:P4" si="6">D4/7</f>
        <v>2</v>
      </c>
      <c r="P4" s="51">
        <f t="shared" si="6"/>
        <v>0</v>
      </c>
      <c r="Q4" s="51">
        <f t="shared" ref="Q4:Q39" si="7">ROUNDDOWN(N4/(O4+P4),0)</f>
        <v>90</v>
      </c>
      <c r="R4" s="52">
        <v>108</v>
      </c>
      <c r="S4" s="53" t="s">
        <v>34</v>
      </c>
      <c r="T4" s="54" t="s">
        <v>34</v>
      </c>
      <c r="U4" s="52">
        <v>0</v>
      </c>
      <c r="V4" s="55">
        <f t="shared" ref="V4:V39" si="8">IFERROR(U4/D4,0)</f>
        <v>0</v>
      </c>
      <c r="W4" s="55">
        <f t="shared" ref="W4:W39" si="9">IFERROR(G4/(U4+X4)*-1,0)</f>
        <v>0</v>
      </c>
      <c r="X4" s="52">
        <v>0</v>
      </c>
      <c r="Y4" s="56" t="s">
        <v>35</v>
      </c>
      <c r="Z4" s="56">
        <f t="shared" ref="Z4:Z10" si="10">IF(OR(Y4="UsLargeStandardSize",Y4="UsSmallStandardSize"),-0.69,-0.48)</f>
        <v>-0.69</v>
      </c>
      <c r="AA4" s="55">
        <v>0.18541666666666667</v>
      </c>
      <c r="AB4" s="55">
        <f t="shared" ref="AB4:AB17" si="11">IFERROR((Z4*AA4*N4)/4,0)</f>
        <v>-5.7571874999999988</v>
      </c>
      <c r="AC4" s="55">
        <v>-4.76</v>
      </c>
      <c r="AD4" s="55">
        <v>-8.6470085470085465</v>
      </c>
      <c r="AE4" s="55">
        <v>-8.6000000000000014</v>
      </c>
      <c r="AF4" s="55"/>
    </row>
    <row r="5" spans="1:32" s="57" customFormat="1" ht="15.75" customHeight="1">
      <c r="A5" s="2" t="s">
        <v>49</v>
      </c>
      <c r="B5" s="2" t="s">
        <v>223</v>
      </c>
      <c r="C5" s="51">
        <v>20.99</v>
      </c>
      <c r="D5" s="51">
        <v>27</v>
      </c>
      <c r="E5" s="51">
        <v>0</v>
      </c>
      <c r="F5" s="51">
        <v>583.73000000000013</v>
      </c>
      <c r="G5" s="51">
        <v>-9.0000000000000011E-2</v>
      </c>
      <c r="H5" s="51">
        <f t="shared" si="1"/>
        <v>1.5418087129323487E-4</v>
      </c>
      <c r="I5" s="51">
        <f t="shared" si="2"/>
        <v>0.21356436277177696</v>
      </c>
      <c r="J5" s="51">
        <f t="shared" si="4"/>
        <v>124.66392548076939</v>
      </c>
      <c r="K5" s="51">
        <f t="shared" si="3"/>
        <v>4.6171824252136808</v>
      </c>
      <c r="L5" s="51">
        <v>134</v>
      </c>
      <c r="M5" s="51">
        <f t="shared" si="5"/>
        <v>0.20149253731343283</v>
      </c>
      <c r="N5" s="51">
        <v>170</v>
      </c>
      <c r="O5" s="51">
        <f t="shared" ref="O5:P5" si="12">D5/7</f>
        <v>3.8571428571428572</v>
      </c>
      <c r="P5" s="51">
        <f t="shared" si="12"/>
        <v>0</v>
      </c>
      <c r="Q5" s="51">
        <f t="shared" si="7"/>
        <v>44</v>
      </c>
      <c r="R5" s="55">
        <v>108</v>
      </c>
      <c r="S5" s="53" t="s">
        <v>34</v>
      </c>
      <c r="T5" s="54" t="s">
        <v>34</v>
      </c>
      <c r="U5" s="55">
        <v>0</v>
      </c>
      <c r="V5" s="55">
        <f t="shared" si="8"/>
        <v>0</v>
      </c>
      <c r="W5" s="55">
        <f t="shared" si="9"/>
        <v>0</v>
      </c>
      <c r="X5" s="55">
        <v>0</v>
      </c>
      <c r="Y5" s="55" t="s">
        <v>35</v>
      </c>
      <c r="Z5" s="56">
        <f t="shared" si="10"/>
        <v>-0.69</v>
      </c>
      <c r="AA5" s="55">
        <v>0.18541666666666667</v>
      </c>
      <c r="AB5" s="55">
        <f t="shared" si="11"/>
        <v>-5.4373437499999993</v>
      </c>
      <c r="AC5" s="55">
        <v>-4.76</v>
      </c>
      <c r="AD5" s="55">
        <v>-8.6470085470085465</v>
      </c>
      <c r="AE5" s="55">
        <v>-3.99</v>
      </c>
      <c r="AF5" s="55"/>
    </row>
    <row r="6" spans="1:32" s="57" customFormat="1" ht="15.75" customHeight="1">
      <c r="A6" s="2" t="s">
        <v>51</v>
      </c>
      <c r="B6" s="2" t="s">
        <v>224</v>
      </c>
      <c r="C6" s="51">
        <v>21.99</v>
      </c>
      <c r="D6" s="51">
        <v>31</v>
      </c>
      <c r="E6" s="51">
        <v>0</v>
      </c>
      <c r="F6" s="51">
        <v>679.69000000000017</v>
      </c>
      <c r="G6" s="51">
        <v>-0.06</v>
      </c>
      <c r="H6" s="51">
        <f t="shared" si="1"/>
        <v>8.8275537377333757E-5</v>
      </c>
      <c r="I6" s="51">
        <f t="shared" si="2"/>
        <v>0.21265459811492765</v>
      </c>
      <c r="J6" s="51">
        <f t="shared" si="4"/>
        <v>144.53920379273521</v>
      </c>
      <c r="K6" s="51">
        <f t="shared" si="3"/>
        <v>4.6625549610559744</v>
      </c>
      <c r="L6" s="51">
        <v>149</v>
      </c>
      <c r="M6" s="51">
        <f t="shared" si="5"/>
        <v>0.20805369127516779</v>
      </c>
      <c r="N6" s="51">
        <v>126</v>
      </c>
      <c r="O6" s="51">
        <f t="shared" ref="O6:P6" si="13">D6/7</f>
        <v>4.4285714285714288</v>
      </c>
      <c r="P6" s="51">
        <f t="shared" si="13"/>
        <v>0</v>
      </c>
      <c r="Q6" s="51">
        <f t="shared" si="7"/>
        <v>28</v>
      </c>
      <c r="R6" s="55">
        <v>0</v>
      </c>
      <c r="S6" s="53" t="s">
        <v>34</v>
      </c>
      <c r="T6" s="54" t="s">
        <v>34</v>
      </c>
      <c r="U6" s="55">
        <v>0</v>
      </c>
      <c r="V6" s="55">
        <f t="shared" si="8"/>
        <v>0</v>
      </c>
      <c r="W6" s="55">
        <f t="shared" si="9"/>
        <v>0</v>
      </c>
      <c r="X6" s="55">
        <v>0</v>
      </c>
      <c r="Y6" s="55" t="s">
        <v>35</v>
      </c>
      <c r="Z6" s="56">
        <f t="shared" si="10"/>
        <v>-0.69</v>
      </c>
      <c r="AA6" s="55">
        <v>0.18541666666666667</v>
      </c>
      <c r="AB6" s="55">
        <f t="shared" si="11"/>
        <v>-4.0300312499999995</v>
      </c>
      <c r="AC6" s="55">
        <v>-4.76</v>
      </c>
      <c r="AD6" s="55">
        <v>-8.6470085470085465</v>
      </c>
      <c r="AE6" s="55">
        <v>-13.490000000000002</v>
      </c>
      <c r="AF6" s="55"/>
    </row>
    <row r="7" spans="1:32" s="57" customFormat="1" ht="15.75" customHeight="1">
      <c r="A7" s="2" t="s">
        <v>53</v>
      </c>
      <c r="B7" s="2"/>
      <c r="C7" s="51">
        <v>23.99</v>
      </c>
      <c r="D7" s="51">
        <v>19</v>
      </c>
      <c r="E7" s="51">
        <v>0</v>
      </c>
      <c r="F7" s="51">
        <v>402.82000000000005</v>
      </c>
      <c r="G7" s="51">
        <v>-0.13</v>
      </c>
      <c r="H7" s="51">
        <f t="shared" si="1"/>
        <v>3.2272479022888632E-4</v>
      </c>
      <c r="I7" s="51">
        <f t="shared" si="2"/>
        <v>0.19175723674802059</v>
      </c>
      <c r="J7" s="51">
        <f t="shared" si="4"/>
        <v>77.243650106837663</v>
      </c>
      <c r="K7" s="51">
        <f t="shared" si="3"/>
        <v>4.06545526878093</v>
      </c>
      <c r="L7" s="51">
        <v>163</v>
      </c>
      <c r="M7" s="51">
        <f t="shared" si="5"/>
        <v>0.1165644171779141</v>
      </c>
      <c r="N7" s="51">
        <v>116</v>
      </c>
      <c r="O7" s="51">
        <f t="shared" ref="O7:P7" si="14">D7/7</f>
        <v>2.7142857142857144</v>
      </c>
      <c r="P7" s="51">
        <f t="shared" si="14"/>
        <v>0</v>
      </c>
      <c r="Q7" s="51">
        <f t="shared" si="7"/>
        <v>42</v>
      </c>
      <c r="R7" s="55">
        <v>0</v>
      </c>
      <c r="S7" s="53" t="s">
        <v>34</v>
      </c>
      <c r="T7" s="54" t="s">
        <v>34</v>
      </c>
      <c r="U7" s="55">
        <v>0</v>
      </c>
      <c r="V7" s="55">
        <f t="shared" si="8"/>
        <v>0</v>
      </c>
      <c r="W7" s="55">
        <f t="shared" si="9"/>
        <v>0</v>
      </c>
      <c r="X7" s="55">
        <v>0</v>
      </c>
      <c r="Y7" s="55" t="s">
        <v>35</v>
      </c>
      <c r="Z7" s="56">
        <f t="shared" si="10"/>
        <v>-0.69</v>
      </c>
      <c r="AA7" s="55">
        <v>0.18541666666666667</v>
      </c>
      <c r="AB7" s="55">
        <f t="shared" si="11"/>
        <v>-3.7101874999999995</v>
      </c>
      <c r="AC7" s="55">
        <v>-4.76</v>
      </c>
      <c r="AD7" s="55">
        <v>-8.6470085470085465</v>
      </c>
      <c r="AE7" s="55">
        <v>-6.58</v>
      </c>
      <c r="AF7" s="55"/>
    </row>
    <row r="8" spans="1:32" s="57" customFormat="1" ht="15.75" customHeight="1">
      <c r="A8" s="2" t="s">
        <v>54</v>
      </c>
      <c r="B8" s="2" t="s">
        <v>45</v>
      </c>
      <c r="C8" s="51">
        <v>23.99</v>
      </c>
      <c r="D8" s="51">
        <v>9</v>
      </c>
      <c r="E8" s="51">
        <v>0</v>
      </c>
      <c r="F8" s="51">
        <v>191.92000000000002</v>
      </c>
      <c r="G8" s="51">
        <v>-0.06</v>
      </c>
      <c r="H8" s="51">
        <f t="shared" si="1"/>
        <v>3.1263026260942053E-4</v>
      </c>
      <c r="I8" s="51">
        <f t="shared" si="2"/>
        <v>0.20347313308630208</v>
      </c>
      <c r="J8" s="51">
        <f t="shared" si="4"/>
        <v>39.050563701923096</v>
      </c>
      <c r="K8" s="51">
        <f t="shared" si="3"/>
        <v>4.3389515224358997</v>
      </c>
      <c r="L8" s="51">
        <v>90</v>
      </c>
      <c r="M8" s="51">
        <f t="shared" si="5"/>
        <v>0.1</v>
      </c>
      <c r="N8" s="51">
        <v>105</v>
      </c>
      <c r="O8" s="51">
        <f t="shared" ref="O8:P8" si="15">D8/7</f>
        <v>1.2857142857142858</v>
      </c>
      <c r="P8" s="51">
        <f t="shared" si="15"/>
        <v>0</v>
      </c>
      <c r="Q8" s="51">
        <f t="shared" si="7"/>
        <v>81</v>
      </c>
      <c r="R8" s="55">
        <v>0</v>
      </c>
      <c r="S8" s="53" t="s">
        <v>34</v>
      </c>
      <c r="T8" s="54" t="s">
        <v>34</v>
      </c>
      <c r="U8" s="55">
        <v>0</v>
      </c>
      <c r="V8" s="55">
        <f t="shared" si="8"/>
        <v>0</v>
      </c>
      <c r="W8" s="55">
        <f t="shared" si="9"/>
        <v>0</v>
      </c>
      <c r="X8" s="55">
        <v>0</v>
      </c>
      <c r="Y8" s="55" t="s">
        <v>35</v>
      </c>
      <c r="Z8" s="56">
        <f t="shared" si="10"/>
        <v>-0.69</v>
      </c>
      <c r="AA8" s="55">
        <v>0.18541666666666667</v>
      </c>
      <c r="AB8" s="55">
        <f t="shared" si="11"/>
        <v>-3.3583593749999996</v>
      </c>
      <c r="AC8" s="55">
        <v>-4.76</v>
      </c>
      <c r="AD8" s="55">
        <v>-8.6470085470085465</v>
      </c>
      <c r="AE8" s="55">
        <v>0</v>
      </c>
      <c r="AF8" s="55"/>
    </row>
    <row r="9" spans="1:32" s="57" customFormat="1" ht="15.75" customHeight="1">
      <c r="A9" s="2" t="s">
        <v>56</v>
      </c>
      <c r="B9" s="2" t="s">
        <v>225</v>
      </c>
      <c r="C9" s="51">
        <v>23.99</v>
      </c>
      <c r="D9" s="51">
        <v>16</v>
      </c>
      <c r="E9" s="51">
        <v>0</v>
      </c>
      <c r="F9" s="51">
        <v>392.84000000000009</v>
      </c>
      <c r="G9" s="51">
        <v>-0.1</v>
      </c>
      <c r="H9" s="51">
        <f t="shared" si="1"/>
        <v>2.545565624681804E-4</v>
      </c>
      <c r="I9" s="51">
        <f t="shared" si="2"/>
        <v>0.26840790970334805</v>
      </c>
      <c r="J9" s="51">
        <f t="shared" si="4"/>
        <v>105.44136324786328</v>
      </c>
      <c r="K9" s="51">
        <f t="shared" si="3"/>
        <v>6.5900852029914549</v>
      </c>
      <c r="L9" s="51">
        <v>85</v>
      </c>
      <c r="M9" s="51">
        <f t="shared" si="5"/>
        <v>0.18823529411764706</v>
      </c>
      <c r="N9" s="51">
        <v>96</v>
      </c>
      <c r="O9" s="51">
        <f t="shared" ref="O9:P9" si="16">D9/7</f>
        <v>2.2857142857142856</v>
      </c>
      <c r="P9" s="51">
        <f t="shared" si="16"/>
        <v>0</v>
      </c>
      <c r="Q9" s="51">
        <f t="shared" si="7"/>
        <v>42</v>
      </c>
      <c r="R9" s="55">
        <v>180</v>
      </c>
      <c r="S9" s="53" t="s">
        <v>34</v>
      </c>
      <c r="T9" s="54" t="s">
        <v>34</v>
      </c>
      <c r="U9" s="55">
        <v>0</v>
      </c>
      <c r="V9" s="55">
        <f t="shared" si="8"/>
        <v>0</v>
      </c>
      <c r="W9" s="55">
        <f t="shared" si="9"/>
        <v>0</v>
      </c>
      <c r="X9" s="55">
        <v>0</v>
      </c>
      <c r="Y9" s="55" t="s">
        <v>35</v>
      </c>
      <c r="Z9" s="56">
        <f t="shared" si="10"/>
        <v>-0.69</v>
      </c>
      <c r="AA9" s="55">
        <v>0.18541666666666667</v>
      </c>
      <c r="AB9" s="55">
        <f t="shared" si="11"/>
        <v>-3.0704999999999996</v>
      </c>
      <c r="AC9" s="55">
        <v>-4.76</v>
      </c>
      <c r="AD9" s="55">
        <v>-8.6470085470085465</v>
      </c>
      <c r="AE9" s="55">
        <v>-10.790000000000001</v>
      </c>
      <c r="AF9" s="55"/>
    </row>
    <row r="10" spans="1:32" s="57" customFormat="1" ht="15.75" customHeight="1">
      <c r="A10" s="2" t="s">
        <v>58</v>
      </c>
      <c r="B10" s="2" t="s">
        <v>226</v>
      </c>
      <c r="C10" s="51">
        <v>21.99</v>
      </c>
      <c r="D10" s="51">
        <v>13</v>
      </c>
      <c r="E10" s="51">
        <v>0</v>
      </c>
      <c r="F10" s="51">
        <v>312.87000000000006</v>
      </c>
      <c r="G10" s="51">
        <v>-0.24000000000000002</v>
      </c>
      <c r="H10" s="51">
        <f t="shared" si="1"/>
        <v>7.6709176335219094E-4</v>
      </c>
      <c r="I10" s="51">
        <f t="shared" si="2"/>
        <v>0.23870491782174366</v>
      </c>
      <c r="J10" s="51">
        <f t="shared" si="4"/>
        <v>74.683607638888958</v>
      </c>
      <c r="K10" s="51">
        <f t="shared" si="3"/>
        <v>5.7448928952991505</v>
      </c>
      <c r="L10" s="51">
        <v>107</v>
      </c>
      <c r="M10" s="51">
        <f t="shared" si="5"/>
        <v>0.12149532710280374</v>
      </c>
      <c r="N10" s="51">
        <v>78</v>
      </c>
      <c r="O10" s="51">
        <f t="shared" ref="O10:P10" si="17">D10/7</f>
        <v>1.8571428571428572</v>
      </c>
      <c r="P10" s="51">
        <f t="shared" si="17"/>
        <v>0</v>
      </c>
      <c r="Q10" s="51">
        <f t="shared" si="7"/>
        <v>42</v>
      </c>
      <c r="R10" s="55">
        <v>180</v>
      </c>
      <c r="S10" s="53" t="s">
        <v>34</v>
      </c>
      <c r="T10" s="54" t="s">
        <v>34</v>
      </c>
      <c r="U10" s="55">
        <v>0</v>
      </c>
      <c r="V10" s="55">
        <f t="shared" si="8"/>
        <v>0</v>
      </c>
      <c r="W10" s="55">
        <f t="shared" si="9"/>
        <v>0.24000000000000002</v>
      </c>
      <c r="X10" s="55">
        <v>1</v>
      </c>
      <c r="Y10" s="55" t="s">
        <v>35</v>
      </c>
      <c r="Z10" s="56">
        <f t="shared" si="10"/>
        <v>-0.69</v>
      </c>
      <c r="AA10" s="55">
        <v>0.18541666666666667</v>
      </c>
      <c r="AB10" s="55">
        <f t="shared" si="11"/>
        <v>-2.4947812499999995</v>
      </c>
      <c r="AC10" s="55">
        <v>-4.76</v>
      </c>
      <c r="AD10" s="55">
        <v>-8.6470085470085465</v>
      </c>
      <c r="AE10" s="55">
        <v>-14.23</v>
      </c>
      <c r="AF10" s="55"/>
    </row>
    <row r="11" spans="1:32" s="57" customFormat="1" ht="15.75" customHeight="1">
      <c r="A11" s="2" t="s">
        <v>60</v>
      </c>
      <c r="B11" s="2" t="s">
        <v>45</v>
      </c>
      <c r="C11" s="51">
        <v>21.99</v>
      </c>
      <c r="D11" s="51">
        <v>12</v>
      </c>
      <c r="E11" s="51">
        <v>0</v>
      </c>
      <c r="F11" s="51">
        <v>262.88000000000005</v>
      </c>
      <c r="G11" s="51">
        <v>-0.18</v>
      </c>
      <c r="H11" s="51">
        <f t="shared" si="1"/>
        <v>6.8472306755934249E-4</v>
      </c>
      <c r="I11" s="51">
        <f t="shared" si="2"/>
        <v>0.21046850249504509</v>
      </c>
      <c r="J11" s="51">
        <f t="shared" si="4"/>
        <v>55.327959935897468</v>
      </c>
      <c r="K11" s="51">
        <f t="shared" si="3"/>
        <v>4.610663327991456</v>
      </c>
      <c r="L11" s="51">
        <v>81</v>
      </c>
      <c r="M11" s="51">
        <f t="shared" si="5"/>
        <v>0.14814814814814814</v>
      </c>
      <c r="N11" s="51">
        <v>60</v>
      </c>
      <c r="O11" s="51">
        <f t="shared" ref="O11:P11" si="18">D11/7</f>
        <v>1.7142857142857142</v>
      </c>
      <c r="P11" s="51">
        <f t="shared" si="18"/>
        <v>0</v>
      </c>
      <c r="Q11" s="51">
        <f t="shared" si="7"/>
        <v>35</v>
      </c>
      <c r="R11" s="55">
        <v>180</v>
      </c>
      <c r="S11" s="53" t="s">
        <v>34</v>
      </c>
      <c r="T11" s="54" t="s">
        <v>34</v>
      </c>
      <c r="U11" s="55">
        <v>0</v>
      </c>
      <c r="V11" s="55">
        <f t="shared" si="8"/>
        <v>0</v>
      </c>
      <c r="W11" s="55">
        <f t="shared" si="9"/>
        <v>0</v>
      </c>
      <c r="X11" s="55">
        <v>0</v>
      </c>
      <c r="Y11" s="55" t="s">
        <v>35</v>
      </c>
      <c r="Z11" s="56">
        <f t="shared" ref="Z11:Z39" si="19">IF(OR(Y11="UsLargeStandardSize",Y11="UsSmallStandardSize"),-0.75,-0.48)</f>
        <v>-0.75</v>
      </c>
      <c r="AA11" s="55">
        <v>0.18541666666666667</v>
      </c>
      <c r="AB11" s="55">
        <f t="shared" si="11"/>
        <v>-2.0859375</v>
      </c>
      <c r="AC11" s="55">
        <v>-4.9000000000000004</v>
      </c>
      <c r="AD11" s="55">
        <v>-8.6470085470085465</v>
      </c>
      <c r="AE11" s="55">
        <v>-3.29</v>
      </c>
      <c r="AF11" s="55"/>
    </row>
    <row r="12" spans="1:32" s="57" customFormat="1" ht="15.75" customHeight="1">
      <c r="A12" s="2" t="s">
        <v>62</v>
      </c>
      <c r="B12" s="2" t="s">
        <v>45</v>
      </c>
      <c r="C12" s="51">
        <v>22.99</v>
      </c>
      <c r="D12" s="51">
        <v>15</v>
      </c>
      <c r="E12" s="51">
        <v>0</v>
      </c>
      <c r="F12" s="51">
        <v>329.85000000000008</v>
      </c>
      <c r="G12" s="51">
        <v>-7.0000000000000007E-2</v>
      </c>
      <c r="H12" s="51">
        <f t="shared" si="1"/>
        <v>2.1221767470062147E-4</v>
      </c>
      <c r="I12" s="51">
        <f t="shared" si="2"/>
        <v>0.21940876510496238</v>
      </c>
      <c r="J12" s="51">
        <f t="shared" si="4"/>
        <v>72.371981169871859</v>
      </c>
      <c r="K12" s="51">
        <f t="shared" si="3"/>
        <v>4.824798744658124</v>
      </c>
      <c r="L12" s="51">
        <v>79</v>
      </c>
      <c r="M12" s="51">
        <f t="shared" si="5"/>
        <v>0.189873417721519</v>
      </c>
      <c r="N12" s="51">
        <v>41</v>
      </c>
      <c r="O12" s="51">
        <f t="shared" ref="O12:P12" si="20">D12/7</f>
        <v>2.1428571428571428</v>
      </c>
      <c r="P12" s="51">
        <f t="shared" si="20"/>
        <v>0</v>
      </c>
      <c r="Q12" s="51">
        <f t="shared" si="7"/>
        <v>19</v>
      </c>
      <c r="R12" s="55">
        <v>180</v>
      </c>
      <c r="S12" s="53">
        <v>180</v>
      </c>
      <c r="T12" s="54">
        <v>43896</v>
      </c>
      <c r="U12" s="55">
        <v>0</v>
      </c>
      <c r="V12" s="55">
        <f t="shared" si="8"/>
        <v>0</v>
      </c>
      <c r="W12" s="55">
        <f t="shared" si="9"/>
        <v>0</v>
      </c>
      <c r="X12" s="55">
        <v>0</v>
      </c>
      <c r="Y12" s="55" t="s">
        <v>35</v>
      </c>
      <c r="Z12" s="56">
        <f t="shared" si="19"/>
        <v>-0.75</v>
      </c>
      <c r="AA12" s="55">
        <v>0.18541666666666667</v>
      </c>
      <c r="AB12" s="55">
        <f t="shared" si="11"/>
        <v>-1.4253906250000001</v>
      </c>
      <c r="AC12" s="55">
        <v>-4.9000000000000004</v>
      </c>
      <c r="AD12" s="55">
        <v>-8.6470085470085465</v>
      </c>
      <c r="AE12" s="55">
        <v>-3.3</v>
      </c>
      <c r="AF12" s="55"/>
    </row>
    <row r="13" spans="1:32" s="57" customFormat="1" ht="15.75" customHeight="1">
      <c r="A13" s="2" t="s">
        <v>63</v>
      </c>
      <c r="B13" s="2" t="s">
        <v>45</v>
      </c>
      <c r="C13" s="51">
        <v>22.99</v>
      </c>
      <c r="D13" s="51">
        <v>12</v>
      </c>
      <c r="E13" s="51">
        <v>0</v>
      </c>
      <c r="F13" s="51">
        <v>271.88</v>
      </c>
      <c r="G13" s="51">
        <v>-0.05</v>
      </c>
      <c r="H13" s="51">
        <f t="shared" si="1"/>
        <v>1.8390466382227455E-4</v>
      </c>
      <c r="I13" s="51">
        <f t="shared" si="2"/>
        <v>0.24779828393371123</v>
      </c>
      <c r="J13" s="51">
        <f t="shared" si="4"/>
        <v>67.371397435897407</v>
      </c>
      <c r="K13" s="51">
        <f t="shared" si="3"/>
        <v>5.6142831196581175</v>
      </c>
      <c r="L13" s="51">
        <v>74</v>
      </c>
      <c r="M13" s="51">
        <f t="shared" si="5"/>
        <v>0.16216216216216217</v>
      </c>
      <c r="N13" s="51">
        <v>32</v>
      </c>
      <c r="O13" s="51">
        <f t="shared" ref="O13:P13" si="21">D13/7</f>
        <v>1.7142857142857142</v>
      </c>
      <c r="P13" s="51">
        <f t="shared" si="21"/>
        <v>0</v>
      </c>
      <c r="Q13" s="51">
        <f t="shared" si="7"/>
        <v>18</v>
      </c>
      <c r="R13" s="55">
        <v>0</v>
      </c>
      <c r="S13" s="53" t="s">
        <v>34</v>
      </c>
      <c r="T13" s="54" t="s">
        <v>34</v>
      </c>
      <c r="U13" s="55">
        <v>0</v>
      </c>
      <c r="V13" s="55">
        <f t="shared" si="8"/>
        <v>0</v>
      </c>
      <c r="W13" s="55">
        <f t="shared" si="9"/>
        <v>0</v>
      </c>
      <c r="X13" s="55">
        <v>0</v>
      </c>
      <c r="Y13" s="55" t="s">
        <v>35</v>
      </c>
      <c r="Z13" s="56">
        <f t="shared" si="19"/>
        <v>-0.75</v>
      </c>
      <c r="AA13" s="55">
        <v>0.18541666666666667</v>
      </c>
      <c r="AB13" s="55">
        <f t="shared" si="11"/>
        <v>-1.1125</v>
      </c>
      <c r="AC13" s="55">
        <v>-4.9000000000000004</v>
      </c>
      <c r="AD13" s="55">
        <v>-8.6470085470085465</v>
      </c>
      <c r="AE13" s="55">
        <v>0</v>
      </c>
      <c r="AF13" s="55"/>
    </row>
    <row r="14" spans="1:32" s="57" customFormat="1" ht="15.75" customHeight="1">
      <c r="A14" s="2" t="s">
        <v>64</v>
      </c>
      <c r="B14" s="2"/>
      <c r="C14" s="51">
        <v>22.99</v>
      </c>
      <c r="D14" s="51">
        <v>6</v>
      </c>
      <c r="E14" s="51">
        <v>0</v>
      </c>
      <c r="F14" s="51">
        <v>135.94</v>
      </c>
      <c r="G14" s="51">
        <v>0</v>
      </c>
      <c r="H14" s="51">
        <f t="shared" si="1"/>
        <v>0</v>
      </c>
      <c r="I14" s="51">
        <f t="shared" si="2"/>
        <v>0.2062961736276939</v>
      </c>
      <c r="J14" s="51">
        <f t="shared" si="4"/>
        <v>28.043901842948706</v>
      </c>
      <c r="K14" s="51">
        <f t="shared" si="3"/>
        <v>4.6739836404914508</v>
      </c>
      <c r="L14" s="51">
        <v>80</v>
      </c>
      <c r="M14" s="51">
        <f t="shared" si="5"/>
        <v>7.4999999999999997E-2</v>
      </c>
      <c r="N14" s="51">
        <v>179</v>
      </c>
      <c r="O14" s="51">
        <f t="shared" ref="O14:P14" si="22">D14/7</f>
        <v>0.8571428571428571</v>
      </c>
      <c r="P14" s="51">
        <f t="shared" si="22"/>
        <v>0</v>
      </c>
      <c r="Q14" s="51">
        <f t="shared" si="7"/>
        <v>208</v>
      </c>
      <c r="R14" s="55">
        <v>0</v>
      </c>
      <c r="S14" s="53" t="s">
        <v>34</v>
      </c>
      <c r="T14" s="54" t="s">
        <v>34</v>
      </c>
      <c r="U14" s="55">
        <v>0</v>
      </c>
      <c r="V14" s="55">
        <f t="shared" si="8"/>
        <v>0</v>
      </c>
      <c r="W14" s="55">
        <f t="shared" si="9"/>
        <v>0</v>
      </c>
      <c r="X14" s="55">
        <v>0</v>
      </c>
      <c r="Y14" s="55" t="s">
        <v>35</v>
      </c>
      <c r="Z14" s="56">
        <f t="shared" si="19"/>
        <v>-0.75</v>
      </c>
      <c r="AA14" s="55">
        <v>0.18541666666666667</v>
      </c>
      <c r="AB14" s="55">
        <f t="shared" si="11"/>
        <v>-6.2230468750000005</v>
      </c>
      <c r="AC14" s="55">
        <v>-4.9000000000000004</v>
      </c>
      <c r="AD14" s="55">
        <v>-8.6470085470085465</v>
      </c>
      <c r="AE14" s="55">
        <v>0</v>
      </c>
      <c r="AF14" s="55"/>
    </row>
    <row r="15" spans="1:32" s="57" customFormat="1" ht="15.75" customHeight="1">
      <c r="A15" s="2" t="s">
        <v>65</v>
      </c>
      <c r="B15" s="2" t="s">
        <v>227</v>
      </c>
      <c r="C15" s="51">
        <v>22.99</v>
      </c>
      <c r="D15" s="51">
        <v>7</v>
      </c>
      <c r="E15" s="51">
        <v>0</v>
      </c>
      <c r="F15" s="51">
        <v>150.93</v>
      </c>
      <c r="G15" s="51">
        <v>-0.13</v>
      </c>
      <c r="H15" s="51">
        <f t="shared" si="1"/>
        <v>8.6132644272179156E-4</v>
      </c>
      <c r="I15" s="51">
        <f t="shared" si="2"/>
        <v>0.1777663042201032</v>
      </c>
      <c r="J15" s="51">
        <f t="shared" si="4"/>
        <v>26.830268295940176</v>
      </c>
      <c r="K15" s="51">
        <f t="shared" si="3"/>
        <v>3.8328954708485967</v>
      </c>
      <c r="L15" s="51">
        <v>58</v>
      </c>
      <c r="M15" s="51">
        <f t="shared" si="5"/>
        <v>0.1206896551724138</v>
      </c>
      <c r="N15" s="51">
        <v>187</v>
      </c>
      <c r="O15" s="51">
        <f t="shared" ref="O15:P15" si="23">D15/7</f>
        <v>1</v>
      </c>
      <c r="P15" s="51">
        <f t="shared" si="23"/>
        <v>0</v>
      </c>
      <c r="Q15" s="51">
        <f t="shared" si="7"/>
        <v>187</v>
      </c>
      <c r="R15" s="55">
        <v>0</v>
      </c>
      <c r="S15" s="53" t="s">
        <v>34</v>
      </c>
      <c r="T15" s="54" t="s">
        <v>34</v>
      </c>
      <c r="U15" s="55">
        <v>0</v>
      </c>
      <c r="V15" s="55">
        <f t="shared" si="8"/>
        <v>0</v>
      </c>
      <c r="W15" s="55">
        <f t="shared" si="9"/>
        <v>0</v>
      </c>
      <c r="X15" s="55">
        <v>0</v>
      </c>
      <c r="Y15" s="55" t="s">
        <v>35</v>
      </c>
      <c r="Z15" s="56">
        <f t="shared" si="19"/>
        <v>-0.75</v>
      </c>
      <c r="AA15" s="55">
        <v>0.18541666666666667</v>
      </c>
      <c r="AB15" s="55">
        <f t="shared" si="11"/>
        <v>-6.5011718749999998</v>
      </c>
      <c r="AC15" s="55">
        <v>-4.9000000000000004</v>
      </c>
      <c r="AD15" s="55">
        <v>-8.6470085470085465</v>
      </c>
      <c r="AE15" s="55">
        <v>0</v>
      </c>
      <c r="AF15" s="55"/>
    </row>
    <row r="16" spans="1:32" s="57" customFormat="1" ht="15.75" customHeight="1">
      <c r="A16" s="2" t="s">
        <v>66</v>
      </c>
      <c r="B16" s="2" t="s">
        <v>228</v>
      </c>
      <c r="C16" s="51">
        <v>21.99</v>
      </c>
      <c r="D16" s="51">
        <v>10</v>
      </c>
      <c r="E16" s="51">
        <v>0</v>
      </c>
      <c r="F16" s="51">
        <v>223.90000000000003</v>
      </c>
      <c r="G16" s="51">
        <v>0</v>
      </c>
      <c r="H16" s="51">
        <f t="shared" si="1"/>
        <v>0</v>
      </c>
      <c r="I16" s="51">
        <f t="shared" si="2"/>
        <v>0.21793522009787653</v>
      </c>
      <c r="J16" s="51">
        <f t="shared" si="4"/>
        <v>48.79569577991456</v>
      </c>
      <c r="K16" s="51">
        <f t="shared" si="3"/>
        <v>4.8795695779914556</v>
      </c>
      <c r="L16" s="51">
        <v>65</v>
      </c>
      <c r="M16" s="51">
        <f t="shared" si="5"/>
        <v>0.15384615384615385</v>
      </c>
      <c r="N16" s="51">
        <v>174</v>
      </c>
      <c r="O16" s="51">
        <f t="shared" ref="O16:P16" si="24">D16/7</f>
        <v>1.4285714285714286</v>
      </c>
      <c r="P16" s="51">
        <f t="shared" si="24"/>
        <v>0</v>
      </c>
      <c r="Q16" s="51">
        <f t="shared" si="7"/>
        <v>121</v>
      </c>
      <c r="R16" s="55">
        <v>0</v>
      </c>
      <c r="S16" s="53" t="s">
        <v>34</v>
      </c>
      <c r="T16" s="54" t="s">
        <v>34</v>
      </c>
      <c r="U16" s="55">
        <v>0</v>
      </c>
      <c r="V16" s="55">
        <f t="shared" si="8"/>
        <v>0</v>
      </c>
      <c r="W16" s="55">
        <f t="shared" si="9"/>
        <v>0</v>
      </c>
      <c r="X16" s="55">
        <v>0</v>
      </c>
      <c r="Y16" s="55" t="s">
        <v>35</v>
      </c>
      <c r="Z16" s="56">
        <f t="shared" si="19"/>
        <v>-0.75</v>
      </c>
      <c r="AA16" s="55">
        <v>0.18541666666666667</v>
      </c>
      <c r="AB16" s="55">
        <f t="shared" si="11"/>
        <v>-6.0492187500000005</v>
      </c>
      <c r="AC16" s="55">
        <v>-4.9000000000000004</v>
      </c>
      <c r="AD16" s="55">
        <v>-8.6470085470085465</v>
      </c>
      <c r="AE16" s="55">
        <v>0</v>
      </c>
      <c r="AF16" s="55"/>
    </row>
    <row r="17" spans="1:32" s="57" customFormat="1" ht="15.75" customHeight="1">
      <c r="A17" s="2" t="s">
        <v>67</v>
      </c>
      <c r="B17" s="2" t="s">
        <v>229</v>
      </c>
      <c r="C17" s="51">
        <v>22.99</v>
      </c>
      <c r="D17" s="51">
        <v>6</v>
      </c>
      <c r="E17" s="51">
        <v>0</v>
      </c>
      <c r="F17" s="51">
        <v>94.96</v>
      </c>
      <c r="G17" s="51">
        <v>0</v>
      </c>
      <c r="H17" s="51">
        <f t="shared" si="1"/>
        <v>0</v>
      </c>
      <c r="I17" s="51">
        <f t="shared" si="2"/>
        <v>-6.8931537300455842E-2</v>
      </c>
      <c r="J17" s="51">
        <f t="shared" si="4"/>
        <v>-6.5457387820512869</v>
      </c>
      <c r="K17" s="51">
        <f t="shared" si="3"/>
        <v>-1.0909564636752145</v>
      </c>
      <c r="L17" s="51">
        <v>70</v>
      </c>
      <c r="M17" s="51">
        <f t="shared" si="5"/>
        <v>8.5714285714285715E-2</v>
      </c>
      <c r="N17" s="51">
        <v>172</v>
      </c>
      <c r="O17" s="51">
        <f t="shared" ref="O17:P17" si="25">D17/7</f>
        <v>0.8571428571428571</v>
      </c>
      <c r="P17" s="51">
        <f t="shared" si="25"/>
        <v>0</v>
      </c>
      <c r="Q17" s="51">
        <f t="shared" si="7"/>
        <v>200</v>
      </c>
      <c r="R17" s="55">
        <v>0</v>
      </c>
      <c r="S17" s="53" t="s">
        <v>34</v>
      </c>
      <c r="T17" s="54" t="s">
        <v>34</v>
      </c>
      <c r="U17" s="55">
        <v>0</v>
      </c>
      <c r="V17" s="55">
        <f t="shared" si="8"/>
        <v>0</v>
      </c>
      <c r="W17" s="55">
        <f t="shared" si="9"/>
        <v>0</v>
      </c>
      <c r="X17" s="55">
        <v>0</v>
      </c>
      <c r="Y17" s="55" t="s">
        <v>35</v>
      </c>
      <c r="Z17" s="56">
        <f t="shared" si="19"/>
        <v>-0.75</v>
      </c>
      <c r="AA17" s="55">
        <v>0.18541666666666667</v>
      </c>
      <c r="AB17" s="55">
        <f t="shared" si="11"/>
        <v>-5.9796874999999998</v>
      </c>
      <c r="AC17" s="55">
        <v>-4.9000000000000004</v>
      </c>
      <c r="AD17" s="55">
        <v>-8.6470085470085465</v>
      </c>
      <c r="AE17" s="55">
        <v>0</v>
      </c>
      <c r="AF17" s="55"/>
    </row>
    <row r="18" spans="1:32" s="57" customFormat="1" ht="15.75" customHeight="1">
      <c r="A18" s="2" t="s">
        <v>69</v>
      </c>
      <c r="B18" s="2" t="s">
        <v>230</v>
      </c>
      <c r="C18" s="51">
        <v>18.989999999999998</v>
      </c>
      <c r="D18" s="51">
        <v>4</v>
      </c>
      <c r="E18" s="51">
        <v>0</v>
      </c>
      <c r="F18" s="51">
        <v>86.96</v>
      </c>
      <c r="G18" s="51">
        <v>-0.16</v>
      </c>
      <c r="H18" s="51">
        <f t="shared" si="1"/>
        <v>1.8399264029438824E-3</v>
      </c>
      <c r="I18" s="51">
        <f t="shared" si="2"/>
        <v>0.20583274852766575</v>
      </c>
      <c r="J18" s="51">
        <f t="shared" si="4"/>
        <v>17.899215811965814</v>
      </c>
      <c r="K18" s="51">
        <f t="shared" si="3"/>
        <v>4.4748039529914534</v>
      </c>
      <c r="L18" s="51">
        <v>97</v>
      </c>
      <c r="M18" s="51">
        <f t="shared" si="5"/>
        <v>4.1237113402061855E-2</v>
      </c>
      <c r="N18" s="51">
        <v>157</v>
      </c>
      <c r="O18" s="51">
        <f t="shared" ref="O18:P18" si="26">D18/7</f>
        <v>0.5714285714285714</v>
      </c>
      <c r="P18" s="51">
        <f t="shared" si="26"/>
        <v>0</v>
      </c>
      <c r="Q18" s="51">
        <f t="shared" si="7"/>
        <v>274</v>
      </c>
      <c r="R18" s="55">
        <v>0</v>
      </c>
      <c r="S18" s="53" t="s">
        <v>34</v>
      </c>
      <c r="T18" s="54" t="s">
        <v>34</v>
      </c>
      <c r="U18" s="55">
        <v>0</v>
      </c>
      <c r="V18" s="55">
        <f t="shared" si="8"/>
        <v>0</v>
      </c>
      <c r="W18" s="55">
        <f t="shared" si="9"/>
        <v>0</v>
      </c>
      <c r="X18" s="55">
        <v>0</v>
      </c>
      <c r="Y18" s="55" t="s">
        <v>35</v>
      </c>
      <c r="Z18" s="56">
        <f t="shared" si="19"/>
        <v>-0.75</v>
      </c>
      <c r="AA18" s="55">
        <v>0.18541666666666667</v>
      </c>
      <c r="AB18" s="58">
        <f t="shared" ref="AB18:AB39" si="27">IFERROR(Z18*AA18*D18*3,0)</f>
        <v>-1.6687500000000002</v>
      </c>
      <c r="AC18" s="55">
        <v>-4.9000000000000004</v>
      </c>
      <c r="AD18" s="55">
        <v>-8.6470085470085465</v>
      </c>
      <c r="AE18" s="55">
        <v>0</v>
      </c>
      <c r="AF18" s="55"/>
    </row>
    <row r="19" spans="1:32" s="57" customFormat="1" ht="15.75" customHeight="1">
      <c r="A19" s="2" t="s">
        <v>71</v>
      </c>
      <c r="B19" s="2" t="s">
        <v>231</v>
      </c>
      <c r="C19" s="51">
        <v>18.989999999999998</v>
      </c>
      <c r="D19" s="51">
        <v>11</v>
      </c>
      <c r="E19" s="51">
        <v>0</v>
      </c>
      <c r="F19" s="51">
        <v>226.48000000000002</v>
      </c>
      <c r="G19" s="51">
        <v>-0.17</v>
      </c>
      <c r="H19" s="51">
        <f t="shared" si="1"/>
        <v>7.5061815612857642E-4</v>
      </c>
      <c r="I19" s="51">
        <f t="shared" si="2"/>
        <v>0.17101661728587955</v>
      </c>
      <c r="J19" s="51">
        <f t="shared" si="4"/>
        <v>38.731843482906001</v>
      </c>
      <c r="K19" s="51">
        <f t="shared" si="3"/>
        <v>3.5210766802641817</v>
      </c>
      <c r="L19" s="51">
        <v>96</v>
      </c>
      <c r="M19" s="51">
        <f t="shared" si="5"/>
        <v>0.11458333333333333</v>
      </c>
      <c r="N19" s="51">
        <v>154</v>
      </c>
      <c r="O19" s="51">
        <f t="shared" ref="O19:P19" si="28">D19/7</f>
        <v>1.5714285714285714</v>
      </c>
      <c r="P19" s="51">
        <f t="shared" si="28"/>
        <v>0</v>
      </c>
      <c r="Q19" s="51">
        <f t="shared" si="7"/>
        <v>98</v>
      </c>
      <c r="R19" s="55">
        <v>0</v>
      </c>
      <c r="S19" s="53" t="s">
        <v>34</v>
      </c>
      <c r="T19" s="54" t="s">
        <v>34</v>
      </c>
      <c r="U19" s="55">
        <v>0</v>
      </c>
      <c r="V19" s="55">
        <f t="shared" si="8"/>
        <v>0</v>
      </c>
      <c r="W19" s="55">
        <f t="shared" si="9"/>
        <v>0</v>
      </c>
      <c r="X19" s="55">
        <v>0</v>
      </c>
      <c r="Y19" s="55" t="s">
        <v>35</v>
      </c>
      <c r="Z19" s="56">
        <f t="shared" si="19"/>
        <v>-0.75</v>
      </c>
      <c r="AA19" s="55">
        <v>0.18541666666666667</v>
      </c>
      <c r="AB19" s="55">
        <f t="shared" si="27"/>
        <v>-4.5890625000000007</v>
      </c>
      <c r="AC19" s="55">
        <v>-4.9000000000000004</v>
      </c>
      <c r="AD19" s="55">
        <v>-8.6470085470085465</v>
      </c>
      <c r="AE19" s="55">
        <v>0</v>
      </c>
      <c r="AF19" s="55"/>
    </row>
    <row r="20" spans="1:32" s="57" customFormat="1" ht="15.75" customHeight="1">
      <c r="A20" s="2" t="s">
        <v>73</v>
      </c>
      <c r="B20" s="2" t="s">
        <v>232</v>
      </c>
      <c r="C20" s="51">
        <v>20.39</v>
      </c>
      <c r="D20" s="51">
        <v>8</v>
      </c>
      <c r="E20" s="51">
        <v>0</v>
      </c>
      <c r="F20" s="51">
        <v>161.01999999999998</v>
      </c>
      <c r="G20" s="51">
        <v>-0.22000000000000003</v>
      </c>
      <c r="H20" s="51">
        <f t="shared" si="1"/>
        <v>1.3662899018755438E-3</v>
      </c>
      <c r="I20" s="51">
        <f t="shared" si="2"/>
        <v>0.15484679930400957</v>
      </c>
      <c r="J20" s="51">
        <f t="shared" si="4"/>
        <v>24.933431623931618</v>
      </c>
      <c r="K20" s="51">
        <f t="shared" si="3"/>
        <v>3.1166789529914523</v>
      </c>
      <c r="L20" s="51">
        <v>104</v>
      </c>
      <c r="M20" s="51">
        <f t="shared" si="5"/>
        <v>7.6923076923076927E-2</v>
      </c>
      <c r="N20" s="51">
        <v>135</v>
      </c>
      <c r="O20" s="51">
        <f t="shared" ref="O20:P20" si="29">D20/7</f>
        <v>1.1428571428571428</v>
      </c>
      <c r="P20" s="51">
        <f t="shared" si="29"/>
        <v>0</v>
      </c>
      <c r="Q20" s="51">
        <f t="shared" si="7"/>
        <v>118</v>
      </c>
      <c r="R20" s="55">
        <v>96</v>
      </c>
      <c r="S20" s="53" t="s">
        <v>34</v>
      </c>
      <c r="T20" s="54" t="s">
        <v>34</v>
      </c>
      <c r="U20" s="55">
        <v>0</v>
      </c>
      <c r="V20" s="55">
        <f t="shared" si="8"/>
        <v>0</v>
      </c>
      <c r="W20" s="55">
        <f t="shared" si="9"/>
        <v>0</v>
      </c>
      <c r="X20" s="55">
        <v>0</v>
      </c>
      <c r="Y20" s="55" t="s">
        <v>35</v>
      </c>
      <c r="Z20" s="56">
        <f t="shared" si="19"/>
        <v>-0.75</v>
      </c>
      <c r="AA20" s="55">
        <v>0.18541666666666667</v>
      </c>
      <c r="AB20" s="55">
        <f t="shared" si="27"/>
        <v>-3.3375000000000004</v>
      </c>
      <c r="AC20" s="55">
        <v>-4.9000000000000004</v>
      </c>
      <c r="AD20" s="55">
        <v>-8.6470085470085465</v>
      </c>
      <c r="AE20" s="55">
        <v>0</v>
      </c>
      <c r="AF20" s="55"/>
    </row>
    <row r="21" spans="1:32" s="57" customFormat="1" ht="15.75" customHeight="1">
      <c r="A21" s="2" t="s">
        <v>75</v>
      </c>
      <c r="B21" s="2" t="s">
        <v>233</v>
      </c>
      <c r="C21" s="51">
        <v>18.079999999999998</v>
      </c>
      <c r="D21" s="51">
        <v>18</v>
      </c>
      <c r="E21" s="51">
        <v>0</v>
      </c>
      <c r="F21" s="51">
        <v>362.94</v>
      </c>
      <c r="G21" s="51">
        <v>-0.3</v>
      </c>
      <c r="H21" s="51">
        <f t="shared" si="1"/>
        <v>8.2658290626549838E-4</v>
      </c>
      <c r="I21" s="51">
        <f t="shared" si="2"/>
        <v>0.15661947196188386</v>
      </c>
      <c r="J21" s="51">
        <f t="shared" si="4"/>
        <v>56.843471153846131</v>
      </c>
      <c r="K21" s="51">
        <f t="shared" si="3"/>
        <v>3.1579706196581183</v>
      </c>
      <c r="L21" s="51">
        <v>104</v>
      </c>
      <c r="M21" s="51">
        <f t="shared" si="5"/>
        <v>0.17307692307692307</v>
      </c>
      <c r="N21" s="51">
        <v>126</v>
      </c>
      <c r="O21" s="51">
        <f t="shared" ref="O21:P21" si="30">D21/7</f>
        <v>2.5714285714285716</v>
      </c>
      <c r="P21" s="51">
        <f t="shared" si="30"/>
        <v>0</v>
      </c>
      <c r="Q21" s="51">
        <f t="shared" si="7"/>
        <v>49</v>
      </c>
      <c r="R21" s="55">
        <v>0</v>
      </c>
      <c r="S21" s="53" t="s">
        <v>34</v>
      </c>
      <c r="T21" s="54" t="s">
        <v>34</v>
      </c>
      <c r="U21" s="55">
        <v>0</v>
      </c>
      <c r="V21" s="55">
        <f t="shared" si="8"/>
        <v>0</v>
      </c>
      <c r="W21" s="55">
        <f t="shared" si="9"/>
        <v>0</v>
      </c>
      <c r="X21" s="55">
        <v>0</v>
      </c>
      <c r="Y21" s="55" t="s">
        <v>35</v>
      </c>
      <c r="Z21" s="56">
        <f t="shared" si="19"/>
        <v>-0.75</v>
      </c>
      <c r="AA21" s="55">
        <v>0.18541666666666667</v>
      </c>
      <c r="AB21" s="55">
        <f t="shared" si="27"/>
        <v>-7.5093750000000004</v>
      </c>
      <c r="AC21" s="55">
        <v>-4.9000000000000004</v>
      </c>
      <c r="AD21" s="55">
        <v>-8.6470085470085465</v>
      </c>
      <c r="AE21" s="55">
        <v>0</v>
      </c>
      <c r="AF21" s="55"/>
    </row>
    <row r="22" spans="1:32" s="57" customFormat="1" ht="15.75" customHeight="1">
      <c r="A22" s="2" t="s">
        <v>77</v>
      </c>
      <c r="B22" s="2" t="s">
        <v>234</v>
      </c>
      <c r="C22" s="51">
        <v>18.440000000000001</v>
      </c>
      <c r="D22" s="51">
        <v>16</v>
      </c>
      <c r="E22" s="51">
        <v>0</v>
      </c>
      <c r="F22" s="51">
        <v>310.06</v>
      </c>
      <c r="G22" s="51">
        <v>-0.06</v>
      </c>
      <c r="H22" s="51">
        <f t="shared" si="1"/>
        <v>1.9351093336773527E-4</v>
      </c>
      <c r="I22" s="51">
        <f t="shared" si="2"/>
        <v>0.12921325952352203</v>
      </c>
      <c r="J22" s="51">
        <f t="shared" si="4"/>
        <v>40.063863247863239</v>
      </c>
      <c r="K22" s="51">
        <f t="shared" si="3"/>
        <v>2.5039914529914524</v>
      </c>
      <c r="L22" s="51">
        <v>81</v>
      </c>
      <c r="M22" s="51">
        <f t="shared" si="5"/>
        <v>0.19753086419753085</v>
      </c>
      <c r="N22" s="51">
        <v>104</v>
      </c>
      <c r="O22" s="51">
        <f t="shared" ref="O22:P22" si="31">D22/7</f>
        <v>2.2857142857142856</v>
      </c>
      <c r="P22" s="51">
        <f t="shared" si="31"/>
        <v>0</v>
      </c>
      <c r="Q22" s="51">
        <f t="shared" si="7"/>
        <v>45</v>
      </c>
      <c r="R22" s="55">
        <v>0</v>
      </c>
      <c r="S22" s="53" t="s">
        <v>34</v>
      </c>
      <c r="T22" s="54" t="s">
        <v>34</v>
      </c>
      <c r="U22" s="55">
        <v>1</v>
      </c>
      <c r="V22" s="55">
        <f t="shared" si="8"/>
        <v>6.25E-2</v>
      </c>
      <c r="W22" s="55">
        <f t="shared" si="9"/>
        <v>0.06</v>
      </c>
      <c r="X22" s="55">
        <v>0</v>
      </c>
      <c r="Y22" s="55" t="s">
        <v>35</v>
      </c>
      <c r="Z22" s="56">
        <f t="shared" si="19"/>
        <v>-0.75</v>
      </c>
      <c r="AA22" s="55">
        <v>0.18541666666666667</v>
      </c>
      <c r="AB22" s="55">
        <f t="shared" si="27"/>
        <v>-6.6750000000000007</v>
      </c>
      <c r="AC22" s="55">
        <v>-4.9000000000000004</v>
      </c>
      <c r="AD22" s="55">
        <v>-8.6470085470085465</v>
      </c>
      <c r="AE22" s="55">
        <v>0</v>
      </c>
      <c r="AF22" s="55"/>
    </row>
    <row r="23" spans="1:32" s="57" customFormat="1" ht="15.75" customHeight="1">
      <c r="A23" s="2" t="s">
        <v>79</v>
      </c>
      <c r="B23" s="2" t="s">
        <v>235</v>
      </c>
      <c r="C23" s="51">
        <v>19.41</v>
      </c>
      <c r="D23" s="51">
        <v>23</v>
      </c>
      <c r="E23" s="51">
        <v>0</v>
      </c>
      <c r="F23" s="51">
        <v>435.23</v>
      </c>
      <c r="G23" s="51">
        <v>-0.22999999999999998</v>
      </c>
      <c r="H23" s="51">
        <f t="shared" si="1"/>
        <v>5.2845621855111087E-4</v>
      </c>
      <c r="I23" s="51">
        <f t="shared" si="2"/>
        <v>0.11152491997059803</v>
      </c>
      <c r="J23" s="51">
        <f t="shared" si="4"/>
        <v>48.538990918803385</v>
      </c>
      <c r="K23" s="51">
        <f t="shared" si="3"/>
        <v>2.1103909095131907</v>
      </c>
      <c r="L23" s="51">
        <v>94</v>
      </c>
      <c r="M23" s="51">
        <f t="shared" si="5"/>
        <v>0.24468085106382978</v>
      </c>
      <c r="N23" s="51">
        <v>88</v>
      </c>
      <c r="O23" s="51">
        <f t="shared" ref="O23:P23" si="32">D23/7</f>
        <v>3.2857142857142856</v>
      </c>
      <c r="P23" s="51">
        <f t="shared" si="32"/>
        <v>0</v>
      </c>
      <c r="Q23" s="51">
        <f t="shared" si="7"/>
        <v>26</v>
      </c>
      <c r="R23" s="55">
        <v>0</v>
      </c>
      <c r="S23" s="53" t="s">
        <v>34</v>
      </c>
      <c r="T23" s="54" t="s">
        <v>34</v>
      </c>
      <c r="U23" s="55">
        <v>0</v>
      </c>
      <c r="V23" s="55">
        <f t="shared" si="8"/>
        <v>0</v>
      </c>
      <c r="W23" s="55">
        <f t="shared" si="9"/>
        <v>0</v>
      </c>
      <c r="X23" s="55">
        <v>0</v>
      </c>
      <c r="Y23" s="55" t="s">
        <v>35</v>
      </c>
      <c r="Z23" s="56">
        <f t="shared" si="19"/>
        <v>-0.75</v>
      </c>
      <c r="AA23" s="55">
        <v>0.18541666666666667</v>
      </c>
      <c r="AB23" s="55">
        <f t="shared" si="27"/>
        <v>-9.5953125000000004</v>
      </c>
      <c r="AC23" s="55">
        <v>-4.9000000000000004</v>
      </c>
      <c r="AD23" s="55">
        <v>-8.6470085470085465</v>
      </c>
      <c r="AE23" s="55">
        <v>0</v>
      </c>
      <c r="AF23" s="55"/>
    </row>
    <row r="24" spans="1:32" s="57" customFormat="1" ht="15.75" customHeight="1">
      <c r="A24" s="2" t="s">
        <v>80</v>
      </c>
      <c r="B24" s="2" t="s">
        <v>236</v>
      </c>
      <c r="C24" s="51">
        <v>21.99</v>
      </c>
      <c r="D24" s="51">
        <v>26</v>
      </c>
      <c r="E24" s="51">
        <v>0</v>
      </c>
      <c r="F24" s="51">
        <v>500.05000000000018</v>
      </c>
      <c r="G24" s="51">
        <v>0</v>
      </c>
      <c r="H24" s="51">
        <f t="shared" si="1"/>
        <v>0</v>
      </c>
      <c r="I24" s="51">
        <f t="shared" si="2"/>
        <v>0.12393441211434439</v>
      </c>
      <c r="J24" s="51">
        <f t="shared" si="4"/>
        <v>61.973402777777935</v>
      </c>
      <c r="K24" s="51">
        <f t="shared" si="3"/>
        <v>2.3835924145299208</v>
      </c>
      <c r="L24" s="51">
        <v>100</v>
      </c>
      <c r="M24" s="51">
        <f t="shared" si="5"/>
        <v>0.26</v>
      </c>
      <c r="N24" s="51">
        <v>49</v>
      </c>
      <c r="O24" s="51">
        <f t="shared" ref="O24:P24" si="33">D24/7</f>
        <v>3.7142857142857144</v>
      </c>
      <c r="P24" s="51">
        <f t="shared" si="33"/>
        <v>0</v>
      </c>
      <c r="Q24" s="51">
        <f t="shared" si="7"/>
        <v>13</v>
      </c>
      <c r="R24" s="55">
        <v>0</v>
      </c>
      <c r="S24" s="53" t="s">
        <v>34</v>
      </c>
      <c r="T24" s="54" t="s">
        <v>34</v>
      </c>
      <c r="U24" s="55">
        <v>0</v>
      </c>
      <c r="V24" s="55">
        <f t="shared" si="8"/>
        <v>0</v>
      </c>
      <c r="W24" s="55">
        <f t="shared" si="9"/>
        <v>0</v>
      </c>
      <c r="X24" s="55">
        <v>0</v>
      </c>
      <c r="Y24" s="55" t="s">
        <v>35</v>
      </c>
      <c r="Z24" s="56">
        <f t="shared" si="19"/>
        <v>-0.75</v>
      </c>
      <c r="AA24" s="55">
        <v>0.18541666666666667</v>
      </c>
      <c r="AB24" s="55">
        <f t="shared" si="27"/>
        <v>-10.846875000000001</v>
      </c>
      <c r="AC24" s="55">
        <v>-4.9000000000000004</v>
      </c>
      <c r="AD24" s="55">
        <v>-8.6470085470085465</v>
      </c>
      <c r="AE24" s="55">
        <v>0</v>
      </c>
      <c r="AF24" s="55"/>
    </row>
    <row r="25" spans="1:32" s="57" customFormat="1" ht="15.75" customHeight="1">
      <c r="A25" s="2" t="s">
        <v>81</v>
      </c>
      <c r="B25" s="2" t="s">
        <v>237</v>
      </c>
      <c r="C25" s="51">
        <v>21.99</v>
      </c>
      <c r="D25" s="51">
        <v>29</v>
      </c>
      <c r="E25" s="51">
        <v>0</v>
      </c>
      <c r="F25" s="51">
        <v>596.30000000000007</v>
      </c>
      <c r="G25" s="51">
        <v>0</v>
      </c>
      <c r="H25" s="51">
        <f t="shared" si="1"/>
        <v>0</v>
      </c>
      <c r="I25" s="51">
        <f t="shared" si="2"/>
        <v>0.17087592593787043</v>
      </c>
      <c r="J25" s="51">
        <f t="shared" si="4"/>
        <v>101.89331463675215</v>
      </c>
      <c r="K25" s="51">
        <f t="shared" si="3"/>
        <v>3.5135625736811087</v>
      </c>
      <c r="L25" s="51">
        <v>83</v>
      </c>
      <c r="M25" s="51">
        <f t="shared" si="5"/>
        <v>0.3493975903614458</v>
      </c>
      <c r="N25" s="51">
        <v>36</v>
      </c>
      <c r="O25" s="51">
        <f t="shared" ref="O25:P25" si="34">D25/7</f>
        <v>4.1428571428571432</v>
      </c>
      <c r="P25" s="51">
        <f t="shared" si="34"/>
        <v>0</v>
      </c>
      <c r="Q25" s="51">
        <f t="shared" si="7"/>
        <v>8</v>
      </c>
      <c r="R25" s="55">
        <v>96</v>
      </c>
      <c r="S25" s="53">
        <v>96</v>
      </c>
      <c r="T25" s="54">
        <v>43990</v>
      </c>
      <c r="U25" s="55">
        <v>0</v>
      </c>
      <c r="V25" s="55">
        <f t="shared" si="8"/>
        <v>0</v>
      </c>
      <c r="W25" s="55">
        <f t="shared" si="9"/>
        <v>0</v>
      </c>
      <c r="X25" s="55">
        <v>0</v>
      </c>
      <c r="Y25" s="55" t="s">
        <v>35</v>
      </c>
      <c r="Z25" s="56">
        <f t="shared" si="19"/>
        <v>-0.75</v>
      </c>
      <c r="AA25" s="55">
        <v>0.18541666666666667</v>
      </c>
      <c r="AB25" s="55">
        <f t="shared" si="27"/>
        <v>-12.098437500000001</v>
      </c>
      <c r="AC25" s="55">
        <v>-4.9000000000000004</v>
      </c>
      <c r="AD25" s="55">
        <v>-8.6470085470085465</v>
      </c>
      <c r="AE25" s="55">
        <v>0</v>
      </c>
      <c r="AF25" s="55"/>
    </row>
    <row r="26" spans="1:32" s="57" customFormat="1" ht="15.75" customHeight="1">
      <c r="A26" s="2" t="s">
        <v>83</v>
      </c>
      <c r="B26" s="2" t="s">
        <v>238</v>
      </c>
      <c r="C26" s="51">
        <f t="shared" ref="C26:C39" si="35">IFERROR(F26/D26," - ")</f>
        <v>26.105625</v>
      </c>
      <c r="D26" s="51">
        <v>16</v>
      </c>
      <c r="E26" s="51">
        <v>0</v>
      </c>
      <c r="F26" s="51">
        <v>417.69</v>
      </c>
      <c r="G26" s="51">
        <v>-0.12000000000000001</v>
      </c>
      <c r="H26" s="51">
        <f t="shared" si="1"/>
        <v>2.8729440494146377E-4</v>
      </c>
      <c r="I26" s="51">
        <f t="shared" si="2"/>
        <v>0.31480131975355702</v>
      </c>
      <c r="J26" s="51">
        <f t="shared" si="4"/>
        <v>131.48936324786322</v>
      </c>
      <c r="K26" s="51">
        <f t="shared" si="3"/>
        <v>8.2180852029914515</v>
      </c>
      <c r="L26" s="51">
        <v>70</v>
      </c>
      <c r="M26" s="51">
        <f t="shared" si="5"/>
        <v>0.22857142857142856</v>
      </c>
      <c r="N26" s="51">
        <v>8</v>
      </c>
      <c r="O26" s="51">
        <f t="shared" ref="O26:P26" si="36">D26/7</f>
        <v>2.2857142857142856</v>
      </c>
      <c r="P26" s="51">
        <f t="shared" si="36"/>
        <v>0</v>
      </c>
      <c r="Q26" s="51">
        <f t="shared" si="7"/>
        <v>3</v>
      </c>
      <c r="R26" s="55">
        <v>180</v>
      </c>
      <c r="S26" s="53">
        <v>96</v>
      </c>
      <c r="T26" s="54">
        <v>43990</v>
      </c>
      <c r="U26" s="55">
        <v>0</v>
      </c>
      <c r="V26" s="55">
        <f t="shared" si="8"/>
        <v>0</v>
      </c>
      <c r="W26" s="55">
        <f t="shared" si="9"/>
        <v>0</v>
      </c>
      <c r="X26" s="55">
        <v>0</v>
      </c>
      <c r="Y26" s="55" t="s">
        <v>35</v>
      </c>
      <c r="Z26" s="56">
        <f t="shared" si="19"/>
        <v>-0.75</v>
      </c>
      <c r="AA26" s="55">
        <v>0.18541666666666667</v>
      </c>
      <c r="AB26" s="55">
        <f t="shared" si="27"/>
        <v>-6.6750000000000007</v>
      </c>
      <c r="AC26" s="55">
        <v>-4.9000000000000004</v>
      </c>
      <c r="AD26" s="55">
        <v>-8.6470085470085465</v>
      </c>
      <c r="AE26" s="55">
        <v>0</v>
      </c>
      <c r="AF26" s="55"/>
    </row>
    <row r="27" spans="1:32" s="57" customFormat="1" ht="15.75" customHeight="1">
      <c r="A27" s="2" t="s">
        <v>84</v>
      </c>
      <c r="B27" s="2" t="s">
        <v>200</v>
      </c>
      <c r="C27" s="51">
        <f t="shared" si="35"/>
        <v>28.300000000000004</v>
      </c>
      <c r="D27" s="51">
        <v>21</v>
      </c>
      <c r="E27" s="51">
        <v>0</v>
      </c>
      <c r="F27" s="51">
        <v>594.30000000000007</v>
      </c>
      <c r="G27" s="51">
        <v>-0.25</v>
      </c>
      <c r="H27" s="51">
        <f t="shared" si="1"/>
        <v>4.2066296483257612E-4</v>
      </c>
      <c r="I27" s="51">
        <f t="shared" si="2"/>
        <v>0.35498381795864131</v>
      </c>
      <c r="J27" s="51">
        <f t="shared" si="4"/>
        <v>210.96688301282055</v>
      </c>
      <c r="K27" s="51">
        <f t="shared" si="3"/>
        <v>10.04604204822955</v>
      </c>
      <c r="L27" s="51">
        <v>59</v>
      </c>
      <c r="M27" s="51">
        <f t="shared" si="5"/>
        <v>0.3559322033898305</v>
      </c>
      <c r="N27" s="51">
        <v>1</v>
      </c>
      <c r="O27" s="51">
        <f t="shared" ref="O27:P27" si="37">D27/7</f>
        <v>3</v>
      </c>
      <c r="P27" s="51">
        <f t="shared" si="37"/>
        <v>0</v>
      </c>
      <c r="Q27" s="51">
        <f t="shared" si="7"/>
        <v>0</v>
      </c>
      <c r="R27" s="55">
        <v>180</v>
      </c>
      <c r="S27" s="53">
        <v>96</v>
      </c>
      <c r="T27" s="54">
        <v>43992</v>
      </c>
      <c r="U27" s="55">
        <v>0</v>
      </c>
      <c r="V27" s="55">
        <f t="shared" si="8"/>
        <v>0</v>
      </c>
      <c r="W27" s="55">
        <f t="shared" si="9"/>
        <v>0</v>
      </c>
      <c r="X27" s="55">
        <v>0</v>
      </c>
      <c r="Y27" s="55" t="s">
        <v>35</v>
      </c>
      <c r="Z27" s="56">
        <f t="shared" si="19"/>
        <v>-0.75</v>
      </c>
      <c r="AA27" s="55">
        <v>0.18541666666666667</v>
      </c>
      <c r="AB27" s="55">
        <f t="shared" si="27"/>
        <v>-8.7609375000000007</v>
      </c>
      <c r="AC27" s="55">
        <v>-4.9000000000000004</v>
      </c>
      <c r="AD27" s="55">
        <v>-8.6470085470085465</v>
      </c>
      <c r="AE27" s="55">
        <v>-0.69</v>
      </c>
      <c r="AF27" s="55"/>
    </row>
    <row r="28" spans="1:32" s="57" customFormat="1" ht="15.75" customHeight="1">
      <c r="A28" s="2" t="s">
        <v>86</v>
      </c>
      <c r="B28" s="2" t="s">
        <v>239</v>
      </c>
      <c r="C28" s="51">
        <f t="shared" si="35"/>
        <v>27.99</v>
      </c>
      <c r="D28" s="51">
        <v>1</v>
      </c>
      <c r="E28" s="51">
        <v>0</v>
      </c>
      <c r="F28" s="51">
        <v>27.99</v>
      </c>
      <c r="G28" s="51">
        <v>0</v>
      </c>
      <c r="H28" s="51">
        <f t="shared" si="1"/>
        <v>0</v>
      </c>
      <c r="I28" s="51">
        <f t="shared" si="2"/>
        <v>0.35110053422620408</v>
      </c>
      <c r="J28" s="51">
        <f t="shared" si="4"/>
        <v>9.8273039529914517</v>
      </c>
      <c r="K28" s="51">
        <f t="shared" si="3"/>
        <v>9.8273039529914517</v>
      </c>
      <c r="L28" s="51">
        <v>0</v>
      </c>
      <c r="M28" s="51" t="str">
        <f t="shared" si="5"/>
        <v>-</v>
      </c>
      <c r="N28" s="51">
        <v>96</v>
      </c>
      <c r="O28" s="51">
        <f t="shared" ref="O28:P28" si="38">D28/7</f>
        <v>0.14285714285714285</v>
      </c>
      <c r="P28" s="51">
        <f t="shared" si="38"/>
        <v>0</v>
      </c>
      <c r="Q28" s="51">
        <f t="shared" si="7"/>
        <v>672</v>
      </c>
      <c r="R28" s="55">
        <v>180</v>
      </c>
      <c r="S28" s="53">
        <v>96</v>
      </c>
      <c r="T28" s="54">
        <v>43992</v>
      </c>
      <c r="U28" s="55">
        <v>0</v>
      </c>
      <c r="V28" s="55">
        <f t="shared" si="8"/>
        <v>0</v>
      </c>
      <c r="W28" s="55">
        <f t="shared" si="9"/>
        <v>0</v>
      </c>
      <c r="X28" s="55">
        <v>0</v>
      </c>
      <c r="Y28" s="55" t="s">
        <v>35</v>
      </c>
      <c r="Z28" s="56">
        <f t="shared" si="19"/>
        <v>-0.75</v>
      </c>
      <c r="AA28" s="55">
        <v>0.18541666666666667</v>
      </c>
      <c r="AB28" s="55">
        <f t="shared" si="27"/>
        <v>-0.41718750000000004</v>
      </c>
      <c r="AC28" s="55">
        <v>-4.9000000000000004</v>
      </c>
      <c r="AD28" s="55">
        <v>-8.6470085470085465</v>
      </c>
      <c r="AE28" s="55">
        <v>0</v>
      </c>
      <c r="AF28" s="55"/>
    </row>
    <row r="29" spans="1:32" s="57" customFormat="1" ht="15.75" customHeight="1">
      <c r="A29" s="2" t="s">
        <v>87</v>
      </c>
      <c r="B29" s="2" t="s">
        <v>240</v>
      </c>
      <c r="C29" s="51">
        <f t="shared" si="35"/>
        <v>27.11</v>
      </c>
      <c r="D29" s="51">
        <v>2</v>
      </c>
      <c r="E29" s="51">
        <v>0</v>
      </c>
      <c r="F29" s="51">
        <v>54.22</v>
      </c>
      <c r="G29" s="51">
        <v>0</v>
      </c>
      <c r="H29" s="51">
        <f t="shared" si="1"/>
        <v>0</v>
      </c>
      <c r="I29" s="51">
        <f t="shared" si="2"/>
        <v>0.33490608458101995</v>
      </c>
      <c r="J29" s="51">
        <f t="shared" si="4"/>
        <v>18.158607905982901</v>
      </c>
      <c r="K29" s="51">
        <f t="shared" si="3"/>
        <v>9.0793039529914505</v>
      </c>
      <c r="L29" s="51">
        <v>35</v>
      </c>
      <c r="M29" s="51">
        <f t="shared" si="5"/>
        <v>5.7142857142857141E-2</v>
      </c>
      <c r="N29" s="51">
        <v>94</v>
      </c>
      <c r="O29" s="51">
        <f t="shared" ref="O29:P29" si="39">D29/7</f>
        <v>0.2857142857142857</v>
      </c>
      <c r="P29" s="51">
        <f t="shared" si="39"/>
        <v>0</v>
      </c>
      <c r="Q29" s="51">
        <f t="shared" si="7"/>
        <v>329</v>
      </c>
      <c r="R29" s="55">
        <v>84</v>
      </c>
      <c r="S29" s="53">
        <v>84</v>
      </c>
      <c r="T29" s="54">
        <v>44013</v>
      </c>
      <c r="U29" s="55">
        <v>0</v>
      </c>
      <c r="V29" s="55">
        <f t="shared" si="8"/>
        <v>0</v>
      </c>
      <c r="W29" s="55">
        <f t="shared" si="9"/>
        <v>0</v>
      </c>
      <c r="X29" s="55">
        <v>0</v>
      </c>
      <c r="Y29" s="55" t="s">
        <v>35</v>
      </c>
      <c r="Z29" s="56">
        <f t="shared" si="19"/>
        <v>-0.75</v>
      </c>
      <c r="AA29" s="55">
        <v>0.18541666666666667</v>
      </c>
      <c r="AB29" s="55">
        <f t="shared" si="27"/>
        <v>-0.83437500000000009</v>
      </c>
      <c r="AC29" s="55">
        <v>-4.9000000000000004</v>
      </c>
      <c r="AD29" s="55">
        <v>-8.6470085470085465</v>
      </c>
      <c r="AE29" s="55">
        <v>0</v>
      </c>
      <c r="AF29" s="55"/>
    </row>
    <row r="30" spans="1:32" s="57" customFormat="1" ht="15.75" customHeight="1">
      <c r="A30" s="2" t="s">
        <v>89</v>
      </c>
      <c r="B30" s="2" t="s">
        <v>241</v>
      </c>
      <c r="C30" s="51">
        <f t="shared" si="35"/>
        <v>24.004444444444445</v>
      </c>
      <c r="D30" s="51">
        <v>9</v>
      </c>
      <c r="E30" s="51">
        <v>0</v>
      </c>
      <c r="F30" s="51">
        <v>216.04000000000002</v>
      </c>
      <c r="G30" s="51">
        <v>0</v>
      </c>
      <c r="H30" s="51">
        <f t="shared" si="1"/>
        <v>0</v>
      </c>
      <c r="I30" s="51">
        <f t="shared" si="2"/>
        <v>0.2682662265178814</v>
      </c>
      <c r="J30" s="51">
        <f t="shared" si="4"/>
        <v>57.956235576923099</v>
      </c>
      <c r="K30" s="51">
        <f t="shared" si="3"/>
        <v>6.4395817307692331</v>
      </c>
      <c r="L30" s="51">
        <v>53</v>
      </c>
      <c r="M30" s="51">
        <f t="shared" si="5"/>
        <v>0.16981132075471697</v>
      </c>
      <c r="N30" s="51">
        <v>137</v>
      </c>
      <c r="O30" s="51">
        <f t="shared" ref="O30:P30" si="40">D30/7</f>
        <v>1.2857142857142858</v>
      </c>
      <c r="P30" s="51">
        <f t="shared" si="40"/>
        <v>0</v>
      </c>
      <c r="Q30" s="51">
        <f t="shared" si="7"/>
        <v>106</v>
      </c>
      <c r="R30" s="55">
        <v>84</v>
      </c>
      <c r="S30" s="53">
        <v>84</v>
      </c>
      <c r="T30" s="54">
        <v>44013</v>
      </c>
      <c r="U30" s="55">
        <v>0</v>
      </c>
      <c r="V30" s="55">
        <f t="shared" si="8"/>
        <v>0</v>
      </c>
      <c r="W30" s="55">
        <f t="shared" si="9"/>
        <v>0</v>
      </c>
      <c r="X30" s="55">
        <v>0</v>
      </c>
      <c r="Y30" s="55" t="s">
        <v>35</v>
      </c>
      <c r="Z30" s="56">
        <f t="shared" si="19"/>
        <v>-0.75</v>
      </c>
      <c r="AA30" s="55">
        <v>0.18541666666666667</v>
      </c>
      <c r="AB30" s="55">
        <f t="shared" si="27"/>
        <v>-3.7546875000000002</v>
      </c>
      <c r="AC30" s="55">
        <v>-4.9000000000000004</v>
      </c>
      <c r="AD30" s="55">
        <v>-8.6470085470085465</v>
      </c>
      <c r="AE30" s="55">
        <v>0</v>
      </c>
      <c r="AF30" s="55"/>
    </row>
    <row r="31" spans="1:32" s="57" customFormat="1" ht="15.75" customHeight="1">
      <c r="A31" s="2" t="s">
        <v>90</v>
      </c>
      <c r="B31" s="2" t="s">
        <v>242</v>
      </c>
      <c r="C31" s="51">
        <f t="shared" si="35"/>
        <v>21.522307692307695</v>
      </c>
      <c r="D31" s="51">
        <v>13</v>
      </c>
      <c r="E31" s="51">
        <v>0</v>
      </c>
      <c r="F31" s="51">
        <v>279.79000000000002</v>
      </c>
      <c r="G31" s="51">
        <v>-0.08</v>
      </c>
      <c r="H31" s="51">
        <f t="shared" si="1"/>
        <v>2.8592873226348332E-4</v>
      </c>
      <c r="I31" s="51">
        <f t="shared" si="2"/>
        <v>0.20088977943775296</v>
      </c>
      <c r="J31" s="51">
        <f t="shared" si="4"/>
        <v>56.206951388888903</v>
      </c>
      <c r="K31" s="51">
        <f t="shared" si="3"/>
        <v>4.3236116452991462</v>
      </c>
      <c r="L31" s="51">
        <v>60</v>
      </c>
      <c r="M31" s="51">
        <f t="shared" si="5"/>
        <v>0.21666666666666667</v>
      </c>
      <c r="N31" s="51">
        <v>145</v>
      </c>
      <c r="O31" s="51">
        <f t="shared" ref="O31:P31" si="41">D31/7</f>
        <v>1.8571428571428572</v>
      </c>
      <c r="P31" s="51">
        <f t="shared" si="41"/>
        <v>0</v>
      </c>
      <c r="Q31" s="51">
        <f t="shared" si="7"/>
        <v>78</v>
      </c>
      <c r="R31" s="55">
        <v>0</v>
      </c>
      <c r="S31" s="53" t="s">
        <v>34</v>
      </c>
      <c r="T31" s="54" t="s">
        <v>34</v>
      </c>
      <c r="U31" s="55">
        <v>0</v>
      </c>
      <c r="V31" s="55">
        <f t="shared" si="8"/>
        <v>0</v>
      </c>
      <c r="W31" s="55">
        <f t="shared" si="9"/>
        <v>0</v>
      </c>
      <c r="X31" s="55">
        <v>0</v>
      </c>
      <c r="Y31" s="55" t="s">
        <v>35</v>
      </c>
      <c r="Z31" s="56">
        <f t="shared" si="19"/>
        <v>-0.75</v>
      </c>
      <c r="AA31" s="55">
        <v>0.18541666666666667</v>
      </c>
      <c r="AB31" s="55">
        <f t="shared" si="27"/>
        <v>-5.4234375000000004</v>
      </c>
      <c r="AC31" s="55">
        <v>-4.9000000000000004</v>
      </c>
      <c r="AD31" s="55">
        <v>-8.6470085470085465</v>
      </c>
      <c r="AE31" s="55">
        <v>0</v>
      </c>
      <c r="AF31" s="55"/>
    </row>
    <row r="32" spans="1:32" s="57" customFormat="1" ht="15.75" customHeight="1">
      <c r="A32" s="2" t="s">
        <v>92</v>
      </c>
      <c r="B32" s="2" t="s">
        <v>243</v>
      </c>
      <c r="C32" s="51">
        <f t="shared" si="35"/>
        <v>19.900999999999996</v>
      </c>
      <c r="D32" s="51">
        <v>10</v>
      </c>
      <c r="E32" s="51">
        <v>0</v>
      </c>
      <c r="F32" s="51">
        <v>199.00999999999996</v>
      </c>
      <c r="G32" s="51">
        <v>-0.08</v>
      </c>
      <c r="H32" s="51">
        <f t="shared" si="1"/>
        <v>4.0198984975629376E-4</v>
      </c>
      <c r="I32" s="51">
        <f t="shared" si="2"/>
        <v>0.14791487628719413</v>
      </c>
      <c r="J32" s="51">
        <f t="shared" si="4"/>
        <v>29.436539529914498</v>
      </c>
      <c r="K32" s="51">
        <f t="shared" si="3"/>
        <v>2.9436539529914496</v>
      </c>
      <c r="L32" s="51">
        <v>79</v>
      </c>
      <c r="M32" s="51">
        <f t="shared" si="5"/>
        <v>0.12658227848101267</v>
      </c>
      <c r="N32" s="51">
        <v>92</v>
      </c>
      <c r="O32" s="51">
        <f t="shared" ref="O32:P32" si="42">D32/7</f>
        <v>1.4285714285714286</v>
      </c>
      <c r="P32" s="51">
        <f t="shared" si="42"/>
        <v>0</v>
      </c>
      <c r="Q32" s="51">
        <f t="shared" si="7"/>
        <v>64</v>
      </c>
      <c r="R32" s="55">
        <v>0</v>
      </c>
      <c r="S32" s="53" t="s">
        <v>34</v>
      </c>
      <c r="T32" s="54" t="s">
        <v>34</v>
      </c>
      <c r="U32" s="55">
        <v>0</v>
      </c>
      <c r="V32" s="55">
        <f t="shared" si="8"/>
        <v>0</v>
      </c>
      <c r="W32" s="55">
        <f t="shared" si="9"/>
        <v>0</v>
      </c>
      <c r="X32" s="55">
        <v>0</v>
      </c>
      <c r="Y32" s="55" t="s">
        <v>35</v>
      </c>
      <c r="Z32" s="56">
        <f t="shared" si="19"/>
        <v>-0.75</v>
      </c>
      <c r="AA32" s="55">
        <v>0.18541666666666667</v>
      </c>
      <c r="AB32" s="55">
        <f t="shared" si="27"/>
        <v>-4.171875</v>
      </c>
      <c r="AC32" s="55">
        <v>-4.9000000000000004</v>
      </c>
      <c r="AD32" s="55">
        <v>-8.6470085470085465</v>
      </c>
      <c r="AE32" s="55">
        <v>0</v>
      </c>
      <c r="AF32" s="52">
        <v>2.0322580645161201</v>
      </c>
    </row>
    <row r="33" spans="1:32" s="57" customFormat="1" ht="15.75" customHeight="1">
      <c r="A33" s="2" t="s">
        <v>94</v>
      </c>
      <c r="B33" s="2" t="s">
        <v>45</v>
      </c>
      <c r="C33" s="51">
        <f t="shared" si="35"/>
        <v>19.336470588235294</v>
      </c>
      <c r="D33" s="51">
        <v>17</v>
      </c>
      <c r="E33" s="51">
        <v>0</v>
      </c>
      <c r="F33" s="51">
        <v>328.71999999999997</v>
      </c>
      <c r="G33" s="51">
        <v>-0.12</v>
      </c>
      <c r="H33" s="51">
        <f t="shared" si="1"/>
        <v>3.650523241664639E-4</v>
      </c>
      <c r="I33" s="51">
        <f t="shared" si="2"/>
        <v>0.12746613288164602</v>
      </c>
      <c r="J33" s="51">
        <f t="shared" si="4"/>
        <v>41.900667200854677</v>
      </c>
      <c r="K33" s="51">
        <f t="shared" si="3"/>
        <v>2.4647451294620399</v>
      </c>
      <c r="L33" s="51">
        <v>69</v>
      </c>
      <c r="M33" s="51">
        <f t="shared" si="5"/>
        <v>0.24637681159420291</v>
      </c>
      <c r="N33" s="51">
        <v>83</v>
      </c>
      <c r="O33" s="51">
        <f t="shared" ref="O33:P33" si="43">D33/7</f>
        <v>2.4285714285714284</v>
      </c>
      <c r="P33" s="51">
        <f t="shared" si="43"/>
        <v>0</v>
      </c>
      <c r="Q33" s="51">
        <f t="shared" si="7"/>
        <v>34</v>
      </c>
      <c r="R33" s="55">
        <v>0</v>
      </c>
      <c r="S33" s="53" t="s">
        <v>34</v>
      </c>
      <c r="T33" s="54" t="s">
        <v>34</v>
      </c>
      <c r="U33" s="55">
        <v>0</v>
      </c>
      <c r="V33" s="55">
        <f t="shared" si="8"/>
        <v>0</v>
      </c>
      <c r="W33" s="55">
        <f t="shared" si="9"/>
        <v>0</v>
      </c>
      <c r="X33" s="55">
        <v>0</v>
      </c>
      <c r="Y33" s="55" t="s">
        <v>35</v>
      </c>
      <c r="Z33" s="56">
        <f t="shared" si="19"/>
        <v>-0.75</v>
      </c>
      <c r="AA33" s="55">
        <v>0.18541666666666667</v>
      </c>
      <c r="AB33" s="55">
        <f t="shared" si="27"/>
        <v>-7.0921875000000005</v>
      </c>
      <c r="AC33" s="55">
        <v>-4.9000000000000004</v>
      </c>
      <c r="AD33" s="55">
        <v>-8.6470085470085465</v>
      </c>
      <c r="AE33" s="55">
        <v>0</v>
      </c>
      <c r="AF33" s="55">
        <v>1.7674418604651101</v>
      </c>
    </row>
    <row r="34" spans="1:32" s="57" customFormat="1" ht="15.75" customHeight="1">
      <c r="A34" s="2" t="s">
        <v>95</v>
      </c>
      <c r="B34" s="2" t="s">
        <v>45</v>
      </c>
      <c r="C34" s="51">
        <f t="shared" si="35"/>
        <v>19.20944444444444</v>
      </c>
      <c r="D34" s="51">
        <v>18</v>
      </c>
      <c r="E34" s="51">
        <v>0</v>
      </c>
      <c r="F34" s="51">
        <v>345.76999999999992</v>
      </c>
      <c r="G34" s="51">
        <v>-0.31</v>
      </c>
      <c r="H34" s="51">
        <f t="shared" si="1"/>
        <v>8.9654972958903335E-4</v>
      </c>
      <c r="I34" s="51">
        <f t="shared" si="2"/>
        <v>0.12215915537451517</v>
      </c>
      <c r="J34" s="51">
        <f t="shared" si="4"/>
        <v>42.238971153846101</v>
      </c>
      <c r="K34" s="51">
        <f t="shared" si="3"/>
        <v>2.3466095085470058</v>
      </c>
      <c r="L34" s="51">
        <v>87</v>
      </c>
      <c r="M34" s="51">
        <f t="shared" si="5"/>
        <v>0.20689655172413793</v>
      </c>
      <c r="N34" s="51">
        <v>49</v>
      </c>
      <c r="O34" s="51">
        <f t="shared" ref="O34:P34" si="44">D34/7</f>
        <v>2.5714285714285716</v>
      </c>
      <c r="P34" s="51">
        <f t="shared" si="44"/>
        <v>0</v>
      </c>
      <c r="Q34" s="51">
        <f t="shared" si="7"/>
        <v>19</v>
      </c>
      <c r="R34" s="55">
        <v>0</v>
      </c>
      <c r="S34" s="53" t="s">
        <v>34</v>
      </c>
      <c r="T34" s="54" t="s">
        <v>34</v>
      </c>
      <c r="U34" s="55">
        <v>0</v>
      </c>
      <c r="V34" s="55">
        <f t="shared" si="8"/>
        <v>0</v>
      </c>
      <c r="W34" s="55">
        <f t="shared" si="9"/>
        <v>0</v>
      </c>
      <c r="X34" s="55">
        <v>0</v>
      </c>
      <c r="Y34" s="55" t="s">
        <v>35</v>
      </c>
      <c r="Z34" s="56">
        <f t="shared" si="19"/>
        <v>-0.75</v>
      </c>
      <c r="AA34" s="55">
        <v>0.18541666666666667</v>
      </c>
      <c r="AB34" s="55">
        <f t="shared" si="27"/>
        <v>-7.5093750000000004</v>
      </c>
      <c r="AC34" s="55">
        <v>-4.9000000000000004</v>
      </c>
      <c r="AD34" s="55">
        <v>-8.6470085470085465</v>
      </c>
      <c r="AE34" s="55">
        <v>0</v>
      </c>
      <c r="AF34" s="55">
        <v>2.4814814814814801</v>
      </c>
    </row>
    <row r="35" spans="1:32" s="57" customFormat="1" ht="15.75" customHeight="1">
      <c r="A35" s="2" t="s">
        <v>96</v>
      </c>
      <c r="B35" s="2" t="s">
        <v>45</v>
      </c>
      <c r="C35" s="51">
        <f t="shared" si="35"/>
        <v>19.2</v>
      </c>
      <c r="D35" s="51">
        <v>29</v>
      </c>
      <c r="E35" s="51">
        <v>0</v>
      </c>
      <c r="F35" s="51">
        <v>556.79999999999995</v>
      </c>
      <c r="G35" s="51">
        <v>-9.0000000000000011E-2</v>
      </c>
      <c r="H35" s="51">
        <f t="shared" si="1"/>
        <v>1.6163793103448278E-4</v>
      </c>
      <c r="I35" s="51">
        <f t="shared" si="2"/>
        <v>0.12253648462060369</v>
      </c>
      <c r="J35" s="51">
        <f t="shared" si="4"/>
        <v>68.228314636752131</v>
      </c>
      <c r="K35" s="51">
        <f t="shared" si="3"/>
        <v>2.3527005047155907</v>
      </c>
      <c r="L35" s="51">
        <v>94</v>
      </c>
      <c r="M35" s="51">
        <f t="shared" si="5"/>
        <v>0.30851063829787234</v>
      </c>
      <c r="N35" s="51">
        <v>34</v>
      </c>
      <c r="O35" s="51">
        <f t="shared" ref="O35:P35" si="45">D35/7</f>
        <v>4.1428571428571432</v>
      </c>
      <c r="P35" s="51">
        <f t="shared" si="45"/>
        <v>0</v>
      </c>
      <c r="Q35" s="51">
        <f t="shared" si="7"/>
        <v>8</v>
      </c>
      <c r="R35" s="55">
        <v>0</v>
      </c>
      <c r="S35" s="53" t="s">
        <v>34</v>
      </c>
      <c r="T35" s="54" t="s">
        <v>34</v>
      </c>
      <c r="U35" s="55">
        <v>0</v>
      </c>
      <c r="V35" s="55">
        <f t="shared" si="8"/>
        <v>0</v>
      </c>
      <c r="W35" s="55">
        <f t="shared" si="9"/>
        <v>0</v>
      </c>
      <c r="X35" s="55">
        <v>0</v>
      </c>
      <c r="Y35" s="55" t="s">
        <v>35</v>
      </c>
      <c r="Z35" s="56">
        <f t="shared" si="19"/>
        <v>-0.75</v>
      </c>
      <c r="AA35" s="55">
        <v>0.18541666666666667</v>
      </c>
      <c r="AB35" s="55">
        <f t="shared" si="27"/>
        <v>-12.098437500000001</v>
      </c>
      <c r="AC35" s="55">
        <v>-4.9000000000000004</v>
      </c>
      <c r="AD35" s="55">
        <v>-8.6470085470085465</v>
      </c>
      <c r="AE35" s="55">
        <v>0</v>
      </c>
      <c r="AF35" s="55">
        <v>2.3563218390804499</v>
      </c>
    </row>
    <row r="36" spans="1:32" s="57" customFormat="1" ht="15.75" customHeight="1">
      <c r="A36" s="2" t="s">
        <v>98</v>
      </c>
      <c r="B36" s="2" t="s">
        <v>178</v>
      </c>
      <c r="C36" s="51">
        <f t="shared" si="35"/>
        <v>19.199999999999992</v>
      </c>
      <c r="D36" s="51">
        <v>22</v>
      </c>
      <c r="E36" s="51">
        <v>0</v>
      </c>
      <c r="F36" s="51">
        <v>422.39999999999986</v>
      </c>
      <c r="G36" s="51">
        <v>-0.16</v>
      </c>
      <c r="H36" s="51">
        <f t="shared" si="1"/>
        <v>3.787878787878789E-4</v>
      </c>
      <c r="I36" s="51">
        <f t="shared" si="2"/>
        <v>0.12231933467284989</v>
      </c>
      <c r="J36" s="51">
        <f t="shared" si="4"/>
        <v>51.667686965811775</v>
      </c>
      <c r="K36" s="51">
        <f t="shared" si="3"/>
        <v>2.348531225718717</v>
      </c>
      <c r="L36" s="51">
        <v>109</v>
      </c>
      <c r="M36" s="51">
        <f t="shared" si="5"/>
        <v>0.20183486238532111</v>
      </c>
      <c r="N36" s="51">
        <v>8</v>
      </c>
      <c r="O36" s="51">
        <f t="shared" ref="O36:P36" si="46">D36/7</f>
        <v>3.1428571428571428</v>
      </c>
      <c r="P36" s="51">
        <f t="shared" si="46"/>
        <v>0</v>
      </c>
      <c r="Q36" s="51">
        <f t="shared" si="7"/>
        <v>2</v>
      </c>
      <c r="R36" s="55">
        <v>0</v>
      </c>
      <c r="S36" s="53"/>
      <c r="T36" s="54" t="s">
        <v>34</v>
      </c>
      <c r="U36" s="55"/>
      <c r="V36" s="55">
        <f t="shared" si="8"/>
        <v>0</v>
      </c>
      <c r="W36" s="55">
        <f t="shared" si="9"/>
        <v>0</v>
      </c>
      <c r="X36" s="55"/>
      <c r="Y36" s="55" t="s">
        <v>35</v>
      </c>
      <c r="Z36" s="56">
        <f t="shared" si="19"/>
        <v>-0.75</v>
      </c>
      <c r="AA36" s="55">
        <v>0.18541666666666667</v>
      </c>
      <c r="AB36" s="55">
        <f t="shared" si="27"/>
        <v>-9.1781250000000014</v>
      </c>
      <c r="AC36" s="55">
        <v>-4.9000000000000004</v>
      </c>
      <c r="AD36" s="55">
        <v>-8.6470085470085465</v>
      </c>
      <c r="AE36" s="55">
        <v>0</v>
      </c>
      <c r="AF36" s="55">
        <v>3.6444444444444399</v>
      </c>
    </row>
    <row r="37" spans="1:32" s="57" customFormat="1" ht="15.75" customHeight="1">
      <c r="A37" s="2" t="s">
        <v>99</v>
      </c>
      <c r="B37" s="2" t="s">
        <v>179</v>
      </c>
      <c r="C37" s="51">
        <f t="shared" si="35"/>
        <v>19.199999999999996</v>
      </c>
      <c r="D37" s="51">
        <v>12</v>
      </c>
      <c r="E37" s="51">
        <v>0</v>
      </c>
      <c r="F37" s="51">
        <v>230.39999999999995</v>
      </c>
      <c r="G37" s="51">
        <v>-0.1</v>
      </c>
      <c r="H37" s="51">
        <f t="shared" si="1"/>
        <v>4.3402777777777792E-4</v>
      </c>
      <c r="I37" s="51">
        <f t="shared" si="2"/>
        <v>0.12226409477386022</v>
      </c>
      <c r="J37" s="51">
        <f t="shared" si="4"/>
        <v>28.169647435897389</v>
      </c>
      <c r="K37" s="51">
        <f t="shared" si="3"/>
        <v>2.3474706196581159</v>
      </c>
      <c r="L37" s="51">
        <v>35</v>
      </c>
      <c r="M37" s="51">
        <f t="shared" si="5"/>
        <v>0.34285714285714286</v>
      </c>
      <c r="N37" s="51">
        <v>1</v>
      </c>
      <c r="O37" s="51">
        <f t="shared" ref="O37:P37" si="47">D37/7</f>
        <v>1.7142857142857142</v>
      </c>
      <c r="P37" s="51">
        <f t="shared" si="47"/>
        <v>0</v>
      </c>
      <c r="Q37" s="51">
        <f t="shared" si="7"/>
        <v>0</v>
      </c>
      <c r="R37" s="55">
        <v>96</v>
      </c>
      <c r="S37" s="53">
        <v>96</v>
      </c>
      <c r="T37" s="54">
        <v>44078</v>
      </c>
      <c r="U37" s="55">
        <v>0</v>
      </c>
      <c r="V37" s="55">
        <f t="shared" si="8"/>
        <v>0</v>
      </c>
      <c r="W37" s="55">
        <f t="shared" si="9"/>
        <v>0</v>
      </c>
      <c r="X37" s="55">
        <v>0</v>
      </c>
      <c r="Y37" s="55" t="s">
        <v>35</v>
      </c>
      <c r="Z37" s="56">
        <f t="shared" si="19"/>
        <v>-0.75</v>
      </c>
      <c r="AA37" s="55">
        <v>0.18541666666666667</v>
      </c>
      <c r="AB37" s="55">
        <f t="shared" si="27"/>
        <v>-5.0062500000000005</v>
      </c>
      <c r="AC37" s="55">
        <v>-4.9000000000000004</v>
      </c>
      <c r="AD37" s="55">
        <v>-8.6470085470085465</v>
      </c>
      <c r="AE37" s="55">
        <v>0</v>
      </c>
      <c r="AF37" s="55">
        <v>2.8142857142857101</v>
      </c>
    </row>
    <row r="38" spans="1:32" s="57" customFormat="1" ht="15.75" customHeight="1">
      <c r="A38" s="2" t="s">
        <v>100</v>
      </c>
      <c r="B38" s="2" t="s">
        <v>244</v>
      </c>
      <c r="C38" s="51">
        <f t="shared" si="35"/>
        <v>19.2</v>
      </c>
      <c r="D38" s="51">
        <v>4</v>
      </c>
      <c r="E38" s="51">
        <v>0</v>
      </c>
      <c r="F38" s="51">
        <v>76.8</v>
      </c>
      <c r="G38" s="51">
        <v>0</v>
      </c>
      <c r="H38" s="51">
        <f t="shared" si="1"/>
        <v>0</v>
      </c>
      <c r="I38" s="51">
        <f t="shared" si="2"/>
        <v>0.12269812255163821</v>
      </c>
      <c r="J38" s="51">
        <f t="shared" si="4"/>
        <v>9.4232158119658145</v>
      </c>
      <c r="K38" s="51">
        <f t="shared" si="3"/>
        <v>2.3558039529914536</v>
      </c>
      <c r="L38" s="51">
        <v>10</v>
      </c>
      <c r="M38" s="51">
        <f t="shared" si="5"/>
        <v>0.4</v>
      </c>
      <c r="N38" s="51">
        <v>48</v>
      </c>
      <c r="O38" s="51">
        <f t="shared" ref="O38:P38" si="48">D38/7</f>
        <v>0.5714285714285714</v>
      </c>
      <c r="P38" s="51">
        <f t="shared" si="48"/>
        <v>0</v>
      </c>
      <c r="Q38" s="51">
        <f t="shared" si="7"/>
        <v>84</v>
      </c>
      <c r="R38" s="55">
        <v>96</v>
      </c>
      <c r="S38" s="53"/>
      <c r="T38" s="54">
        <v>44078</v>
      </c>
      <c r="U38" s="55">
        <v>0</v>
      </c>
      <c r="V38" s="55">
        <f t="shared" si="8"/>
        <v>0</v>
      </c>
      <c r="W38" s="55">
        <f t="shared" si="9"/>
        <v>0</v>
      </c>
      <c r="X38" s="55">
        <v>0</v>
      </c>
      <c r="Y38" s="55" t="s">
        <v>35</v>
      </c>
      <c r="Z38" s="56">
        <f t="shared" si="19"/>
        <v>-0.75</v>
      </c>
      <c r="AA38" s="55">
        <v>0.18541666666666667</v>
      </c>
      <c r="AB38" s="55">
        <f t="shared" si="27"/>
        <v>-1.6687500000000002</v>
      </c>
      <c r="AC38" s="55">
        <v>-4.9000000000000004</v>
      </c>
      <c r="AD38" s="55">
        <v>-8.6470085470085465</v>
      </c>
      <c r="AE38" s="55">
        <v>0</v>
      </c>
      <c r="AF38" s="55">
        <v>2.4411764705882302</v>
      </c>
    </row>
    <row r="39" spans="1:32" s="57" customFormat="1" ht="15.75" customHeight="1">
      <c r="A39" s="2" t="s">
        <v>101</v>
      </c>
      <c r="B39" s="2" t="s">
        <v>245</v>
      </c>
      <c r="C39" s="51">
        <f t="shared" si="35"/>
        <v>19.199999999999996</v>
      </c>
      <c r="D39" s="51">
        <v>18</v>
      </c>
      <c r="E39" s="51">
        <v>0</v>
      </c>
      <c r="F39" s="51">
        <v>345.59999999999991</v>
      </c>
      <c r="G39" s="51">
        <v>-0.27</v>
      </c>
      <c r="H39" s="51">
        <f t="shared" si="1"/>
        <v>7.8125000000000026E-4</v>
      </c>
      <c r="I39" s="51">
        <f t="shared" si="2"/>
        <v>0.12191687255163847</v>
      </c>
      <c r="J39" s="51">
        <f>F39*0.85+G39+AD39*D39+D39*AC39+AE40+AB39</f>
        <v>42.134471153846242</v>
      </c>
      <c r="K39" s="51">
        <f t="shared" si="3"/>
        <v>2.3408039529914579</v>
      </c>
      <c r="L39" s="51">
        <v>55</v>
      </c>
      <c r="M39" s="51">
        <f t="shared" si="5"/>
        <v>0.32727272727272727</v>
      </c>
      <c r="N39" s="51">
        <v>61</v>
      </c>
      <c r="O39" s="51">
        <f t="shared" ref="O39:P39" si="49">D39/7</f>
        <v>2.5714285714285716</v>
      </c>
      <c r="P39" s="51">
        <f t="shared" si="49"/>
        <v>0</v>
      </c>
      <c r="Q39" s="51">
        <f t="shared" si="7"/>
        <v>23</v>
      </c>
      <c r="R39" s="55">
        <v>96</v>
      </c>
      <c r="S39" s="53">
        <v>96</v>
      </c>
      <c r="T39" s="54">
        <v>44078</v>
      </c>
      <c r="U39" s="55">
        <v>0</v>
      </c>
      <c r="V39" s="55">
        <f t="shared" si="8"/>
        <v>0</v>
      </c>
      <c r="W39" s="55">
        <f t="shared" si="9"/>
        <v>0</v>
      </c>
      <c r="X39" s="55">
        <v>0</v>
      </c>
      <c r="Y39" s="55" t="s">
        <v>35</v>
      </c>
      <c r="Z39" s="56">
        <f t="shared" si="19"/>
        <v>-0.75</v>
      </c>
      <c r="AA39" s="55">
        <v>0.18541666666666667</v>
      </c>
      <c r="AB39" s="55">
        <f t="shared" si="27"/>
        <v>-7.5093750000000004</v>
      </c>
      <c r="AC39" s="55">
        <v>-4.9000000000000004</v>
      </c>
      <c r="AD39" s="55">
        <v>-8.6470085470085394</v>
      </c>
      <c r="AE39" s="55">
        <v>0</v>
      </c>
      <c r="AF39" s="55">
        <v>2.2361111111111098</v>
      </c>
    </row>
    <row r="40" spans="1:32" s="57" customFormat="1" ht="15.75" customHeight="1">
      <c r="A40" s="2" t="s">
        <v>102</v>
      </c>
      <c r="B40" s="2" t="s">
        <v>246</v>
      </c>
      <c r="C40" s="51">
        <v>19.380476190476184</v>
      </c>
      <c r="D40" s="51">
        <v>21</v>
      </c>
      <c r="E40" s="51">
        <v>0</v>
      </c>
      <c r="F40" s="51">
        <v>406.98999999999984</v>
      </c>
      <c r="G40" s="51">
        <v>-0.44999999999999996</v>
      </c>
      <c r="H40" s="51">
        <v>1.1056782721934203E-3</v>
      </c>
      <c r="I40" s="51">
        <v>0.12836527436256553</v>
      </c>
      <c r="J40" s="51">
        <v>52.24338301282053</v>
      </c>
      <c r="K40" s="51">
        <v>2.4877801434676443</v>
      </c>
      <c r="L40" s="51">
        <v>75</v>
      </c>
      <c r="M40" s="51">
        <v>0.28000000000000003</v>
      </c>
      <c r="N40" s="51">
        <v>20</v>
      </c>
      <c r="O40" s="51">
        <v>3</v>
      </c>
      <c r="P40" s="51">
        <v>0</v>
      </c>
      <c r="Q40" s="51">
        <v>6</v>
      </c>
      <c r="R40" s="55">
        <v>96</v>
      </c>
      <c r="S40" s="53">
        <v>96</v>
      </c>
      <c r="T40" s="54">
        <v>44078</v>
      </c>
      <c r="U40" s="55">
        <v>0</v>
      </c>
      <c r="V40" s="55">
        <v>0</v>
      </c>
      <c r="W40" s="55">
        <v>0</v>
      </c>
      <c r="X40" s="55">
        <v>0</v>
      </c>
      <c r="Y40" s="55" t="s">
        <v>35</v>
      </c>
      <c r="Z40" s="56">
        <v>-0.75</v>
      </c>
      <c r="AA40" s="55">
        <v>0.18541666666666667</v>
      </c>
      <c r="AB40" s="55">
        <v>-8.7609375000000007</v>
      </c>
      <c r="AC40" s="55">
        <v>-4.9000000000000004</v>
      </c>
      <c r="AD40" s="55">
        <v>-8.6470085470085394</v>
      </c>
      <c r="AE40" s="55">
        <v>0</v>
      </c>
      <c r="AF40" s="55">
        <v>3.46268656716417</v>
      </c>
    </row>
    <row r="41" spans="1:32" s="57" customFormat="1" ht="15.75" customHeight="1">
      <c r="A41" s="2" t="s">
        <v>105</v>
      </c>
      <c r="B41" s="2" t="s">
        <v>211</v>
      </c>
      <c r="C41" s="51">
        <f t="shared" ref="C41:C56" si="50">IFERROR(F41/D41," - ")</f>
        <v>23.125000000000004</v>
      </c>
      <c r="D41" s="51">
        <v>14</v>
      </c>
      <c r="E41" s="51">
        <v>0</v>
      </c>
      <c r="F41" s="51">
        <v>323.75000000000006</v>
      </c>
      <c r="G41" s="51">
        <v>-0.03</v>
      </c>
      <c r="H41" s="51">
        <f t="shared" ref="H41:H56" si="51">G41/F41*-1</f>
        <v>9.2664092664092646E-5</v>
      </c>
      <c r="I41" s="51">
        <f t="shared" ref="I41:I56" si="52">J41/F41</f>
        <v>0.24605020955021006</v>
      </c>
      <c r="J41" s="51">
        <f t="shared" ref="J41:J48" si="53">F41*0.85+G41+AD41*D41+D41*AC41+AE42+AB41</f>
        <v>79.658755341880521</v>
      </c>
      <c r="K41" s="51">
        <f t="shared" ref="K41:K56" si="54">J41/D41</f>
        <v>5.6899110958486085</v>
      </c>
      <c r="L41" s="51">
        <v>59</v>
      </c>
      <c r="M41" s="51">
        <f t="shared" ref="M41:M56" si="55">IFERROR(D41/L41,"-")</f>
        <v>0.23728813559322035</v>
      </c>
      <c r="N41" s="51">
        <v>10</v>
      </c>
      <c r="O41" s="51">
        <f t="shared" ref="O41:P41" si="56">D41/7</f>
        <v>2</v>
      </c>
      <c r="P41" s="51">
        <f t="shared" si="56"/>
        <v>0</v>
      </c>
      <c r="Q41" s="51">
        <f t="shared" ref="Q41:Q56" si="57">ROUNDDOWN(N41/(O41+P41),0)</f>
        <v>5</v>
      </c>
      <c r="R41" s="55">
        <v>96</v>
      </c>
      <c r="S41" s="53">
        <v>96</v>
      </c>
      <c r="T41" s="54">
        <v>44078</v>
      </c>
      <c r="U41" s="55">
        <v>0</v>
      </c>
      <c r="V41" s="55">
        <f t="shared" ref="V41:V56" si="58">IFERROR(U41/D41,0)</f>
        <v>0</v>
      </c>
      <c r="W41" s="55">
        <f t="shared" ref="W41:W56" si="59">IFERROR(G41/(U41+X41)*-1,0)</f>
        <v>0</v>
      </c>
      <c r="X41" s="55">
        <v>0</v>
      </c>
      <c r="Y41" s="52" t="s">
        <v>35</v>
      </c>
      <c r="Z41" s="56">
        <f t="shared" ref="Z41:Z43" si="60">IF(OR(Y41="UsLargeStandardSize",Y41="UsSmallStandardSize"),-0.75,-0.48)</f>
        <v>-0.75</v>
      </c>
      <c r="AA41" s="55">
        <v>0.18541666666666667</v>
      </c>
      <c r="AB41" s="55">
        <f t="shared" ref="AB41:AB56" si="61">IFERROR(Z41*AA41*D41*3,0)</f>
        <v>-5.8406250000000002</v>
      </c>
      <c r="AC41" s="55">
        <v>-4.9000000000000004</v>
      </c>
      <c r="AD41" s="55">
        <v>-8.6470085470085394</v>
      </c>
      <c r="AE41" s="55">
        <v>0</v>
      </c>
      <c r="AF41" s="55">
        <v>3.2758620689655098</v>
      </c>
    </row>
    <row r="42" spans="1:32" s="57" customFormat="1" ht="15.75" customHeight="1">
      <c r="A42" s="2" t="s">
        <v>106</v>
      </c>
      <c r="B42" s="2" t="s">
        <v>247</v>
      </c>
      <c r="C42" s="51">
        <f t="shared" si="50"/>
        <v>21.373571428571431</v>
      </c>
      <c r="D42" s="51">
        <v>14</v>
      </c>
      <c r="E42" s="51">
        <v>0</v>
      </c>
      <c r="F42" s="51">
        <v>299.23</v>
      </c>
      <c r="G42" s="51">
        <v>-0.05</v>
      </c>
      <c r="H42" s="51">
        <f t="shared" si="51"/>
        <v>1.670955452327641E-4</v>
      </c>
      <c r="I42" s="51">
        <f t="shared" si="52"/>
        <v>0.19649351783537894</v>
      </c>
      <c r="J42" s="51">
        <f t="shared" si="53"/>
        <v>58.796755341880441</v>
      </c>
      <c r="K42" s="51">
        <f t="shared" si="54"/>
        <v>4.1997682387057456</v>
      </c>
      <c r="L42" s="51">
        <v>64</v>
      </c>
      <c r="M42" s="51">
        <f t="shared" si="55"/>
        <v>0.21875</v>
      </c>
      <c r="N42" s="51">
        <v>0</v>
      </c>
      <c r="O42" s="51">
        <f t="shared" ref="O42:P42" si="62">D42/7</f>
        <v>2</v>
      </c>
      <c r="P42" s="51">
        <f t="shared" si="62"/>
        <v>0</v>
      </c>
      <c r="Q42" s="51">
        <f t="shared" si="57"/>
        <v>0</v>
      </c>
      <c r="R42" s="55">
        <f ca="1">IFERROR(__xludf.DUMMYFUNCTION("IFERROR(VLOOKUP($B$2,IMPORTRANGE(""https://docs.google.com/spreadsheets/d/1iVgg6Mw12RULLujzHmfOFIY8Q_KaAD8anoZzgtVAQ74/edit#gid=1503384807"",""Second Star - Summary!A1:AD2000""),9,FALSE),"""")"),413)</f>
        <v>413</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0</v>
      </c>
      <c r="V42" s="55">
        <f t="shared" si="58"/>
        <v>0</v>
      </c>
      <c r="W42" s="55">
        <f t="shared" si="59"/>
        <v>0</v>
      </c>
      <c r="X42" s="55">
        <v>0</v>
      </c>
      <c r="Y42" s="52" t="s">
        <v>35</v>
      </c>
      <c r="Z42" s="56">
        <f t="shared" si="60"/>
        <v>-0.75</v>
      </c>
      <c r="AA42" s="55">
        <v>0.18541666666666667</v>
      </c>
      <c r="AB42" s="55">
        <f t="shared" si="61"/>
        <v>-5.8406250000000002</v>
      </c>
      <c r="AC42" s="55">
        <v>-4.9000000000000004</v>
      </c>
      <c r="AD42" s="55">
        <v>-8.6470085470085394</v>
      </c>
      <c r="AE42" s="55">
        <v>0</v>
      </c>
      <c r="AF42" s="55" t="e">
        <v>#N/A</v>
      </c>
    </row>
    <row r="43" spans="1:32" s="57" customFormat="1" ht="15.75" customHeight="1">
      <c r="A43" s="2" t="s">
        <v>107</v>
      </c>
      <c r="B43" s="2" t="s">
        <v>248</v>
      </c>
      <c r="C43" s="51" t="str">
        <f t="shared" si="50"/>
        <v xml:space="preserve"> - </v>
      </c>
      <c r="D43" s="51">
        <v>0</v>
      </c>
      <c r="E43" s="51">
        <v>0</v>
      </c>
      <c r="F43" s="51">
        <v>0</v>
      </c>
      <c r="G43" s="51">
        <v>0</v>
      </c>
      <c r="H43" s="51" t="e">
        <f t="shared" si="51"/>
        <v>#DIV/0!</v>
      </c>
      <c r="I43" s="51" t="e">
        <f t="shared" si="52"/>
        <v>#DIV/0!</v>
      </c>
      <c r="J43" s="51">
        <f t="shared" si="53"/>
        <v>0</v>
      </c>
      <c r="K43" s="51" t="e">
        <f t="shared" si="54"/>
        <v>#DIV/0!</v>
      </c>
      <c r="L43" s="51">
        <v>0</v>
      </c>
      <c r="M43" s="51" t="str">
        <f t="shared" si="55"/>
        <v>-</v>
      </c>
      <c r="N43" s="51">
        <v>0</v>
      </c>
      <c r="O43" s="51">
        <f t="shared" ref="O43:P43" si="63">D43/7</f>
        <v>0</v>
      </c>
      <c r="P43" s="51">
        <f t="shared" si="63"/>
        <v>0</v>
      </c>
      <c r="Q43" s="51" t="e">
        <f t="shared" si="57"/>
        <v>#DIV/0!</v>
      </c>
      <c r="R43" s="55">
        <v>90</v>
      </c>
      <c r="S43" s="53">
        <v>90</v>
      </c>
      <c r="T43" s="54">
        <v>44137</v>
      </c>
      <c r="U43" s="55">
        <v>0</v>
      </c>
      <c r="V43" s="55">
        <f t="shared" si="58"/>
        <v>0</v>
      </c>
      <c r="W43" s="55">
        <f t="shared" si="59"/>
        <v>0</v>
      </c>
      <c r="X43" s="55">
        <v>0</v>
      </c>
      <c r="Y43" s="52" t="s">
        <v>35</v>
      </c>
      <c r="Z43" s="56">
        <f t="shared" si="60"/>
        <v>-0.75</v>
      </c>
      <c r="AA43" s="55">
        <v>0.18541666666666667</v>
      </c>
      <c r="AB43" s="55">
        <f t="shared" si="61"/>
        <v>0</v>
      </c>
      <c r="AC43" s="55">
        <v>-4.9000000000000004</v>
      </c>
      <c r="AD43" s="55">
        <v>-8.6470085470085394</v>
      </c>
      <c r="AE43" s="55">
        <v>0</v>
      </c>
      <c r="AF43" s="55" t="e">
        <v>#N/A</v>
      </c>
    </row>
    <row r="44" spans="1:32" s="57" customFormat="1" ht="15.75" customHeight="1">
      <c r="A44" s="2" t="s">
        <v>108</v>
      </c>
      <c r="B44" s="2" t="s">
        <v>168</v>
      </c>
      <c r="C44" s="51" t="str">
        <f t="shared" si="50"/>
        <v xml:space="preserve"> - </v>
      </c>
      <c r="D44" s="51">
        <v>0</v>
      </c>
      <c r="E44" s="51">
        <v>0</v>
      </c>
      <c r="F44" s="51">
        <v>0</v>
      </c>
      <c r="G44" s="51">
        <v>0</v>
      </c>
      <c r="H44" s="51" t="e">
        <f t="shared" si="51"/>
        <v>#DIV/0!</v>
      </c>
      <c r="I44" s="51" t="e">
        <f t="shared" si="52"/>
        <v>#DIV/0!</v>
      </c>
      <c r="J44" s="51">
        <f t="shared" si="53"/>
        <v>0</v>
      </c>
      <c r="K44" s="51" t="e">
        <f t="shared" si="54"/>
        <v>#DIV/0!</v>
      </c>
      <c r="L44" s="51">
        <v>0</v>
      </c>
      <c r="M44" s="51" t="str">
        <f t="shared" si="55"/>
        <v>-</v>
      </c>
      <c r="N44" s="51">
        <v>0</v>
      </c>
      <c r="O44" s="51">
        <f t="shared" ref="O44:P44" si="64">D44/7</f>
        <v>0</v>
      </c>
      <c r="P44" s="51">
        <f t="shared" si="64"/>
        <v>0</v>
      </c>
      <c r="Q44" s="51" t="e">
        <f t="shared" si="57"/>
        <v>#DIV/0!</v>
      </c>
      <c r="R44" s="55">
        <v>96</v>
      </c>
      <c r="S44" s="53">
        <v>96</v>
      </c>
      <c r="T44" s="54">
        <v>44137</v>
      </c>
      <c r="U44" s="55">
        <v>0</v>
      </c>
      <c r="V44" s="55">
        <f t="shared" si="58"/>
        <v>0</v>
      </c>
      <c r="W44" s="55">
        <f t="shared" si="59"/>
        <v>0</v>
      </c>
      <c r="X44" s="55">
        <v>0</v>
      </c>
      <c r="Y44" s="55" t="s">
        <v>35</v>
      </c>
      <c r="Z44" s="56">
        <f t="shared" ref="Z44:Z56" si="65">IF(OR(Y44="UsLargeStandardSize",Y44="UsSmallStandardSize"),-2.4,-1.2)</f>
        <v>-2.4</v>
      </c>
      <c r="AA44" s="55">
        <v>0.18541666666666667</v>
      </c>
      <c r="AB44" s="55">
        <f t="shared" si="61"/>
        <v>0</v>
      </c>
      <c r="AC44" s="55">
        <v>-4.9000000000000004</v>
      </c>
      <c r="AD44" s="55">
        <v>-8.6470085470085394</v>
      </c>
      <c r="AE44" s="55">
        <v>0</v>
      </c>
      <c r="AF44" s="55">
        <v>3.3786407766990201</v>
      </c>
    </row>
    <row r="45" spans="1:32" s="57" customFormat="1" ht="15.75" customHeight="1">
      <c r="A45" s="2" t="s">
        <v>109</v>
      </c>
      <c r="B45" s="2" t="s">
        <v>249</v>
      </c>
      <c r="C45" s="51">
        <f t="shared" si="50"/>
        <v>22.99</v>
      </c>
      <c r="D45" s="51">
        <v>2</v>
      </c>
      <c r="E45" s="51">
        <v>0</v>
      </c>
      <c r="F45" s="51">
        <v>45.98</v>
      </c>
      <c r="G45" s="51">
        <v>0</v>
      </c>
      <c r="H45" s="51">
        <f t="shared" si="51"/>
        <v>0</v>
      </c>
      <c r="I45" s="51">
        <f t="shared" si="52"/>
        <v>0.20267470434934579</v>
      </c>
      <c r="J45" s="51">
        <f t="shared" si="53"/>
        <v>9.318982905982919</v>
      </c>
      <c r="K45" s="51">
        <f t="shared" si="54"/>
        <v>4.6594914529914595</v>
      </c>
      <c r="L45" s="51">
        <v>17</v>
      </c>
      <c r="M45" s="51">
        <f t="shared" si="55"/>
        <v>0.11764705882352941</v>
      </c>
      <c r="N45" s="51">
        <v>95</v>
      </c>
      <c r="O45" s="51">
        <f t="shared" ref="O45:P45" si="66">D45/7</f>
        <v>0.2857142857142857</v>
      </c>
      <c r="P45" s="51">
        <f t="shared" si="66"/>
        <v>0</v>
      </c>
      <c r="Q45" s="51">
        <f t="shared" si="57"/>
        <v>332</v>
      </c>
      <c r="R45" s="55">
        <v>96</v>
      </c>
      <c r="S45" s="53">
        <v>96</v>
      </c>
      <c r="T45" s="54">
        <v>44137</v>
      </c>
      <c r="U45" s="55">
        <v>0</v>
      </c>
      <c r="V45" s="55">
        <f t="shared" si="58"/>
        <v>0</v>
      </c>
      <c r="W45" s="55">
        <f t="shared" si="59"/>
        <v>0</v>
      </c>
      <c r="X45" s="55">
        <v>0</v>
      </c>
      <c r="Y45" s="55" t="s">
        <v>35</v>
      </c>
      <c r="Z45" s="56">
        <f t="shared" si="65"/>
        <v>-2.4</v>
      </c>
      <c r="AA45" s="55">
        <v>0.18541666666666667</v>
      </c>
      <c r="AB45" s="55">
        <f t="shared" si="61"/>
        <v>-2.67</v>
      </c>
      <c r="AC45" s="55">
        <v>-4.9000000000000004</v>
      </c>
      <c r="AD45" s="55">
        <v>-8.6470085470085394</v>
      </c>
      <c r="AE45" s="55">
        <v>0</v>
      </c>
      <c r="AF45" s="55">
        <v>2.6614173228346401</v>
      </c>
    </row>
    <row r="46" spans="1:32" s="57" customFormat="1" ht="15.75" customHeight="1">
      <c r="A46" s="2" t="s">
        <v>111</v>
      </c>
      <c r="B46" s="2" t="s">
        <v>250</v>
      </c>
      <c r="C46" s="51">
        <f t="shared" si="50"/>
        <v>22.262500000000003</v>
      </c>
      <c r="D46" s="51">
        <v>8</v>
      </c>
      <c r="E46" s="51">
        <v>0</v>
      </c>
      <c r="F46" s="51">
        <v>178.10000000000002</v>
      </c>
      <c r="G46" s="51">
        <v>-0.12</v>
      </c>
      <c r="H46" s="51">
        <f t="shared" si="51"/>
        <v>6.7377877596855686E-4</v>
      </c>
      <c r="I46" s="51">
        <f t="shared" si="52"/>
        <v>0.1808474543735637</v>
      </c>
      <c r="J46" s="51">
        <f t="shared" si="53"/>
        <v>32.208931623931697</v>
      </c>
      <c r="K46" s="51">
        <f t="shared" si="54"/>
        <v>4.0261164529914621</v>
      </c>
      <c r="L46" s="51">
        <v>38</v>
      </c>
      <c r="M46" s="51">
        <f t="shared" si="55"/>
        <v>0.21052631578947367</v>
      </c>
      <c r="N46" s="51">
        <v>83</v>
      </c>
      <c r="O46" s="51">
        <f t="shared" ref="O46:P46" si="67">D46/7</f>
        <v>1.1428571428571428</v>
      </c>
      <c r="P46" s="51">
        <f t="shared" si="67"/>
        <v>0</v>
      </c>
      <c r="Q46" s="51">
        <f t="shared" si="57"/>
        <v>72</v>
      </c>
      <c r="R46" s="55">
        <v>0</v>
      </c>
      <c r="S46" s="53" t="s">
        <v>34</v>
      </c>
      <c r="T46" s="54" t="s">
        <v>34</v>
      </c>
      <c r="U46" s="55">
        <v>0</v>
      </c>
      <c r="V46" s="55">
        <f t="shared" si="58"/>
        <v>0</v>
      </c>
      <c r="W46" s="55">
        <f t="shared" si="59"/>
        <v>0</v>
      </c>
      <c r="X46" s="55">
        <v>0</v>
      </c>
      <c r="Y46" s="55" t="s">
        <v>35</v>
      </c>
      <c r="Z46" s="56">
        <f t="shared" si="65"/>
        <v>-2.4</v>
      </c>
      <c r="AA46" s="55">
        <v>0.18541666666666667</v>
      </c>
      <c r="AB46" s="55">
        <f t="shared" si="61"/>
        <v>-10.68</v>
      </c>
      <c r="AC46" s="55">
        <v>-4.9000000000000004</v>
      </c>
      <c r="AD46" s="55">
        <v>-8.6470085470085394</v>
      </c>
      <c r="AE46" s="55">
        <v>0</v>
      </c>
      <c r="AF46" s="55">
        <v>3.5280898876404398</v>
      </c>
    </row>
    <row r="47" spans="1:32" s="57" customFormat="1" ht="15.75" customHeight="1">
      <c r="A47" s="2" t="s">
        <v>113</v>
      </c>
      <c r="B47" s="2" t="s">
        <v>251</v>
      </c>
      <c r="C47" s="51">
        <f t="shared" si="50"/>
        <v>20.760909090909095</v>
      </c>
      <c r="D47" s="51">
        <v>11</v>
      </c>
      <c r="E47" s="51">
        <v>0</v>
      </c>
      <c r="F47" s="51">
        <v>228.37000000000003</v>
      </c>
      <c r="G47" s="51">
        <v>-0.16</v>
      </c>
      <c r="H47" s="51">
        <f t="shared" si="51"/>
        <v>7.0061741910058231E-4</v>
      </c>
      <c r="I47" s="51">
        <f t="shared" si="52"/>
        <v>0.13247101625829172</v>
      </c>
      <c r="J47" s="51">
        <f t="shared" si="53"/>
        <v>30.252405982906083</v>
      </c>
      <c r="K47" s="51">
        <f t="shared" si="54"/>
        <v>2.7502187257187347</v>
      </c>
      <c r="L47" s="51">
        <v>46</v>
      </c>
      <c r="M47" s="51">
        <f t="shared" si="55"/>
        <v>0.2391304347826087</v>
      </c>
      <c r="N47" s="51">
        <v>143</v>
      </c>
      <c r="O47" s="51">
        <f t="shared" ref="O47:P47" si="68">D47/7</f>
        <v>1.5714285714285714</v>
      </c>
      <c r="P47" s="51">
        <f t="shared" si="68"/>
        <v>0</v>
      </c>
      <c r="Q47" s="51">
        <f t="shared" si="57"/>
        <v>91</v>
      </c>
      <c r="R47" s="55">
        <v>0</v>
      </c>
      <c r="S47" s="53" t="s">
        <v>34</v>
      </c>
      <c r="T47" s="54" t="s">
        <v>34</v>
      </c>
      <c r="U47" s="55">
        <v>0</v>
      </c>
      <c r="V47" s="55">
        <f t="shared" si="58"/>
        <v>0</v>
      </c>
      <c r="W47" s="55">
        <f t="shared" si="59"/>
        <v>0</v>
      </c>
      <c r="X47" s="55">
        <v>0</v>
      </c>
      <c r="Y47" s="55" t="s">
        <v>35</v>
      </c>
      <c r="Z47" s="56">
        <f t="shared" si="65"/>
        <v>-2.4</v>
      </c>
      <c r="AA47" s="55">
        <v>0.18541666666666667</v>
      </c>
      <c r="AB47" s="55">
        <f t="shared" si="61"/>
        <v>-14.685000000000002</v>
      </c>
      <c r="AC47" s="55">
        <v>-4.9000000000000004</v>
      </c>
      <c r="AD47" s="55">
        <v>-8.6470085470085394</v>
      </c>
      <c r="AE47" s="55">
        <v>0</v>
      </c>
      <c r="AF47" s="55">
        <v>2.1323529411764701</v>
      </c>
    </row>
    <row r="48" spans="1:32" s="57" customFormat="1" ht="15.75" customHeight="1">
      <c r="A48" s="2" t="s">
        <v>115</v>
      </c>
      <c r="B48" s="2" t="s">
        <v>252</v>
      </c>
      <c r="C48" s="51">
        <f t="shared" si="50"/>
        <v>19.990000000000002</v>
      </c>
      <c r="D48" s="51">
        <v>11</v>
      </c>
      <c r="E48" s="51">
        <v>0</v>
      </c>
      <c r="F48" s="51">
        <v>219.89000000000001</v>
      </c>
      <c r="G48" s="51">
        <v>-0.08</v>
      </c>
      <c r="H48" s="51">
        <f t="shared" si="51"/>
        <v>3.6381827277274999E-4</v>
      </c>
      <c r="I48" s="51">
        <f t="shared" si="52"/>
        <v>0.10516351804495902</v>
      </c>
      <c r="J48" s="51">
        <f t="shared" si="53"/>
        <v>23.12440598290604</v>
      </c>
      <c r="K48" s="51">
        <f t="shared" si="54"/>
        <v>2.102218725718731</v>
      </c>
      <c r="L48" s="51">
        <v>45</v>
      </c>
      <c r="M48" s="51">
        <f t="shared" si="55"/>
        <v>0.24444444444444444</v>
      </c>
      <c r="N48" s="51">
        <v>128</v>
      </c>
      <c r="O48" s="51">
        <f t="shared" ref="O48:P48" si="69">D48/7</f>
        <v>1.5714285714285714</v>
      </c>
      <c r="P48" s="51">
        <f t="shared" si="69"/>
        <v>0</v>
      </c>
      <c r="Q48" s="51">
        <f t="shared" si="57"/>
        <v>81</v>
      </c>
      <c r="R48" s="55">
        <f ca="1">IFERROR(__xludf.DUMMYFUNCTION("IFERROR(VLOOKUP($B$2,IMPORTRANGE(""https://docs.google.com/spreadsheets/d/1iVgg6Mw12RULLujzHmfOFIY8Q_KaAD8anoZzgtVAQ74/edit#gid=1503384807"",""Second Star - Summary!A1:AD2000""),9,FALSE),"""")"),413)</f>
        <v>413</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si="58"/>
        <v>0</v>
      </c>
      <c r="W48" s="55">
        <f t="shared" si="59"/>
        <v>0</v>
      </c>
      <c r="X48" s="55">
        <v>0</v>
      </c>
      <c r="Y48" s="55" t="s">
        <v>35</v>
      </c>
      <c r="Z48" s="56">
        <f t="shared" si="65"/>
        <v>-2.4</v>
      </c>
      <c r="AA48" s="55">
        <v>0.18541666666666667</v>
      </c>
      <c r="AB48" s="55">
        <f t="shared" si="61"/>
        <v>-14.685000000000002</v>
      </c>
      <c r="AC48" s="55">
        <v>-4.9000000000000004</v>
      </c>
      <c r="AD48" s="55">
        <v>-8.6470085470085394</v>
      </c>
      <c r="AE48" s="55">
        <v>0</v>
      </c>
      <c r="AF48" s="55">
        <v>2.2489959839357399</v>
      </c>
    </row>
    <row r="49" spans="1:32" s="57" customFormat="1" ht="15.75" customHeight="1">
      <c r="A49" s="2" t="s">
        <v>117</v>
      </c>
      <c r="B49" s="2" t="s">
        <v>253</v>
      </c>
      <c r="C49" s="51">
        <f t="shared" si="50"/>
        <v>19.990000000000002</v>
      </c>
      <c r="D49" s="51">
        <v>16</v>
      </c>
      <c r="E49" s="51">
        <v>0</v>
      </c>
      <c r="F49" s="51">
        <v>319.84000000000003</v>
      </c>
      <c r="G49" s="51">
        <v>-8.99</v>
      </c>
      <c r="H49" s="51">
        <f t="shared" si="51"/>
        <v>2.8107803901950973E-2</v>
      </c>
      <c r="I49" s="51">
        <f t="shared" si="52"/>
        <v>7.591377953934271E-2</v>
      </c>
      <c r="J49" s="51">
        <f t="shared" ref="J49:J56" si="70">F49*0.85+G49+AD49*D49+D49*AC49+AE49+AB49</f>
        <v>24.280263247863374</v>
      </c>
      <c r="K49" s="51">
        <f t="shared" si="54"/>
        <v>1.5175164529914609</v>
      </c>
      <c r="L49" s="51">
        <v>74</v>
      </c>
      <c r="M49" s="51">
        <f t="shared" si="55"/>
        <v>0.21621621621621623</v>
      </c>
      <c r="N49" s="51">
        <v>100</v>
      </c>
      <c r="O49" s="51">
        <f t="shared" ref="O49:P49" si="71">D49/7</f>
        <v>2.2857142857142856</v>
      </c>
      <c r="P49" s="51">
        <f t="shared" si="71"/>
        <v>0</v>
      </c>
      <c r="Q49" s="51">
        <f t="shared" si="57"/>
        <v>43</v>
      </c>
      <c r="R49" s="55">
        <f ca="1">IFERROR(__xludf.DUMMYFUNCTION("IFERROR(VLOOKUP($B$2,IMPORTRANGE(""https://docs.google.com/spreadsheets/d/1iVgg6Mw12RULLujzHmfOFIY8Q_KaAD8anoZzgtVAQ74/edit#gid=1503384807"",""Second Star - Summary!A1:AD2000""),9,FALSE),"""")"),413)</f>
        <v>413</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1</v>
      </c>
      <c r="V49" s="55">
        <f t="shared" si="58"/>
        <v>6.25E-2</v>
      </c>
      <c r="W49" s="55">
        <f t="shared" si="59"/>
        <v>8.99</v>
      </c>
      <c r="X49" s="55">
        <v>0</v>
      </c>
      <c r="Y49" s="55" t="s">
        <v>35</v>
      </c>
      <c r="Z49" s="56">
        <f t="shared" si="65"/>
        <v>-2.4</v>
      </c>
      <c r="AA49" s="55">
        <v>0.18541666666666667</v>
      </c>
      <c r="AB49" s="55">
        <f t="shared" si="61"/>
        <v>-21.36</v>
      </c>
      <c r="AC49" s="55">
        <v>-4.9000000000000004</v>
      </c>
      <c r="AD49" s="55">
        <v>-8.6771085470085403</v>
      </c>
      <c r="AE49" s="55">
        <v>0</v>
      </c>
      <c r="AF49" s="55">
        <v>3.1084337349397502</v>
      </c>
    </row>
    <row r="50" spans="1:32" s="57" customFormat="1" ht="15.75" customHeight="1">
      <c r="A50" s="2" t="s">
        <v>119</v>
      </c>
      <c r="B50" s="2" t="s">
        <v>254</v>
      </c>
      <c r="C50" s="51">
        <f t="shared" si="50"/>
        <v>20.22388888888889</v>
      </c>
      <c r="D50" s="51">
        <v>18</v>
      </c>
      <c r="E50" s="51">
        <v>0</v>
      </c>
      <c r="F50" s="51">
        <v>364.03000000000003</v>
      </c>
      <c r="G50" s="51">
        <v>-22.69</v>
      </c>
      <c r="H50" s="51">
        <f t="shared" si="51"/>
        <v>6.2330027744966071E-2</v>
      </c>
      <c r="I50" s="51">
        <f t="shared" si="52"/>
        <v>5.0318781841733551E-2</v>
      </c>
      <c r="J50" s="51">
        <f t="shared" si="70"/>
        <v>18.317546153846266</v>
      </c>
      <c r="K50" s="51">
        <f t="shared" si="54"/>
        <v>1.0176414529914592</v>
      </c>
      <c r="L50" s="51">
        <v>94</v>
      </c>
      <c r="M50" s="51">
        <f t="shared" si="55"/>
        <v>0.19148936170212766</v>
      </c>
      <c r="N50" s="51">
        <v>81</v>
      </c>
      <c r="O50" s="51">
        <f t="shared" ref="O50:P50" si="72">D50/7</f>
        <v>2.5714285714285716</v>
      </c>
      <c r="P50" s="51">
        <f t="shared" si="72"/>
        <v>0</v>
      </c>
      <c r="Q50" s="51">
        <f t="shared" si="57"/>
        <v>31</v>
      </c>
      <c r="R50" s="55">
        <f ca="1">IFERROR(__xludf.DUMMYFUNCTION("IFERROR(VLOOKUP($B$2,IMPORTRANGE(""https://docs.google.com/spreadsheets/d/1iVgg6Mw12RULLujzHmfOFIY8Q_KaAD8anoZzgtVAQ74/edit#gid=1503384807"",""Second Star - Summary!A1:AD2000""),9,FALSE),"""")"),413)</f>
        <v>413</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2</v>
      </c>
      <c r="V50" s="55">
        <f t="shared" si="58"/>
        <v>0.1111111111111111</v>
      </c>
      <c r="W50" s="55">
        <f t="shared" si="59"/>
        <v>7.5633333333333335</v>
      </c>
      <c r="X50" s="55">
        <v>1</v>
      </c>
      <c r="Y50" s="55" t="s">
        <v>35</v>
      </c>
      <c r="Z50" s="56">
        <f t="shared" si="65"/>
        <v>-2.4</v>
      </c>
      <c r="AA50" s="55">
        <v>0.18541666666666667</v>
      </c>
      <c r="AB50" s="55">
        <f t="shared" si="61"/>
        <v>-24.03</v>
      </c>
      <c r="AC50" s="55">
        <v>-4.9000000000000004</v>
      </c>
      <c r="AD50" s="55">
        <v>-8.6771085470085403</v>
      </c>
      <c r="AE50" s="55">
        <v>0</v>
      </c>
      <c r="AF50" s="55">
        <v>2.3744292237442899</v>
      </c>
    </row>
    <row r="51" spans="1:32" s="57" customFormat="1" ht="15.75" customHeight="1">
      <c r="A51" s="2" t="s">
        <v>121</v>
      </c>
      <c r="B51" s="2" t="s">
        <v>255</v>
      </c>
      <c r="C51" s="51">
        <f t="shared" si="50"/>
        <v>20.134545454545457</v>
      </c>
      <c r="D51" s="51">
        <v>11</v>
      </c>
      <c r="E51" s="51">
        <v>0</v>
      </c>
      <c r="F51" s="51">
        <v>221.48000000000002</v>
      </c>
      <c r="G51" s="51">
        <v>0</v>
      </c>
      <c r="H51" s="51">
        <f t="shared" si="51"/>
        <v>0</v>
      </c>
      <c r="I51" s="51">
        <f t="shared" si="52"/>
        <v>0.10937694592245828</v>
      </c>
      <c r="J51" s="51">
        <f t="shared" si="70"/>
        <v>24.224805982906062</v>
      </c>
      <c r="K51" s="51">
        <f t="shared" si="54"/>
        <v>2.2022550893550967</v>
      </c>
      <c r="L51" s="51">
        <v>78</v>
      </c>
      <c r="M51" s="51">
        <f t="shared" si="55"/>
        <v>0.14102564102564102</v>
      </c>
      <c r="N51" s="51">
        <v>66</v>
      </c>
      <c r="O51" s="51">
        <f t="shared" ref="O51:P51" si="73">D51/7</f>
        <v>1.5714285714285714</v>
      </c>
      <c r="P51" s="51">
        <f t="shared" si="73"/>
        <v>0</v>
      </c>
      <c r="Q51" s="51">
        <f t="shared" si="57"/>
        <v>42</v>
      </c>
      <c r="R51" s="55">
        <f ca="1">IFERROR(__xludf.DUMMYFUNCTION("IFERROR(VLOOKUP($B$2,IMPORTRANGE(""https://docs.google.com/spreadsheets/d/1iVgg6Mw12RULLujzHmfOFIY8Q_KaAD8anoZzgtVAQ74/edit#gid=1503384807"",""Second Star - Summary!A1:AD2000""),9,FALSE),"""")"),413)</f>
        <v>413</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58"/>
        <v>0</v>
      </c>
      <c r="W51" s="55">
        <f t="shared" si="59"/>
        <v>0</v>
      </c>
      <c r="X51" s="55">
        <v>1</v>
      </c>
      <c r="Y51" s="55" t="s">
        <v>35</v>
      </c>
      <c r="Z51" s="56">
        <f t="shared" si="65"/>
        <v>-2.4</v>
      </c>
      <c r="AA51" s="55">
        <v>0.18541666666666667</v>
      </c>
      <c r="AB51" s="55">
        <f t="shared" si="61"/>
        <v>-14.685000000000002</v>
      </c>
      <c r="AC51" s="55">
        <v>-4.9000000000000004</v>
      </c>
      <c r="AD51" s="55">
        <v>-8.6771085470085403</v>
      </c>
      <c r="AE51" s="55">
        <v>0</v>
      </c>
      <c r="AF51" s="55">
        <v>3.2954545454545401</v>
      </c>
    </row>
    <row r="52" spans="1:32" s="57" customFormat="1" ht="15.75" customHeight="1">
      <c r="A52" s="2" t="s">
        <v>123</v>
      </c>
      <c r="B52" s="2" t="s">
        <v>256</v>
      </c>
      <c r="C52" s="51">
        <f t="shared" si="50"/>
        <v>20.008181818181821</v>
      </c>
      <c r="D52" s="51">
        <v>11</v>
      </c>
      <c r="E52" s="51">
        <v>0</v>
      </c>
      <c r="F52" s="51">
        <v>220.09000000000003</v>
      </c>
      <c r="G52" s="51">
        <v>-23.59</v>
      </c>
      <c r="H52" s="51">
        <f t="shared" si="51"/>
        <v>0.10718342496251532</v>
      </c>
      <c r="I52" s="51">
        <f t="shared" si="52"/>
        <v>-2.4839566408920936E-3</v>
      </c>
      <c r="J52" s="51">
        <f t="shared" si="70"/>
        <v>-0.54669401709394094</v>
      </c>
      <c r="K52" s="51">
        <f t="shared" si="54"/>
        <v>-4.9699456099449174E-2</v>
      </c>
      <c r="L52" s="51">
        <v>91</v>
      </c>
      <c r="M52" s="51">
        <f t="shared" si="55"/>
        <v>0.12087912087912088</v>
      </c>
      <c r="N52" s="51">
        <v>56</v>
      </c>
      <c r="O52" s="51">
        <f t="shared" ref="O52:P52" si="74">D52/7</f>
        <v>1.5714285714285714</v>
      </c>
      <c r="P52" s="51">
        <f t="shared" si="74"/>
        <v>0</v>
      </c>
      <c r="Q52" s="51">
        <f t="shared" si="57"/>
        <v>35</v>
      </c>
      <c r="R52" s="55">
        <f ca="1">IFERROR(__xludf.DUMMYFUNCTION("IFERROR(VLOOKUP($B$2,IMPORTRANGE(""https://docs.google.com/spreadsheets/d/1iVgg6Mw12RULLujzHmfOFIY8Q_KaAD8anoZzgtVAQ74/edit#gid=1503384807"",""Second Star - Summary!A1:AD2000""),9,FALSE),"""")"),413)</f>
        <v>413</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58"/>
        <v>0</v>
      </c>
      <c r="W52" s="55">
        <f t="shared" si="59"/>
        <v>0</v>
      </c>
      <c r="X52" s="55">
        <v>0</v>
      </c>
      <c r="Y52" s="55" t="s">
        <v>35</v>
      </c>
      <c r="Z52" s="56">
        <f t="shared" si="65"/>
        <v>-2.4</v>
      </c>
      <c r="AA52" s="55">
        <v>0.18541666666666667</v>
      </c>
      <c r="AB52" s="55">
        <f t="shared" si="61"/>
        <v>-14.685000000000002</v>
      </c>
      <c r="AC52" s="55">
        <v>-4.9000000000000004</v>
      </c>
      <c r="AD52" s="55">
        <v>-8.6771085470085403</v>
      </c>
      <c r="AE52" s="55">
        <v>0</v>
      </c>
      <c r="AF52" s="55">
        <v>2.0614334470989699</v>
      </c>
    </row>
    <row r="53" spans="1:32" s="57" customFormat="1">
      <c r="A53" s="2" t="s">
        <v>38</v>
      </c>
      <c r="B53" s="2" t="s">
        <v>257</v>
      </c>
      <c r="C53" s="51">
        <f t="shared" si="50"/>
        <v>19.923749999999998</v>
      </c>
      <c r="D53" s="51">
        <v>8</v>
      </c>
      <c r="E53" s="51">
        <v>0</v>
      </c>
      <c r="F53" s="51">
        <v>159.38999999999999</v>
      </c>
      <c r="G53" s="51">
        <v>-14.9</v>
      </c>
      <c r="H53" s="51">
        <f t="shared" si="51"/>
        <v>9.3481397829223919E-2</v>
      </c>
      <c r="I53" s="51">
        <f t="shared" si="52"/>
        <v>8.0596751611246142E-3</v>
      </c>
      <c r="J53" s="51">
        <f t="shared" si="70"/>
        <v>1.2846316239316522</v>
      </c>
      <c r="K53" s="51">
        <f t="shared" si="54"/>
        <v>0.16057895299145653</v>
      </c>
      <c r="L53" s="51">
        <v>63</v>
      </c>
      <c r="M53" s="51">
        <f t="shared" si="55"/>
        <v>0.12698412698412698</v>
      </c>
      <c r="N53" s="51">
        <v>45</v>
      </c>
      <c r="O53" s="51">
        <f t="shared" ref="O53:P53" si="75">D53/7</f>
        <v>1.1428571428571428</v>
      </c>
      <c r="P53" s="51">
        <f t="shared" si="75"/>
        <v>0</v>
      </c>
      <c r="Q53" s="51">
        <f t="shared" si="57"/>
        <v>39</v>
      </c>
      <c r="R53" s="55">
        <f ca="1">IFERROR(__xludf.DUMMYFUNCTION("IFERROR(VLOOKUP($B$2,IMPORTRANGE(""https://docs.google.com/spreadsheets/d/1iVgg6Mw12RULLujzHmfOFIY8Q_KaAD8anoZzgtVAQ74/edit#gid=1503384807"",""Second Star - Summary!A1:AD2000""),9,FALSE),"""")"),413)</f>
        <v>413</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1</v>
      </c>
      <c r="V53" s="55">
        <f t="shared" si="58"/>
        <v>0.125</v>
      </c>
      <c r="W53" s="55">
        <f t="shared" si="59"/>
        <v>14.9</v>
      </c>
      <c r="X53" s="55">
        <v>0</v>
      </c>
      <c r="Y53" s="55" t="s">
        <v>35</v>
      </c>
      <c r="Z53" s="56">
        <f t="shared" si="65"/>
        <v>-2.4</v>
      </c>
      <c r="AA53" s="55">
        <v>0.18541666666666667</v>
      </c>
      <c r="AB53" s="55">
        <f t="shared" si="61"/>
        <v>-10.68</v>
      </c>
      <c r="AC53" s="55">
        <v>-4.9000000000000004</v>
      </c>
      <c r="AD53" s="55">
        <v>-8.6771085470085403</v>
      </c>
      <c r="AE53" s="55">
        <v>0</v>
      </c>
      <c r="AF53" s="55">
        <v>2.4355555555555499</v>
      </c>
    </row>
    <row r="54" spans="1:32" s="57" customFormat="1">
      <c r="A54" s="2" t="s">
        <v>40</v>
      </c>
      <c r="B54" s="2" t="s">
        <v>258</v>
      </c>
      <c r="C54" s="51">
        <f t="shared" si="50"/>
        <v>20.70428571428571</v>
      </c>
      <c r="D54" s="51">
        <v>7</v>
      </c>
      <c r="E54" s="51">
        <v>0</v>
      </c>
      <c r="F54" s="51">
        <v>144.92999999999998</v>
      </c>
      <c r="G54" s="51">
        <v>-0.14000000000000001</v>
      </c>
      <c r="H54" s="51">
        <f t="shared" si="51"/>
        <v>9.6598357827916946E-4</v>
      </c>
      <c r="I54" s="51">
        <f t="shared" si="52"/>
        <v>-4.3705649824465696E-2</v>
      </c>
      <c r="J54" s="51">
        <f t="shared" si="70"/>
        <v>-6.3342598290598122</v>
      </c>
      <c r="K54" s="51">
        <f t="shared" si="54"/>
        <v>-0.90489426129425887</v>
      </c>
      <c r="L54" s="51">
        <v>83</v>
      </c>
      <c r="M54" s="51">
        <f t="shared" si="55"/>
        <v>8.4337349397590355E-2</v>
      </c>
      <c r="N54" s="51">
        <v>37</v>
      </c>
      <c r="O54" s="51">
        <f t="shared" ref="O54:P54" si="76">D54/7</f>
        <v>1</v>
      </c>
      <c r="P54" s="51">
        <f t="shared" si="76"/>
        <v>0</v>
      </c>
      <c r="Q54" s="51">
        <f t="shared" si="57"/>
        <v>37</v>
      </c>
      <c r="R54" s="55">
        <f ca="1">IFERROR(__xludf.DUMMYFUNCTION("IFERROR(VLOOKUP($B$2,IMPORTRANGE(""https://docs.google.com/spreadsheets/d/1iVgg6Mw12RULLujzHmfOFIY8Q_KaAD8anoZzgtVAQ74/edit#gid=1503384807"",""Second Star - Summary!A1:AD2000""),9,FALSE),"""")"),413)</f>
        <v>413</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58"/>
        <v>0</v>
      </c>
      <c r="W54" s="55">
        <f t="shared" si="59"/>
        <v>0</v>
      </c>
      <c r="X54" s="55">
        <v>0</v>
      </c>
      <c r="Y54" s="55" t="s">
        <v>35</v>
      </c>
      <c r="Z54" s="56">
        <f t="shared" si="65"/>
        <v>-2.4</v>
      </c>
      <c r="AA54" s="55">
        <v>0.18541666666666667</v>
      </c>
      <c r="AB54" s="55">
        <f t="shared" si="61"/>
        <v>-9.3450000000000006</v>
      </c>
      <c r="AC54" s="55">
        <v>-4.9000000000000004</v>
      </c>
      <c r="AD54" s="55">
        <v>-8.6771085470085403</v>
      </c>
      <c r="AE54" s="55">
        <v>-25</v>
      </c>
      <c r="AF54" s="55">
        <v>1.91439688715953</v>
      </c>
    </row>
    <row r="55" spans="1:32" s="57" customFormat="1" ht="15.75" customHeight="1">
      <c r="A55" s="2" t="s">
        <v>32</v>
      </c>
      <c r="B55" s="2" t="s">
        <v>259</v>
      </c>
      <c r="C55" s="51">
        <f t="shared" si="50"/>
        <v>21.037272727272729</v>
      </c>
      <c r="D55" s="51">
        <v>11</v>
      </c>
      <c r="E55" s="51">
        <v>0</v>
      </c>
      <c r="F55" s="51">
        <v>231.41000000000003</v>
      </c>
      <c r="G55" s="51">
        <v>-0.08</v>
      </c>
      <c r="H55" s="51">
        <f t="shared" si="51"/>
        <v>3.4570675424571107E-4</v>
      </c>
      <c r="I55" s="51">
        <f t="shared" si="52"/>
        <v>9.7598660312458674E-2</v>
      </c>
      <c r="J55" s="51">
        <f t="shared" si="70"/>
        <v>22.585305982906064</v>
      </c>
      <c r="K55" s="51">
        <f t="shared" si="54"/>
        <v>2.053209634809642</v>
      </c>
      <c r="L55" s="51">
        <v>48</v>
      </c>
      <c r="M55" s="51">
        <f t="shared" si="55"/>
        <v>0.22916666666666666</v>
      </c>
      <c r="N55" s="51">
        <v>29</v>
      </c>
      <c r="O55" s="51">
        <f t="shared" ref="O55:P55" si="77">D55/7</f>
        <v>1.5714285714285714</v>
      </c>
      <c r="P55" s="51">
        <f t="shared" si="77"/>
        <v>0</v>
      </c>
      <c r="Q55" s="51">
        <f t="shared" si="57"/>
        <v>18</v>
      </c>
      <c r="R55" s="55">
        <v>54</v>
      </c>
      <c r="S55" s="53">
        <v>54</v>
      </c>
      <c r="T55" s="54">
        <v>44211</v>
      </c>
      <c r="U55" s="55">
        <v>0</v>
      </c>
      <c r="V55" s="55">
        <f t="shared" si="58"/>
        <v>0</v>
      </c>
      <c r="W55" s="55">
        <f t="shared" si="59"/>
        <v>0</v>
      </c>
      <c r="X55" s="55">
        <v>0</v>
      </c>
      <c r="Y55" s="55" t="s">
        <v>35</v>
      </c>
      <c r="Z55" s="56">
        <f t="shared" si="65"/>
        <v>-2.4</v>
      </c>
      <c r="AA55" s="55">
        <v>0.18541666666666667</v>
      </c>
      <c r="AB55" s="55">
        <f t="shared" si="61"/>
        <v>-14.685000000000002</v>
      </c>
      <c r="AC55" s="55">
        <v>-4.9000000000000004</v>
      </c>
      <c r="AD55" s="55">
        <v>-8.6771085470085403</v>
      </c>
      <c r="AE55" s="55">
        <v>-10</v>
      </c>
      <c r="AF55" s="55">
        <v>1.61038961038961</v>
      </c>
    </row>
    <row r="56" spans="1:32" s="57" customFormat="1" ht="15.75" customHeight="1">
      <c r="A56" s="2" t="s">
        <v>36</v>
      </c>
      <c r="B56" s="2"/>
      <c r="C56" s="51">
        <f t="shared" si="50"/>
        <v>20.990000000000002</v>
      </c>
      <c r="D56" s="51">
        <v>11</v>
      </c>
      <c r="E56" s="51">
        <v>0</v>
      </c>
      <c r="F56" s="51">
        <v>230.89000000000001</v>
      </c>
      <c r="G56" s="51">
        <v>-0.1</v>
      </c>
      <c r="H56" s="51">
        <f t="shared" si="51"/>
        <v>4.3310667417384901E-4</v>
      </c>
      <c r="I56" s="51">
        <f t="shared" si="52"/>
        <v>0.13912818217725356</v>
      </c>
      <c r="J56" s="51">
        <f t="shared" si="70"/>
        <v>32.123305982906075</v>
      </c>
      <c r="K56" s="51">
        <f t="shared" si="54"/>
        <v>2.9203005439005523</v>
      </c>
      <c r="L56" s="51">
        <v>68</v>
      </c>
      <c r="M56" s="51">
        <f t="shared" si="55"/>
        <v>0.16176470588235295</v>
      </c>
      <c r="N56" s="51">
        <v>53</v>
      </c>
      <c r="O56" s="51">
        <f t="shared" ref="O56:P56" si="78">D56/7</f>
        <v>1.5714285714285714</v>
      </c>
      <c r="P56" s="51">
        <f t="shared" si="78"/>
        <v>0</v>
      </c>
      <c r="Q56" s="51">
        <f t="shared" si="57"/>
        <v>33</v>
      </c>
      <c r="R56" s="55">
        <f ca="1">IFERROR(__xludf.DUMMYFUNCTION("IFERROR(VLOOKUP($B$2,IMPORTRANGE(""https://docs.google.com/spreadsheets/d/1iVgg6Mw12RULLujzHmfOFIY8Q_KaAD8anoZzgtVAQ74/edit#gid=1503384807"",""Second Star - Summary!A1:AD2000""),9,FALSE),"""")"),413)</f>
        <v>413</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58"/>
        <v>0</v>
      </c>
      <c r="W56" s="55">
        <f t="shared" si="59"/>
        <v>0</v>
      </c>
      <c r="X56" s="55">
        <v>0</v>
      </c>
      <c r="Y56" s="55" t="s">
        <v>35</v>
      </c>
      <c r="Z56" s="56">
        <f t="shared" si="65"/>
        <v>-2.4</v>
      </c>
      <c r="AA56" s="55">
        <v>0.18541666666666667</v>
      </c>
      <c r="AB56" s="55">
        <f t="shared" si="61"/>
        <v>-14.685000000000002</v>
      </c>
      <c r="AC56" s="55">
        <v>-4.9000000000000004</v>
      </c>
      <c r="AD56" s="55">
        <v>-8.6771085470085403</v>
      </c>
      <c r="AE56" s="55">
        <v>0</v>
      </c>
      <c r="AF56" s="55">
        <v>2.1076923076923002</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E174" s="2"/>
      <c r="P174" s="2"/>
      <c r="AF174" s="23"/>
    </row>
    <row r="175" spans="1:32" ht="15.75" customHeight="1">
      <c r="E175" s="2"/>
      <c r="P175" s="2"/>
      <c r="AF175" s="23"/>
    </row>
    <row r="176" spans="1:32" ht="15.75" customHeight="1">
      <c r="E176" s="2"/>
      <c r="P176" s="2"/>
      <c r="AF176" s="23"/>
    </row>
    <row r="177" spans="5:32" ht="15.75" customHeight="1">
      <c r="E177" s="2"/>
      <c r="P177" s="2"/>
      <c r="AF177" s="23"/>
    </row>
    <row r="178" spans="5:32" ht="15.75" customHeight="1">
      <c r="E178" s="2"/>
      <c r="P178" s="2"/>
      <c r="AF178" s="23"/>
    </row>
    <row r="179" spans="5:32" ht="15.75" customHeight="1">
      <c r="E179" s="2"/>
      <c r="P179" s="2"/>
      <c r="AF179" s="23"/>
    </row>
    <row r="180" spans="5:32" ht="15.75" customHeight="1">
      <c r="E180" s="2"/>
      <c r="P180" s="2"/>
      <c r="AF180" s="23"/>
    </row>
    <row r="181" spans="5:32" ht="15.75" customHeight="1">
      <c r="E181" s="2"/>
      <c r="P181" s="2"/>
      <c r="AF181" s="23"/>
    </row>
    <row r="182" spans="5:32" ht="15.75" customHeight="1">
      <c r="E182" s="2"/>
      <c r="P182" s="2"/>
      <c r="AF182" s="23"/>
    </row>
    <row r="183" spans="5:32" ht="15.75" customHeight="1">
      <c r="E183" s="2"/>
      <c r="P183" s="2"/>
      <c r="AF183" s="23"/>
    </row>
    <row r="184" spans="5:32" ht="15.75" customHeight="1">
      <c r="E184" s="2"/>
      <c r="P184" s="2"/>
      <c r="AF184" s="23"/>
    </row>
    <row r="185" spans="5:32" ht="15.75" customHeight="1">
      <c r="E185" s="2"/>
      <c r="P185" s="2"/>
      <c r="AF185" s="23"/>
    </row>
    <row r="186" spans="5:32" ht="15.75" customHeight="1">
      <c r="E186" s="2"/>
      <c r="P186" s="2"/>
      <c r="AF186" s="23"/>
    </row>
    <row r="187" spans="5:32" ht="15.75" customHeight="1">
      <c r="E187" s="2"/>
      <c r="P187" s="2"/>
      <c r="AF187" s="23"/>
    </row>
    <row r="188" spans="5:32" ht="15.75" customHeight="1">
      <c r="E188" s="2"/>
      <c r="P188" s="2"/>
      <c r="AF188" s="23"/>
    </row>
    <row r="189" spans="5:32" ht="15.75" customHeight="1">
      <c r="E189" s="2"/>
      <c r="P189" s="2"/>
      <c r="AF189" s="23"/>
    </row>
    <row r="190" spans="5:32" ht="15.75" customHeight="1">
      <c r="E190" s="2"/>
      <c r="P190" s="2"/>
      <c r="AF190" s="23"/>
    </row>
    <row r="191" spans="5:32" ht="15.75" customHeight="1">
      <c r="E191" s="2"/>
      <c r="P191" s="2"/>
      <c r="AF191" s="23"/>
    </row>
    <row r="192" spans="5: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485" priority="1" operator="lessThan">
      <formula>100</formula>
    </cfRule>
  </conditionalFormatting>
  <conditionalFormatting sqref="Q1:Q3 Q57:Q1000">
    <cfRule type="cellIs" dxfId="484" priority="2" operator="lessThan">
      <formula>100</formula>
    </cfRule>
  </conditionalFormatting>
  <conditionalFormatting sqref="I1:I3 I57:I1000">
    <cfRule type="cellIs" dxfId="483" priority="3" operator="lessThan">
      <formula>0.05</formula>
    </cfRule>
  </conditionalFormatting>
  <conditionalFormatting sqref="I4:I17">
    <cfRule type="cellIs" dxfId="482" priority="4" operator="lessThan">
      <formula>0.05</formula>
    </cfRule>
  </conditionalFormatting>
  <conditionalFormatting sqref="I18:I56">
    <cfRule type="cellIs" dxfId="481" priority="5" operator="lessThan">
      <formula>0.05</formula>
    </cfRule>
  </conditionalFormatting>
  <conditionalFormatting sqref="Q4:Q56">
    <cfRule type="cellIs" dxfId="480" priority="6" operator="lessThan">
      <formula>100</formula>
    </cfRule>
  </conditionalFormatting>
  <conditionalFormatting sqref="Q4:Q56">
    <cfRule type="cellIs" dxfId="479" priority="7" operator="lessThan">
      <formula>100</formula>
    </cfRule>
  </conditionalFormatting>
  <pageMargins left="0.7" right="0.7" top="0.75" bottom="0.75" header="0" footer="0"/>
  <pageSetup orientation="portrait"/>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30.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Info!B1:BJ5000""),4,FALSE),"""")"),"4-Layer Washable Waterproof Mattress Sheet Protector 3 Pack - Bed Underpads 17x24 inches  ")</f>
        <v>4-Layer Washable Waterproof Mattress Sheet Protector 3 Pack - Bed Underpads 17x24 inches  </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Info!B1:BJ5000""),3,FALSE),"""")"),"B07N1RPQFD")</f>
        <v>B07N1RPQFD</v>
      </c>
      <c r="B2" s="4" t="s">
        <v>260</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3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12.276477727501248</v>
      </c>
      <c r="D3" s="8">
        <f>SUM(D4:D99819)</f>
        <v>1511</v>
      </c>
      <c r="E3" s="8"/>
      <c r="F3" s="9">
        <f t="shared" ref="F3:G3" si="0">SUM(F4:F99819)</f>
        <v>25252.900000000005</v>
      </c>
      <c r="G3" s="9">
        <f t="shared" si="0"/>
        <v>-448.89999999999975</v>
      </c>
      <c r="H3" s="10">
        <f t="shared" ref="H3:H39" si="1">G3/F3*-1</f>
        <v>1.7776176201545157E-2</v>
      </c>
      <c r="I3" s="11">
        <f t="shared" ref="I3:I39" si="2">J3/F3</f>
        <v>0.14746190569936549</v>
      </c>
      <c r="J3" s="9">
        <f>SUM(J4:J99819)</f>
        <v>3723.8407584355077</v>
      </c>
      <c r="K3" s="9">
        <f t="shared" ref="K3:K39" si="3">J3/D3</f>
        <v>2.4644875965820701</v>
      </c>
      <c r="L3" s="8"/>
      <c r="M3" s="12"/>
      <c r="N3" s="13"/>
      <c r="O3" s="8" t="str">
        <f ca="1">IFERROR(__xludf.DUMMYFUNCTION("IFERROR(VLOOKUP(B2,IMPORTRANGE(""https://docs.google.com/spreadsheets/d/1owCo6kL_VFQ5nPTdNogErmCBLjNiktT1m3SzTrxu3R0/edit#gid=2146806407"",""Second Star - Compiled!b1:g5000""),2,FALSE),"""")"),"5 - March
6 - April
8 - May
8 - Jun
8 - Jul
8 - Aug
5 - Sept
5 - Oct
5 - Nov
6 - Dec
6 - Jan
5 - Feb")</f>
        <v>5 - March
6 - April
8 - May
8 - Jun
8 - Jul
8 - Aug
5 - Sept
5 - Oct
5 - Nov
6 - Dec
6 - Jan
5 - Feb</v>
      </c>
      <c r="P3" s="8"/>
      <c r="Q3" s="14"/>
      <c r="R3" s="13"/>
      <c r="S3" s="13"/>
      <c r="T3" s="13"/>
      <c r="U3" s="8">
        <f>SUM(U4:U99819)</f>
        <v>24</v>
      </c>
      <c r="V3" s="10">
        <f>AVERAGE(V4:V99819)</f>
        <v>2.8014716902949672E-2</v>
      </c>
      <c r="W3" s="9">
        <f>ROUND(AVERAGE(W4:W99819),2)</f>
        <v>2.76</v>
      </c>
      <c r="X3" s="8"/>
      <c r="Y3" s="8"/>
      <c r="Z3" s="8"/>
      <c r="AA3" s="8"/>
      <c r="AB3" s="8"/>
      <c r="AC3" s="15"/>
      <c r="AD3" s="9"/>
      <c r="AE3" s="9">
        <f>SUM(AE4:AE99819)</f>
        <v>-18.39</v>
      </c>
      <c r="AF3" s="16"/>
    </row>
    <row r="4" spans="1:32" s="57" customFormat="1">
      <c r="A4" s="17" t="s">
        <v>48</v>
      </c>
      <c r="B4" s="17"/>
      <c r="C4" s="50">
        <v>22.99</v>
      </c>
      <c r="D4" s="51">
        <v>9</v>
      </c>
      <c r="E4" s="51">
        <v>0</v>
      </c>
      <c r="F4" s="51">
        <v>206.91000000000003</v>
      </c>
      <c r="G4" s="51">
        <v>-12.18</v>
      </c>
      <c r="H4" s="51">
        <f t="shared" si="1"/>
        <v>5.8866173698709577E-2</v>
      </c>
      <c r="I4" s="51">
        <f t="shared" si="2"/>
        <v>0.29090388502195713</v>
      </c>
      <c r="J4" s="51">
        <f t="shared" ref="J4:J38" si="4">F4*0.85+G4+AD4*D4+D4*AC4+AE4+AB4</f>
        <v>60.190922849893155</v>
      </c>
      <c r="K4" s="51">
        <f t="shared" si="3"/>
        <v>6.6878803166547947</v>
      </c>
      <c r="L4" s="51">
        <v>75</v>
      </c>
      <c r="M4" s="51">
        <f t="shared" ref="M4:M39" si="5">IFERROR(D4/L4,"-")</f>
        <v>0.12</v>
      </c>
      <c r="N4" s="51">
        <v>308</v>
      </c>
      <c r="O4" s="51">
        <f t="shared" ref="O4:P4" si="6">D4/7</f>
        <v>1.2857142857142858</v>
      </c>
      <c r="P4" s="51">
        <f t="shared" si="6"/>
        <v>0</v>
      </c>
      <c r="Q4" s="51">
        <f t="shared" ref="Q4:Q39" si="7">ROUNDDOWN(N4/(O4+P4),0)</f>
        <v>239</v>
      </c>
      <c r="R4" s="52">
        <v>0</v>
      </c>
      <c r="S4" s="53" t="s">
        <v>34</v>
      </c>
      <c r="T4" s="54" t="s">
        <v>34</v>
      </c>
      <c r="U4" s="52">
        <v>0</v>
      </c>
      <c r="V4" s="55">
        <f t="shared" ref="V4:V39" si="8">IFERROR(U4/D4,0)</f>
        <v>0</v>
      </c>
      <c r="W4" s="55">
        <f t="shared" ref="W4:W39" si="9">IFERROR(G4/(U4+X4)*-1,0)</f>
        <v>0</v>
      </c>
      <c r="X4" s="52">
        <v>0</v>
      </c>
      <c r="Y4" s="56" t="s">
        <v>35</v>
      </c>
      <c r="Z4" s="56">
        <f t="shared" ref="Z4:Z10" si="10">IF(OR(Y4="UsLargeStandardSize",Y4="UsSmallStandardSize"),-0.69,-0.48)</f>
        <v>-0.69</v>
      </c>
      <c r="AA4" s="55">
        <v>8.3327546296296282E-2</v>
      </c>
      <c r="AB4" s="55">
        <f t="shared" ref="AB4:AB17" si="11">IFERROR((Z4*AA4*N4)/4,0)</f>
        <v>-4.427192534722221</v>
      </c>
      <c r="AC4" s="55">
        <v>-4.76</v>
      </c>
      <c r="AD4" s="55">
        <v>-6.2483760683760678</v>
      </c>
      <c r="AE4" s="55">
        <v>0</v>
      </c>
      <c r="AF4" s="55"/>
    </row>
    <row r="5" spans="1:32" s="57" customFormat="1" ht="15.75" customHeight="1">
      <c r="A5" s="2" t="s">
        <v>49</v>
      </c>
      <c r="B5" s="2" t="s">
        <v>261</v>
      </c>
      <c r="C5" s="51">
        <v>22.99</v>
      </c>
      <c r="D5" s="51">
        <v>10</v>
      </c>
      <c r="E5" s="51">
        <v>0</v>
      </c>
      <c r="F5" s="51">
        <v>229.90000000000003</v>
      </c>
      <c r="G5" s="51">
        <v>-10.240000000000002</v>
      </c>
      <c r="H5" s="51">
        <f t="shared" si="1"/>
        <v>4.454110482818617E-2</v>
      </c>
      <c r="I5" s="51">
        <f t="shared" si="2"/>
        <v>0.30780628444397512</v>
      </c>
      <c r="J5" s="51">
        <f t="shared" si="4"/>
        <v>70.764664793669894</v>
      </c>
      <c r="K5" s="51">
        <f t="shared" si="3"/>
        <v>7.0764664793669896</v>
      </c>
      <c r="L5" s="51">
        <v>99</v>
      </c>
      <c r="M5" s="51">
        <f t="shared" si="5"/>
        <v>0.10101010101010101</v>
      </c>
      <c r="N5" s="51">
        <v>301</v>
      </c>
      <c r="O5" s="51">
        <f t="shared" ref="O5:P5" si="12">D5/7</f>
        <v>1.4285714285714286</v>
      </c>
      <c r="P5" s="51">
        <f t="shared" si="12"/>
        <v>0</v>
      </c>
      <c r="Q5" s="51">
        <f t="shared" si="7"/>
        <v>210</v>
      </c>
      <c r="R5" s="55">
        <v>0</v>
      </c>
      <c r="S5" s="53" t="s">
        <v>34</v>
      </c>
      <c r="T5" s="54" t="s">
        <v>34</v>
      </c>
      <c r="U5" s="55">
        <v>0</v>
      </c>
      <c r="V5" s="55">
        <f t="shared" si="8"/>
        <v>0</v>
      </c>
      <c r="W5" s="55">
        <f t="shared" si="9"/>
        <v>0</v>
      </c>
      <c r="X5" s="55">
        <v>0</v>
      </c>
      <c r="Y5" s="55" t="s">
        <v>35</v>
      </c>
      <c r="Z5" s="56">
        <f t="shared" si="10"/>
        <v>-0.69</v>
      </c>
      <c r="AA5" s="55">
        <v>8.3327546296296282E-2</v>
      </c>
      <c r="AB5" s="55">
        <f t="shared" si="11"/>
        <v>-4.3265745225694427</v>
      </c>
      <c r="AC5" s="55">
        <v>-4.76</v>
      </c>
      <c r="AD5" s="55">
        <v>-6.2483760683760678</v>
      </c>
      <c r="AE5" s="55">
        <v>0</v>
      </c>
      <c r="AF5" s="55"/>
    </row>
    <row r="6" spans="1:32" s="57" customFormat="1" ht="15.75" customHeight="1">
      <c r="A6" s="2" t="s">
        <v>51</v>
      </c>
      <c r="B6" s="2" t="s">
        <v>262</v>
      </c>
      <c r="C6" s="51">
        <v>20.99</v>
      </c>
      <c r="D6" s="51">
        <v>13</v>
      </c>
      <c r="E6" s="51">
        <v>0</v>
      </c>
      <c r="F6" s="51">
        <v>292.87000000000006</v>
      </c>
      <c r="G6" s="51">
        <v>-12.38</v>
      </c>
      <c r="H6" s="51">
        <f t="shared" si="1"/>
        <v>4.227131491788165E-2</v>
      </c>
      <c r="I6" s="51">
        <f t="shared" si="2"/>
        <v>0.30509789536763571</v>
      </c>
      <c r="J6" s="51">
        <f t="shared" si="4"/>
        <v>89.354020616319488</v>
      </c>
      <c r="K6" s="51">
        <f t="shared" si="3"/>
        <v>6.8733862012553448</v>
      </c>
      <c r="L6" s="51">
        <v>107</v>
      </c>
      <c r="M6" s="51">
        <f t="shared" si="5"/>
        <v>0.12149532710280374</v>
      </c>
      <c r="N6" s="51">
        <v>285</v>
      </c>
      <c r="O6" s="51">
        <f t="shared" ref="O6:P6" si="13">D6/7</f>
        <v>1.8571428571428572</v>
      </c>
      <c r="P6" s="51">
        <f t="shared" si="13"/>
        <v>0</v>
      </c>
      <c r="Q6" s="51">
        <f t="shared" si="7"/>
        <v>153</v>
      </c>
      <c r="R6" s="55">
        <v>0</v>
      </c>
      <c r="S6" s="53" t="s">
        <v>34</v>
      </c>
      <c r="T6" s="54" t="s">
        <v>34</v>
      </c>
      <c r="U6" s="55">
        <v>2</v>
      </c>
      <c r="V6" s="55">
        <f t="shared" si="8"/>
        <v>0.15384615384615385</v>
      </c>
      <c r="W6" s="55">
        <f t="shared" si="9"/>
        <v>6.19</v>
      </c>
      <c r="X6" s="55">
        <v>0</v>
      </c>
      <c r="Y6" s="55" t="s">
        <v>35</v>
      </c>
      <c r="Z6" s="56">
        <f t="shared" si="10"/>
        <v>-0.69</v>
      </c>
      <c r="AA6" s="55">
        <v>8.3327546296296282E-2</v>
      </c>
      <c r="AB6" s="55">
        <f t="shared" si="11"/>
        <v>-4.0965904947916654</v>
      </c>
      <c r="AC6" s="55">
        <v>-4.76</v>
      </c>
      <c r="AD6" s="55">
        <v>-6.2483760683760678</v>
      </c>
      <c r="AE6" s="55">
        <v>0</v>
      </c>
      <c r="AF6" s="55"/>
    </row>
    <row r="7" spans="1:32" s="57" customFormat="1" ht="15.75" customHeight="1">
      <c r="A7" s="2" t="s">
        <v>53</v>
      </c>
      <c r="B7" s="2"/>
      <c r="C7" s="51">
        <v>21.99</v>
      </c>
      <c r="D7" s="51">
        <v>8</v>
      </c>
      <c r="E7" s="51">
        <v>0</v>
      </c>
      <c r="F7" s="51">
        <v>170.92</v>
      </c>
      <c r="G7" s="51">
        <v>-13.45</v>
      </c>
      <c r="H7" s="51">
        <f t="shared" si="1"/>
        <v>7.8691785630704419E-2</v>
      </c>
      <c r="I7" s="51">
        <f t="shared" si="2"/>
        <v>0.23267621677014139</v>
      </c>
      <c r="J7" s="51">
        <f t="shared" si="4"/>
        <v>39.769018970352562</v>
      </c>
      <c r="K7" s="51">
        <f t="shared" si="3"/>
        <v>4.9711273712940702</v>
      </c>
      <c r="L7" s="51">
        <v>62</v>
      </c>
      <c r="M7" s="51">
        <f t="shared" si="5"/>
        <v>0.12903225806451613</v>
      </c>
      <c r="N7" s="51">
        <v>278</v>
      </c>
      <c r="O7" s="51">
        <f t="shared" ref="O7:P7" si="14">D7/7</f>
        <v>1.1428571428571428</v>
      </c>
      <c r="P7" s="51">
        <f t="shared" si="14"/>
        <v>0</v>
      </c>
      <c r="Q7" s="51">
        <f t="shared" si="7"/>
        <v>243</v>
      </c>
      <c r="R7" s="55">
        <v>0</v>
      </c>
      <c r="S7" s="53" t="s">
        <v>34</v>
      </c>
      <c r="T7" s="54" t="s">
        <v>34</v>
      </c>
      <c r="U7" s="55">
        <v>0</v>
      </c>
      <c r="V7" s="55">
        <f t="shared" si="8"/>
        <v>0</v>
      </c>
      <c r="W7" s="55">
        <f t="shared" si="9"/>
        <v>13.45</v>
      </c>
      <c r="X7" s="55">
        <v>1</v>
      </c>
      <c r="Y7" s="55" t="s">
        <v>35</v>
      </c>
      <c r="Z7" s="56">
        <f t="shared" si="10"/>
        <v>-0.69</v>
      </c>
      <c r="AA7" s="55">
        <v>8.3327546296296282E-2</v>
      </c>
      <c r="AB7" s="55">
        <f t="shared" si="11"/>
        <v>-3.9959724826388876</v>
      </c>
      <c r="AC7" s="55">
        <v>-4.76</v>
      </c>
      <c r="AD7" s="55">
        <v>-6.2483760683760678</v>
      </c>
      <c r="AE7" s="55">
        <v>0</v>
      </c>
      <c r="AF7" s="55"/>
    </row>
    <row r="8" spans="1:32" s="57" customFormat="1" ht="15.75" customHeight="1">
      <c r="A8" s="2" t="s">
        <v>54</v>
      </c>
      <c r="B8" s="2" t="s">
        <v>263</v>
      </c>
      <c r="C8" s="51">
        <v>22.99</v>
      </c>
      <c r="D8" s="51">
        <v>8</v>
      </c>
      <c r="E8" s="51">
        <v>0</v>
      </c>
      <c r="F8" s="51">
        <v>171.92000000000002</v>
      </c>
      <c r="G8" s="51">
        <v>-5.61</v>
      </c>
      <c r="H8" s="51">
        <f t="shared" si="1"/>
        <v>3.263145649139134E-2</v>
      </c>
      <c r="I8" s="51">
        <f t="shared" si="2"/>
        <v>0.28253845384039933</v>
      </c>
      <c r="J8" s="51">
        <f t="shared" si="4"/>
        <v>48.574010984241454</v>
      </c>
      <c r="K8" s="51">
        <f t="shared" si="3"/>
        <v>6.0717513730301818</v>
      </c>
      <c r="L8" s="51">
        <v>53</v>
      </c>
      <c r="M8" s="51">
        <f t="shared" si="5"/>
        <v>0.15094339622641509</v>
      </c>
      <c r="N8" s="51">
        <v>270</v>
      </c>
      <c r="O8" s="51">
        <f t="shared" ref="O8:P8" si="15">D8/7</f>
        <v>1.1428571428571428</v>
      </c>
      <c r="P8" s="51">
        <f t="shared" si="15"/>
        <v>0</v>
      </c>
      <c r="Q8" s="51">
        <f t="shared" si="7"/>
        <v>236</v>
      </c>
      <c r="R8" s="55">
        <v>0</v>
      </c>
      <c r="S8" s="53" t="s">
        <v>34</v>
      </c>
      <c r="T8" s="54" t="s">
        <v>34</v>
      </c>
      <c r="U8" s="55">
        <v>0</v>
      </c>
      <c r="V8" s="55">
        <f t="shared" si="8"/>
        <v>0</v>
      </c>
      <c r="W8" s="55">
        <f t="shared" si="9"/>
        <v>0</v>
      </c>
      <c r="X8" s="55">
        <v>0</v>
      </c>
      <c r="Y8" s="55" t="s">
        <v>35</v>
      </c>
      <c r="Z8" s="56">
        <f t="shared" si="10"/>
        <v>-0.69</v>
      </c>
      <c r="AA8" s="55">
        <v>8.3327546296296282E-2</v>
      </c>
      <c r="AB8" s="55">
        <f t="shared" si="11"/>
        <v>-3.8809804687499989</v>
      </c>
      <c r="AC8" s="55">
        <v>-4.76</v>
      </c>
      <c r="AD8" s="55">
        <v>-6.2483760683760678</v>
      </c>
      <c r="AE8" s="55">
        <v>0</v>
      </c>
      <c r="AF8" s="55"/>
    </row>
    <row r="9" spans="1:32" s="57" customFormat="1" ht="15.75" customHeight="1">
      <c r="A9" s="2" t="s">
        <v>56</v>
      </c>
      <c r="B9" s="2" t="s">
        <v>264</v>
      </c>
      <c r="C9" s="51">
        <v>19.989999999999998</v>
      </c>
      <c r="D9" s="51">
        <v>10</v>
      </c>
      <c r="E9" s="51">
        <v>0</v>
      </c>
      <c r="F9" s="51">
        <v>213.9</v>
      </c>
      <c r="G9" s="51">
        <v>-17.11</v>
      </c>
      <c r="H9" s="51">
        <f t="shared" si="1"/>
        <v>7.9990649836372135E-2</v>
      </c>
      <c r="I9" s="51">
        <f t="shared" si="2"/>
        <v>0.23781965807907579</v>
      </c>
      <c r="J9" s="51">
        <f t="shared" si="4"/>
        <v>50.869624863114311</v>
      </c>
      <c r="K9" s="51">
        <f t="shared" si="3"/>
        <v>5.0869624863114309</v>
      </c>
      <c r="L9" s="51">
        <v>60</v>
      </c>
      <c r="M9" s="51">
        <f t="shared" si="5"/>
        <v>0.16666666666666666</v>
      </c>
      <c r="N9" s="51">
        <v>261</v>
      </c>
      <c r="O9" s="51">
        <f t="shared" ref="O9:P9" si="16">D9/7</f>
        <v>1.4285714285714286</v>
      </c>
      <c r="P9" s="51">
        <f t="shared" si="16"/>
        <v>0</v>
      </c>
      <c r="Q9" s="51">
        <f t="shared" si="7"/>
        <v>182</v>
      </c>
      <c r="R9" s="55">
        <v>138</v>
      </c>
      <c r="S9" s="53" t="s">
        <v>34</v>
      </c>
      <c r="T9" s="54" t="s">
        <v>34</v>
      </c>
      <c r="U9" s="55">
        <v>3</v>
      </c>
      <c r="V9" s="55">
        <f t="shared" si="8"/>
        <v>0.3</v>
      </c>
      <c r="W9" s="55">
        <f t="shared" si="9"/>
        <v>4.2774999999999999</v>
      </c>
      <c r="X9" s="55">
        <v>1</v>
      </c>
      <c r="Y9" s="55" t="s">
        <v>35</v>
      </c>
      <c r="Z9" s="56">
        <f t="shared" si="10"/>
        <v>-0.69</v>
      </c>
      <c r="AA9" s="55">
        <v>8.3327546296296282E-2</v>
      </c>
      <c r="AB9" s="55">
        <f t="shared" si="11"/>
        <v>-3.7516144531249989</v>
      </c>
      <c r="AC9" s="55">
        <v>-4.76</v>
      </c>
      <c r="AD9" s="55">
        <v>-6.2483760683760678</v>
      </c>
      <c r="AE9" s="55">
        <v>0</v>
      </c>
      <c r="AF9" s="55"/>
    </row>
    <row r="10" spans="1:32" s="57" customFormat="1" ht="15.75" customHeight="1">
      <c r="A10" s="2" t="s">
        <v>58</v>
      </c>
      <c r="B10" s="2" t="s">
        <v>265</v>
      </c>
      <c r="C10" s="51">
        <v>20.99</v>
      </c>
      <c r="D10" s="51">
        <v>12</v>
      </c>
      <c r="E10" s="51">
        <v>0</v>
      </c>
      <c r="F10" s="51">
        <v>254.88000000000002</v>
      </c>
      <c r="G10" s="51">
        <v>-28.89</v>
      </c>
      <c r="H10" s="51">
        <f t="shared" si="1"/>
        <v>0.11334745762711863</v>
      </c>
      <c r="I10" s="51">
        <f t="shared" si="2"/>
        <v>0.20426862345205371</v>
      </c>
      <c r="J10" s="51">
        <f t="shared" si="4"/>
        <v>52.063986745459452</v>
      </c>
      <c r="K10" s="51">
        <f t="shared" si="3"/>
        <v>4.338665562121621</v>
      </c>
      <c r="L10" s="51">
        <v>57</v>
      </c>
      <c r="M10" s="51">
        <f t="shared" si="5"/>
        <v>0.21052631578947367</v>
      </c>
      <c r="N10" s="51">
        <v>250</v>
      </c>
      <c r="O10" s="51">
        <f t="shared" ref="O10:P10" si="17">D10/7</f>
        <v>1.7142857142857142</v>
      </c>
      <c r="P10" s="51">
        <f t="shared" si="17"/>
        <v>0</v>
      </c>
      <c r="Q10" s="51">
        <f t="shared" si="7"/>
        <v>145</v>
      </c>
      <c r="R10" s="55">
        <v>138</v>
      </c>
      <c r="S10" s="53" t="s">
        <v>34</v>
      </c>
      <c r="T10" s="54" t="s">
        <v>34</v>
      </c>
      <c r="U10" s="55">
        <v>3</v>
      </c>
      <c r="V10" s="55">
        <f t="shared" si="8"/>
        <v>0.25</v>
      </c>
      <c r="W10" s="55">
        <f t="shared" si="9"/>
        <v>7.2225000000000001</v>
      </c>
      <c r="X10" s="55">
        <v>1</v>
      </c>
      <c r="Y10" s="55" t="s">
        <v>35</v>
      </c>
      <c r="Z10" s="56">
        <f t="shared" si="10"/>
        <v>-0.69</v>
      </c>
      <c r="AA10" s="55">
        <v>8.3327546296296282E-2</v>
      </c>
      <c r="AB10" s="55">
        <f t="shared" si="11"/>
        <v>-3.5935004340277765</v>
      </c>
      <c r="AC10" s="55">
        <v>-4.76</v>
      </c>
      <c r="AD10" s="55">
        <v>-6.2483760683760678</v>
      </c>
      <c r="AE10" s="55">
        <v>0</v>
      </c>
      <c r="AF10" s="55"/>
    </row>
    <row r="11" spans="1:32" s="57" customFormat="1" ht="15.75" customHeight="1">
      <c r="A11" s="2" t="s">
        <v>60</v>
      </c>
      <c r="B11" s="2" t="s">
        <v>266</v>
      </c>
      <c r="C11" s="51">
        <v>19.989999999999998</v>
      </c>
      <c r="D11" s="51">
        <v>6</v>
      </c>
      <c r="E11" s="51">
        <v>0</v>
      </c>
      <c r="F11" s="51">
        <v>124.93999999999998</v>
      </c>
      <c r="G11" s="51">
        <v>-13.419999999999998</v>
      </c>
      <c r="H11" s="51">
        <f t="shared" si="1"/>
        <v>0.10741155754762285</v>
      </c>
      <c r="I11" s="51">
        <f t="shared" si="2"/>
        <v>0.17607162455606887</v>
      </c>
      <c r="J11" s="51">
        <f t="shared" si="4"/>
        <v>21.998388772035241</v>
      </c>
      <c r="K11" s="51">
        <f t="shared" si="3"/>
        <v>3.6663981286725402</v>
      </c>
      <c r="L11" s="51">
        <v>43</v>
      </c>
      <c r="M11" s="51">
        <f t="shared" si="5"/>
        <v>0.13953488372093023</v>
      </c>
      <c r="N11" s="51">
        <v>249</v>
      </c>
      <c r="O11" s="51">
        <f t="shared" ref="O11:P11" si="18">D11/7</f>
        <v>0.8571428571428571</v>
      </c>
      <c r="P11" s="51">
        <f t="shared" si="18"/>
        <v>0</v>
      </c>
      <c r="Q11" s="51">
        <f t="shared" si="7"/>
        <v>290</v>
      </c>
      <c r="R11" s="55">
        <v>138</v>
      </c>
      <c r="S11" s="53" t="s">
        <v>34</v>
      </c>
      <c r="T11" s="54" t="s">
        <v>34</v>
      </c>
      <c r="U11" s="55">
        <v>0</v>
      </c>
      <c r="V11" s="55">
        <f t="shared" si="8"/>
        <v>0</v>
      </c>
      <c r="W11" s="55">
        <f t="shared" si="9"/>
        <v>13.419999999999998</v>
      </c>
      <c r="X11" s="55">
        <v>1</v>
      </c>
      <c r="Y11" s="55" t="s">
        <v>35</v>
      </c>
      <c r="Z11" s="56">
        <f t="shared" ref="Z11:Z39" si="19">IF(OR(Y11="UsLargeStandardSize",Y11="UsSmallStandardSize"),-0.75,-0.48)</f>
        <v>-0.75</v>
      </c>
      <c r="AA11" s="55">
        <v>8.3327546296296282E-2</v>
      </c>
      <c r="AB11" s="55">
        <f t="shared" si="11"/>
        <v>-3.8903548177083325</v>
      </c>
      <c r="AC11" s="55">
        <v>-4.9000000000000004</v>
      </c>
      <c r="AD11" s="55">
        <v>-6.2483760683760678</v>
      </c>
      <c r="AE11" s="55">
        <v>0</v>
      </c>
      <c r="AF11" s="55"/>
    </row>
    <row r="12" spans="1:32" s="57" customFormat="1" ht="15.75" customHeight="1">
      <c r="A12" s="2" t="s">
        <v>62</v>
      </c>
      <c r="B12" s="2" t="s">
        <v>264</v>
      </c>
      <c r="C12" s="51">
        <v>18.989999999999998</v>
      </c>
      <c r="D12" s="51">
        <v>14</v>
      </c>
      <c r="E12" s="51">
        <v>0</v>
      </c>
      <c r="F12" s="51">
        <v>269.01</v>
      </c>
      <c r="G12" s="51">
        <v>-26.130000000000003</v>
      </c>
      <c r="H12" s="51">
        <f t="shared" si="1"/>
        <v>9.7133935541429697E-2</v>
      </c>
      <c r="I12" s="51">
        <f t="shared" si="2"/>
        <v>0.15966498679711008</v>
      </c>
      <c r="J12" s="51">
        <f t="shared" si="4"/>
        <v>42.951478098290579</v>
      </c>
      <c r="K12" s="51">
        <f t="shared" si="3"/>
        <v>3.0679627213064697</v>
      </c>
      <c r="L12" s="51">
        <v>83</v>
      </c>
      <c r="M12" s="51">
        <f t="shared" si="5"/>
        <v>0.16867469879518071</v>
      </c>
      <c r="N12" s="51">
        <v>224</v>
      </c>
      <c r="O12" s="51">
        <f t="shared" ref="O12:P12" si="20">D12/7</f>
        <v>2</v>
      </c>
      <c r="P12" s="51">
        <f t="shared" si="20"/>
        <v>0</v>
      </c>
      <c r="Q12" s="51">
        <f t="shared" si="7"/>
        <v>112</v>
      </c>
      <c r="R12" s="55">
        <v>138</v>
      </c>
      <c r="S12" s="53">
        <v>138</v>
      </c>
      <c r="T12" s="54">
        <v>43896</v>
      </c>
      <c r="U12" s="55">
        <v>3</v>
      </c>
      <c r="V12" s="55">
        <f t="shared" si="8"/>
        <v>0.21428571428571427</v>
      </c>
      <c r="W12" s="55">
        <f t="shared" si="9"/>
        <v>6.5325000000000006</v>
      </c>
      <c r="X12" s="55">
        <v>1</v>
      </c>
      <c r="Y12" s="55" t="s">
        <v>35</v>
      </c>
      <c r="Z12" s="56">
        <f t="shared" si="19"/>
        <v>-0.75</v>
      </c>
      <c r="AA12" s="55">
        <v>8.3327546296296282E-2</v>
      </c>
      <c r="AB12" s="55">
        <f t="shared" si="11"/>
        <v>-3.4997569444444436</v>
      </c>
      <c r="AC12" s="55">
        <v>-4.9000000000000004</v>
      </c>
      <c r="AD12" s="55">
        <v>-6.2483760683760678</v>
      </c>
      <c r="AE12" s="55">
        <v>0</v>
      </c>
      <c r="AF12" s="55"/>
    </row>
    <row r="13" spans="1:32" s="57" customFormat="1" ht="15.75" customHeight="1">
      <c r="A13" s="2" t="s">
        <v>63</v>
      </c>
      <c r="B13" s="2" t="s">
        <v>267</v>
      </c>
      <c r="C13" s="51">
        <v>18.989999999999998</v>
      </c>
      <c r="D13" s="51">
        <v>15</v>
      </c>
      <c r="E13" s="51">
        <v>0</v>
      </c>
      <c r="F13" s="51">
        <v>284.85000000000008</v>
      </c>
      <c r="G13" s="51">
        <v>-67.359999999999985</v>
      </c>
      <c r="H13" s="51">
        <f t="shared" si="1"/>
        <v>0.23647533789713873</v>
      </c>
      <c r="I13" s="51">
        <f t="shared" si="2"/>
        <v>4.4417117941632353E-3</v>
      </c>
      <c r="J13" s="51">
        <f t="shared" si="4"/>
        <v>1.2652216045673979</v>
      </c>
      <c r="K13" s="51">
        <f t="shared" si="3"/>
        <v>8.4348106971159853E-2</v>
      </c>
      <c r="L13" s="51">
        <v>104</v>
      </c>
      <c r="M13" s="51">
        <f t="shared" si="5"/>
        <v>0.14423076923076922</v>
      </c>
      <c r="N13" s="51">
        <v>219</v>
      </c>
      <c r="O13" s="51">
        <f t="shared" ref="O13:P13" si="21">D13/7</f>
        <v>2.1428571428571428</v>
      </c>
      <c r="P13" s="51">
        <f t="shared" si="21"/>
        <v>0</v>
      </c>
      <c r="Q13" s="51">
        <f t="shared" si="7"/>
        <v>102</v>
      </c>
      <c r="R13" s="55">
        <v>0</v>
      </c>
      <c r="S13" s="53" t="s">
        <v>34</v>
      </c>
      <c r="T13" s="54" t="s">
        <v>34</v>
      </c>
      <c r="U13" s="55">
        <v>4</v>
      </c>
      <c r="V13" s="55">
        <f t="shared" si="8"/>
        <v>0.26666666666666666</v>
      </c>
      <c r="W13" s="55">
        <f t="shared" si="9"/>
        <v>4.4906666666666659</v>
      </c>
      <c r="X13" s="55">
        <v>11</v>
      </c>
      <c r="Y13" s="55" t="s">
        <v>35</v>
      </c>
      <c r="Z13" s="56">
        <f t="shared" si="19"/>
        <v>-0.75</v>
      </c>
      <c r="AA13" s="55">
        <v>8.3327546296296282E-2</v>
      </c>
      <c r="AB13" s="55">
        <f t="shared" si="11"/>
        <v>-3.4216373697916658</v>
      </c>
      <c r="AC13" s="55">
        <v>-4.9000000000000004</v>
      </c>
      <c r="AD13" s="55">
        <v>-6.2483760683760678</v>
      </c>
      <c r="AE13" s="55">
        <v>-2.85</v>
      </c>
      <c r="AF13" s="55"/>
    </row>
    <row r="14" spans="1:32" s="57" customFormat="1" ht="15.75" customHeight="1">
      <c r="A14" s="2" t="s">
        <v>64</v>
      </c>
      <c r="B14" s="2"/>
      <c r="C14" s="51">
        <v>18.989999999999998</v>
      </c>
      <c r="D14" s="51">
        <v>14</v>
      </c>
      <c r="E14" s="51">
        <v>0</v>
      </c>
      <c r="F14" s="51">
        <v>265.86</v>
      </c>
      <c r="G14" s="51">
        <v>-41.250000000000007</v>
      </c>
      <c r="H14" s="51">
        <f t="shared" si="1"/>
        <v>0.1551568494696457</v>
      </c>
      <c r="I14" s="51">
        <f t="shared" si="2"/>
        <v>8.7737832135016888E-2</v>
      </c>
      <c r="J14" s="51">
        <f t="shared" si="4"/>
        <v>23.325980051415591</v>
      </c>
      <c r="K14" s="51">
        <f t="shared" si="3"/>
        <v>1.6661414322439707</v>
      </c>
      <c r="L14" s="51">
        <v>91</v>
      </c>
      <c r="M14" s="51">
        <f t="shared" si="5"/>
        <v>0.15384615384615385</v>
      </c>
      <c r="N14" s="51">
        <v>341</v>
      </c>
      <c r="O14" s="51">
        <f t="shared" ref="O14:P14" si="22">D14/7</f>
        <v>2</v>
      </c>
      <c r="P14" s="51">
        <f t="shared" si="22"/>
        <v>0</v>
      </c>
      <c r="Q14" s="51">
        <f t="shared" si="7"/>
        <v>170</v>
      </c>
      <c r="R14" s="55">
        <v>0</v>
      </c>
      <c r="S14" s="53" t="s">
        <v>34</v>
      </c>
      <c r="T14" s="54" t="s">
        <v>34</v>
      </c>
      <c r="U14" s="55">
        <v>1</v>
      </c>
      <c r="V14" s="55">
        <f t="shared" si="8"/>
        <v>7.1428571428571425E-2</v>
      </c>
      <c r="W14" s="55">
        <f t="shared" si="9"/>
        <v>8.2500000000000018</v>
      </c>
      <c r="X14" s="55">
        <v>4</v>
      </c>
      <c r="Y14" s="55" t="s">
        <v>35</v>
      </c>
      <c r="Z14" s="56">
        <f t="shared" si="19"/>
        <v>-0.75</v>
      </c>
      <c r="AA14" s="55">
        <v>8.3327546296296282E-2</v>
      </c>
      <c r="AB14" s="55">
        <f t="shared" si="11"/>
        <v>-5.3277549913194431</v>
      </c>
      <c r="AC14" s="55">
        <v>-4.9000000000000004</v>
      </c>
      <c r="AD14" s="55">
        <v>-6.2483760683760678</v>
      </c>
      <c r="AE14" s="55">
        <v>0</v>
      </c>
      <c r="AF14" s="55"/>
    </row>
    <row r="15" spans="1:32" s="57" customFormat="1" ht="15.75" customHeight="1">
      <c r="A15" s="2" t="s">
        <v>65</v>
      </c>
      <c r="B15" s="2" t="s">
        <v>147</v>
      </c>
      <c r="C15" s="51">
        <v>18.989999999999998</v>
      </c>
      <c r="D15" s="51">
        <v>4</v>
      </c>
      <c r="E15" s="51">
        <v>0</v>
      </c>
      <c r="F15" s="51">
        <v>75.959999999999994</v>
      </c>
      <c r="G15" s="51">
        <v>-1.88</v>
      </c>
      <c r="H15" s="51">
        <f t="shared" si="1"/>
        <v>2.4749868351764088E-2</v>
      </c>
      <c r="I15" s="51">
        <f t="shared" si="2"/>
        <v>0.16804555996809203</v>
      </c>
      <c r="J15" s="51">
        <f t="shared" si="4"/>
        <v>12.76474073517627</v>
      </c>
      <c r="K15" s="51">
        <f t="shared" si="3"/>
        <v>3.1911851837940675</v>
      </c>
      <c r="L15" s="51">
        <v>44</v>
      </c>
      <c r="M15" s="51">
        <f t="shared" si="5"/>
        <v>9.0909090909090912E-2</v>
      </c>
      <c r="N15" s="51">
        <v>341</v>
      </c>
      <c r="O15" s="51">
        <f t="shared" ref="O15:P15" si="23">D15/7</f>
        <v>0.5714285714285714</v>
      </c>
      <c r="P15" s="51">
        <f t="shared" si="23"/>
        <v>0</v>
      </c>
      <c r="Q15" s="51">
        <f t="shared" si="7"/>
        <v>596</v>
      </c>
      <c r="R15" s="55">
        <v>0</v>
      </c>
      <c r="S15" s="53" t="s">
        <v>34</v>
      </c>
      <c r="T15" s="54" t="s">
        <v>34</v>
      </c>
      <c r="U15" s="55">
        <v>0</v>
      </c>
      <c r="V15" s="55">
        <f t="shared" si="8"/>
        <v>0</v>
      </c>
      <c r="W15" s="55">
        <f t="shared" si="9"/>
        <v>0</v>
      </c>
      <c r="X15" s="55">
        <v>0</v>
      </c>
      <c r="Y15" s="55" t="s">
        <v>35</v>
      </c>
      <c r="Z15" s="56">
        <f t="shared" si="19"/>
        <v>-0.75</v>
      </c>
      <c r="AA15" s="55">
        <v>8.3327546296296282E-2</v>
      </c>
      <c r="AB15" s="55">
        <f t="shared" si="11"/>
        <v>-5.3277549913194431</v>
      </c>
      <c r="AC15" s="55">
        <v>-4.9000000000000004</v>
      </c>
      <c r="AD15" s="55">
        <v>-6.2483760683760678</v>
      </c>
      <c r="AE15" s="55">
        <v>0</v>
      </c>
      <c r="AF15" s="55"/>
    </row>
    <row r="16" spans="1:32" s="57" customFormat="1" ht="15.75" customHeight="1">
      <c r="A16" s="2" t="s">
        <v>66</v>
      </c>
      <c r="B16" s="2" t="s">
        <v>268</v>
      </c>
      <c r="C16" s="51">
        <v>16.989999999999998</v>
      </c>
      <c r="D16" s="51">
        <v>13</v>
      </c>
      <c r="E16" s="51">
        <v>0</v>
      </c>
      <c r="F16" s="51">
        <v>244.87000000000003</v>
      </c>
      <c r="G16" s="51">
        <v>-2.2000000000000002</v>
      </c>
      <c r="H16" s="51">
        <f t="shared" si="1"/>
        <v>8.9843590476579409E-3</v>
      </c>
      <c r="I16" s="51">
        <f t="shared" si="2"/>
        <v>0.22848230764736857</v>
      </c>
      <c r="J16" s="51">
        <f t="shared" si="4"/>
        <v>55.948462673611147</v>
      </c>
      <c r="K16" s="51">
        <f t="shared" si="3"/>
        <v>4.3037278979700879</v>
      </c>
      <c r="L16" s="51">
        <v>67</v>
      </c>
      <c r="M16" s="51">
        <f t="shared" si="5"/>
        <v>0.19402985074626866</v>
      </c>
      <c r="N16" s="51">
        <v>324</v>
      </c>
      <c r="O16" s="51">
        <f t="shared" ref="O16:P16" si="24">D16/7</f>
        <v>1.8571428571428572</v>
      </c>
      <c r="P16" s="51">
        <f t="shared" si="24"/>
        <v>0</v>
      </c>
      <c r="Q16" s="51">
        <f t="shared" si="7"/>
        <v>174</v>
      </c>
      <c r="R16" s="55">
        <v>0</v>
      </c>
      <c r="S16" s="53" t="s">
        <v>34</v>
      </c>
      <c r="T16" s="54" t="s">
        <v>34</v>
      </c>
      <c r="U16" s="55">
        <v>0</v>
      </c>
      <c r="V16" s="55">
        <f t="shared" si="8"/>
        <v>0</v>
      </c>
      <c r="W16" s="55">
        <f t="shared" si="9"/>
        <v>0</v>
      </c>
      <c r="X16" s="55">
        <v>0</v>
      </c>
      <c r="Y16" s="55" t="s">
        <v>35</v>
      </c>
      <c r="Z16" s="56">
        <f t="shared" si="19"/>
        <v>-0.75</v>
      </c>
      <c r="AA16" s="55">
        <v>8.3327546296296282E-2</v>
      </c>
      <c r="AB16" s="55">
        <f t="shared" si="11"/>
        <v>-5.0621484374999985</v>
      </c>
      <c r="AC16" s="55">
        <v>-4.9000000000000004</v>
      </c>
      <c r="AD16" s="55">
        <v>-6.2483760683760678</v>
      </c>
      <c r="AE16" s="55">
        <v>0</v>
      </c>
      <c r="AF16" s="55"/>
    </row>
    <row r="17" spans="1:32" s="57" customFormat="1" ht="15.75" customHeight="1">
      <c r="A17" s="2" t="s">
        <v>67</v>
      </c>
      <c r="B17" s="2" t="s">
        <v>269</v>
      </c>
      <c r="C17" s="51">
        <v>16.989999999999998</v>
      </c>
      <c r="D17" s="51">
        <v>9</v>
      </c>
      <c r="E17" s="51">
        <v>0</v>
      </c>
      <c r="F17" s="51">
        <v>152.90999999999997</v>
      </c>
      <c r="G17" s="51">
        <v>-3.68</v>
      </c>
      <c r="H17" s="51">
        <f t="shared" si="1"/>
        <v>2.4066444313648558E-2</v>
      </c>
      <c r="I17" s="51">
        <f t="shared" si="2"/>
        <v>0.13747275041893792</v>
      </c>
      <c r="J17" s="51">
        <f t="shared" si="4"/>
        <v>21.020958266559791</v>
      </c>
      <c r="K17" s="51">
        <f t="shared" si="3"/>
        <v>2.3356620296177546</v>
      </c>
      <c r="L17" s="51">
        <v>87</v>
      </c>
      <c r="M17" s="51">
        <f t="shared" si="5"/>
        <v>0.10344827586206896</v>
      </c>
      <c r="N17" s="51">
        <v>316</v>
      </c>
      <c r="O17" s="51">
        <f t="shared" ref="O17:P17" si="25">D17/7</f>
        <v>1.2857142857142858</v>
      </c>
      <c r="P17" s="51">
        <f t="shared" si="25"/>
        <v>0</v>
      </c>
      <c r="Q17" s="51">
        <f t="shared" si="7"/>
        <v>245</v>
      </c>
      <c r="R17" s="55">
        <v>0</v>
      </c>
      <c r="S17" s="53" t="s">
        <v>34</v>
      </c>
      <c r="T17" s="54" t="s">
        <v>34</v>
      </c>
      <c r="U17" s="55">
        <v>0</v>
      </c>
      <c r="V17" s="55">
        <f t="shared" si="8"/>
        <v>0</v>
      </c>
      <c r="W17" s="55">
        <f t="shared" si="9"/>
        <v>3.68</v>
      </c>
      <c r="X17" s="55">
        <v>1</v>
      </c>
      <c r="Y17" s="55" t="s">
        <v>35</v>
      </c>
      <c r="Z17" s="56">
        <f t="shared" si="19"/>
        <v>-0.75</v>
      </c>
      <c r="AA17" s="55">
        <v>8.3327546296296282E-2</v>
      </c>
      <c r="AB17" s="55">
        <f t="shared" si="11"/>
        <v>-4.9371571180555547</v>
      </c>
      <c r="AC17" s="55">
        <v>-4.9000000000000004</v>
      </c>
      <c r="AD17" s="55">
        <v>-6.2483760683760678</v>
      </c>
      <c r="AE17" s="55">
        <v>0</v>
      </c>
      <c r="AF17" s="55"/>
    </row>
    <row r="18" spans="1:32" s="57" customFormat="1" ht="15.75" customHeight="1">
      <c r="A18" s="2" t="s">
        <v>69</v>
      </c>
      <c r="B18" s="2" t="s">
        <v>270</v>
      </c>
      <c r="C18" s="51">
        <v>15.99</v>
      </c>
      <c r="D18" s="51">
        <v>13</v>
      </c>
      <c r="E18" s="51">
        <v>0</v>
      </c>
      <c r="F18" s="51">
        <v>214.87000000000003</v>
      </c>
      <c r="G18" s="51">
        <v>-6.9700000000000006</v>
      </c>
      <c r="H18" s="51">
        <f t="shared" si="1"/>
        <v>3.2438218457672079E-2</v>
      </c>
      <c r="I18" s="51">
        <f t="shared" si="2"/>
        <v>0.13172281091797117</v>
      </c>
      <c r="J18" s="51">
        <f t="shared" si="4"/>
        <v>28.303280381944468</v>
      </c>
      <c r="K18" s="51">
        <f t="shared" si="3"/>
        <v>2.1771754139957284</v>
      </c>
      <c r="L18" s="51">
        <v>82</v>
      </c>
      <c r="M18" s="51">
        <f t="shared" si="5"/>
        <v>0.15853658536585366</v>
      </c>
      <c r="N18" s="51">
        <v>295</v>
      </c>
      <c r="O18" s="51">
        <f t="shared" ref="O18:P18" si="26">D18/7</f>
        <v>1.8571428571428572</v>
      </c>
      <c r="P18" s="51">
        <f t="shared" si="26"/>
        <v>0</v>
      </c>
      <c r="Q18" s="51">
        <f t="shared" si="7"/>
        <v>158</v>
      </c>
      <c r="R18" s="55">
        <v>0</v>
      </c>
      <c r="S18" s="53" t="s">
        <v>34</v>
      </c>
      <c r="T18" s="54" t="s">
        <v>34</v>
      </c>
      <c r="U18" s="55">
        <v>0</v>
      </c>
      <c r="V18" s="55">
        <f t="shared" si="8"/>
        <v>0</v>
      </c>
      <c r="W18" s="55">
        <f t="shared" si="9"/>
        <v>0</v>
      </c>
      <c r="X18" s="55">
        <v>0</v>
      </c>
      <c r="Y18" s="55" t="s">
        <v>35</v>
      </c>
      <c r="Z18" s="56">
        <f t="shared" si="19"/>
        <v>-0.75</v>
      </c>
      <c r="AA18" s="55">
        <v>8.3327546296296282E-2</v>
      </c>
      <c r="AB18" s="58">
        <f t="shared" ref="AB18:AB39" si="27">IFERROR(Z18*AA18*D18*3,0)</f>
        <v>-2.4373307291666659</v>
      </c>
      <c r="AC18" s="55">
        <v>-4.9000000000000004</v>
      </c>
      <c r="AD18" s="55">
        <v>-6.2483760683760678</v>
      </c>
      <c r="AE18" s="55">
        <v>0</v>
      </c>
      <c r="AF18" s="55"/>
    </row>
    <row r="19" spans="1:32" s="57" customFormat="1" ht="15.75" customHeight="1">
      <c r="A19" s="2" t="s">
        <v>71</v>
      </c>
      <c r="B19" s="2" t="s">
        <v>271</v>
      </c>
      <c r="C19" s="51">
        <v>15.99</v>
      </c>
      <c r="D19" s="51">
        <v>25</v>
      </c>
      <c r="E19" s="51">
        <v>0</v>
      </c>
      <c r="F19" s="51">
        <v>401.75000000000011</v>
      </c>
      <c r="G19" s="51">
        <v>-5.18</v>
      </c>
      <c r="H19" s="51">
        <f t="shared" si="1"/>
        <v>1.2893590541381452E-2</v>
      </c>
      <c r="I19" s="51">
        <f t="shared" si="2"/>
        <v>0.1257272527975897</v>
      </c>
      <c r="J19" s="51">
        <f t="shared" si="4"/>
        <v>50.510923811431681</v>
      </c>
      <c r="K19" s="51">
        <f t="shared" si="3"/>
        <v>2.0204369524572674</v>
      </c>
      <c r="L19" s="51">
        <v>104</v>
      </c>
      <c r="M19" s="51">
        <f t="shared" si="5"/>
        <v>0.24038461538461539</v>
      </c>
      <c r="N19" s="51">
        <v>282</v>
      </c>
      <c r="O19" s="51">
        <f t="shared" ref="O19:P19" si="28">D19/7</f>
        <v>3.5714285714285716</v>
      </c>
      <c r="P19" s="51">
        <f t="shared" si="28"/>
        <v>0</v>
      </c>
      <c r="Q19" s="51">
        <f t="shared" si="7"/>
        <v>78</v>
      </c>
      <c r="R19" s="55">
        <v>0</v>
      </c>
      <c r="S19" s="53" t="s">
        <v>34</v>
      </c>
      <c r="T19" s="54" t="s">
        <v>34</v>
      </c>
      <c r="U19" s="55">
        <v>1</v>
      </c>
      <c r="V19" s="55">
        <f t="shared" si="8"/>
        <v>0.04</v>
      </c>
      <c r="W19" s="55">
        <f t="shared" si="9"/>
        <v>2.59</v>
      </c>
      <c r="X19" s="55">
        <v>1</v>
      </c>
      <c r="Y19" s="55" t="s">
        <v>35</v>
      </c>
      <c r="Z19" s="56">
        <f t="shared" si="19"/>
        <v>-0.75</v>
      </c>
      <c r="AA19" s="55">
        <v>8.3327546296296282E-2</v>
      </c>
      <c r="AB19" s="55">
        <f t="shared" si="27"/>
        <v>-4.6871744791666652</v>
      </c>
      <c r="AC19" s="55">
        <v>-4.9000000000000004</v>
      </c>
      <c r="AD19" s="55">
        <v>-6.2483760683760678</v>
      </c>
      <c r="AE19" s="55">
        <v>-2.4</v>
      </c>
      <c r="AF19" s="55"/>
    </row>
    <row r="20" spans="1:32" s="57" customFormat="1" ht="15.75" customHeight="1">
      <c r="A20" s="2" t="s">
        <v>73</v>
      </c>
      <c r="B20" s="2" t="s">
        <v>272</v>
      </c>
      <c r="C20" s="51">
        <v>15.99</v>
      </c>
      <c r="D20" s="51">
        <v>31</v>
      </c>
      <c r="E20" s="51">
        <v>0</v>
      </c>
      <c r="F20" s="51">
        <v>496.69000000000011</v>
      </c>
      <c r="G20" s="51">
        <v>-0.08</v>
      </c>
      <c r="H20" s="51">
        <f t="shared" si="1"/>
        <v>1.6106625863214477E-4</v>
      </c>
      <c r="I20" s="51">
        <f t="shared" si="2"/>
        <v>0.14233172708565767</v>
      </c>
      <c r="J20" s="51">
        <f t="shared" si="4"/>
        <v>70.694745526175325</v>
      </c>
      <c r="K20" s="51">
        <f t="shared" si="3"/>
        <v>2.280475662134688</v>
      </c>
      <c r="L20" s="51">
        <v>130</v>
      </c>
      <c r="M20" s="51">
        <f t="shared" si="5"/>
        <v>0.23846153846153847</v>
      </c>
      <c r="N20" s="51">
        <v>227</v>
      </c>
      <c r="O20" s="51">
        <f t="shared" ref="O20:P20" si="29">D20/7</f>
        <v>4.4285714285714288</v>
      </c>
      <c r="P20" s="51">
        <f t="shared" si="29"/>
        <v>0</v>
      </c>
      <c r="Q20" s="51">
        <f t="shared" si="7"/>
        <v>51</v>
      </c>
      <c r="R20" s="55">
        <v>360</v>
      </c>
      <c r="S20" s="53" t="s">
        <v>34</v>
      </c>
      <c r="T20" s="54" t="s">
        <v>34</v>
      </c>
      <c r="U20" s="55">
        <v>0</v>
      </c>
      <c r="V20" s="55">
        <f t="shared" si="8"/>
        <v>0</v>
      </c>
      <c r="W20" s="55">
        <f t="shared" si="9"/>
        <v>0</v>
      </c>
      <c r="X20" s="55">
        <v>0</v>
      </c>
      <c r="Y20" s="55" t="s">
        <v>35</v>
      </c>
      <c r="Z20" s="56">
        <f t="shared" si="19"/>
        <v>-0.75</v>
      </c>
      <c r="AA20" s="55">
        <v>8.3327546296296282E-2</v>
      </c>
      <c r="AB20" s="55">
        <f t="shared" si="27"/>
        <v>-5.8120963541666653</v>
      </c>
      <c r="AC20" s="55">
        <v>-4.9000000000000004</v>
      </c>
      <c r="AD20" s="55">
        <v>-6.2483760683760678</v>
      </c>
      <c r="AE20" s="55">
        <v>0</v>
      </c>
      <c r="AF20" s="55"/>
    </row>
    <row r="21" spans="1:32" s="57" customFormat="1" ht="15.75" customHeight="1">
      <c r="A21" s="2" t="s">
        <v>75</v>
      </c>
      <c r="B21" s="2" t="s">
        <v>273</v>
      </c>
      <c r="C21" s="51">
        <v>15.99</v>
      </c>
      <c r="D21" s="51">
        <v>48</v>
      </c>
      <c r="E21" s="51">
        <v>0</v>
      </c>
      <c r="F21" s="51">
        <v>767.52000000000021</v>
      </c>
      <c r="G21" s="51">
        <v>-2.02</v>
      </c>
      <c r="H21" s="51">
        <f t="shared" si="1"/>
        <v>2.6318532416093384E-3</v>
      </c>
      <c r="I21" s="51">
        <f t="shared" si="2"/>
        <v>0.13843362220912664</v>
      </c>
      <c r="J21" s="51">
        <f t="shared" si="4"/>
        <v>106.25057371794891</v>
      </c>
      <c r="K21" s="51">
        <f t="shared" si="3"/>
        <v>2.2135536191239358</v>
      </c>
      <c r="L21" s="51">
        <v>183</v>
      </c>
      <c r="M21" s="51">
        <f t="shared" si="5"/>
        <v>0.26229508196721313</v>
      </c>
      <c r="N21" s="51">
        <v>200</v>
      </c>
      <c r="O21" s="51">
        <f t="shared" ref="O21:P21" si="30">D21/7</f>
        <v>6.8571428571428568</v>
      </c>
      <c r="P21" s="51">
        <f t="shared" si="30"/>
        <v>0</v>
      </c>
      <c r="Q21" s="51">
        <f t="shared" si="7"/>
        <v>29</v>
      </c>
      <c r="R21" s="55">
        <v>360</v>
      </c>
      <c r="S21" s="53">
        <v>360</v>
      </c>
      <c r="T21" s="54">
        <v>43969</v>
      </c>
      <c r="U21" s="55">
        <v>0</v>
      </c>
      <c r="V21" s="55">
        <f t="shared" si="8"/>
        <v>0</v>
      </c>
      <c r="W21" s="55">
        <f t="shared" si="9"/>
        <v>0</v>
      </c>
      <c r="X21" s="55">
        <v>0</v>
      </c>
      <c r="Y21" s="55" t="s">
        <v>35</v>
      </c>
      <c r="Z21" s="56">
        <f t="shared" si="19"/>
        <v>-0.75</v>
      </c>
      <c r="AA21" s="55">
        <v>8.3327546296296282E-2</v>
      </c>
      <c r="AB21" s="55">
        <f t="shared" si="27"/>
        <v>-8.999374999999997</v>
      </c>
      <c r="AC21" s="55">
        <v>-4.9000000000000004</v>
      </c>
      <c r="AD21" s="55">
        <v>-6.2483760683760678</v>
      </c>
      <c r="AE21" s="55">
        <v>0</v>
      </c>
      <c r="AF21" s="55"/>
    </row>
    <row r="22" spans="1:32" s="57" customFormat="1" ht="15.75" customHeight="1">
      <c r="A22" s="2" t="s">
        <v>77</v>
      </c>
      <c r="B22" s="2" t="s">
        <v>274</v>
      </c>
      <c r="C22" s="51">
        <v>15.99</v>
      </c>
      <c r="D22" s="51">
        <v>58</v>
      </c>
      <c r="E22" s="51">
        <v>0</v>
      </c>
      <c r="F22" s="51">
        <v>927.42000000000041</v>
      </c>
      <c r="G22" s="51">
        <v>-2.5</v>
      </c>
      <c r="H22" s="51">
        <f t="shared" si="1"/>
        <v>2.6956502986780519E-3</v>
      </c>
      <c r="I22" s="51">
        <f t="shared" si="2"/>
        <v>0.13836982515205803</v>
      </c>
      <c r="J22" s="51">
        <f t="shared" si="4"/>
        <v>128.32694324252171</v>
      </c>
      <c r="K22" s="51">
        <f t="shared" si="3"/>
        <v>2.2125335041814087</v>
      </c>
      <c r="L22" s="51">
        <v>168</v>
      </c>
      <c r="M22" s="51">
        <f t="shared" si="5"/>
        <v>0.34523809523809523</v>
      </c>
      <c r="N22" s="51">
        <v>128</v>
      </c>
      <c r="O22" s="51">
        <f t="shared" ref="O22:P22" si="31">D22/7</f>
        <v>8.2857142857142865</v>
      </c>
      <c r="P22" s="51">
        <f t="shared" si="31"/>
        <v>0</v>
      </c>
      <c r="Q22" s="51">
        <f t="shared" si="7"/>
        <v>15</v>
      </c>
      <c r="R22" s="55">
        <v>360</v>
      </c>
      <c r="S22" s="53">
        <v>360</v>
      </c>
      <c r="T22" s="54">
        <v>43969</v>
      </c>
      <c r="U22" s="55">
        <v>0</v>
      </c>
      <c r="V22" s="55">
        <f t="shared" si="8"/>
        <v>0</v>
      </c>
      <c r="W22" s="55">
        <f t="shared" si="9"/>
        <v>0</v>
      </c>
      <c r="X22" s="55">
        <v>0</v>
      </c>
      <c r="Y22" s="55" t="s">
        <v>35</v>
      </c>
      <c r="Z22" s="56">
        <f t="shared" si="19"/>
        <v>-0.75</v>
      </c>
      <c r="AA22" s="55">
        <v>8.3327546296296282E-2</v>
      </c>
      <c r="AB22" s="55">
        <f t="shared" si="27"/>
        <v>-10.874244791666664</v>
      </c>
      <c r="AC22" s="55">
        <v>-4.9000000000000004</v>
      </c>
      <c r="AD22" s="55">
        <v>-6.2483760683760678</v>
      </c>
      <c r="AE22" s="55">
        <v>0</v>
      </c>
      <c r="AF22" s="55"/>
    </row>
    <row r="23" spans="1:32" s="57" customFormat="1" ht="15.75" customHeight="1">
      <c r="A23" s="2" t="s">
        <v>79</v>
      </c>
      <c r="B23" s="2" t="s">
        <v>275</v>
      </c>
      <c r="C23" s="51">
        <v>16.989999999999998</v>
      </c>
      <c r="D23" s="51">
        <v>53</v>
      </c>
      <c r="E23" s="51">
        <v>0</v>
      </c>
      <c r="F23" s="51">
        <v>869.47000000000037</v>
      </c>
      <c r="G23" s="51">
        <v>-4.1500000000000004</v>
      </c>
      <c r="H23" s="51">
        <f t="shared" si="1"/>
        <v>4.7730226459797333E-3</v>
      </c>
      <c r="I23" s="51">
        <f t="shared" si="2"/>
        <v>0.15423046048769398</v>
      </c>
      <c r="J23" s="51">
        <f t="shared" si="4"/>
        <v>134.09875848023535</v>
      </c>
      <c r="K23" s="51">
        <f t="shared" si="3"/>
        <v>2.5301652543440634</v>
      </c>
      <c r="L23" s="51">
        <v>212</v>
      </c>
      <c r="M23" s="51">
        <f t="shared" si="5"/>
        <v>0.25</v>
      </c>
      <c r="N23" s="51">
        <v>84</v>
      </c>
      <c r="O23" s="51">
        <f t="shared" ref="O23:P23" si="32">D23/7</f>
        <v>7.5714285714285712</v>
      </c>
      <c r="P23" s="51">
        <f t="shared" si="32"/>
        <v>0</v>
      </c>
      <c r="Q23" s="51">
        <f t="shared" si="7"/>
        <v>11</v>
      </c>
      <c r="R23" s="55">
        <v>360</v>
      </c>
      <c r="S23" s="53">
        <v>360</v>
      </c>
      <c r="T23" s="54">
        <v>43969</v>
      </c>
      <c r="U23" s="55">
        <v>1</v>
      </c>
      <c r="V23" s="55">
        <f t="shared" si="8"/>
        <v>1.8867924528301886E-2</v>
      </c>
      <c r="W23" s="55">
        <f t="shared" si="9"/>
        <v>4.1500000000000004</v>
      </c>
      <c r="X23" s="55">
        <v>0</v>
      </c>
      <c r="Y23" s="55" t="s">
        <v>35</v>
      </c>
      <c r="Z23" s="56">
        <f t="shared" si="19"/>
        <v>-0.75</v>
      </c>
      <c r="AA23" s="55">
        <v>8.3327546296296282E-2</v>
      </c>
      <c r="AB23" s="55">
        <f t="shared" si="27"/>
        <v>-9.9368098958333313</v>
      </c>
      <c r="AC23" s="55">
        <v>-4.9000000000000004</v>
      </c>
      <c r="AD23" s="55">
        <v>-6.2483760683760678</v>
      </c>
      <c r="AE23" s="55">
        <v>0</v>
      </c>
      <c r="AF23" s="55"/>
    </row>
    <row r="24" spans="1:32" s="57" customFormat="1" ht="15.75" customHeight="1">
      <c r="A24" s="2" t="s">
        <v>80</v>
      </c>
      <c r="B24" s="2" t="s">
        <v>276</v>
      </c>
      <c r="C24" s="51">
        <v>16.989999999999998</v>
      </c>
      <c r="D24" s="51">
        <v>65</v>
      </c>
      <c r="E24" s="51">
        <v>0</v>
      </c>
      <c r="F24" s="51">
        <v>1136.3500000000004</v>
      </c>
      <c r="G24" s="51">
        <v>-1.19</v>
      </c>
      <c r="H24" s="51">
        <f t="shared" si="1"/>
        <v>1.0472125665507983E-3</v>
      </c>
      <c r="I24" s="51">
        <f t="shared" si="2"/>
        <v>0.20053364008423674</v>
      </c>
      <c r="J24" s="51">
        <f t="shared" si="4"/>
        <v>227.87640190972249</v>
      </c>
      <c r="K24" s="51">
        <f t="shared" si="3"/>
        <v>3.5057907986111152</v>
      </c>
      <c r="L24" s="51">
        <v>234</v>
      </c>
      <c r="M24" s="51">
        <f t="shared" si="5"/>
        <v>0.27777777777777779</v>
      </c>
      <c r="N24" s="51">
        <v>14</v>
      </c>
      <c r="O24" s="51">
        <f t="shared" ref="O24:P24" si="33">D24/7</f>
        <v>9.2857142857142865</v>
      </c>
      <c r="P24" s="51">
        <f t="shared" si="33"/>
        <v>0</v>
      </c>
      <c r="Q24" s="51">
        <f t="shared" si="7"/>
        <v>1</v>
      </c>
      <c r="R24" s="55">
        <v>360</v>
      </c>
      <c r="S24" s="53">
        <v>360</v>
      </c>
      <c r="T24" s="54">
        <v>43969</v>
      </c>
      <c r="U24" s="55">
        <v>0</v>
      </c>
      <c r="V24" s="55">
        <f t="shared" si="8"/>
        <v>0</v>
      </c>
      <c r="W24" s="55">
        <f t="shared" si="9"/>
        <v>0</v>
      </c>
      <c r="X24" s="55">
        <v>0</v>
      </c>
      <c r="Y24" s="55" t="s">
        <v>35</v>
      </c>
      <c r="Z24" s="56">
        <f t="shared" si="19"/>
        <v>-0.75</v>
      </c>
      <c r="AA24" s="55">
        <v>8.3327546296296282E-2</v>
      </c>
      <c r="AB24" s="55">
        <f t="shared" si="27"/>
        <v>-12.18665364583333</v>
      </c>
      <c r="AC24" s="55">
        <v>-4.9000000000000004</v>
      </c>
      <c r="AD24" s="55">
        <v>-6.2483760683760678</v>
      </c>
      <c r="AE24" s="55">
        <v>0</v>
      </c>
      <c r="AF24" s="55"/>
    </row>
    <row r="25" spans="1:32" s="57" customFormat="1" ht="15.75" customHeight="1">
      <c r="A25" s="2" t="s">
        <v>81</v>
      </c>
      <c r="B25" s="2" t="s">
        <v>277</v>
      </c>
      <c r="C25" s="51"/>
      <c r="D25" s="51">
        <v>21</v>
      </c>
      <c r="E25" s="51">
        <v>0</v>
      </c>
      <c r="F25" s="51">
        <v>395.79000000000008</v>
      </c>
      <c r="G25" s="51">
        <v>0</v>
      </c>
      <c r="H25" s="51">
        <f t="shared" si="1"/>
        <v>0</v>
      </c>
      <c r="I25" s="51">
        <f t="shared" si="2"/>
        <v>0.24853678971576487</v>
      </c>
      <c r="J25" s="51">
        <f t="shared" si="4"/>
        <v>98.368376001602599</v>
      </c>
      <c r="K25" s="51">
        <f t="shared" si="3"/>
        <v>4.6842083810286947</v>
      </c>
      <c r="L25" s="51">
        <v>117</v>
      </c>
      <c r="M25" s="51">
        <f t="shared" si="5"/>
        <v>0.17948717948717949</v>
      </c>
      <c r="N25" s="51">
        <v>362</v>
      </c>
      <c r="O25" s="51">
        <f t="shared" ref="O25:P25" si="34">D25/7</f>
        <v>3</v>
      </c>
      <c r="P25" s="51">
        <f t="shared" si="34"/>
        <v>0</v>
      </c>
      <c r="Q25" s="51">
        <f t="shared" si="7"/>
        <v>120</v>
      </c>
      <c r="R25" s="55">
        <v>0</v>
      </c>
      <c r="S25" s="53" t="s">
        <v>34</v>
      </c>
      <c r="T25" s="54" t="s">
        <v>34</v>
      </c>
      <c r="U25" s="55">
        <v>0</v>
      </c>
      <c r="V25" s="55">
        <f t="shared" si="8"/>
        <v>0</v>
      </c>
      <c r="W25" s="55">
        <f t="shared" si="9"/>
        <v>0</v>
      </c>
      <c r="X25" s="55">
        <v>0</v>
      </c>
      <c r="Y25" s="55" t="s">
        <v>35</v>
      </c>
      <c r="Z25" s="56">
        <f t="shared" si="19"/>
        <v>-0.75</v>
      </c>
      <c r="AA25" s="55">
        <v>8.3327546296296282E-2</v>
      </c>
      <c r="AB25" s="55">
        <f t="shared" si="27"/>
        <v>-3.9372265624999989</v>
      </c>
      <c r="AC25" s="55">
        <v>-4.9000000000000004</v>
      </c>
      <c r="AD25" s="55">
        <v>-6.2483760683760678</v>
      </c>
      <c r="AE25" s="55">
        <v>0</v>
      </c>
      <c r="AF25" s="55"/>
    </row>
    <row r="26" spans="1:32" s="57" customFormat="1" ht="15.75" customHeight="1">
      <c r="A26" s="2" t="s">
        <v>83</v>
      </c>
      <c r="B26" s="2" t="s">
        <v>278</v>
      </c>
      <c r="C26" s="51">
        <f t="shared" ref="C26:C39" si="35">IFERROR(F26/D26," - ")</f>
        <v>18.640000000000004</v>
      </c>
      <c r="D26" s="51">
        <v>20</v>
      </c>
      <c r="E26" s="51">
        <v>0</v>
      </c>
      <c r="F26" s="51">
        <v>372.80000000000007</v>
      </c>
      <c r="G26" s="51">
        <v>-2.95</v>
      </c>
      <c r="H26" s="51">
        <f t="shared" si="1"/>
        <v>7.9130901287553634E-3</v>
      </c>
      <c r="I26" s="51">
        <f t="shared" si="2"/>
        <v>0.23393975066830835</v>
      </c>
      <c r="J26" s="51">
        <f t="shared" si="4"/>
        <v>87.21273904914537</v>
      </c>
      <c r="K26" s="51">
        <f t="shared" si="3"/>
        <v>4.3606369524572681</v>
      </c>
      <c r="L26" s="51">
        <v>93</v>
      </c>
      <c r="M26" s="51">
        <f t="shared" si="5"/>
        <v>0.21505376344086022</v>
      </c>
      <c r="N26" s="51">
        <v>332</v>
      </c>
      <c r="O26" s="51">
        <f t="shared" ref="O26:P26" si="36">D26/7</f>
        <v>2.8571428571428572</v>
      </c>
      <c r="P26" s="51">
        <f t="shared" si="36"/>
        <v>0</v>
      </c>
      <c r="Q26" s="51">
        <f t="shared" si="7"/>
        <v>116</v>
      </c>
      <c r="R26" s="55">
        <v>378</v>
      </c>
      <c r="S26" s="53">
        <v>378</v>
      </c>
      <c r="T26" s="54">
        <v>44008</v>
      </c>
      <c r="U26" s="55">
        <v>0</v>
      </c>
      <c r="V26" s="55">
        <f t="shared" si="8"/>
        <v>0</v>
      </c>
      <c r="W26" s="55">
        <f t="shared" si="9"/>
        <v>2.95</v>
      </c>
      <c r="X26" s="55">
        <v>1</v>
      </c>
      <c r="Y26" s="55" t="s">
        <v>35</v>
      </c>
      <c r="Z26" s="56">
        <f t="shared" si="19"/>
        <v>-0.75</v>
      </c>
      <c r="AA26" s="55">
        <v>8.3327546296296282E-2</v>
      </c>
      <c r="AB26" s="55">
        <f t="shared" si="27"/>
        <v>-3.7497395833333327</v>
      </c>
      <c r="AC26" s="55">
        <v>-4.9000000000000004</v>
      </c>
      <c r="AD26" s="55">
        <v>-6.2483760683760678</v>
      </c>
      <c r="AE26" s="55">
        <v>0</v>
      </c>
      <c r="AF26" s="55"/>
    </row>
    <row r="27" spans="1:32" s="57" customFormat="1" ht="15.75" customHeight="1">
      <c r="A27" s="2" t="s">
        <v>84</v>
      </c>
      <c r="B27" s="2" t="s">
        <v>279</v>
      </c>
      <c r="C27" s="51">
        <f t="shared" si="35"/>
        <v>17.700526315789478</v>
      </c>
      <c r="D27" s="51">
        <v>38</v>
      </c>
      <c r="E27" s="51">
        <v>0</v>
      </c>
      <c r="F27" s="51">
        <v>672.62000000000023</v>
      </c>
      <c r="G27" s="51">
        <v>-16.61</v>
      </c>
      <c r="H27" s="51">
        <f t="shared" si="1"/>
        <v>2.469447830870327E-2</v>
      </c>
      <c r="I27" s="51">
        <f t="shared" si="2"/>
        <v>0.1848803249879222</v>
      </c>
      <c r="J27" s="51">
        <f t="shared" si="4"/>
        <v>124.35420419337628</v>
      </c>
      <c r="K27" s="51">
        <f t="shared" si="3"/>
        <v>3.2724790577204281</v>
      </c>
      <c r="L27" s="51">
        <v>118</v>
      </c>
      <c r="M27" s="51">
        <f t="shared" si="5"/>
        <v>0.32203389830508472</v>
      </c>
      <c r="N27" s="51">
        <v>303</v>
      </c>
      <c r="O27" s="51">
        <f t="shared" ref="O27:P27" si="37">D27/7</f>
        <v>5.4285714285714288</v>
      </c>
      <c r="P27" s="51">
        <f t="shared" si="37"/>
        <v>0</v>
      </c>
      <c r="Q27" s="51">
        <f t="shared" si="7"/>
        <v>55</v>
      </c>
      <c r="R27" s="55">
        <v>378</v>
      </c>
      <c r="S27" s="53">
        <v>378</v>
      </c>
      <c r="T27" s="54">
        <v>44013</v>
      </c>
      <c r="U27" s="55">
        <v>1</v>
      </c>
      <c r="V27" s="55">
        <f t="shared" si="8"/>
        <v>2.6315789473684209E-2</v>
      </c>
      <c r="W27" s="55">
        <f t="shared" si="9"/>
        <v>16.61</v>
      </c>
      <c r="X27" s="55">
        <v>0</v>
      </c>
      <c r="Y27" s="55" t="s">
        <v>35</v>
      </c>
      <c r="Z27" s="56">
        <f t="shared" si="19"/>
        <v>-0.75</v>
      </c>
      <c r="AA27" s="55">
        <v>8.3327546296296282E-2</v>
      </c>
      <c r="AB27" s="55">
        <f t="shared" si="27"/>
        <v>-7.124505208333332</v>
      </c>
      <c r="AC27" s="55">
        <v>-4.9000000000000004</v>
      </c>
      <c r="AD27" s="55">
        <v>-6.2483760683760678</v>
      </c>
      <c r="AE27" s="55">
        <v>0</v>
      </c>
      <c r="AF27" s="55"/>
    </row>
    <row r="28" spans="1:32" s="57" customFormat="1" ht="15.75" customHeight="1">
      <c r="A28" s="2" t="s">
        <v>86</v>
      </c>
      <c r="B28" s="2" t="s">
        <v>280</v>
      </c>
      <c r="C28" s="51">
        <f t="shared" si="35"/>
        <v>16.107647058823535</v>
      </c>
      <c r="D28" s="51">
        <v>51</v>
      </c>
      <c r="E28" s="51">
        <v>0</v>
      </c>
      <c r="F28" s="51">
        <v>821.49000000000035</v>
      </c>
      <c r="G28" s="51">
        <v>-12.7</v>
      </c>
      <c r="H28" s="51">
        <f t="shared" si="1"/>
        <v>1.5459713447516092E-2</v>
      </c>
      <c r="I28" s="51">
        <f t="shared" si="2"/>
        <v>0.12452675574300448</v>
      </c>
      <c r="J28" s="51">
        <f t="shared" si="4"/>
        <v>102.29748457532079</v>
      </c>
      <c r="K28" s="51">
        <f t="shared" si="3"/>
        <v>2.0058330308886432</v>
      </c>
      <c r="L28" s="51">
        <v>159</v>
      </c>
      <c r="M28" s="51">
        <f t="shared" si="5"/>
        <v>0.32075471698113206</v>
      </c>
      <c r="N28" s="51">
        <v>240</v>
      </c>
      <c r="O28" s="51">
        <f t="shared" ref="O28:P28" si="38">D28/7</f>
        <v>7.2857142857142856</v>
      </c>
      <c r="P28" s="51">
        <f t="shared" si="38"/>
        <v>0</v>
      </c>
      <c r="Q28" s="51">
        <f t="shared" si="7"/>
        <v>32</v>
      </c>
      <c r="R28" s="55">
        <v>378</v>
      </c>
      <c r="S28" s="53">
        <v>378</v>
      </c>
      <c r="T28" s="54">
        <v>44013</v>
      </c>
      <c r="U28" s="55">
        <v>0</v>
      </c>
      <c r="V28" s="55">
        <f t="shared" si="8"/>
        <v>0</v>
      </c>
      <c r="W28" s="55">
        <f t="shared" si="9"/>
        <v>12.7</v>
      </c>
      <c r="X28" s="55">
        <v>1</v>
      </c>
      <c r="Y28" s="55" t="s">
        <v>35</v>
      </c>
      <c r="Z28" s="56">
        <f t="shared" si="19"/>
        <v>-0.75</v>
      </c>
      <c r="AA28" s="55">
        <v>8.3327546296296282E-2</v>
      </c>
      <c r="AB28" s="55">
        <f t="shared" si="27"/>
        <v>-9.5618359374999979</v>
      </c>
      <c r="AC28" s="55">
        <v>-4.9000000000000004</v>
      </c>
      <c r="AD28" s="55">
        <v>-6.2483760683760678</v>
      </c>
      <c r="AE28" s="55">
        <v>-5.14</v>
      </c>
      <c r="AF28" s="55"/>
    </row>
    <row r="29" spans="1:32" s="57" customFormat="1" ht="15.75" customHeight="1">
      <c r="A29" s="2" t="s">
        <v>87</v>
      </c>
      <c r="B29" s="2" t="s">
        <v>281</v>
      </c>
      <c r="C29" s="51">
        <f t="shared" si="35"/>
        <v>15.38024390243903</v>
      </c>
      <c r="D29" s="51">
        <v>41</v>
      </c>
      <c r="E29" s="51">
        <v>0</v>
      </c>
      <c r="F29" s="51">
        <v>630.59000000000026</v>
      </c>
      <c r="G29" s="51">
        <v>-0.21000000000000002</v>
      </c>
      <c r="H29" s="51">
        <f t="shared" si="1"/>
        <v>3.3302145609667125E-4</v>
      </c>
      <c r="I29" s="51">
        <f t="shared" si="2"/>
        <v>0.11262645308480633</v>
      </c>
      <c r="J29" s="51">
        <f t="shared" si="4"/>
        <v>71.021115050748051</v>
      </c>
      <c r="K29" s="51">
        <f t="shared" si="3"/>
        <v>1.732222318310928</v>
      </c>
      <c r="L29" s="51">
        <v>157</v>
      </c>
      <c r="M29" s="51">
        <f t="shared" si="5"/>
        <v>0.26114649681528662</v>
      </c>
      <c r="N29" s="51">
        <v>224</v>
      </c>
      <c r="O29" s="51">
        <f t="shared" ref="O29:P29" si="39">D29/7</f>
        <v>5.8571428571428568</v>
      </c>
      <c r="P29" s="51">
        <f t="shared" si="39"/>
        <v>0</v>
      </c>
      <c r="Q29" s="51">
        <f t="shared" si="7"/>
        <v>38</v>
      </c>
      <c r="R29" s="55">
        <v>378</v>
      </c>
      <c r="S29" s="53">
        <v>378</v>
      </c>
      <c r="T29" s="54">
        <v>44013</v>
      </c>
      <c r="U29" s="55">
        <v>0</v>
      </c>
      <c r="V29" s="55">
        <f t="shared" si="8"/>
        <v>0</v>
      </c>
      <c r="W29" s="55">
        <f t="shared" si="9"/>
        <v>0</v>
      </c>
      <c r="X29" s="55">
        <v>0</v>
      </c>
      <c r="Y29" s="55" t="s">
        <v>35</v>
      </c>
      <c r="Z29" s="56">
        <f t="shared" si="19"/>
        <v>-0.75</v>
      </c>
      <c r="AA29" s="55">
        <v>8.3327546296296282E-2</v>
      </c>
      <c r="AB29" s="55">
        <f t="shared" si="27"/>
        <v>-7.686966145833332</v>
      </c>
      <c r="AC29" s="55">
        <v>-4.9000000000000004</v>
      </c>
      <c r="AD29" s="55">
        <v>-6.2483760683760678</v>
      </c>
      <c r="AE29" s="55">
        <v>0</v>
      </c>
      <c r="AF29" s="55"/>
    </row>
    <row r="30" spans="1:32" s="57" customFormat="1" ht="15.75" customHeight="1">
      <c r="A30" s="2" t="s">
        <v>89</v>
      </c>
      <c r="B30" s="2" t="s">
        <v>282</v>
      </c>
      <c r="C30" s="51">
        <f t="shared" si="35"/>
        <v>16.010476190476197</v>
      </c>
      <c r="D30" s="51">
        <v>42</v>
      </c>
      <c r="E30" s="51">
        <v>0</v>
      </c>
      <c r="F30" s="51">
        <v>672.44000000000028</v>
      </c>
      <c r="G30" s="51">
        <v>-0.19</v>
      </c>
      <c r="H30" s="51">
        <f t="shared" si="1"/>
        <v>2.825530902385342E-4</v>
      </c>
      <c r="I30" s="51">
        <f t="shared" si="2"/>
        <v>0.14168959610255966</v>
      </c>
      <c r="J30" s="51">
        <f t="shared" si="4"/>
        <v>95.277752003205251</v>
      </c>
      <c r="K30" s="51">
        <f t="shared" si="3"/>
        <v>2.2685179048382205</v>
      </c>
      <c r="L30" s="51">
        <v>172</v>
      </c>
      <c r="M30" s="51">
        <f t="shared" si="5"/>
        <v>0.2441860465116279</v>
      </c>
      <c r="N30" s="51">
        <v>550</v>
      </c>
      <c r="O30" s="51">
        <f t="shared" ref="O30:P30" si="40">D30/7</f>
        <v>6</v>
      </c>
      <c r="P30" s="51">
        <f t="shared" si="40"/>
        <v>0</v>
      </c>
      <c r="Q30" s="51">
        <f t="shared" si="7"/>
        <v>91</v>
      </c>
      <c r="R30" s="55">
        <v>378</v>
      </c>
      <c r="S30" s="53">
        <v>378</v>
      </c>
      <c r="T30" s="54">
        <v>44013</v>
      </c>
      <c r="U30" s="55">
        <v>0</v>
      </c>
      <c r="V30" s="55">
        <f t="shared" si="8"/>
        <v>0</v>
      </c>
      <c r="W30" s="55">
        <f t="shared" si="9"/>
        <v>9.5000000000000001E-2</v>
      </c>
      <c r="X30" s="55">
        <v>2</v>
      </c>
      <c r="Y30" s="55" t="s">
        <v>35</v>
      </c>
      <c r="Z30" s="56">
        <f t="shared" si="19"/>
        <v>-0.75</v>
      </c>
      <c r="AA30" s="55">
        <v>8.3327546296296282E-2</v>
      </c>
      <c r="AB30" s="55">
        <f t="shared" si="27"/>
        <v>-7.8744531249999978</v>
      </c>
      <c r="AC30" s="55">
        <v>-4.9000000000000004</v>
      </c>
      <c r="AD30" s="55">
        <v>-6.2483760683760678</v>
      </c>
      <c r="AE30" s="55">
        <v>0</v>
      </c>
      <c r="AF30" s="55"/>
    </row>
    <row r="31" spans="1:32" s="57" customFormat="1" ht="15.75" customHeight="1">
      <c r="A31" s="2" t="s">
        <v>90</v>
      </c>
      <c r="B31" s="2" t="s">
        <v>283</v>
      </c>
      <c r="C31" s="51">
        <f t="shared" si="35"/>
        <v>15.191904761904757</v>
      </c>
      <c r="D31" s="51">
        <v>42</v>
      </c>
      <c r="E31" s="51">
        <v>0</v>
      </c>
      <c r="F31" s="51">
        <v>638.05999999999983</v>
      </c>
      <c r="G31" s="51">
        <v>0</v>
      </c>
      <c r="H31" s="51">
        <f t="shared" si="1"/>
        <v>0</v>
      </c>
      <c r="I31" s="51">
        <f t="shared" si="2"/>
        <v>0.10382213585431625</v>
      </c>
      <c r="J31" s="51">
        <f t="shared" si="4"/>
        <v>66.244752003205008</v>
      </c>
      <c r="K31" s="51">
        <f t="shared" si="3"/>
        <v>1.5772560000763096</v>
      </c>
      <c r="L31" s="51">
        <v>159</v>
      </c>
      <c r="M31" s="51">
        <f t="shared" si="5"/>
        <v>0.26415094339622641</v>
      </c>
      <c r="N31" s="51">
        <v>515</v>
      </c>
      <c r="O31" s="51">
        <f t="shared" ref="O31:P31" si="41">D31/7</f>
        <v>6</v>
      </c>
      <c r="P31" s="51">
        <f t="shared" si="41"/>
        <v>0</v>
      </c>
      <c r="Q31" s="51">
        <f t="shared" si="7"/>
        <v>85</v>
      </c>
      <c r="R31" s="55">
        <v>0</v>
      </c>
      <c r="S31" s="53" t="s">
        <v>34</v>
      </c>
      <c r="T31" s="54" t="s">
        <v>34</v>
      </c>
      <c r="U31" s="55">
        <v>0</v>
      </c>
      <c r="V31" s="55">
        <f t="shared" si="8"/>
        <v>0</v>
      </c>
      <c r="W31" s="55">
        <f t="shared" si="9"/>
        <v>0</v>
      </c>
      <c r="X31" s="55">
        <v>0</v>
      </c>
      <c r="Y31" s="55" t="s">
        <v>35</v>
      </c>
      <c r="Z31" s="56">
        <f t="shared" si="19"/>
        <v>-0.75</v>
      </c>
      <c r="AA31" s="55">
        <v>8.3327546296296282E-2</v>
      </c>
      <c r="AB31" s="55">
        <f t="shared" si="27"/>
        <v>-7.8744531249999978</v>
      </c>
      <c r="AC31" s="55">
        <v>-4.9000000000000004</v>
      </c>
      <c r="AD31" s="55">
        <v>-6.2483760683760678</v>
      </c>
      <c r="AE31" s="55">
        <v>0</v>
      </c>
      <c r="AF31" s="55"/>
    </row>
    <row r="32" spans="1:32" s="57" customFormat="1" ht="15.75" customHeight="1">
      <c r="A32" s="2" t="s">
        <v>92</v>
      </c>
      <c r="B32" s="2" t="s">
        <v>284</v>
      </c>
      <c r="C32" s="51">
        <f t="shared" si="35"/>
        <v>15.049538461538475</v>
      </c>
      <c r="D32" s="51">
        <v>65</v>
      </c>
      <c r="E32" s="51">
        <v>0</v>
      </c>
      <c r="F32" s="51">
        <v>978.22000000000082</v>
      </c>
      <c r="G32" s="51">
        <v>0</v>
      </c>
      <c r="H32" s="51">
        <f t="shared" si="1"/>
        <v>0</v>
      </c>
      <c r="I32" s="51">
        <f t="shared" si="2"/>
        <v>9.6763408956801994E-2</v>
      </c>
      <c r="J32" s="51">
        <f t="shared" si="4"/>
        <v>94.655901909722928</v>
      </c>
      <c r="K32" s="51">
        <f t="shared" si="3"/>
        <v>1.4562446447649682</v>
      </c>
      <c r="L32" s="51">
        <v>206</v>
      </c>
      <c r="M32" s="51">
        <f t="shared" si="5"/>
        <v>0.3155339805825243</v>
      </c>
      <c r="N32" s="51">
        <v>430</v>
      </c>
      <c r="O32" s="51">
        <f t="shared" ref="O32:P32" si="42">D32/7</f>
        <v>9.2857142857142865</v>
      </c>
      <c r="P32" s="51">
        <f t="shared" si="42"/>
        <v>0</v>
      </c>
      <c r="Q32" s="51">
        <f t="shared" si="7"/>
        <v>46</v>
      </c>
      <c r="R32" s="55">
        <v>0</v>
      </c>
      <c r="S32" s="53" t="s">
        <v>34</v>
      </c>
      <c r="T32" s="54" t="s">
        <v>34</v>
      </c>
      <c r="U32" s="55">
        <v>0</v>
      </c>
      <c r="V32" s="55">
        <f t="shared" si="8"/>
        <v>0</v>
      </c>
      <c r="W32" s="55">
        <f t="shared" si="9"/>
        <v>0</v>
      </c>
      <c r="X32" s="55">
        <v>0</v>
      </c>
      <c r="Y32" s="55" t="s">
        <v>35</v>
      </c>
      <c r="Z32" s="56">
        <f t="shared" si="19"/>
        <v>-0.75</v>
      </c>
      <c r="AA32" s="55">
        <v>8.3327546296296282E-2</v>
      </c>
      <c r="AB32" s="55">
        <f t="shared" si="27"/>
        <v>-12.18665364583333</v>
      </c>
      <c r="AC32" s="55">
        <v>-4.9000000000000004</v>
      </c>
      <c r="AD32" s="55">
        <v>-6.2483760683760678</v>
      </c>
      <c r="AE32" s="55">
        <v>0</v>
      </c>
      <c r="AF32" s="52">
        <v>2.0017777777777699</v>
      </c>
    </row>
    <row r="33" spans="1:32" s="57" customFormat="1" ht="15.75" customHeight="1">
      <c r="A33" s="2" t="s">
        <v>94</v>
      </c>
      <c r="B33" s="2" t="s">
        <v>285</v>
      </c>
      <c r="C33" s="51">
        <f t="shared" si="35"/>
        <v>15.261230769230787</v>
      </c>
      <c r="D33" s="51">
        <v>65</v>
      </c>
      <c r="E33" s="51">
        <v>0</v>
      </c>
      <c r="F33" s="51">
        <v>991.98000000000116</v>
      </c>
      <c r="G33" s="51">
        <v>-0.03</v>
      </c>
      <c r="H33" s="51">
        <f t="shared" si="1"/>
        <v>3.0242545212605057E-5</v>
      </c>
      <c r="I33" s="51">
        <f t="shared" si="2"/>
        <v>0.10718149751983225</v>
      </c>
      <c r="J33" s="51">
        <f t="shared" si="4"/>
        <v>106.32190190972332</v>
      </c>
      <c r="K33" s="51">
        <f t="shared" si="3"/>
        <v>1.6357215678418973</v>
      </c>
      <c r="L33" s="51">
        <v>196</v>
      </c>
      <c r="M33" s="51">
        <f t="shared" si="5"/>
        <v>0.33163265306122447</v>
      </c>
      <c r="N33" s="51">
        <v>391</v>
      </c>
      <c r="O33" s="51">
        <f t="shared" ref="O33:P33" si="43">D33/7</f>
        <v>9.2857142857142865</v>
      </c>
      <c r="P33" s="51">
        <f t="shared" si="43"/>
        <v>0</v>
      </c>
      <c r="Q33" s="51">
        <f t="shared" si="7"/>
        <v>42</v>
      </c>
      <c r="R33" s="55">
        <v>0</v>
      </c>
      <c r="S33" s="53" t="s">
        <v>34</v>
      </c>
      <c r="T33" s="54" t="s">
        <v>34</v>
      </c>
      <c r="U33" s="55">
        <v>0</v>
      </c>
      <c r="V33" s="55">
        <f t="shared" si="8"/>
        <v>0</v>
      </c>
      <c r="W33" s="55">
        <f t="shared" si="9"/>
        <v>0</v>
      </c>
      <c r="X33" s="55">
        <v>0</v>
      </c>
      <c r="Y33" s="55" t="s">
        <v>35</v>
      </c>
      <c r="Z33" s="56">
        <f t="shared" si="19"/>
        <v>-0.75</v>
      </c>
      <c r="AA33" s="55">
        <v>8.3327546296296282E-2</v>
      </c>
      <c r="AB33" s="55">
        <f t="shared" si="27"/>
        <v>-12.18665364583333</v>
      </c>
      <c r="AC33" s="55">
        <v>-4.9000000000000004</v>
      </c>
      <c r="AD33" s="55">
        <v>-6.2483760683760678</v>
      </c>
      <c r="AE33" s="55">
        <v>0</v>
      </c>
      <c r="AF33" s="55">
        <v>2.44604316546762</v>
      </c>
    </row>
    <row r="34" spans="1:32" s="57" customFormat="1" ht="15.75" customHeight="1">
      <c r="A34" s="2" t="s">
        <v>95</v>
      </c>
      <c r="B34" s="2" t="s">
        <v>286</v>
      </c>
      <c r="C34" s="51">
        <f t="shared" si="35"/>
        <v>16.748518518518527</v>
      </c>
      <c r="D34" s="51">
        <v>54</v>
      </c>
      <c r="E34" s="51">
        <v>0</v>
      </c>
      <c r="F34" s="51">
        <v>904.42000000000041</v>
      </c>
      <c r="G34" s="51">
        <v>-0.08</v>
      </c>
      <c r="H34" s="51">
        <f t="shared" si="1"/>
        <v>8.845447911368608E-5</v>
      </c>
      <c r="I34" s="51">
        <f t="shared" si="2"/>
        <v>0.17308373922811582</v>
      </c>
      <c r="J34" s="51">
        <f t="shared" si="4"/>
        <v>156.54039543269258</v>
      </c>
      <c r="K34" s="51">
        <f t="shared" si="3"/>
        <v>2.8988962117165293</v>
      </c>
      <c r="L34" s="51">
        <v>151</v>
      </c>
      <c r="M34" s="51">
        <f t="shared" si="5"/>
        <v>0.35761589403973509</v>
      </c>
      <c r="N34" s="51">
        <v>317</v>
      </c>
      <c r="O34" s="51">
        <f t="shared" ref="O34:P34" si="44">D34/7</f>
        <v>7.7142857142857144</v>
      </c>
      <c r="P34" s="51">
        <f t="shared" si="44"/>
        <v>0</v>
      </c>
      <c r="Q34" s="51">
        <f t="shared" si="7"/>
        <v>41</v>
      </c>
      <c r="R34" s="55">
        <v>0</v>
      </c>
      <c r="S34" s="53" t="s">
        <v>34</v>
      </c>
      <c r="T34" s="54" t="s">
        <v>34</v>
      </c>
      <c r="U34" s="55">
        <v>0</v>
      </c>
      <c r="V34" s="55">
        <f t="shared" si="8"/>
        <v>0</v>
      </c>
      <c r="W34" s="55">
        <f t="shared" si="9"/>
        <v>0</v>
      </c>
      <c r="X34" s="55">
        <v>0</v>
      </c>
      <c r="Y34" s="55" t="s">
        <v>35</v>
      </c>
      <c r="Z34" s="56">
        <f t="shared" si="19"/>
        <v>-0.75</v>
      </c>
      <c r="AA34" s="55">
        <v>8.3327546296296282E-2</v>
      </c>
      <c r="AB34" s="55">
        <f t="shared" si="27"/>
        <v>-10.124296874999999</v>
      </c>
      <c r="AC34" s="55">
        <v>-4.9000000000000004</v>
      </c>
      <c r="AD34" s="55">
        <v>-6.2483760683760678</v>
      </c>
      <c r="AE34" s="55">
        <v>0</v>
      </c>
      <c r="AF34" s="55">
        <v>2.26777469990766</v>
      </c>
    </row>
    <row r="35" spans="1:32" s="57" customFormat="1" ht="15.75" customHeight="1">
      <c r="A35" s="2" t="s">
        <v>96</v>
      </c>
      <c r="B35" s="2" t="s">
        <v>287</v>
      </c>
      <c r="C35" s="51">
        <f t="shared" si="35"/>
        <v>18.162500000000016</v>
      </c>
      <c r="D35" s="51">
        <v>56</v>
      </c>
      <c r="E35" s="51">
        <v>0</v>
      </c>
      <c r="F35" s="51">
        <v>1017.1000000000008</v>
      </c>
      <c r="G35" s="51">
        <v>-0.02</v>
      </c>
      <c r="H35" s="51">
        <f t="shared" si="1"/>
        <v>1.9663749877101546E-5</v>
      </c>
      <c r="I35" s="51">
        <f t="shared" si="2"/>
        <v>0.22584472454783922</v>
      </c>
      <c r="J35" s="51">
        <f t="shared" si="4"/>
        <v>229.70666933760745</v>
      </c>
      <c r="K35" s="51">
        <f t="shared" si="3"/>
        <v>4.1019048096001329</v>
      </c>
      <c r="L35" s="51">
        <v>130</v>
      </c>
      <c r="M35" s="51">
        <f t="shared" si="5"/>
        <v>0.43076923076923079</v>
      </c>
      <c r="N35" s="51">
        <v>283</v>
      </c>
      <c r="O35" s="51">
        <f t="shared" ref="O35:P35" si="45">D35/7</f>
        <v>8</v>
      </c>
      <c r="P35" s="51">
        <f t="shared" si="45"/>
        <v>0</v>
      </c>
      <c r="Q35" s="51">
        <f t="shared" si="7"/>
        <v>35</v>
      </c>
      <c r="R35" s="55">
        <v>0</v>
      </c>
      <c r="S35" s="53" t="s">
        <v>34</v>
      </c>
      <c r="T35" s="54" t="s">
        <v>34</v>
      </c>
      <c r="U35" s="55">
        <v>0</v>
      </c>
      <c r="V35" s="55">
        <f t="shared" si="8"/>
        <v>0</v>
      </c>
      <c r="W35" s="55">
        <f t="shared" si="9"/>
        <v>0</v>
      </c>
      <c r="X35" s="55">
        <v>0</v>
      </c>
      <c r="Y35" s="55" t="s">
        <v>35</v>
      </c>
      <c r="Z35" s="56">
        <f t="shared" si="19"/>
        <v>-0.75</v>
      </c>
      <c r="AA35" s="55">
        <v>8.3327546296296282E-2</v>
      </c>
      <c r="AB35" s="55">
        <f t="shared" si="27"/>
        <v>-10.49927083333333</v>
      </c>
      <c r="AC35" s="55">
        <v>-4.9000000000000004</v>
      </c>
      <c r="AD35" s="55">
        <v>-6.2483760683760678</v>
      </c>
      <c r="AE35" s="55">
        <v>0</v>
      </c>
      <c r="AF35" s="55">
        <v>1.75624082232011</v>
      </c>
    </row>
    <row r="36" spans="1:32" s="57" customFormat="1" ht="15.75" customHeight="1">
      <c r="A36" s="2" t="s">
        <v>98</v>
      </c>
      <c r="B36" s="2" t="s">
        <v>288</v>
      </c>
      <c r="C36" s="51">
        <f t="shared" si="35"/>
        <v>17.996774193548386</v>
      </c>
      <c r="D36" s="51">
        <v>31</v>
      </c>
      <c r="E36" s="51">
        <v>0</v>
      </c>
      <c r="F36" s="51">
        <v>557.9</v>
      </c>
      <c r="G36" s="51">
        <v>-0.08</v>
      </c>
      <c r="H36" s="51">
        <f t="shared" si="1"/>
        <v>1.4339487363326762E-4</v>
      </c>
      <c r="I36" s="51">
        <f t="shared" si="2"/>
        <v>0.21997355355112957</v>
      </c>
      <c r="J36" s="51">
        <f t="shared" si="4"/>
        <v>122.72324552617519</v>
      </c>
      <c r="K36" s="51">
        <f t="shared" si="3"/>
        <v>3.9588143718121027</v>
      </c>
      <c r="L36" s="51">
        <v>105</v>
      </c>
      <c r="M36" s="51">
        <f t="shared" si="5"/>
        <v>0.29523809523809524</v>
      </c>
      <c r="N36" s="51">
        <v>250</v>
      </c>
      <c r="O36" s="51">
        <f t="shared" ref="O36:P36" si="46">D36/7</f>
        <v>4.4285714285714288</v>
      </c>
      <c r="P36" s="51">
        <f t="shared" si="46"/>
        <v>0</v>
      </c>
      <c r="Q36" s="51">
        <f t="shared" si="7"/>
        <v>56</v>
      </c>
      <c r="R36" s="55">
        <v>0</v>
      </c>
      <c r="S36" s="53"/>
      <c r="T36" s="54" t="s">
        <v>34</v>
      </c>
      <c r="U36" s="55"/>
      <c r="V36" s="55">
        <f t="shared" si="8"/>
        <v>0</v>
      </c>
      <c r="W36" s="55">
        <f t="shared" si="9"/>
        <v>0</v>
      </c>
      <c r="X36" s="55"/>
      <c r="Y36" s="55" t="s">
        <v>35</v>
      </c>
      <c r="Z36" s="56">
        <f t="shared" si="19"/>
        <v>-0.75</v>
      </c>
      <c r="AA36" s="55">
        <v>8.3327546296296282E-2</v>
      </c>
      <c r="AB36" s="55">
        <f t="shared" si="27"/>
        <v>-5.8120963541666653</v>
      </c>
      <c r="AC36" s="55">
        <v>-4.9000000000000004</v>
      </c>
      <c r="AD36" s="55">
        <v>-6.2483760683760678</v>
      </c>
      <c r="AE36" s="55">
        <v>0</v>
      </c>
      <c r="AF36" s="55">
        <v>2.1020036429872402</v>
      </c>
    </row>
    <row r="37" spans="1:32" s="57" customFormat="1" ht="15.75" customHeight="1">
      <c r="A37" s="2" t="s">
        <v>99</v>
      </c>
      <c r="B37" s="2" t="s">
        <v>289</v>
      </c>
      <c r="C37" s="51">
        <f t="shared" si="35"/>
        <v>17.486818181818187</v>
      </c>
      <c r="D37" s="51">
        <v>44</v>
      </c>
      <c r="E37" s="51">
        <v>0</v>
      </c>
      <c r="F37" s="51">
        <v>769.42000000000019</v>
      </c>
      <c r="G37" s="51">
        <v>0</v>
      </c>
      <c r="H37" s="51">
        <f t="shared" si="1"/>
        <v>0</v>
      </c>
      <c r="I37" s="51">
        <f t="shared" si="2"/>
        <v>0.20174810364705861</v>
      </c>
      <c r="J37" s="51">
        <f t="shared" si="4"/>
        <v>155.22902590811987</v>
      </c>
      <c r="K37" s="51">
        <f t="shared" si="3"/>
        <v>3.5279324070027243</v>
      </c>
      <c r="L37" s="51">
        <v>143</v>
      </c>
      <c r="M37" s="51">
        <f t="shared" si="5"/>
        <v>0.30769230769230771</v>
      </c>
      <c r="N37" s="51">
        <v>214</v>
      </c>
      <c r="O37" s="51">
        <f t="shared" ref="O37:P37" si="47">D37/7</f>
        <v>6.2857142857142856</v>
      </c>
      <c r="P37" s="51">
        <f t="shared" si="47"/>
        <v>0</v>
      </c>
      <c r="Q37" s="51">
        <f t="shared" si="7"/>
        <v>34</v>
      </c>
      <c r="R37" s="55">
        <v>270</v>
      </c>
      <c r="S37" s="53">
        <v>270</v>
      </c>
      <c r="T37" s="54">
        <v>44078</v>
      </c>
      <c r="U37" s="55">
        <v>0</v>
      </c>
      <c r="V37" s="55">
        <f t="shared" si="8"/>
        <v>0</v>
      </c>
      <c r="W37" s="55">
        <f t="shared" si="9"/>
        <v>0</v>
      </c>
      <c r="X37" s="55">
        <v>0</v>
      </c>
      <c r="Y37" s="55" t="s">
        <v>35</v>
      </c>
      <c r="Z37" s="56">
        <f t="shared" si="19"/>
        <v>-0.75</v>
      </c>
      <c r="AA37" s="55">
        <v>8.3327546296296282E-2</v>
      </c>
      <c r="AB37" s="55">
        <f t="shared" si="27"/>
        <v>-8.2494270833333321</v>
      </c>
      <c r="AC37" s="55">
        <v>-4.9000000000000004</v>
      </c>
      <c r="AD37" s="55">
        <v>-6.2483760683760678</v>
      </c>
      <c r="AE37" s="55">
        <v>0</v>
      </c>
      <c r="AF37" s="55">
        <v>2.41290322580645</v>
      </c>
    </row>
    <row r="38" spans="1:32" s="57" customFormat="1" ht="15.75" customHeight="1">
      <c r="A38" s="2" t="s">
        <v>100</v>
      </c>
      <c r="B38" s="2" t="s">
        <v>290</v>
      </c>
      <c r="C38" s="51">
        <f t="shared" si="35"/>
        <v>16.195833333333336</v>
      </c>
      <c r="D38" s="51">
        <v>36</v>
      </c>
      <c r="E38" s="51">
        <v>0</v>
      </c>
      <c r="F38" s="51">
        <v>583.05000000000007</v>
      </c>
      <c r="G38" s="51">
        <v>0</v>
      </c>
      <c r="H38" s="51">
        <f t="shared" si="1"/>
        <v>0</v>
      </c>
      <c r="I38" s="51">
        <f t="shared" si="2"/>
        <v>0.15007534566239875</v>
      </c>
      <c r="J38" s="51">
        <f t="shared" si="4"/>
        <v>87.501430288461606</v>
      </c>
      <c r="K38" s="51">
        <f t="shared" si="3"/>
        <v>2.4305952857906004</v>
      </c>
      <c r="L38" s="51">
        <v>161</v>
      </c>
      <c r="M38" s="51">
        <f t="shared" si="5"/>
        <v>0.2236024844720497</v>
      </c>
      <c r="N38" s="51">
        <v>167</v>
      </c>
      <c r="O38" s="51">
        <f t="shared" ref="O38:P38" si="48">D38/7</f>
        <v>5.1428571428571432</v>
      </c>
      <c r="P38" s="51">
        <f t="shared" si="48"/>
        <v>0</v>
      </c>
      <c r="Q38" s="51">
        <f t="shared" si="7"/>
        <v>32</v>
      </c>
      <c r="R38" s="55">
        <v>270</v>
      </c>
      <c r="S38" s="53"/>
      <c r="T38" s="54">
        <v>44078</v>
      </c>
      <c r="U38" s="55">
        <v>0</v>
      </c>
      <c r="V38" s="55">
        <f t="shared" si="8"/>
        <v>0</v>
      </c>
      <c r="W38" s="55">
        <f t="shared" si="9"/>
        <v>0</v>
      </c>
      <c r="X38" s="55">
        <v>0</v>
      </c>
      <c r="Y38" s="55" t="s">
        <v>35</v>
      </c>
      <c r="Z38" s="56">
        <f t="shared" si="19"/>
        <v>-0.75</v>
      </c>
      <c r="AA38" s="55">
        <v>8.3327546296296282E-2</v>
      </c>
      <c r="AB38" s="55">
        <f t="shared" si="27"/>
        <v>-6.7495312499999978</v>
      </c>
      <c r="AC38" s="55">
        <v>-4.9000000000000004</v>
      </c>
      <c r="AD38" s="55">
        <v>-6.2483760683760678</v>
      </c>
      <c r="AE38" s="55">
        <v>0</v>
      </c>
      <c r="AF38" s="55">
        <v>2.0938628158844699</v>
      </c>
    </row>
    <row r="39" spans="1:32" s="57" customFormat="1" ht="15.75" customHeight="1">
      <c r="A39" s="2" t="s">
        <v>101</v>
      </c>
      <c r="B39" s="2" t="s">
        <v>291</v>
      </c>
      <c r="C39" s="51">
        <f t="shared" si="35"/>
        <v>16.028181818181821</v>
      </c>
      <c r="D39" s="51">
        <v>33</v>
      </c>
      <c r="E39" s="51">
        <v>0</v>
      </c>
      <c r="F39" s="51">
        <v>528.93000000000006</v>
      </c>
      <c r="G39" s="51">
        <v>-0.02</v>
      </c>
      <c r="H39" s="51">
        <f t="shared" si="1"/>
        <v>3.7812186867827496E-5</v>
      </c>
      <c r="I39" s="51">
        <f t="shared" si="2"/>
        <v>0.14271646424118514</v>
      </c>
      <c r="J39" s="51">
        <f>F39*0.85+G39+AD39*D39+D39*AC39+AE40+AB39</f>
        <v>75.487019431090062</v>
      </c>
      <c r="K39" s="51">
        <f t="shared" si="3"/>
        <v>2.2874854373057594</v>
      </c>
      <c r="L39" s="51">
        <v>149</v>
      </c>
      <c r="M39" s="51">
        <f t="shared" si="5"/>
        <v>0.22147651006711411</v>
      </c>
      <c r="N39" s="51">
        <v>160</v>
      </c>
      <c r="O39" s="51">
        <f t="shared" ref="O39:P39" si="49">D39/7</f>
        <v>4.7142857142857144</v>
      </c>
      <c r="P39" s="51">
        <f t="shared" si="49"/>
        <v>0</v>
      </c>
      <c r="Q39" s="51">
        <f t="shared" si="7"/>
        <v>33</v>
      </c>
      <c r="R39" s="55">
        <v>270</v>
      </c>
      <c r="S39" s="53">
        <v>270</v>
      </c>
      <c r="T39" s="54">
        <v>44078</v>
      </c>
      <c r="U39" s="55">
        <v>0</v>
      </c>
      <c r="V39" s="55">
        <f t="shared" si="8"/>
        <v>0</v>
      </c>
      <c r="W39" s="55">
        <f t="shared" si="9"/>
        <v>0</v>
      </c>
      <c r="X39" s="55">
        <v>0</v>
      </c>
      <c r="Y39" s="55" t="s">
        <v>35</v>
      </c>
      <c r="Z39" s="56">
        <f t="shared" si="19"/>
        <v>-0.75</v>
      </c>
      <c r="AA39" s="55">
        <v>8.3327546296296282E-2</v>
      </c>
      <c r="AB39" s="55">
        <f t="shared" si="27"/>
        <v>-6.1870703124999995</v>
      </c>
      <c r="AC39" s="55">
        <v>-4.9000000000000004</v>
      </c>
      <c r="AD39" s="55">
        <v>-6.2483760683760599</v>
      </c>
      <c r="AE39" s="55">
        <v>0</v>
      </c>
      <c r="AF39" s="55">
        <v>1.8156467854376399</v>
      </c>
    </row>
    <row r="40" spans="1:32" s="57" customFormat="1" ht="15.75" customHeight="1">
      <c r="A40" s="2" t="s">
        <v>102</v>
      </c>
      <c r="B40" s="2" t="s">
        <v>292</v>
      </c>
      <c r="C40" s="51">
        <v>15.138000000000003</v>
      </c>
      <c r="D40" s="51">
        <v>30</v>
      </c>
      <c r="E40" s="51">
        <v>0</v>
      </c>
      <c r="F40" s="51">
        <v>454.1400000000001</v>
      </c>
      <c r="G40" s="51">
        <v>-0.13</v>
      </c>
      <c r="H40" s="51">
        <v>2.8625533976306861E-4</v>
      </c>
      <c r="I40" s="51">
        <v>0.10087882277209288</v>
      </c>
      <c r="J40" s="51">
        <v>45.813108573718274</v>
      </c>
      <c r="K40" s="51">
        <v>1.5271036191239424</v>
      </c>
      <c r="L40" s="51">
        <v>130</v>
      </c>
      <c r="M40" s="51">
        <v>0.23076923076923078</v>
      </c>
      <c r="N40" s="51">
        <v>95</v>
      </c>
      <c r="O40" s="51">
        <v>4.2857142857142856</v>
      </c>
      <c r="P40" s="51">
        <v>0</v>
      </c>
      <c r="Q40" s="51">
        <v>22</v>
      </c>
      <c r="R40" s="55">
        <v>270</v>
      </c>
      <c r="S40" s="53">
        <v>270</v>
      </c>
      <c r="T40" s="54">
        <v>44078</v>
      </c>
      <c r="U40" s="55">
        <v>0</v>
      </c>
      <c r="V40" s="55">
        <v>0</v>
      </c>
      <c r="W40" s="55">
        <v>0.13</v>
      </c>
      <c r="X40" s="55">
        <v>1</v>
      </c>
      <c r="Y40" s="55" t="s">
        <v>35</v>
      </c>
      <c r="Z40" s="56">
        <v>-0.75</v>
      </c>
      <c r="AA40" s="55">
        <v>8.3327546296296282E-2</v>
      </c>
      <c r="AB40" s="55">
        <v>-5.6246093749999986</v>
      </c>
      <c r="AC40" s="55">
        <v>-4.9000000000000004</v>
      </c>
      <c r="AD40" s="55">
        <v>-6.2483760683760599</v>
      </c>
      <c r="AE40" s="55">
        <v>0</v>
      </c>
      <c r="AF40" s="55">
        <v>1.9318370739817099</v>
      </c>
    </row>
    <row r="41" spans="1:32" s="57" customFormat="1" ht="15.75" customHeight="1">
      <c r="A41" s="2" t="s">
        <v>105</v>
      </c>
      <c r="B41" s="2" t="s">
        <v>293</v>
      </c>
      <c r="C41" s="51">
        <f t="shared" ref="C41:C56" si="50">IFERROR(F41/D41," - ")</f>
        <v>15.038421052631589</v>
      </c>
      <c r="D41" s="51">
        <v>38</v>
      </c>
      <c r="E41" s="51">
        <v>0</v>
      </c>
      <c r="F41" s="51">
        <v>571.46000000000038</v>
      </c>
      <c r="G41" s="51">
        <v>0</v>
      </c>
      <c r="H41" s="51">
        <f t="shared" ref="H41:H56" si="51">G41/F41*-1</f>
        <v>0</v>
      </c>
      <c r="I41" s="51">
        <f t="shared" ref="I41:I56" si="52">J41/F41</f>
        <v>9.6206565977280403E-2</v>
      </c>
      <c r="J41" s="51">
        <f t="shared" ref="J41:J48" si="53">F41*0.85+G41+AD41*D41+D41*AC41+AE42+AB41</f>
        <v>54.978204193376698</v>
      </c>
      <c r="K41" s="51">
        <f t="shared" ref="K41:K56" si="54">J41/D41</f>
        <v>1.4467948471941237</v>
      </c>
      <c r="L41" s="51">
        <v>111</v>
      </c>
      <c r="M41" s="51">
        <f t="shared" ref="M41:M56" si="55">IFERROR(D41/L41,"-")</f>
        <v>0.34234234234234234</v>
      </c>
      <c r="N41" s="51">
        <v>67</v>
      </c>
      <c r="O41" s="51">
        <f t="shared" ref="O41:P41" si="56">D41/7</f>
        <v>5.4285714285714288</v>
      </c>
      <c r="P41" s="51">
        <f t="shared" si="56"/>
        <v>0</v>
      </c>
      <c r="Q41" s="51">
        <f t="shared" ref="Q41:Q56" si="57">ROUNDDOWN(N41/(O41+P41),0)</f>
        <v>12</v>
      </c>
      <c r="R41" s="55">
        <v>270</v>
      </c>
      <c r="S41" s="53">
        <v>270</v>
      </c>
      <c r="T41" s="54">
        <v>44078</v>
      </c>
      <c r="U41" s="55">
        <v>0</v>
      </c>
      <c r="V41" s="55">
        <f t="shared" ref="V41:V56" si="58">IFERROR(U41/D41,0)</f>
        <v>0</v>
      </c>
      <c r="W41" s="55">
        <f t="shared" ref="W41:W56" si="59">IFERROR(G41/(U41+X41)*-1,0)</f>
        <v>0</v>
      </c>
      <c r="X41" s="55">
        <v>0</v>
      </c>
      <c r="Y41" s="52" t="s">
        <v>35</v>
      </c>
      <c r="Z41" s="56">
        <f t="shared" ref="Z41:Z43" si="60">IF(OR(Y41="UsLargeStandardSize",Y41="UsSmallStandardSize"),-0.75,-0.48)</f>
        <v>-0.75</v>
      </c>
      <c r="AA41" s="55">
        <v>8.3327546296296282E-2</v>
      </c>
      <c r="AB41" s="55">
        <f t="shared" ref="AB41:AB56" si="61">IFERROR(Z41*AA41*D41*3,0)</f>
        <v>-7.124505208333332</v>
      </c>
      <c r="AC41" s="55">
        <v>-4.9000000000000004</v>
      </c>
      <c r="AD41" s="55">
        <v>-6.2483760683760599</v>
      </c>
      <c r="AE41" s="55">
        <v>0</v>
      </c>
      <c r="AF41" s="55">
        <v>2.2706002034587902</v>
      </c>
    </row>
    <row r="42" spans="1:32" s="57" customFormat="1" ht="15.75" customHeight="1">
      <c r="A42" s="2" t="s">
        <v>106</v>
      </c>
      <c r="B42" s="2" t="s">
        <v>294</v>
      </c>
      <c r="C42" s="51">
        <f t="shared" si="50"/>
        <v>15.000000000000007</v>
      </c>
      <c r="D42" s="51">
        <v>36</v>
      </c>
      <c r="E42" s="51">
        <v>0</v>
      </c>
      <c r="F42" s="51">
        <v>540.00000000000023</v>
      </c>
      <c r="G42" s="51">
        <v>0</v>
      </c>
      <c r="H42" s="51">
        <f t="shared" si="51"/>
        <v>0</v>
      </c>
      <c r="I42" s="51">
        <f t="shared" si="52"/>
        <v>9.4275796830485162E-2</v>
      </c>
      <c r="J42" s="51">
        <f t="shared" si="53"/>
        <v>50.90893028846201</v>
      </c>
      <c r="K42" s="51">
        <f t="shared" si="54"/>
        <v>1.414136952457278</v>
      </c>
      <c r="L42" s="51">
        <v>92</v>
      </c>
      <c r="M42" s="51">
        <f t="shared" si="55"/>
        <v>0.39130434782608697</v>
      </c>
      <c r="N42" s="51">
        <v>32</v>
      </c>
      <c r="O42" s="51">
        <f t="shared" ref="O42:P42" si="62">D42/7</f>
        <v>5.1428571428571432</v>
      </c>
      <c r="P42" s="51">
        <f t="shared" si="62"/>
        <v>0</v>
      </c>
      <c r="Q42" s="51">
        <f t="shared" si="57"/>
        <v>6</v>
      </c>
      <c r="R42" s="55">
        <f ca="1">IFERROR(__xludf.DUMMYFUNCTION("IFERROR(VLOOKUP($B$2,IMPORTRANGE(""https://docs.google.com/spreadsheets/d/1iVgg6Mw12RULLujzHmfOFIY8Q_KaAD8anoZzgtVAQ74/edit#gid=1503384807"",""Second Star - Summary!A1:AD2000""),9,FALSE),"""")"),1374)</f>
        <v>1374</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0</v>
      </c>
      <c r="V42" s="55">
        <f t="shared" si="58"/>
        <v>0</v>
      </c>
      <c r="W42" s="55">
        <f t="shared" si="59"/>
        <v>0</v>
      </c>
      <c r="X42" s="55">
        <v>0</v>
      </c>
      <c r="Y42" s="55" t="s">
        <v>35</v>
      </c>
      <c r="Z42" s="56">
        <f t="shared" si="60"/>
        <v>-0.75</v>
      </c>
      <c r="AA42" s="55">
        <v>8.3327546296296282E-2</v>
      </c>
      <c r="AB42" s="55">
        <f t="shared" si="61"/>
        <v>-6.7495312499999978</v>
      </c>
      <c r="AC42" s="55">
        <v>-4.9000000000000004</v>
      </c>
      <c r="AD42" s="55">
        <v>-6.2483760683760599</v>
      </c>
      <c r="AE42" s="55">
        <v>0</v>
      </c>
      <c r="AF42" s="55">
        <v>2.7940446650123998</v>
      </c>
    </row>
    <row r="43" spans="1:32" s="57" customFormat="1" ht="15.75" customHeight="1">
      <c r="A43" s="2" t="s">
        <v>107</v>
      </c>
      <c r="B43" s="2" t="s">
        <v>295</v>
      </c>
      <c r="C43" s="51">
        <f t="shared" si="50"/>
        <v>14.990000000000004</v>
      </c>
      <c r="D43" s="51">
        <v>43</v>
      </c>
      <c r="E43" s="51">
        <v>0</v>
      </c>
      <c r="F43" s="51">
        <v>644.57000000000016</v>
      </c>
      <c r="G43" s="51">
        <v>0</v>
      </c>
      <c r="H43" s="51">
        <f t="shared" si="51"/>
        <v>0</v>
      </c>
      <c r="I43" s="51">
        <f t="shared" si="52"/>
        <v>9.3771644593547407E-2</v>
      </c>
      <c r="J43" s="51">
        <f t="shared" si="53"/>
        <v>60.442388955662864</v>
      </c>
      <c r="K43" s="51">
        <f t="shared" si="54"/>
        <v>1.4056369524572758</v>
      </c>
      <c r="L43" s="51">
        <v>148</v>
      </c>
      <c r="M43" s="51">
        <f t="shared" si="55"/>
        <v>0.29054054054054052</v>
      </c>
      <c r="N43" s="51">
        <v>2</v>
      </c>
      <c r="O43" s="51">
        <f t="shared" ref="O43:P43" si="63">D43/7</f>
        <v>6.1428571428571432</v>
      </c>
      <c r="P43" s="51">
        <f t="shared" si="63"/>
        <v>0</v>
      </c>
      <c r="Q43" s="51">
        <f t="shared" si="57"/>
        <v>0</v>
      </c>
      <c r="R43" s="55">
        <v>142</v>
      </c>
      <c r="S43" s="53">
        <v>142</v>
      </c>
      <c r="T43" s="54">
        <v>44137</v>
      </c>
      <c r="U43" s="55">
        <v>0</v>
      </c>
      <c r="V43" s="55">
        <f t="shared" si="58"/>
        <v>0</v>
      </c>
      <c r="W43" s="55">
        <f t="shared" si="59"/>
        <v>0</v>
      </c>
      <c r="X43" s="55">
        <v>0</v>
      </c>
      <c r="Y43" s="55" t="s">
        <v>35</v>
      </c>
      <c r="Z43" s="56">
        <f t="shared" si="60"/>
        <v>-0.75</v>
      </c>
      <c r="AA43" s="55">
        <v>8.3327546296296282E-2</v>
      </c>
      <c r="AB43" s="55">
        <f t="shared" si="61"/>
        <v>-8.0619401041666645</v>
      </c>
      <c r="AC43" s="55">
        <v>-4.9000000000000004</v>
      </c>
      <c r="AD43" s="55">
        <v>-6.2483760683760599</v>
      </c>
      <c r="AE43" s="55">
        <v>0</v>
      </c>
      <c r="AF43" s="55">
        <v>2.1589147286821699</v>
      </c>
    </row>
    <row r="44" spans="1:32" s="57" customFormat="1" ht="15.75" customHeight="1">
      <c r="A44" s="2" t="s">
        <v>108</v>
      </c>
      <c r="B44" s="2" t="s">
        <v>168</v>
      </c>
      <c r="C44" s="51">
        <f t="shared" si="50"/>
        <v>14.99</v>
      </c>
      <c r="D44" s="51">
        <v>6</v>
      </c>
      <c r="E44" s="51">
        <v>0</v>
      </c>
      <c r="F44" s="51">
        <v>89.94</v>
      </c>
      <c r="G44" s="51">
        <v>0</v>
      </c>
      <c r="H44" s="51">
        <f t="shared" si="51"/>
        <v>0</v>
      </c>
      <c r="I44" s="51">
        <f t="shared" si="52"/>
        <v>6.6255210026057818E-2</v>
      </c>
      <c r="J44" s="51">
        <f t="shared" si="53"/>
        <v>5.9589935897436401</v>
      </c>
      <c r="K44" s="51">
        <f t="shared" si="54"/>
        <v>0.99316559829060669</v>
      </c>
      <c r="L44" s="51">
        <v>8</v>
      </c>
      <c r="M44" s="51">
        <f t="shared" si="55"/>
        <v>0.75</v>
      </c>
      <c r="N44" s="51">
        <v>0</v>
      </c>
      <c r="O44" s="51">
        <f t="shared" ref="O44:P44" si="64">D44/7</f>
        <v>0.8571428571428571</v>
      </c>
      <c r="P44" s="51">
        <f t="shared" si="64"/>
        <v>0</v>
      </c>
      <c r="Q44" s="51">
        <f t="shared" si="57"/>
        <v>0</v>
      </c>
      <c r="R44" s="55">
        <v>132</v>
      </c>
      <c r="S44" s="53">
        <v>132</v>
      </c>
      <c r="T44" s="54">
        <v>44137</v>
      </c>
      <c r="U44" s="55">
        <v>0</v>
      </c>
      <c r="V44" s="55">
        <f t="shared" si="58"/>
        <v>0</v>
      </c>
      <c r="W44" s="55">
        <f t="shared" si="59"/>
        <v>0</v>
      </c>
      <c r="X44" s="55">
        <v>0</v>
      </c>
      <c r="Y44" s="55" t="s">
        <v>35</v>
      </c>
      <c r="Z44" s="56">
        <f t="shared" ref="Z44:Z56" si="65">IF(OR(Y44="UsLargeStandardSize",Y44="UsSmallStandardSize"),-2.4,-1.2)</f>
        <v>-2.4</v>
      </c>
      <c r="AA44" s="55">
        <v>8.3327546296296282E-2</v>
      </c>
      <c r="AB44" s="55">
        <f t="shared" si="61"/>
        <v>-3.5997499999999989</v>
      </c>
      <c r="AC44" s="55">
        <v>-4.9000000000000004</v>
      </c>
      <c r="AD44" s="55">
        <v>-6.2483760683760599</v>
      </c>
      <c r="AE44" s="55">
        <v>0</v>
      </c>
      <c r="AF44" s="55">
        <v>2.2246696035242199</v>
      </c>
    </row>
    <row r="45" spans="1:32" s="57" customFormat="1" ht="15.75" customHeight="1">
      <c r="A45" s="2" t="s">
        <v>109</v>
      </c>
      <c r="B45" s="2" t="s">
        <v>296</v>
      </c>
      <c r="C45" s="51">
        <f t="shared" si="50"/>
        <v>14.99</v>
      </c>
      <c r="D45" s="51">
        <v>2</v>
      </c>
      <c r="E45" s="51">
        <v>0</v>
      </c>
      <c r="F45" s="51">
        <v>29.98</v>
      </c>
      <c r="G45" s="51">
        <v>0</v>
      </c>
      <c r="H45" s="51">
        <f t="shared" si="51"/>
        <v>0</v>
      </c>
      <c r="I45" s="51">
        <f t="shared" si="52"/>
        <v>6.6255210026057831E-2</v>
      </c>
      <c r="J45" s="51">
        <f t="shared" si="53"/>
        <v>1.9863311965812138</v>
      </c>
      <c r="K45" s="51">
        <f t="shared" si="54"/>
        <v>0.99316559829060691</v>
      </c>
      <c r="L45" s="51">
        <v>56</v>
      </c>
      <c r="M45" s="51">
        <f t="shared" si="55"/>
        <v>3.5714285714285712E-2</v>
      </c>
      <c r="N45" s="51">
        <v>263</v>
      </c>
      <c r="O45" s="51">
        <f t="shared" ref="O45:P45" si="66">D45/7</f>
        <v>0.2857142857142857</v>
      </c>
      <c r="P45" s="51">
        <f t="shared" si="66"/>
        <v>0</v>
      </c>
      <c r="Q45" s="51">
        <f t="shared" si="57"/>
        <v>920</v>
      </c>
      <c r="R45" s="55">
        <v>132</v>
      </c>
      <c r="S45" s="53">
        <v>132</v>
      </c>
      <c r="T45" s="54">
        <v>44137</v>
      </c>
      <c r="U45" s="55">
        <v>0</v>
      </c>
      <c r="V45" s="55">
        <f t="shared" si="58"/>
        <v>0</v>
      </c>
      <c r="W45" s="55">
        <f t="shared" si="59"/>
        <v>0</v>
      </c>
      <c r="X45" s="55">
        <v>0</v>
      </c>
      <c r="Y45" s="55" t="s">
        <v>35</v>
      </c>
      <c r="Z45" s="56">
        <f t="shared" si="65"/>
        <v>-2.4</v>
      </c>
      <c r="AA45" s="55">
        <v>8.3327546296296282E-2</v>
      </c>
      <c r="AB45" s="55">
        <f t="shared" si="61"/>
        <v>-1.1999166666666663</v>
      </c>
      <c r="AC45" s="55">
        <v>-4.9000000000000004</v>
      </c>
      <c r="AD45" s="55">
        <v>-6.2483760683760599</v>
      </c>
      <c r="AE45" s="55">
        <v>0</v>
      </c>
      <c r="AF45" s="55">
        <v>1.71050141911069</v>
      </c>
    </row>
    <row r="46" spans="1:32" s="57" customFormat="1" ht="15.75" customHeight="1">
      <c r="A46" s="2" t="s">
        <v>111</v>
      </c>
      <c r="B46" s="2" t="s">
        <v>297</v>
      </c>
      <c r="C46" s="51">
        <f t="shared" si="50"/>
        <v>15.390000000000004</v>
      </c>
      <c r="D46" s="51">
        <v>25</v>
      </c>
      <c r="E46" s="51">
        <v>0</v>
      </c>
      <c r="F46" s="51">
        <v>384.75000000000011</v>
      </c>
      <c r="G46" s="51">
        <v>-0.08</v>
      </c>
      <c r="H46" s="51">
        <f t="shared" si="51"/>
        <v>2.0792722547108506E-4</v>
      </c>
      <c r="I46" s="51">
        <f t="shared" si="52"/>
        <v>8.6417517757674422E-2</v>
      </c>
      <c r="J46" s="51">
        <f t="shared" si="53"/>
        <v>33.249139957265243</v>
      </c>
      <c r="K46" s="51">
        <f t="shared" si="54"/>
        <v>1.3299655982906098</v>
      </c>
      <c r="L46" s="51">
        <v>97</v>
      </c>
      <c r="M46" s="51">
        <f t="shared" si="55"/>
        <v>0.25773195876288657</v>
      </c>
      <c r="N46" s="51">
        <v>229</v>
      </c>
      <c r="O46" s="51">
        <f t="shared" ref="O46:P46" si="67">D46/7</f>
        <v>3.5714285714285716</v>
      </c>
      <c r="P46" s="51">
        <f t="shared" si="67"/>
        <v>0</v>
      </c>
      <c r="Q46" s="51">
        <f t="shared" si="57"/>
        <v>64</v>
      </c>
      <c r="R46" s="55">
        <v>0</v>
      </c>
      <c r="S46" s="53" t="s">
        <v>34</v>
      </c>
      <c r="T46" s="54" t="s">
        <v>34</v>
      </c>
      <c r="U46" s="55">
        <v>0</v>
      </c>
      <c r="V46" s="55">
        <f t="shared" si="58"/>
        <v>0</v>
      </c>
      <c r="W46" s="55">
        <f t="shared" si="59"/>
        <v>0</v>
      </c>
      <c r="X46" s="55">
        <v>0</v>
      </c>
      <c r="Y46" s="55" t="s">
        <v>35</v>
      </c>
      <c r="Z46" s="56">
        <f t="shared" si="65"/>
        <v>-2.4</v>
      </c>
      <c r="AA46" s="55">
        <v>8.3327546296296282E-2</v>
      </c>
      <c r="AB46" s="55">
        <f t="shared" si="61"/>
        <v>-14.998958333333331</v>
      </c>
      <c r="AC46" s="55">
        <v>-4.9000000000000004</v>
      </c>
      <c r="AD46" s="55">
        <v>-6.2483760683760599</v>
      </c>
      <c r="AE46" s="55">
        <v>0</v>
      </c>
      <c r="AF46" s="55">
        <v>1.8874856486796701</v>
      </c>
    </row>
    <row r="47" spans="1:32" s="57" customFormat="1" ht="15.75" customHeight="1">
      <c r="A47" s="2" t="s">
        <v>113</v>
      </c>
      <c r="B47" s="2" t="s">
        <v>297</v>
      </c>
      <c r="C47" s="51">
        <f t="shared" si="50"/>
        <v>15.990000000000006</v>
      </c>
      <c r="D47" s="51">
        <v>26</v>
      </c>
      <c r="E47" s="51">
        <v>0</v>
      </c>
      <c r="F47" s="51">
        <v>415.74000000000012</v>
      </c>
      <c r="G47" s="51">
        <v>-0.08</v>
      </c>
      <c r="H47" s="51">
        <f t="shared" si="51"/>
        <v>1.9242795978255636E-4</v>
      </c>
      <c r="I47" s="51">
        <f t="shared" si="52"/>
        <v>0.11507746561686598</v>
      </c>
      <c r="J47" s="51">
        <f t="shared" si="53"/>
        <v>47.842305555555875</v>
      </c>
      <c r="K47" s="51">
        <f t="shared" si="54"/>
        <v>1.8400886752136876</v>
      </c>
      <c r="L47" s="51">
        <v>92</v>
      </c>
      <c r="M47" s="51">
        <f t="shared" si="55"/>
        <v>0.28260869565217389</v>
      </c>
      <c r="N47" s="51">
        <v>312</v>
      </c>
      <c r="O47" s="51">
        <f t="shared" ref="O47:P47" si="68">D47/7</f>
        <v>3.7142857142857144</v>
      </c>
      <c r="P47" s="51">
        <f t="shared" si="68"/>
        <v>0</v>
      </c>
      <c r="Q47" s="51">
        <f t="shared" si="57"/>
        <v>84</v>
      </c>
      <c r="R47" s="55">
        <v>0</v>
      </c>
      <c r="S47" s="53" t="s">
        <v>34</v>
      </c>
      <c r="T47" s="54" t="s">
        <v>34</v>
      </c>
      <c r="U47" s="55">
        <v>0</v>
      </c>
      <c r="V47" s="55">
        <f t="shared" si="58"/>
        <v>0</v>
      </c>
      <c r="W47" s="55">
        <f t="shared" si="59"/>
        <v>0</v>
      </c>
      <c r="X47" s="55">
        <v>0</v>
      </c>
      <c r="Y47" s="55" t="s">
        <v>35</v>
      </c>
      <c r="Z47" s="56">
        <f t="shared" si="65"/>
        <v>-2.4</v>
      </c>
      <c r="AA47" s="55">
        <v>8.3327546296296282E-2</v>
      </c>
      <c r="AB47" s="55">
        <f t="shared" si="61"/>
        <v>-15.598916666666661</v>
      </c>
      <c r="AC47" s="55">
        <v>-4.9000000000000004</v>
      </c>
      <c r="AD47" s="55">
        <v>-6.2483760683760599</v>
      </c>
      <c r="AE47" s="55">
        <v>0</v>
      </c>
      <c r="AF47" s="55">
        <v>1.8860606060606</v>
      </c>
    </row>
    <row r="48" spans="1:32" s="57" customFormat="1" ht="15.75" customHeight="1">
      <c r="A48" s="2" t="s">
        <v>115</v>
      </c>
      <c r="B48" s="2" t="s">
        <v>298</v>
      </c>
      <c r="C48" s="51">
        <f t="shared" si="50"/>
        <v>15.990000000000004</v>
      </c>
      <c r="D48" s="51">
        <v>24</v>
      </c>
      <c r="E48" s="51">
        <v>0</v>
      </c>
      <c r="F48" s="51">
        <v>383.7600000000001</v>
      </c>
      <c r="G48" s="51">
        <v>-0.08</v>
      </c>
      <c r="H48" s="51">
        <f t="shared" si="51"/>
        <v>2.0846362309776938E-4</v>
      </c>
      <c r="I48" s="51">
        <f t="shared" si="52"/>
        <v>0.1150614299535508</v>
      </c>
      <c r="J48" s="51">
        <f t="shared" si="53"/>
        <v>44.155974358974667</v>
      </c>
      <c r="K48" s="51">
        <f t="shared" si="54"/>
        <v>1.8398322649572778</v>
      </c>
      <c r="L48" s="51">
        <v>90</v>
      </c>
      <c r="M48" s="51">
        <f t="shared" si="55"/>
        <v>0.26666666666666666</v>
      </c>
      <c r="N48" s="51">
        <v>298</v>
      </c>
      <c r="O48" s="51">
        <f t="shared" ref="O48:P48" si="69">D48/7</f>
        <v>3.4285714285714284</v>
      </c>
      <c r="P48" s="51">
        <f t="shared" si="69"/>
        <v>0</v>
      </c>
      <c r="Q48" s="51">
        <f t="shared" si="57"/>
        <v>86</v>
      </c>
      <c r="R48" s="55">
        <f ca="1">IFERROR(__xludf.DUMMYFUNCTION("IFERROR(VLOOKUP($B$2,IMPORTRANGE(""https://docs.google.com/spreadsheets/d/1iVgg6Mw12RULLujzHmfOFIY8Q_KaAD8anoZzgtVAQ74/edit#gid=1503384807"",""Second Star - Summary!A1:AD2000""),9,FALSE),"""")"),1374)</f>
        <v>1374</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si="58"/>
        <v>0</v>
      </c>
      <c r="W48" s="55">
        <f t="shared" si="59"/>
        <v>0</v>
      </c>
      <c r="X48" s="55">
        <v>0</v>
      </c>
      <c r="Y48" s="55" t="s">
        <v>35</v>
      </c>
      <c r="Z48" s="56">
        <f t="shared" si="65"/>
        <v>-2.4</v>
      </c>
      <c r="AA48" s="55">
        <v>8.3327546296296282E-2</v>
      </c>
      <c r="AB48" s="55">
        <f t="shared" si="61"/>
        <v>-14.398999999999996</v>
      </c>
      <c r="AC48" s="55">
        <v>-4.9000000000000004</v>
      </c>
      <c r="AD48" s="55">
        <v>-6.2483760683760599</v>
      </c>
      <c r="AE48" s="55">
        <v>0</v>
      </c>
      <c r="AF48" s="55">
        <v>1.91916558018252</v>
      </c>
    </row>
    <row r="49" spans="1:32" s="57" customFormat="1" ht="15.75" customHeight="1">
      <c r="A49" s="2" t="s">
        <v>117</v>
      </c>
      <c r="B49" s="2" t="s">
        <v>299</v>
      </c>
      <c r="C49" s="51">
        <f t="shared" si="50"/>
        <v>15.990000000000006</v>
      </c>
      <c r="D49" s="51">
        <v>27</v>
      </c>
      <c r="E49" s="51">
        <v>0</v>
      </c>
      <c r="F49" s="51">
        <v>431.73000000000013</v>
      </c>
      <c r="G49" s="51">
        <v>-10.67</v>
      </c>
      <c r="H49" s="51">
        <f t="shared" si="51"/>
        <v>2.4714520649479991E-2</v>
      </c>
      <c r="I49" s="51">
        <f t="shared" si="52"/>
        <v>8.9202652476887162E-2</v>
      </c>
      <c r="J49" s="51">
        <f t="shared" ref="J49:J56" si="70">F49*0.85+G49+AD49*D49+D49*AC49+AE49+AB49</f>
        <v>38.511461153846504</v>
      </c>
      <c r="K49" s="51">
        <f t="shared" si="54"/>
        <v>1.4263504131054261</v>
      </c>
      <c r="L49" s="51">
        <v>116</v>
      </c>
      <c r="M49" s="51">
        <f t="shared" si="55"/>
        <v>0.23275862068965517</v>
      </c>
      <c r="N49" s="51">
        <v>279</v>
      </c>
      <c r="O49" s="51">
        <f t="shared" ref="O49:P49" si="71">D49/7</f>
        <v>3.8571428571428572</v>
      </c>
      <c r="P49" s="51">
        <f t="shared" si="71"/>
        <v>0</v>
      </c>
      <c r="Q49" s="51">
        <f t="shared" si="57"/>
        <v>72</v>
      </c>
      <c r="R49" s="55">
        <f ca="1">IFERROR(__xludf.DUMMYFUNCTION("IFERROR(VLOOKUP($B$2,IMPORTRANGE(""https://docs.google.com/spreadsheets/d/1iVgg6Mw12RULLujzHmfOFIY8Q_KaAD8anoZzgtVAQ74/edit#gid=1503384807"",""Second Star - Summary!A1:AD2000""),9,FALSE),"""")"),1374)</f>
        <v>1374</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58"/>
        <v>0</v>
      </c>
      <c r="W49" s="55">
        <f t="shared" si="59"/>
        <v>0</v>
      </c>
      <c r="X49" s="55">
        <v>0</v>
      </c>
      <c r="Y49" s="55" t="s">
        <v>35</v>
      </c>
      <c r="Z49" s="56">
        <f t="shared" si="65"/>
        <v>-2.4</v>
      </c>
      <c r="AA49" s="55">
        <v>8.3327546296296282E-2</v>
      </c>
      <c r="AB49" s="55">
        <f t="shared" si="61"/>
        <v>-16.198874999999994</v>
      </c>
      <c r="AC49" s="55">
        <v>-4.9000000000000004</v>
      </c>
      <c r="AD49" s="55">
        <v>-6.2700060683760599</v>
      </c>
      <c r="AE49" s="55">
        <v>0</v>
      </c>
      <c r="AF49" s="55">
        <v>2.1758569299552901</v>
      </c>
    </row>
    <row r="50" spans="1:32" s="57" customFormat="1" ht="15.75" customHeight="1">
      <c r="A50" s="2" t="s">
        <v>119</v>
      </c>
      <c r="B50" s="2" t="s">
        <v>300</v>
      </c>
      <c r="C50" s="51">
        <f t="shared" si="50"/>
        <v>15.795833333333336</v>
      </c>
      <c r="D50" s="51">
        <v>36</v>
      </c>
      <c r="E50" s="51">
        <v>0</v>
      </c>
      <c r="F50" s="51">
        <v>568.65000000000009</v>
      </c>
      <c r="G50" s="51">
        <v>-24.990000000000002</v>
      </c>
      <c r="H50" s="51">
        <f t="shared" si="51"/>
        <v>4.3946188340807171E-2</v>
      </c>
      <c r="I50" s="51">
        <f t="shared" si="52"/>
        <v>6.0922855075111047E-2</v>
      </c>
      <c r="J50" s="51">
        <f t="shared" si="70"/>
        <v>34.643781538461901</v>
      </c>
      <c r="K50" s="51">
        <f t="shared" si="54"/>
        <v>0.96232726495727505</v>
      </c>
      <c r="L50" s="51">
        <v>100</v>
      </c>
      <c r="M50" s="51">
        <f t="shared" si="55"/>
        <v>0.36</v>
      </c>
      <c r="N50" s="51">
        <v>255</v>
      </c>
      <c r="O50" s="51">
        <f t="shared" ref="O50:P50" si="72">D50/7</f>
        <v>5.1428571428571432</v>
      </c>
      <c r="P50" s="51">
        <f t="shared" si="72"/>
        <v>0</v>
      </c>
      <c r="Q50" s="51">
        <f t="shared" si="57"/>
        <v>49</v>
      </c>
      <c r="R50" s="55">
        <f ca="1">IFERROR(__xludf.DUMMYFUNCTION("IFERROR(VLOOKUP($B$2,IMPORTRANGE(""https://docs.google.com/spreadsheets/d/1iVgg6Mw12RULLujzHmfOFIY8Q_KaAD8anoZzgtVAQ74/edit#gid=1503384807"",""Second Star - Summary!A1:AD2000""),9,FALSE),"""")"),1374)</f>
        <v>1374</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4</v>
      </c>
      <c r="V50" s="55">
        <f t="shared" si="58"/>
        <v>0.1111111111111111</v>
      </c>
      <c r="W50" s="55">
        <f t="shared" si="59"/>
        <v>3.5700000000000003</v>
      </c>
      <c r="X50" s="55">
        <v>3</v>
      </c>
      <c r="Y50" s="55" t="s">
        <v>35</v>
      </c>
      <c r="Z50" s="56">
        <f t="shared" si="65"/>
        <v>-2.4</v>
      </c>
      <c r="AA50" s="55">
        <v>8.3327546296296282E-2</v>
      </c>
      <c r="AB50" s="55">
        <f t="shared" si="61"/>
        <v>-21.598499999999994</v>
      </c>
      <c r="AC50" s="55">
        <v>-4.9000000000000004</v>
      </c>
      <c r="AD50" s="55">
        <v>-6.2700060683760599</v>
      </c>
      <c r="AE50" s="55">
        <v>0</v>
      </c>
      <c r="AF50" s="55">
        <v>1.67012687427912</v>
      </c>
    </row>
    <row r="51" spans="1:32" s="57" customFormat="1" ht="15.75" customHeight="1">
      <c r="A51" s="2" t="s">
        <v>121</v>
      </c>
      <c r="B51" s="2" t="s">
        <v>301</v>
      </c>
      <c r="C51" s="51">
        <f t="shared" si="50"/>
        <v>16.990000000000006</v>
      </c>
      <c r="D51" s="51">
        <v>25</v>
      </c>
      <c r="E51" s="51">
        <v>0</v>
      </c>
      <c r="F51" s="51">
        <v>424.75000000000011</v>
      </c>
      <c r="G51" s="51">
        <v>0</v>
      </c>
      <c r="H51" s="51">
        <f t="shared" si="51"/>
        <v>0</v>
      </c>
      <c r="I51" s="51">
        <f t="shared" si="52"/>
        <v>0.15724164792764028</v>
      </c>
      <c r="J51" s="51">
        <f t="shared" si="70"/>
        <v>66.788389957265224</v>
      </c>
      <c r="K51" s="51">
        <f t="shared" si="54"/>
        <v>2.671535598290609</v>
      </c>
      <c r="L51" s="51">
        <v>85</v>
      </c>
      <c r="M51" s="51">
        <f t="shared" si="55"/>
        <v>0.29411764705882354</v>
      </c>
      <c r="N51" s="51">
        <v>234</v>
      </c>
      <c r="O51" s="51">
        <f t="shared" ref="O51:P51" si="73">D51/7</f>
        <v>3.5714285714285716</v>
      </c>
      <c r="P51" s="51">
        <f t="shared" si="73"/>
        <v>0</v>
      </c>
      <c r="Q51" s="51">
        <f t="shared" si="57"/>
        <v>65</v>
      </c>
      <c r="R51" s="55">
        <f ca="1">IFERROR(__xludf.DUMMYFUNCTION("IFERROR(VLOOKUP($B$2,IMPORTRANGE(""https://docs.google.com/spreadsheets/d/1iVgg6Mw12RULLujzHmfOFIY8Q_KaAD8anoZzgtVAQ74/edit#gid=1503384807"",""Second Star - Summary!A1:AD2000""),9,FALSE),"""")"),1374)</f>
        <v>1374</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58"/>
        <v>0</v>
      </c>
      <c r="W51" s="55">
        <f t="shared" si="59"/>
        <v>0</v>
      </c>
      <c r="X51" s="55">
        <v>3</v>
      </c>
      <c r="Y51" s="55" t="s">
        <v>35</v>
      </c>
      <c r="Z51" s="56">
        <f t="shared" si="65"/>
        <v>-2.4</v>
      </c>
      <c r="AA51" s="55">
        <v>8.3327546296296282E-2</v>
      </c>
      <c r="AB51" s="55">
        <f t="shared" si="61"/>
        <v>-14.998958333333331</v>
      </c>
      <c r="AC51" s="55">
        <v>-4.9000000000000004</v>
      </c>
      <c r="AD51" s="55">
        <v>-6.2700060683760599</v>
      </c>
      <c r="AE51" s="55">
        <v>0</v>
      </c>
      <c r="AF51" s="55">
        <v>1.8972972972972899</v>
      </c>
    </row>
    <row r="52" spans="1:32" s="57" customFormat="1" ht="15.75" customHeight="1">
      <c r="A52" s="2" t="s">
        <v>123</v>
      </c>
      <c r="B52" s="2" t="s">
        <v>302</v>
      </c>
      <c r="C52" s="51">
        <f t="shared" si="50"/>
        <v>16.971176470588237</v>
      </c>
      <c r="D52" s="51">
        <v>17</v>
      </c>
      <c r="E52" s="51">
        <v>0</v>
      </c>
      <c r="F52" s="51">
        <v>288.51000000000005</v>
      </c>
      <c r="G52" s="51">
        <v>-24.840000000000003</v>
      </c>
      <c r="H52" s="51">
        <f t="shared" si="51"/>
        <v>8.609753561401684E-2</v>
      </c>
      <c r="I52" s="51">
        <f t="shared" si="52"/>
        <v>7.037574146802647E-2</v>
      </c>
      <c r="J52" s="51">
        <f t="shared" si="70"/>
        <v>20.304105170940321</v>
      </c>
      <c r="K52" s="51">
        <f t="shared" si="54"/>
        <v>1.1943591277023717</v>
      </c>
      <c r="L52" s="51">
        <v>70</v>
      </c>
      <c r="M52" s="51">
        <f t="shared" si="55"/>
        <v>0.24285714285714285</v>
      </c>
      <c r="N52" s="51">
        <v>213</v>
      </c>
      <c r="O52" s="51">
        <f t="shared" ref="O52:P52" si="74">D52/7</f>
        <v>2.4285714285714284</v>
      </c>
      <c r="P52" s="51">
        <f t="shared" si="74"/>
        <v>0</v>
      </c>
      <c r="Q52" s="51">
        <f t="shared" si="57"/>
        <v>87</v>
      </c>
      <c r="R52" s="55">
        <f ca="1">IFERROR(__xludf.DUMMYFUNCTION("IFERROR(VLOOKUP($B$2,IMPORTRANGE(""https://docs.google.com/spreadsheets/d/1iVgg6Mw12RULLujzHmfOFIY8Q_KaAD8anoZzgtVAQ74/edit#gid=1503384807"",""Second Star - Summary!A1:AD2000""),9,FALSE),"""")"),1374)</f>
        <v>1374</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58"/>
        <v>0</v>
      </c>
      <c r="W52" s="55">
        <f t="shared" si="59"/>
        <v>0</v>
      </c>
      <c r="X52" s="55">
        <v>0</v>
      </c>
      <c r="Y52" s="55" t="s">
        <v>35</v>
      </c>
      <c r="Z52" s="56">
        <f t="shared" si="65"/>
        <v>-2.4</v>
      </c>
      <c r="AA52" s="55">
        <v>8.3327546296296282E-2</v>
      </c>
      <c r="AB52" s="55">
        <f t="shared" si="61"/>
        <v>-10.199291666666664</v>
      </c>
      <c r="AC52" s="55">
        <v>-4.9000000000000004</v>
      </c>
      <c r="AD52" s="55">
        <v>-6.2700060683760599</v>
      </c>
      <c r="AE52" s="55">
        <v>0</v>
      </c>
      <c r="AF52" s="55">
        <v>1.8119205298013199</v>
      </c>
    </row>
    <row r="53" spans="1:32" s="57" customFormat="1">
      <c r="A53" s="2" t="s">
        <v>38</v>
      </c>
      <c r="B53" s="2" t="s">
        <v>303</v>
      </c>
      <c r="C53" s="51">
        <f t="shared" si="50"/>
        <v>16.485483870967741</v>
      </c>
      <c r="D53" s="51">
        <v>31</v>
      </c>
      <c r="E53" s="51">
        <v>0</v>
      </c>
      <c r="F53" s="51">
        <v>511.04999999999995</v>
      </c>
      <c r="G53" s="51">
        <v>-28.650000000000002</v>
      </c>
      <c r="H53" s="51">
        <f t="shared" si="51"/>
        <v>5.6061050777810401E-2</v>
      </c>
      <c r="I53" s="51">
        <f t="shared" si="52"/>
        <v>7.9979656681359493E-2</v>
      </c>
      <c r="J53" s="51">
        <f t="shared" si="70"/>
        <v>40.873603547008763</v>
      </c>
      <c r="K53" s="51">
        <f t="shared" si="54"/>
        <v>1.3185033402260891</v>
      </c>
      <c r="L53" s="51">
        <v>68</v>
      </c>
      <c r="M53" s="51">
        <f t="shared" si="55"/>
        <v>0.45588235294117646</v>
      </c>
      <c r="N53" s="51">
        <v>178</v>
      </c>
      <c r="O53" s="51">
        <f t="shared" ref="O53:P53" si="75">D53/7</f>
        <v>4.4285714285714288</v>
      </c>
      <c r="P53" s="51">
        <f t="shared" si="75"/>
        <v>0</v>
      </c>
      <c r="Q53" s="51">
        <f t="shared" si="57"/>
        <v>40</v>
      </c>
      <c r="R53" s="55">
        <f ca="1">IFERROR(__xludf.DUMMYFUNCTION("IFERROR(VLOOKUP($B$2,IMPORTRANGE(""https://docs.google.com/spreadsheets/d/1iVgg6Mw12RULLujzHmfOFIY8Q_KaAD8anoZzgtVAQ74/edit#gid=1503384807"",""Second Star - Summary!A1:AD2000""),9,FALSE),"""")"),1374)</f>
        <v>1374</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1</v>
      </c>
      <c r="V53" s="55">
        <f t="shared" si="58"/>
        <v>3.2258064516129031E-2</v>
      </c>
      <c r="W53" s="55">
        <f t="shared" si="59"/>
        <v>9.5500000000000007</v>
      </c>
      <c r="X53" s="55">
        <v>2</v>
      </c>
      <c r="Y53" s="55" t="s">
        <v>35</v>
      </c>
      <c r="Z53" s="56">
        <f t="shared" si="65"/>
        <v>-2.4</v>
      </c>
      <c r="AA53" s="55">
        <v>8.3327546296296282E-2</v>
      </c>
      <c r="AB53" s="55">
        <f t="shared" si="61"/>
        <v>-18.598708333333327</v>
      </c>
      <c r="AC53" s="55">
        <v>-4.9000000000000004</v>
      </c>
      <c r="AD53" s="55">
        <v>-6.2700060683760599</v>
      </c>
      <c r="AE53" s="55">
        <v>0</v>
      </c>
      <c r="AF53" s="55">
        <v>2.0883280757097702</v>
      </c>
    </row>
    <row r="54" spans="1:32" s="57" customFormat="1">
      <c r="A54" s="2" t="s">
        <v>40</v>
      </c>
      <c r="B54" s="2" t="s">
        <v>304</v>
      </c>
      <c r="C54" s="51">
        <f t="shared" si="50"/>
        <v>17.872352941176473</v>
      </c>
      <c r="D54" s="51">
        <v>17</v>
      </c>
      <c r="E54" s="51">
        <v>0</v>
      </c>
      <c r="F54" s="51">
        <v>303.83000000000004</v>
      </c>
      <c r="G54" s="51">
        <v>-19.86</v>
      </c>
      <c r="H54" s="51">
        <f t="shared" si="51"/>
        <v>6.5365500444327415E-2</v>
      </c>
      <c r="I54" s="51">
        <f t="shared" si="52"/>
        <v>0.10303822917730422</v>
      </c>
      <c r="J54" s="51">
        <f t="shared" si="70"/>
        <v>31.306105170940345</v>
      </c>
      <c r="K54" s="51">
        <f t="shared" si="54"/>
        <v>1.8415355982906085</v>
      </c>
      <c r="L54" s="51">
        <v>72</v>
      </c>
      <c r="M54" s="51">
        <f t="shared" si="55"/>
        <v>0.2361111111111111</v>
      </c>
      <c r="N54" s="51">
        <v>167</v>
      </c>
      <c r="O54" s="51">
        <f t="shared" ref="O54:P54" si="76">D54/7</f>
        <v>2.4285714285714284</v>
      </c>
      <c r="P54" s="51">
        <f t="shared" si="76"/>
        <v>0</v>
      </c>
      <c r="Q54" s="51">
        <f t="shared" si="57"/>
        <v>68</v>
      </c>
      <c r="R54" s="55">
        <f ca="1">IFERROR(__xludf.DUMMYFUNCTION("IFERROR(VLOOKUP($B$2,IMPORTRANGE(""https://docs.google.com/spreadsheets/d/1iVgg6Mw12RULLujzHmfOFIY8Q_KaAD8anoZzgtVAQ74/edit#gid=1503384807"",""Second Star - Summary!A1:AD2000""),9,FALSE),"""")"),1374)</f>
        <v>1374</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58"/>
        <v>0</v>
      </c>
      <c r="W54" s="55">
        <f t="shared" si="59"/>
        <v>19.86</v>
      </c>
      <c r="X54" s="55">
        <v>1</v>
      </c>
      <c r="Y54" s="55" t="s">
        <v>35</v>
      </c>
      <c r="Z54" s="56">
        <f t="shared" si="65"/>
        <v>-2.4</v>
      </c>
      <c r="AA54" s="55">
        <v>8.3327546296296282E-2</v>
      </c>
      <c r="AB54" s="55">
        <f t="shared" si="61"/>
        <v>-10.199291666666664</v>
      </c>
      <c r="AC54" s="55">
        <v>-4.9000000000000004</v>
      </c>
      <c r="AD54" s="55">
        <v>-6.2700060683760599</v>
      </c>
      <c r="AE54" s="55">
        <v>-7</v>
      </c>
      <c r="AF54" s="55">
        <v>1.6</v>
      </c>
    </row>
    <row r="55" spans="1:32" s="57" customFormat="1" ht="15.75" customHeight="1">
      <c r="A55" s="2" t="s">
        <v>32</v>
      </c>
      <c r="B55" s="2" t="s">
        <v>305</v>
      </c>
      <c r="C55" s="51">
        <f t="shared" si="50"/>
        <v>17.249583333333337</v>
      </c>
      <c r="D55" s="51">
        <v>24</v>
      </c>
      <c r="E55" s="51">
        <v>0</v>
      </c>
      <c r="F55" s="51">
        <v>413.99000000000007</v>
      </c>
      <c r="G55" s="51">
        <v>-12.63</v>
      </c>
      <c r="H55" s="51">
        <f t="shared" si="51"/>
        <v>3.0507983284620399E-2</v>
      </c>
      <c r="I55" s="51">
        <f t="shared" si="52"/>
        <v>0.13474324104199284</v>
      </c>
      <c r="J55" s="51">
        <f t="shared" si="70"/>
        <v>55.782354358974622</v>
      </c>
      <c r="K55" s="51">
        <f t="shared" si="54"/>
        <v>2.3242647649572761</v>
      </c>
      <c r="L55" s="51">
        <v>62</v>
      </c>
      <c r="M55" s="51">
        <f t="shared" si="55"/>
        <v>0.38709677419354838</v>
      </c>
      <c r="N55" s="51">
        <v>153</v>
      </c>
      <c r="O55" s="51">
        <f t="shared" ref="O55:P55" si="77">D55/7</f>
        <v>3.4285714285714284</v>
      </c>
      <c r="P55" s="51">
        <f t="shared" si="77"/>
        <v>0</v>
      </c>
      <c r="Q55" s="51">
        <f t="shared" si="57"/>
        <v>44</v>
      </c>
      <c r="R55" s="55">
        <v>66</v>
      </c>
      <c r="S55" s="53">
        <v>66</v>
      </c>
      <c r="T55" s="54">
        <v>44211</v>
      </c>
      <c r="U55" s="55">
        <v>0</v>
      </c>
      <c r="V55" s="55">
        <f t="shared" si="58"/>
        <v>0</v>
      </c>
      <c r="W55" s="55">
        <f t="shared" si="59"/>
        <v>6.3150000000000004</v>
      </c>
      <c r="X55" s="55">
        <v>2</v>
      </c>
      <c r="Y55" s="55" t="s">
        <v>35</v>
      </c>
      <c r="Z55" s="56">
        <f t="shared" si="65"/>
        <v>-2.4</v>
      </c>
      <c r="AA55" s="55">
        <v>8.3327546296296282E-2</v>
      </c>
      <c r="AB55" s="55">
        <f t="shared" si="61"/>
        <v>-14.398999999999996</v>
      </c>
      <c r="AC55" s="55">
        <v>-4.9000000000000004</v>
      </c>
      <c r="AD55" s="55">
        <v>-6.2700060683760599</v>
      </c>
      <c r="AE55" s="55">
        <v>-1</v>
      </c>
      <c r="AF55" s="55">
        <v>1.52624839948783</v>
      </c>
    </row>
    <row r="56" spans="1:32" s="57" customFormat="1" ht="15.75" customHeight="1">
      <c r="A56" s="2" t="s">
        <v>36</v>
      </c>
      <c r="B56" s="2"/>
      <c r="C56" s="51">
        <f t="shared" si="50"/>
        <v>18.054444444444449</v>
      </c>
      <c r="D56" s="51">
        <v>27</v>
      </c>
      <c r="E56" s="51">
        <v>2</v>
      </c>
      <c r="F56" s="51">
        <v>487.47000000000014</v>
      </c>
      <c r="G56" s="51">
        <v>-16.13</v>
      </c>
      <c r="H56" s="51">
        <f t="shared" si="51"/>
        <v>3.3089215746610036E-2</v>
      </c>
      <c r="I56" s="51">
        <f t="shared" si="52"/>
        <v>0.16499571492368037</v>
      </c>
      <c r="J56" s="51">
        <f t="shared" si="70"/>
        <v>80.430461153846494</v>
      </c>
      <c r="K56" s="51">
        <f t="shared" si="54"/>
        <v>2.9789059686609813</v>
      </c>
      <c r="L56" s="51">
        <v>72</v>
      </c>
      <c r="M56" s="51">
        <f t="shared" si="55"/>
        <v>0.375</v>
      </c>
      <c r="N56" s="51">
        <v>101</v>
      </c>
      <c r="O56" s="51">
        <f t="shared" ref="O56:P56" si="78">D56/7</f>
        <v>3.8571428571428572</v>
      </c>
      <c r="P56" s="51">
        <f t="shared" si="78"/>
        <v>0.2857142857142857</v>
      </c>
      <c r="Q56" s="51">
        <f t="shared" si="57"/>
        <v>24</v>
      </c>
      <c r="R56" s="55">
        <f ca="1">IFERROR(__xludf.DUMMYFUNCTION("IFERROR(VLOOKUP($B$2,IMPORTRANGE(""https://docs.google.com/spreadsheets/d/1iVgg6Mw12RULLujzHmfOFIY8Q_KaAD8anoZzgtVAQ74/edit#gid=1503384807"",""Second Star - Summary!A1:AD2000""),9,FALSE),"""")"),1374)</f>
        <v>1374</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58"/>
        <v>0</v>
      </c>
      <c r="W56" s="55">
        <f t="shared" si="59"/>
        <v>0</v>
      </c>
      <c r="X56" s="55">
        <v>0</v>
      </c>
      <c r="Y56" s="55" t="s">
        <v>35</v>
      </c>
      <c r="Z56" s="56">
        <f t="shared" si="65"/>
        <v>-2.4</v>
      </c>
      <c r="AA56" s="55">
        <v>8.3327546296296282E-2</v>
      </c>
      <c r="AB56" s="55">
        <f t="shared" si="61"/>
        <v>-16.198874999999994</v>
      </c>
      <c r="AC56" s="55">
        <v>-4.9000000000000004</v>
      </c>
      <c r="AD56" s="55">
        <v>-6.2700060683760599</v>
      </c>
      <c r="AE56" s="55">
        <v>0</v>
      </c>
      <c r="AF56" s="55">
        <v>1.8181818181818099</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E183" s="2"/>
      <c r="P183" s="2"/>
      <c r="AF183" s="23"/>
    </row>
    <row r="184" spans="1:32" ht="15.75" customHeight="1">
      <c r="E184" s="2"/>
      <c r="P184" s="2"/>
      <c r="AF184" s="23"/>
    </row>
    <row r="185" spans="1:32" ht="15.75" customHeight="1">
      <c r="E185" s="2"/>
      <c r="P185" s="2"/>
      <c r="AF185" s="23"/>
    </row>
    <row r="186" spans="1:32" ht="15.75" customHeight="1">
      <c r="E186" s="2"/>
      <c r="P186" s="2"/>
      <c r="AF186" s="23"/>
    </row>
    <row r="187" spans="1:32" ht="15.75" customHeight="1">
      <c r="E187" s="2"/>
      <c r="P187" s="2"/>
      <c r="AF187" s="23"/>
    </row>
    <row r="188" spans="1:32" ht="15.75" customHeight="1">
      <c r="E188" s="2"/>
      <c r="P188" s="2"/>
      <c r="AF188" s="23"/>
    </row>
    <row r="189" spans="1:32" ht="15.75" customHeight="1">
      <c r="E189" s="2"/>
      <c r="P189" s="2"/>
      <c r="AF189" s="23"/>
    </row>
    <row r="190" spans="1:32" ht="15.75" customHeight="1">
      <c r="E190" s="2"/>
      <c r="P190" s="2"/>
      <c r="AF190" s="23"/>
    </row>
    <row r="191" spans="1:32" ht="15.75" customHeight="1">
      <c r="E191" s="2"/>
      <c r="P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478" priority="1" operator="lessThan">
      <formula>100</formula>
    </cfRule>
  </conditionalFormatting>
  <conditionalFormatting sqref="Q1:Q3 Q57:Q1000">
    <cfRule type="cellIs" dxfId="477" priority="2" operator="lessThan">
      <formula>100</formula>
    </cfRule>
  </conditionalFormatting>
  <conditionalFormatting sqref="I1:I3 I57:I1000">
    <cfRule type="cellIs" dxfId="476" priority="3" operator="lessThan">
      <formula>0.05</formula>
    </cfRule>
  </conditionalFormatting>
  <conditionalFormatting sqref="I4:I17">
    <cfRule type="cellIs" dxfId="475" priority="4" operator="lessThan">
      <formula>0.05</formula>
    </cfRule>
  </conditionalFormatting>
  <conditionalFormatting sqref="I18:I56">
    <cfRule type="cellIs" dxfId="474" priority="5" operator="lessThan">
      <formula>0.05</formula>
    </cfRule>
  </conditionalFormatting>
  <conditionalFormatting sqref="Q4:Q56">
    <cfRule type="cellIs" dxfId="473" priority="6" operator="lessThan">
      <formula>100</formula>
    </cfRule>
  </conditionalFormatting>
  <conditionalFormatting sqref="Q4:Q56">
    <cfRule type="cellIs" dxfId="472" priority="7" operator="lessThan">
      <formula>100</formula>
    </cfRule>
  </conditionalFormatting>
  <pageMargins left="0.7" right="0.7" top="0.75" bottom="0.75" header="0" footer="0"/>
  <pageSetup orientation="portrait"/>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26"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5" customWidth="1"/>
    <col min="17" max="17" width="8.5" customWidth="1"/>
    <col min="18" max="18" width="7.83203125" customWidth="1"/>
    <col min="19" max="19" width="8" customWidth="1"/>
    <col min="20" max="20" width="36.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Info!B1:BJ5000""),4,FALSE),"""")"),"4-Layer Washable Waterproof Mattress Sheet Protector - Bed Underpad 17x24 inches")</f>
        <v>4-Layer Washable Waterproof Mattress Sheet Protector - Bed Underpad 17x24 inches</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Info!B1:BJ5000""),3,FALSE),"""")"),"B07N1X3X5Q")</f>
        <v>B07N1X3X5Q</v>
      </c>
      <c r="B2" s="4" t="s">
        <v>306</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5.8784306184012003</v>
      </c>
      <c r="D3" s="8">
        <f>SUM(D4:D99819)</f>
        <v>649</v>
      </c>
      <c r="E3" s="8"/>
      <c r="F3" s="9">
        <f t="shared" ref="F3:G3" si="0">SUM(F4:F99819)</f>
        <v>5061.5099999999984</v>
      </c>
      <c r="G3" s="9">
        <f t="shared" si="0"/>
        <v>-1.6900000000000004</v>
      </c>
      <c r="H3" s="10">
        <f t="shared" ref="H3:H39" si="1">G3/F3*-1</f>
        <v>3.3389245501836426E-4</v>
      </c>
      <c r="I3" s="11">
        <f t="shared" ref="I3:I39" si="2">J3/F3</f>
        <v>0.12654845214681829</v>
      </c>
      <c r="J3" s="9">
        <f>SUM(J4:J99819)</f>
        <v>640.52625602564206</v>
      </c>
      <c r="K3" s="9">
        <f t="shared" ref="K3:K39" si="3">J3/D3</f>
        <v>0.98694338370669032</v>
      </c>
      <c r="L3" s="8"/>
      <c r="M3" s="12"/>
      <c r="N3" s="13"/>
      <c r="O3" s="8" t="str">
        <f ca="1">IFERROR(__xludf.DUMMYFUNCTION("IFERROR(VLOOKUP(B2,IMPORTRANGE(""https://docs.google.com/spreadsheets/d/1owCo6kL_VFQ5nPTdNogErmCBLjNiktT1m3SzTrxu3R0/edit#gid=2146806407"",""Second Star - Compiled!b1:g5000""),2,FALSE),"""")"),"2 - March
3 - April
3.5 - May
3.5 - Jun
3.5 - Jul
3.5 - Aug
2 - Sept
2 - Oct
2 - Nov
3 - Dec
3 - Jan
2 - Feb")</f>
        <v>2 - March
3 - April
3.5 - May
3.5 - Jun
3.5 - Jul
3.5 - Aug
2 - Sept
2 - Oct
2 - Nov
3 - Dec
3 - Jan
2 - Feb</v>
      </c>
      <c r="P3" s="8"/>
      <c r="Q3" s="14"/>
      <c r="R3" s="13"/>
      <c r="S3" s="13"/>
      <c r="T3" s="13"/>
      <c r="U3" s="8">
        <f>SUM(U4:U99819)</f>
        <v>1</v>
      </c>
      <c r="V3" s="10">
        <f>AVERAGE(V4:V99819)</f>
        <v>9.4339622641509435E-4</v>
      </c>
      <c r="W3" s="9">
        <f>ROUND(AVERAGE(W4:W99819),2)</f>
        <v>0.01</v>
      </c>
      <c r="X3" s="8"/>
      <c r="Y3" s="8"/>
      <c r="Z3" s="8"/>
      <c r="AA3" s="8"/>
      <c r="AB3" s="8"/>
      <c r="AC3" s="15"/>
      <c r="AD3" s="9"/>
      <c r="AE3" s="9">
        <f>SUM(AE4:AE99819)</f>
        <v>-9.69</v>
      </c>
      <c r="AF3" s="16"/>
    </row>
    <row r="4" spans="1:32" s="57" customFormat="1">
      <c r="A4" s="17" t="s">
        <v>48</v>
      </c>
      <c r="B4" s="17"/>
      <c r="C4" s="50">
        <v>7.99</v>
      </c>
      <c r="D4" s="51">
        <v>11</v>
      </c>
      <c r="E4" s="51">
        <v>0</v>
      </c>
      <c r="F4" s="51">
        <v>97.889999999999986</v>
      </c>
      <c r="G4" s="51">
        <v>-0.08</v>
      </c>
      <c r="H4" s="51">
        <f t="shared" si="1"/>
        <v>8.1724384513229146E-4</v>
      </c>
      <c r="I4" s="51">
        <f t="shared" si="2"/>
        <v>0.23878625493642353</v>
      </c>
      <c r="J4" s="51">
        <f t="shared" ref="J4:J38" si="4">F4*0.85+G4+AD4*D4+D4*AC4+AE4+AB4</f>
        <v>23.374786495726497</v>
      </c>
      <c r="K4" s="51">
        <f t="shared" si="3"/>
        <v>2.1249805905205905</v>
      </c>
      <c r="L4" s="51">
        <v>91</v>
      </c>
      <c r="M4" s="51">
        <f t="shared" ref="M4:M39" si="5">IFERROR(D4/L4,"-")</f>
        <v>0.12087912087912088</v>
      </c>
      <c r="N4" s="51">
        <v>83</v>
      </c>
      <c r="O4" s="51">
        <f t="shared" ref="O4:P4" si="6">D4/7</f>
        <v>1.5714285714285714</v>
      </c>
      <c r="P4" s="51">
        <f t="shared" si="6"/>
        <v>0</v>
      </c>
      <c r="Q4" s="51">
        <f t="shared" ref="Q4:Q39" si="7">ROUNDDOWN(N4/(O4+P4),0)</f>
        <v>52</v>
      </c>
      <c r="R4" s="52">
        <v>3</v>
      </c>
      <c r="S4" s="53" t="s">
        <v>34</v>
      </c>
      <c r="T4" s="54" t="s">
        <v>34</v>
      </c>
      <c r="U4" s="52">
        <v>0</v>
      </c>
      <c r="V4" s="55">
        <f t="shared" ref="V4:V39" si="8">IFERROR(U4/D4,0)</f>
        <v>0</v>
      </c>
      <c r="W4" s="55">
        <f t="shared" ref="W4:W39" si="9">IFERROR(G4/(U4+X4)*-1,0)</f>
        <v>0.08</v>
      </c>
      <c r="X4" s="52">
        <v>1</v>
      </c>
      <c r="Y4" s="56" t="s">
        <v>35</v>
      </c>
      <c r="Z4" s="56">
        <f t="shared" ref="Z4:Z10" si="10">IF(OR(Y4="UsLargeStandardSize",Y4="UsSmallStandardSize"),-0.69,-0.48)</f>
        <v>-0.69</v>
      </c>
      <c r="AA4" s="55">
        <v>5.0962962962962967E-2</v>
      </c>
      <c r="AB4" s="55">
        <f t="shared" ref="AB4:AB17" si="11">IFERROR((Z4*AA4*N4)/4,0)</f>
        <v>-0.72966222222222221</v>
      </c>
      <c r="AC4" s="55">
        <v>-3.19</v>
      </c>
      <c r="AD4" s="55">
        <v>-2.1756410256410255</v>
      </c>
      <c r="AE4" s="55">
        <v>0</v>
      </c>
      <c r="AF4" s="55"/>
    </row>
    <row r="5" spans="1:32" s="57" customFormat="1" ht="15.75" customHeight="1">
      <c r="A5" s="2" t="s">
        <v>49</v>
      </c>
      <c r="B5" s="2" t="s">
        <v>307</v>
      </c>
      <c r="C5" s="51">
        <v>7.99</v>
      </c>
      <c r="D5" s="51">
        <v>10</v>
      </c>
      <c r="E5" s="51">
        <v>0</v>
      </c>
      <c r="F5" s="51">
        <v>81.899999999999991</v>
      </c>
      <c r="G5" s="51">
        <v>-0.06</v>
      </c>
      <c r="H5" s="51">
        <f t="shared" si="1"/>
        <v>7.326007326007326E-4</v>
      </c>
      <c r="I5" s="51">
        <f t="shared" si="2"/>
        <v>0.18596416726673132</v>
      </c>
      <c r="J5" s="51">
        <f t="shared" si="4"/>
        <v>15.230465299145294</v>
      </c>
      <c r="K5" s="51">
        <f t="shared" si="3"/>
        <v>1.5230465299145295</v>
      </c>
      <c r="L5" s="51">
        <v>97</v>
      </c>
      <c r="M5" s="51">
        <f t="shared" si="5"/>
        <v>0.10309278350515463</v>
      </c>
      <c r="N5" s="51">
        <v>76</v>
      </c>
      <c r="O5" s="51">
        <f t="shared" ref="O5:P5" si="12">D5/7</f>
        <v>1.4285714285714286</v>
      </c>
      <c r="P5" s="51">
        <f t="shared" si="12"/>
        <v>0</v>
      </c>
      <c r="Q5" s="51">
        <f t="shared" si="7"/>
        <v>53</v>
      </c>
      <c r="R5" s="55">
        <v>3</v>
      </c>
      <c r="S5" s="53" t="s">
        <v>34</v>
      </c>
      <c r="T5" s="54" t="s">
        <v>34</v>
      </c>
      <c r="U5" s="55">
        <v>0</v>
      </c>
      <c r="V5" s="55">
        <f t="shared" si="8"/>
        <v>0</v>
      </c>
      <c r="W5" s="55">
        <f t="shared" si="9"/>
        <v>0</v>
      </c>
      <c r="X5" s="55">
        <v>0</v>
      </c>
      <c r="Y5" s="55" t="s">
        <v>35</v>
      </c>
      <c r="Z5" s="56">
        <f t="shared" si="10"/>
        <v>-0.69</v>
      </c>
      <c r="AA5" s="55">
        <v>5.0962962962962967E-2</v>
      </c>
      <c r="AB5" s="55">
        <f t="shared" si="11"/>
        <v>-0.66812444444444441</v>
      </c>
      <c r="AC5" s="55">
        <v>-3.19</v>
      </c>
      <c r="AD5" s="55">
        <v>-2.1756410256410255</v>
      </c>
      <c r="AE5" s="55">
        <v>0</v>
      </c>
      <c r="AF5" s="55"/>
    </row>
    <row r="6" spans="1:32" s="57" customFormat="1" ht="15.75" customHeight="1">
      <c r="A6" s="2" t="s">
        <v>51</v>
      </c>
      <c r="B6" s="2" t="s">
        <v>308</v>
      </c>
      <c r="C6" s="51">
        <v>8.99</v>
      </c>
      <c r="D6" s="51">
        <v>8</v>
      </c>
      <c r="E6" s="51">
        <v>0</v>
      </c>
      <c r="F6" s="51">
        <v>65.92</v>
      </c>
      <c r="G6" s="51">
        <v>-0.16</v>
      </c>
      <c r="H6" s="51">
        <f t="shared" si="1"/>
        <v>2.4271844660194173E-3</v>
      </c>
      <c r="I6" s="51">
        <f t="shared" si="2"/>
        <v>0.18800108912123473</v>
      </c>
      <c r="J6" s="51">
        <f t="shared" si="4"/>
        <v>12.393031794871794</v>
      </c>
      <c r="K6" s="51">
        <f t="shared" si="3"/>
        <v>1.5491289743589742</v>
      </c>
      <c r="L6" s="51">
        <v>121</v>
      </c>
      <c r="M6" s="51">
        <f t="shared" si="5"/>
        <v>6.6115702479338845E-2</v>
      </c>
      <c r="N6" s="51">
        <v>63</v>
      </c>
      <c r="O6" s="51">
        <f t="shared" ref="O6:P6" si="13">D6/7</f>
        <v>1.1428571428571428</v>
      </c>
      <c r="P6" s="51">
        <f t="shared" si="13"/>
        <v>0</v>
      </c>
      <c r="Q6" s="51">
        <f t="shared" si="7"/>
        <v>55</v>
      </c>
      <c r="R6" s="55">
        <v>54</v>
      </c>
      <c r="S6" s="53" t="s">
        <v>34</v>
      </c>
      <c r="T6" s="54" t="s">
        <v>34</v>
      </c>
      <c r="U6" s="55">
        <v>0</v>
      </c>
      <c r="V6" s="55">
        <f t="shared" si="8"/>
        <v>0</v>
      </c>
      <c r="W6" s="55">
        <f t="shared" si="9"/>
        <v>0.16</v>
      </c>
      <c r="X6" s="55">
        <v>1</v>
      </c>
      <c r="Y6" s="55" t="s">
        <v>35</v>
      </c>
      <c r="Z6" s="56">
        <f t="shared" si="10"/>
        <v>-0.69</v>
      </c>
      <c r="AA6" s="55">
        <v>5.0962962962962967E-2</v>
      </c>
      <c r="AB6" s="55">
        <f t="shared" si="11"/>
        <v>-0.55384</v>
      </c>
      <c r="AC6" s="55">
        <v>-3.19</v>
      </c>
      <c r="AD6" s="55">
        <v>-2.1756410256410255</v>
      </c>
      <c r="AE6" s="55">
        <v>0</v>
      </c>
      <c r="AF6" s="55"/>
    </row>
    <row r="7" spans="1:32" s="57" customFormat="1" ht="15.75" customHeight="1">
      <c r="A7" s="2" t="s">
        <v>53</v>
      </c>
      <c r="B7" s="2"/>
      <c r="C7" s="51">
        <v>8.99</v>
      </c>
      <c r="D7" s="51">
        <v>12</v>
      </c>
      <c r="E7" s="51">
        <v>0</v>
      </c>
      <c r="F7" s="51">
        <v>101.87999999999998</v>
      </c>
      <c r="G7" s="51">
        <v>-0.08</v>
      </c>
      <c r="H7" s="51">
        <f t="shared" si="1"/>
        <v>7.8523753435414225E-4</v>
      </c>
      <c r="I7" s="51">
        <f t="shared" si="2"/>
        <v>0.21238717579589186</v>
      </c>
      <c r="J7" s="51">
        <f t="shared" si="4"/>
        <v>21.63800547008546</v>
      </c>
      <c r="K7" s="51">
        <f t="shared" si="3"/>
        <v>1.8031671225071217</v>
      </c>
      <c r="L7" s="51">
        <v>73</v>
      </c>
      <c r="M7" s="51">
        <f t="shared" si="5"/>
        <v>0.16438356164383561</v>
      </c>
      <c r="N7" s="51">
        <v>56</v>
      </c>
      <c r="O7" s="51">
        <f t="shared" ref="O7:P7" si="14">D7/7</f>
        <v>1.7142857142857142</v>
      </c>
      <c r="P7" s="51">
        <f t="shared" si="14"/>
        <v>0</v>
      </c>
      <c r="Q7" s="51">
        <f t="shared" si="7"/>
        <v>32</v>
      </c>
      <c r="R7" s="55">
        <v>54</v>
      </c>
      <c r="S7" s="53" t="s">
        <v>34</v>
      </c>
      <c r="T7" s="54" t="s">
        <v>34</v>
      </c>
      <c r="U7" s="55">
        <v>0</v>
      </c>
      <c r="V7" s="55">
        <f t="shared" si="8"/>
        <v>0</v>
      </c>
      <c r="W7" s="55">
        <f t="shared" si="9"/>
        <v>0.08</v>
      </c>
      <c r="X7" s="55">
        <v>1</v>
      </c>
      <c r="Y7" s="55" t="s">
        <v>35</v>
      </c>
      <c r="Z7" s="56">
        <f t="shared" si="10"/>
        <v>-0.69</v>
      </c>
      <c r="AA7" s="55">
        <v>5.0962962962962967E-2</v>
      </c>
      <c r="AB7" s="55">
        <f t="shared" si="11"/>
        <v>-0.4923022222222222</v>
      </c>
      <c r="AC7" s="55">
        <v>-3.19</v>
      </c>
      <c r="AD7" s="55">
        <v>-2.1756410256410255</v>
      </c>
      <c r="AE7" s="55">
        <v>0</v>
      </c>
      <c r="AF7" s="55"/>
    </row>
    <row r="8" spans="1:32" s="57" customFormat="1" ht="15.75" customHeight="1">
      <c r="A8" s="2" t="s">
        <v>54</v>
      </c>
      <c r="B8" s="2" t="s">
        <v>309</v>
      </c>
      <c r="C8" s="51">
        <v>8.99</v>
      </c>
      <c r="D8" s="51">
        <v>12</v>
      </c>
      <c r="E8" s="51">
        <v>0</v>
      </c>
      <c r="F8" s="51">
        <v>101.88</v>
      </c>
      <c r="G8" s="51">
        <v>-0.13</v>
      </c>
      <c r="H8" s="51">
        <f t="shared" si="1"/>
        <v>1.2760109933254811E-3</v>
      </c>
      <c r="I8" s="51">
        <f t="shared" si="2"/>
        <v>0.20861742489068763</v>
      </c>
      <c r="J8" s="51">
        <f t="shared" si="4"/>
        <v>21.253943247863255</v>
      </c>
      <c r="K8" s="51">
        <f t="shared" si="3"/>
        <v>1.7711619373219378</v>
      </c>
      <c r="L8" s="51">
        <v>85</v>
      </c>
      <c r="M8" s="51">
        <f t="shared" si="5"/>
        <v>0.14117647058823529</v>
      </c>
      <c r="N8" s="51">
        <v>94</v>
      </c>
      <c r="O8" s="51">
        <f t="shared" ref="O8:P8" si="15">D8/7</f>
        <v>1.7142857142857142</v>
      </c>
      <c r="P8" s="51">
        <f t="shared" si="15"/>
        <v>0</v>
      </c>
      <c r="Q8" s="51">
        <f t="shared" si="7"/>
        <v>54</v>
      </c>
      <c r="R8" s="55">
        <v>54</v>
      </c>
      <c r="S8" s="53">
        <v>54</v>
      </c>
      <c r="T8" s="54">
        <v>43865</v>
      </c>
      <c r="U8" s="55">
        <v>0</v>
      </c>
      <c r="V8" s="55">
        <f t="shared" si="8"/>
        <v>0</v>
      </c>
      <c r="W8" s="55">
        <f t="shared" si="9"/>
        <v>0</v>
      </c>
      <c r="X8" s="55">
        <v>0</v>
      </c>
      <c r="Y8" s="55" t="s">
        <v>35</v>
      </c>
      <c r="Z8" s="56">
        <f t="shared" si="10"/>
        <v>-0.69</v>
      </c>
      <c r="AA8" s="55">
        <v>5.0962962962962967E-2</v>
      </c>
      <c r="AB8" s="55">
        <f t="shared" si="11"/>
        <v>-0.82636444444444446</v>
      </c>
      <c r="AC8" s="55">
        <v>-3.19</v>
      </c>
      <c r="AD8" s="55">
        <v>-2.1756410256410255</v>
      </c>
      <c r="AE8" s="55">
        <v>0</v>
      </c>
      <c r="AF8" s="55"/>
    </row>
    <row r="9" spans="1:32" s="57" customFormat="1" ht="15.75" customHeight="1">
      <c r="A9" s="2" t="s">
        <v>56</v>
      </c>
      <c r="B9" s="2" t="s">
        <v>45</v>
      </c>
      <c r="C9" s="51">
        <v>8.99</v>
      </c>
      <c r="D9" s="51">
        <v>20</v>
      </c>
      <c r="E9" s="51">
        <v>0</v>
      </c>
      <c r="F9" s="51">
        <v>166.80000000000004</v>
      </c>
      <c r="G9" s="51">
        <v>-0.02</v>
      </c>
      <c r="H9" s="51">
        <f t="shared" si="1"/>
        <v>1.1990407673860909E-4</v>
      </c>
      <c r="I9" s="51">
        <f t="shared" si="2"/>
        <v>0.18789127057328506</v>
      </c>
      <c r="J9" s="51">
        <f t="shared" si="4"/>
        <v>31.340263931623955</v>
      </c>
      <c r="K9" s="51">
        <f t="shared" si="3"/>
        <v>1.5670131965811978</v>
      </c>
      <c r="L9" s="51">
        <v>67</v>
      </c>
      <c r="M9" s="51">
        <f t="shared" si="5"/>
        <v>0.29850746268656714</v>
      </c>
      <c r="N9" s="51">
        <v>77</v>
      </c>
      <c r="O9" s="51">
        <f t="shared" ref="O9:P9" si="16">D9/7</f>
        <v>2.8571428571428572</v>
      </c>
      <c r="P9" s="51">
        <f t="shared" si="16"/>
        <v>0</v>
      </c>
      <c r="Q9" s="51">
        <f t="shared" si="7"/>
        <v>26</v>
      </c>
      <c r="R9" s="55">
        <v>96</v>
      </c>
      <c r="S9" s="53" t="s">
        <v>34</v>
      </c>
      <c r="T9" s="54" t="s">
        <v>34</v>
      </c>
      <c r="U9" s="55">
        <v>0</v>
      </c>
      <c r="V9" s="55">
        <f t="shared" si="8"/>
        <v>0</v>
      </c>
      <c r="W9" s="55">
        <f t="shared" si="9"/>
        <v>0</v>
      </c>
      <c r="X9" s="55">
        <v>0</v>
      </c>
      <c r="Y9" s="55" t="s">
        <v>35</v>
      </c>
      <c r="Z9" s="56">
        <f t="shared" si="10"/>
        <v>-0.69</v>
      </c>
      <c r="AA9" s="55">
        <v>5.0962962962962967E-2</v>
      </c>
      <c r="AB9" s="55">
        <f t="shared" si="11"/>
        <v>-0.67691555555555549</v>
      </c>
      <c r="AC9" s="55">
        <v>-3.19</v>
      </c>
      <c r="AD9" s="55">
        <v>-2.1756410256410255</v>
      </c>
      <c r="AE9" s="55">
        <v>-2.4299999999999997</v>
      </c>
      <c r="AF9" s="55"/>
    </row>
    <row r="10" spans="1:32" s="57" customFormat="1" ht="15.75" customHeight="1">
      <c r="A10" s="2" t="s">
        <v>58</v>
      </c>
      <c r="B10" s="2" t="s">
        <v>310</v>
      </c>
      <c r="C10" s="51">
        <v>8.99</v>
      </c>
      <c r="D10" s="51">
        <v>6</v>
      </c>
      <c r="E10" s="51">
        <v>0</v>
      </c>
      <c r="F10" s="51">
        <v>53.94</v>
      </c>
      <c r="G10" s="51">
        <v>-0.04</v>
      </c>
      <c r="H10" s="51">
        <f t="shared" si="1"/>
        <v>7.415647015202077E-4</v>
      </c>
      <c r="I10" s="51">
        <f t="shared" si="2"/>
        <v>0.24051543817283527</v>
      </c>
      <c r="J10" s="51">
        <f t="shared" si="4"/>
        <v>12.973402735042734</v>
      </c>
      <c r="K10" s="51">
        <f t="shared" si="3"/>
        <v>2.1622337891737891</v>
      </c>
      <c r="L10" s="51">
        <v>54</v>
      </c>
      <c r="M10" s="51">
        <f t="shared" si="5"/>
        <v>0.1111111111111111</v>
      </c>
      <c r="N10" s="51">
        <v>73</v>
      </c>
      <c r="O10" s="51">
        <f t="shared" ref="O10:P10" si="17">D10/7</f>
        <v>0.8571428571428571</v>
      </c>
      <c r="P10" s="51">
        <f t="shared" si="17"/>
        <v>0</v>
      </c>
      <c r="Q10" s="51">
        <f t="shared" si="7"/>
        <v>85</v>
      </c>
      <c r="R10" s="55">
        <v>96</v>
      </c>
      <c r="S10" s="53" t="s">
        <v>34</v>
      </c>
      <c r="T10" s="54" t="s">
        <v>34</v>
      </c>
      <c r="U10" s="55">
        <v>0</v>
      </c>
      <c r="V10" s="55">
        <f t="shared" si="8"/>
        <v>0</v>
      </c>
      <c r="W10" s="55">
        <f t="shared" si="9"/>
        <v>0</v>
      </c>
      <c r="X10" s="55">
        <v>0</v>
      </c>
      <c r="Y10" s="55" t="s">
        <v>35</v>
      </c>
      <c r="Z10" s="56">
        <f t="shared" si="10"/>
        <v>-0.69</v>
      </c>
      <c r="AA10" s="55">
        <v>5.0962962962962967E-2</v>
      </c>
      <c r="AB10" s="55">
        <f t="shared" si="11"/>
        <v>-0.64175111111111105</v>
      </c>
      <c r="AC10" s="55">
        <v>-3.19</v>
      </c>
      <c r="AD10" s="55">
        <v>-2.1756410256410255</v>
      </c>
      <c r="AE10" s="55">
        <v>0</v>
      </c>
      <c r="AF10" s="55"/>
    </row>
    <row r="11" spans="1:32" s="57" customFormat="1" ht="15.75" customHeight="1">
      <c r="A11" s="2" t="s">
        <v>60</v>
      </c>
      <c r="B11" s="2" t="s">
        <v>311</v>
      </c>
      <c r="C11" s="51">
        <v>9.99</v>
      </c>
      <c r="D11" s="51">
        <v>1</v>
      </c>
      <c r="E11" s="51">
        <v>0</v>
      </c>
      <c r="F11" s="51">
        <v>9.99</v>
      </c>
      <c r="G11" s="51">
        <v>-0.04</v>
      </c>
      <c r="H11" s="51">
        <f t="shared" si="1"/>
        <v>4.004004004004004E-3</v>
      </c>
      <c r="I11" s="51">
        <f t="shared" si="2"/>
        <v>0.22705739927962157</v>
      </c>
      <c r="J11" s="51">
        <f t="shared" si="4"/>
        <v>2.2683034188034195</v>
      </c>
      <c r="K11" s="51">
        <f t="shared" si="3"/>
        <v>2.2683034188034195</v>
      </c>
      <c r="L11" s="51">
        <v>47</v>
      </c>
      <c r="M11" s="51">
        <f t="shared" si="5"/>
        <v>2.1276595744680851E-2</v>
      </c>
      <c r="N11" s="51">
        <v>73</v>
      </c>
      <c r="O11" s="51">
        <f t="shared" ref="O11:P11" si="18">D11/7</f>
        <v>0.14285714285714285</v>
      </c>
      <c r="P11" s="51">
        <f t="shared" si="18"/>
        <v>0</v>
      </c>
      <c r="Q11" s="51">
        <f t="shared" si="7"/>
        <v>511</v>
      </c>
      <c r="R11" s="55">
        <v>150</v>
      </c>
      <c r="S11" s="53" t="s">
        <v>34</v>
      </c>
      <c r="T11" s="54" t="s">
        <v>34</v>
      </c>
      <c r="U11" s="55">
        <v>0</v>
      </c>
      <c r="V11" s="55">
        <f t="shared" si="8"/>
        <v>0</v>
      </c>
      <c r="W11" s="55">
        <f t="shared" si="9"/>
        <v>0</v>
      </c>
      <c r="X11" s="55">
        <v>0</v>
      </c>
      <c r="Y11" s="55" t="s">
        <v>35</v>
      </c>
      <c r="Z11" s="56">
        <f t="shared" ref="Z11:Z39" si="19">IF(OR(Y11="UsLargeStandardSize",Y11="UsSmallStandardSize"),-0.75,-0.48)</f>
        <v>-0.75</v>
      </c>
      <c r="AA11" s="55">
        <v>5.0962962962962967E-2</v>
      </c>
      <c r="AB11" s="55">
        <f t="shared" si="11"/>
        <v>-0.6975555555555556</v>
      </c>
      <c r="AC11" s="55">
        <v>-3.31</v>
      </c>
      <c r="AD11" s="55">
        <v>-2.1756410256410255</v>
      </c>
      <c r="AE11" s="55">
        <v>0</v>
      </c>
      <c r="AF11" s="55"/>
    </row>
    <row r="12" spans="1:32" s="57" customFormat="1" ht="15.75" customHeight="1">
      <c r="A12" s="2" t="s">
        <v>62</v>
      </c>
      <c r="B12" s="2" t="s">
        <v>312</v>
      </c>
      <c r="C12" s="51">
        <v>7.99</v>
      </c>
      <c r="D12" s="51">
        <v>13</v>
      </c>
      <c r="E12" s="51">
        <v>0</v>
      </c>
      <c r="F12" s="51">
        <v>102.87</v>
      </c>
      <c r="G12" s="51">
        <v>-0.09</v>
      </c>
      <c r="H12" s="51">
        <f t="shared" si="1"/>
        <v>8.7489063867016614E-4</v>
      </c>
      <c r="I12" s="51">
        <f t="shared" si="2"/>
        <v>0.1289021742652538</v>
      </c>
      <c r="J12" s="51">
        <f t="shared" si="4"/>
        <v>13.26016666666666</v>
      </c>
      <c r="K12" s="51">
        <f t="shared" si="3"/>
        <v>1.0200128205128201</v>
      </c>
      <c r="L12" s="51">
        <v>66</v>
      </c>
      <c r="M12" s="51">
        <f t="shared" si="5"/>
        <v>0.19696969696969696</v>
      </c>
      <c r="N12" s="51">
        <v>54</v>
      </c>
      <c r="O12" s="51">
        <f t="shared" ref="O12:P12" si="20">D12/7</f>
        <v>1.8571428571428572</v>
      </c>
      <c r="P12" s="51">
        <f t="shared" si="20"/>
        <v>0</v>
      </c>
      <c r="Q12" s="51">
        <f t="shared" si="7"/>
        <v>29</v>
      </c>
      <c r="R12" s="55">
        <v>150</v>
      </c>
      <c r="S12" s="53">
        <v>96</v>
      </c>
      <c r="T12" s="54">
        <v>43896</v>
      </c>
      <c r="U12" s="55">
        <v>0</v>
      </c>
      <c r="V12" s="55">
        <f t="shared" si="8"/>
        <v>0</v>
      </c>
      <c r="W12" s="55">
        <f t="shared" si="9"/>
        <v>0</v>
      </c>
      <c r="X12" s="55">
        <v>0</v>
      </c>
      <c r="Y12" s="55" t="s">
        <v>35</v>
      </c>
      <c r="Z12" s="56">
        <f t="shared" si="19"/>
        <v>-0.75</v>
      </c>
      <c r="AA12" s="55">
        <v>5.0962962962962967E-2</v>
      </c>
      <c r="AB12" s="55">
        <f t="shared" si="11"/>
        <v>-0.51600000000000001</v>
      </c>
      <c r="AC12" s="55">
        <v>-3.31</v>
      </c>
      <c r="AD12" s="55">
        <v>-2.1756410256410255</v>
      </c>
      <c r="AE12" s="55">
        <v>-2.2599999999999998</v>
      </c>
      <c r="AF12" s="55"/>
    </row>
    <row r="13" spans="1:32" s="57" customFormat="1" ht="15.75" customHeight="1">
      <c r="A13" s="2" t="s">
        <v>63</v>
      </c>
      <c r="B13" s="2" t="s">
        <v>174</v>
      </c>
      <c r="C13" s="51">
        <v>7.99</v>
      </c>
      <c r="D13" s="51">
        <v>10</v>
      </c>
      <c r="E13" s="51">
        <v>0</v>
      </c>
      <c r="F13" s="51">
        <v>76.900000000000006</v>
      </c>
      <c r="G13" s="51">
        <v>0</v>
      </c>
      <c r="H13" s="51">
        <f t="shared" si="1"/>
        <v>0</v>
      </c>
      <c r="I13" s="51">
        <f t="shared" si="2"/>
        <v>0.13043968746179418</v>
      </c>
      <c r="J13" s="51">
        <f t="shared" si="4"/>
        <v>10.030811965811974</v>
      </c>
      <c r="K13" s="51">
        <f t="shared" si="3"/>
        <v>1.0030811965811974</v>
      </c>
      <c r="L13" s="51">
        <v>84</v>
      </c>
      <c r="M13" s="51">
        <f t="shared" si="5"/>
        <v>0.11904761904761904</v>
      </c>
      <c r="N13" s="51">
        <v>50</v>
      </c>
      <c r="O13" s="51">
        <f t="shared" ref="O13:P13" si="21">D13/7</f>
        <v>1.4285714285714286</v>
      </c>
      <c r="P13" s="51">
        <f t="shared" si="21"/>
        <v>0</v>
      </c>
      <c r="Q13" s="51">
        <f t="shared" si="7"/>
        <v>35</v>
      </c>
      <c r="R13" s="55">
        <v>54</v>
      </c>
      <c r="S13" s="53" t="s">
        <v>34</v>
      </c>
      <c r="T13" s="54" t="s">
        <v>34</v>
      </c>
      <c r="U13" s="55">
        <v>0</v>
      </c>
      <c r="V13" s="55">
        <f t="shared" si="8"/>
        <v>0</v>
      </c>
      <c r="W13" s="55">
        <f t="shared" si="9"/>
        <v>0</v>
      </c>
      <c r="X13" s="55">
        <v>0</v>
      </c>
      <c r="Y13" s="55" t="s">
        <v>35</v>
      </c>
      <c r="Z13" s="56">
        <f t="shared" si="19"/>
        <v>-0.75</v>
      </c>
      <c r="AA13" s="55">
        <v>5.0962962962962967E-2</v>
      </c>
      <c r="AB13" s="55">
        <f t="shared" si="11"/>
        <v>-0.47777777777777786</v>
      </c>
      <c r="AC13" s="55">
        <v>-3.31</v>
      </c>
      <c r="AD13" s="55">
        <v>-2.1756410256410255</v>
      </c>
      <c r="AE13" s="55">
        <v>0</v>
      </c>
      <c r="AF13" s="55"/>
    </row>
    <row r="14" spans="1:32" s="57" customFormat="1" ht="15.75" customHeight="1">
      <c r="A14" s="2" t="s">
        <v>64</v>
      </c>
      <c r="B14" s="2"/>
      <c r="C14" s="51">
        <v>7.99</v>
      </c>
      <c r="D14" s="51">
        <v>9</v>
      </c>
      <c r="E14" s="51">
        <v>0</v>
      </c>
      <c r="F14" s="51">
        <v>68.910000000000011</v>
      </c>
      <c r="G14" s="51">
        <v>-0.02</v>
      </c>
      <c r="H14" s="51">
        <f t="shared" si="1"/>
        <v>2.9023363807865327E-4</v>
      </c>
      <c r="I14" s="51">
        <f t="shared" si="2"/>
        <v>0.11495279982437158</v>
      </c>
      <c r="J14" s="51">
        <f t="shared" si="4"/>
        <v>7.9213974358974468</v>
      </c>
      <c r="K14" s="51">
        <f t="shared" si="3"/>
        <v>0.88015527065527188</v>
      </c>
      <c r="L14" s="51">
        <v>78</v>
      </c>
      <c r="M14" s="51">
        <f t="shared" si="5"/>
        <v>0.11538461538461539</v>
      </c>
      <c r="N14" s="51">
        <v>132</v>
      </c>
      <c r="O14" s="51">
        <f t="shared" ref="O14:P14" si="22">D14/7</f>
        <v>1.2857142857142858</v>
      </c>
      <c r="P14" s="51">
        <f t="shared" si="22"/>
        <v>0</v>
      </c>
      <c r="Q14" s="51">
        <f t="shared" si="7"/>
        <v>102</v>
      </c>
      <c r="R14" s="55">
        <v>54</v>
      </c>
      <c r="S14" s="53" t="s">
        <v>34</v>
      </c>
      <c r="T14" s="54" t="s">
        <v>34</v>
      </c>
      <c r="U14" s="55">
        <v>0</v>
      </c>
      <c r="V14" s="55">
        <f t="shared" si="8"/>
        <v>0</v>
      </c>
      <c r="W14" s="55">
        <f t="shared" si="9"/>
        <v>0</v>
      </c>
      <c r="X14" s="55">
        <v>0</v>
      </c>
      <c r="Y14" s="55" t="s">
        <v>35</v>
      </c>
      <c r="Z14" s="56">
        <f t="shared" si="19"/>
        <v>-0.75</v>
      </c>
      <c r="AA14" s="55">
        <v>5.0962962962962967E-2</v>
      </c>
      <c r="AB14" s="55">
        <f t="shared" si="11"/>
        <v>-1.2613333333333334</v>
      </c>
      <c r="AC14" s="55">
        <v>-3.31</v>
      </c>
      <c r="AD14" s="55">
        <v>-2.1756410256410255</v>
      </c>
      <c r="AE14" s="55">
        <v>0</v>
      </c>
      <c r="AF14" s="55"/>
    </row>
    <row r="15" spans="1:32" s="57" customFormat="1" ht="15.75" customHeight="1">
      <c r="A15" s="2" t="s">
        <v>65</v>
      </c>
      <c r="B15" s="2" t="s">
        <v>174</v>
      </c>
      <c r="C15" s="51">
        <v>6.99</v>
      </c>
      <c r="D15" s="51">
        <v>9</v>
      </c>
      <c r="E15" s="51">
        <v>0</v>
      </c>
      <c r="F15" s="51">
        <v>70.910000000000011</v>
      </c>
      <c r="G15" s="51">
        <v>0</v>
      </c>
      <c r="H15" s="51">
        <f t="shared" si="1"/>
        <v>0</v>
      </c>
      <c r="I15" s="51">
        <f t="shared" si="2"/>
        <v>0.13664046275102557</v>
      </c>
      <c r="J15" s="51">
        <f t="shared" si="4"/>
        <v>9.6891752136752238</v>
      </c>
      <c r="K15" s="51">
        <f t="shared" si="3"/>
        <v>1.0765750237416916</v>
      </c>
      <c r="L15" s="51">
        <v>48</v>
      </c>
      <c r="M15" s="51">
        <f t="shared" si="5"/>
        <v>0.1875</v>
      </c>
      <c r="N15" s="51">
        <v>127</v>
      </c>
      <c r="O15" s="51">
        <f t="shared" ref="O15:P15" si="23">D15/7</f>
        <v>1.2857142857142858</v>
      </c>
      <c r="P15" s="51">
        <f t="shared" si="23"/>
        <v>0</v>
      </c>
      <c r="Q15" s="51">
        <f t="shared" si="7"/>
        <v>98</v>
      </c>
      <c r="R15" s="55">
        <v>0</v>
      </c>
      <c r="S15" s="53" t="s">
        <v>34</v>
      </c>
      <c r="T15" s="54" t="s">
        <v>34</v>
      </c>
      <c r="U15" s="55">
        <v>0</v>
      </c>
      <c r="V15" s="55">
        <f t="shared" si="8"/>
        <v>0</v>
      </c>
      <c r="W15" s="55">
        <f t="shared" si="9"/>
        <v>0</v>
      </c>
      <c r="X15" s="55">
        <v>0</v>
      </c>
      <c r="Y15" s="55" t="s">
        <v>35</v>
      </c>
      <c r="Z15" s="56">
        <f t="shared" si="19"/>
        <v>-0.75</v>
      </c>
      <c r="AA15" s="55">
        <v>5.0962962962962967E-2</v>
      </c>
      <c r="AB15" s="55">
        <f t="shared" si="11"/>
        <v>-1.2135555555555557</v>
      </c>
      <c r="AC15" s="55">
        <v>-3.31</v>
      </c>
      <c r="AD15" s="55">
        <v>-2.1756410256410255</v>
      </c>
      <c r="AE15" s="55">
        <v>0</v>
      </c>
      <c r="AF15" s="55"/>
    </row>
    <row r="16" spans="1:32" s="57" customFormat="1" ht="15.75" customHeight="1">
      <c r="A16" s="2" t="s">
        <v>66</v>
      </c>
      <c r="B16" s="2" t="s">
        <v>174</v>
      </c>
      <c r="C16" s="51">
        <v>8.99</v>
      </c>
      <c r="D16" s="51">
        <v>9</v>
      </c>
      <c r="E16" s="51">
        <v>0</v>
      </c>
      <c r="F16" s="51">
        <v>65.910000000000011</v>
      </c>
      <c r="G16" s="51">
        <v>0</v>
      </c>
      <c r="H16" s="51">
        <f t="shared" si="1"/>
        <v>0</v>
      </c>
      <c r="I16" s="51">
        <f t="shared" si="2"/>
        <v>8.5133897946824785E-2</v>
      </c>
      <c r="J16" s="51">
        <f t="shared" si="4"/>
        <v>5.6111752136752227</v>
      </c>
      <c r="K16" s="51">
        <f t="shared" si="3"/>
        <v>0.62346391263058032</v>
      </c>
      <c r="L16" s="51">
        <v>93</v>
      </c>
      <c r="M16" s="51">
        <f t="shared" si="5"/>
        <v>9.6774193548387094E-2</v>
      </c>
      <c r="N16" s="51">
        <v>109</v>
      </c>
      <c r="O16" s="51">
        <f t="shared" ref="O16:P16" si="24">D16/7</f>
        <v>1.2857142857142858</v>
      </c>
      <c r="P16" s="51">
        <f t="shared" si="24"/>
        <v>0</v>
      </c>
      <c r="Q16" s="51">
        <f t="shared" si="7"/>
        <v>84</v>
      </c>
      <c r="R16" s="55">
        <v>0</v>
      </c>
      <c r="S16" s="53" t="s">
        <v>34</v>
      </c>
      <c r="T16" s="54" t="s">
        <v>34</v>
      </c>
      <c r="U16" s="55">
        <v>0</v>
      </c>
      <c r="V16" s="55">
        <f t="shared" si="8"/>
        <v>0</v>
      </c>
      <c r="W16" s="55">
        <f t="shared" si="9"/>
        <v>0</v>
      </c>
      <c r="X16" s="55">
        <v>0</v>
      </c>
      <c r="Y16" s="55" t="s">
        <v>35</v>
      </c>
      <c r="Z16" s="56">
        <f t="shared" si="19"/>
        <v>-0.75</v>
      </c>
      <c r="AA16" s="55">
        <v>5.0962962962962967E-2</v>
      </c>
      <c r="AB16" s="55">
        <f t="shared" si="11"/>
        <v>-1.0415555555555558</v>
      </c>
      <c r="AC16" s="55">
        <v>-3.31</v>
      </c>
      <c r="AD16" s="55">
        <v>-2.1756410256410255</v>
      </c>
      <c r="AE16" s="55">
        <v>0</v>
      </c>
      <c r="AF16" s="55"/>
    </row>
    <row r="17" spans="1:32" s="57" customFormat="1" ht="15.75" customHeight="1">
      <c r="A17" s="2" t="s">
        <v>67</v>
      </c>
      <c r="B17" s="2" t="s">
        <v>313</v>
      </c>
      <c r="C17" s="51">
        <v>7.99</v>
      </c>
      <c r="D17" s="51">
        <v>14</v>
      </c>
      <c r="E17" s="51">
        <v>0</v>
      </c>
      <c r="F17" s="51">
        <v>111.85999999999999</v>
      </c>
      <c r="G17" s="51">
        <v>0</v>
      </c>
      <c r="H17" s="51">
        <f t="shared" si="1"/>
        <v>0</v>
      </c>
      <c r="I17" s="51">
        <f t="shared" si="2"/>
        <v>0.15463797084573044</v>
      </c>
      <c r="J17" s="51">
        <f t="shared" si="4"/>
        <v>17.297803418803404</v>
      </c>
      <c r="K17" s="51">
        <f t="shared" si="3"/>
        <v>1.2355573870573859</v>
      </c>
      <c r="L17" s="51">
        <v>85</v>
      </c>
      <c r="M17" s="51">
        <f t="shared" si="5"/>
        <v>0.16470588235294117</v>
      </c>
      <c r="N17" s="51">
        <v>103</v>
      </c>
      <c r="O17" s="51">
        <f t="shared" ref="O17:P17" si="25">D17/7</f>
        <v>2</v>
      </c>
      <c r="P17" s="51">
        <f t="shared" si="25"/>
        <v>0</v>
      </c>
      <c r="Q17" s="51">
        <f t="shared" si="7"/>
        <v>51</v>
      </c>
      <c r="R17" s="55">
        <v>0</v>
      </c>
      <c r="S17" s="53" t="s">
        <v>34</v>
      </c>
      <c r="T17" s="54" t="s">
        <v>34</v>
      </c>
      <c r="U17" s="55">
        <v>0</v>
      </c>
      <c r="V17" s="55">
        <f t="shared" si="8"/>
        <v>0</v>
      </c>
      <c r="W17" s="55">
        <f t="shared" si="9"/>
        <v>0</v>
      </c>
      <c r="X17" s="55">
        <v>0</v>
      </c>
      <c r="Y17" s="55" t="s">
        <v>35</v>
      </c>
      <c r="Z17" s="56">
        <f t="shared" si="19"/>
        <v>-0.75</v>
      </c>
      <c r="AA17" s="55">
        <v>5.0962962962962967E-2</v>
      </c>
      <c r="AB17" s="55">
        <f t="shared" si="11"/>
        <v>-0.98422222222222233</v>
      </c>
      <c r="AC17" s="55">
        <v>-3.31</v>
      </c>
      <c r="AD17" s="55">
        <v>-2.1756410256410255</v>
      </c>
      <c r="AE17" s="55">
        <v>0</v>
      </c>
      <c r="AF17" s="55"/>
    </row>
    <row r="18" spans="1:32" s="57" customFormat="1" ht="15.75" customHeight="1">
      <c r="A18" s="2" t="s">
        <v>69</v>
      </c>
      <c r="B18" s="2" t="s">
        <v>314</v>
      </c>
      <c r="C18" s="51">
        <v>7.99</v>
      </c>
      <c r="D18" s="51">
        <v>25</v>
      </c>
      <c r="E18" s="51">
        <v>0</v>
      </c>
      <c r="F18" s="51">
        <v>201.75000000000003</v>
      </c>
      <c r="G18" s="51">
        <v>0</v>
      </c>
      <c r="H18" s="51">
        <f t="shared" si="1"/>
        <v>0</v>
      </c>
      <c r="I18" s="51">
        <f t="shared" si="2"/>
        <v>0.15603374320846447</v>
      </c>
      <c r="J18" s="51">
        <f t="shared" si="4"/>
        <v>31.479807692307709</v>
      </c>
      <c r="K18" s="51">
        <f t="shared" si="3"/>
        <v>1.2591923076923084</v>
      </c>
      <c r="L18" s="51">
        <v>95</v>
      </c>
      <c r="M18" s="51">
        <f t="shared" si="5"/>
        <v>0.26315789473684209</v>
      </c>
      <c r="N18" s="51">
        <v>78</v>
      </c>
      <c r="O18" s="51">
        <f t="shared" ref="O18:P18" si="26">D18/7</f>
        <v>3.5714285714285716</v>
      </c>
      <c r="P18" s="51">
        <f t="shared" si="26"/>
        <v>0</v>
      </c>
      <c r="Q18" s="51">
        <f t="shared" si="7"/>
        <v>21</v>
      </c>
      <c r="R18" s="55">
        <v>0</v>
      </c>
      <c r="S18" s="53" t="s">
        <v>34</v>
      </c>
      <c r="T18" s="54" t="s">
        <v>34</v>
      </c>
      <c r="U18" s="55">
        <v>0</v>
      </c>
      <c r="V18" s="55">
        <f t="shared" si="8"/>
        <v>0</v>
      </c>
      <c r="W18" s="55">
        <f t="shared" si="9"/>
        <v>0</v>
      </c>
      <c r="X18" s="55">
        <v>0</v>
      </c>
      <c r="Y18" s="55" t="s">
        <v>35</v>
      </c>
      <c r="Z18" s="56">
        <f t="shared" si="19"/>
        <v>-0.75</v>
      </c>
      <c r="AA18" s="55">
        <v>5.0962962962962967E-2</v>
      </c>
      <c r="AB18" s="58">
        <f t="shared" ref="AB18:AB39" si="27">IFERROR(Z18*AA18*D18*3,0)</f>
        <v>-2.8666666666666671</v>
      </c>
      <c r="AC18" s="55">
        <v>-3.31</v>
      </c>
      <c r="AD18" s="55">
        <v>-2.1756410256410255</v>
      </c>
      <c r="AE18" s="55">
        <v>0</v>
      </c>
      <c r="AF18" s="55"/>
    </row>
    <row r="19" spans="1:32" s="57" customFormat="1" ht="15.75" customHeight="1">
      <c r="A19" s="2" t="s">
        <v>71</v>
      </c>
      <c r="B19" s="2" t="s">
        <v>315</v>
      </c>
      <c r="C19" s="51">
        <v>9.99</v>
      </c>
      <c r="D19" s="51">
        <v>10</v>
      </c>
      <c r="E19" s="51">
        <v>0</v>
      </c>
      <c r="F19" s="51">
        <v>82.899999999999991</v>
      </c>
      <c r="G19" s="51">
        <v>0</v>
      </c>
      <c r="H19" s="51">
        <f t="shared" si="1"/>
        <v>0</v>
      </c>
      <c r="I19" s="51">
        <f t="shared" si="2"/>
        <v>0.17445021805697306</v>
      </c>
      <c r="J19" s="51">
        <f t="shared" si="4"/>
        <v>14.461923076923066</v>
      </c>
      <c r="K19" s="51">
        <f t="shared" si="3"/>
        <v>1.4461923076923067</v>
      </c>
      <c r="L19" s="51">
        <v>98</v>
      </c>
      <c r="M19" s="51">
        <f t="shared" si="5"/>
        <v>0.10204081632653061</v>
      </c>
      <c r="N19" s="51">
        <v>72</v>
      </c>
      <c r="O19" s="51">
        <f t="shared" ref="O19:P19" si="28">D19/7</f>
        <v>1.4285714285714286</v>
      </c>
      <c r="P19" s="51">
        <f t="shared" si="28"/>
        <v>0</v>
      </c>
      <c r="Q19" s="51">
        <f t="shared" si="7"/>
        <v>50</v>
      </c>
      <c r="R19" s="55">
        <v>0</v>
      </c>
      <c r="S19" s="53" t="s">
        <v>34</v>
      </c>
      <c r="T19" s="54" t="s">
        <v>34</v>
      </c>
      <c r="U19" s="55">
        <v>0</v>
      </c>
      <c r="V19" s="55">
        <f t="shared" si="8"/>
        <v>0</v>
      </c>
      <c r="W19" s="55">
        <f t="shared" si="9"/>
        <v>0</v>
      </c>
      <c r="X19" s="55">
        <v>0</v>
      </c>
      <c r="Y19" s="55" t="s">
        <v>35</v>
      </c>
      <c r="Z19" s="56">
        <f t="shared" si="19"/>
        <v>-0.75</v>
      </c>
      <c r="AA19" s="55">
        <v>5.0962962962962967E-2</v>
      </c>
      <c r="AB19" s="55">
        <f t="shared" si="27"/>
        <v>-1.1466666666666667</v>
      </c>
      <c r="AC19" s="55">
        <v>-3.31</v>
      </c>
      <c r="AD19" s="55">
        <v>-2.1756410256410255</v>
      </c>
      <c r="AE19" s="55">
        <v>0</v>
      </c>
      <c r="AF19" s="55"/>
    </row>
    <row r="20" spans="1:32" s="57" customFormat="1" ht="15.75" customHeight="1">
      <c r="A20" s="2" t="s">
        <v>73</v>
      </c>
      <c r="B20" s="2" t="s">
        <v>316</v>
      </c>
      <c r="C20" s="51">
        <v>7.99</v>
      </c>
      <c r="D20" s="51">
        <v>11</v>
      </c>
      <c r="E20" s="51">
        <v>0</v>
      </c>
      <c r="F20" s="51">
        <v>90.89</v>
      </c>
      <c r="G20" s="51">
        <v>-0.08</v>
      </c>
      <c r="H20" s="51">
        <f t="shared" si="1"/>
        <v>8.8018483881615141E-4</v>
      </c>
      <c r="I20" s="51">
        <f t="shared" si="2"/>
        <v>0.17134025068341283</v>
      </c>
      <c r="J20" s="51">
        <f t="shared" si="4"/>
        <v>15.573115384615392</v>
      </c>
      <c r="K20" s="51">
        <f t="shared" si="3"/>
        <v>1.4157377622377629</v>
      </c>
      <c r="L20" s="51">
        <v>122</v>
      </c>
      <c r="M20" s="51">
        <f t="shared" si="5"/>
        <v>9.0163934426229511E-2</v>
      </c>
      <c r="N20" s="51">
        <v>43</v>
      </c>
      <c r="O20" s="51">
        <f t="shared" ref="O20:P20" si="29">D20/7</f>
        <v>1.5714285714285714</v>
      </c>
      <c r="P20" s="51">
        <f t="shared" si="29"/>
        <v>0</v>
      </c>
      <c r="Q20" s="51">
        <f t="shared" si="7"/>
        <v>27</v>
      </c>
      <c r="R20" s="55">
        <v>198</v>
      </c>
      <c r="S20" s="53" t="s">
        <v>34</v>
      </c>
      <c r="T20" s="54" t="s">
        <v>34</v>
      </c>
      <c r="U20" s="55">
        <v>0</v>
      </c>
      <c r="V20" s="55">
        <f t="shared" si="8"/>
        <v>0</v>
      </c>
      <c r="W20" s="55">
        <f t="shared" si="9"/>
        <v>0</v>
      </c>
      <c r="X20" s="55">
        <v>0</v>
      </c>
      <c r="Y20" s="55" t="s">
        <v>35</v>
      </c>
      <c r="Z20" s="56">
        <f t="shared" si="19"/>
        <v>-0.75</v>
      </c>
      <c r="AA20" s="55">
        <v>5.0962962962962967E-2</v>
      </c>
      <c r="AB20" s="55">
        <f t="shared" si="27"/>
        <v>-1.2613333333333334</v>
      </c>
      <c r="AC20" s="55">
        <v>-3.31</v>
      </c>
      <c r="AD20" s="55">
        <v>-2.1756410256410255</v>
      </c>
      <c r="AE20" s="55">
        <v>0</v>
      </c>
      <c r="AF20" s="55"/>
    </row>
    <row r="21" spans="1:32" s="57" customFormat="1" ht="15.75" customHeight="1">
      <c r="A21" s="2" t="s">
        <v>75</v>
      </c>
      <c r="B21" s="2" t="s">
        <v>317</v>
      </c>
      <c r="C21" s="51">
        <v>7.99</v>
      </c>
      <c r="D21" s="51">
        <v>27</v>
      </c>
      <c r="E21" s="51">
        <v>0</v>
      </c>
      <c r="F21" s="51">
        <v>215.73000000000005</v>
      </c>
      <c r="G21" s="51">
        <v>0</v>
      </c>
      <c r="H21" s="51">
        <f t="shared" si="1"/>
        <v>0</v>
      </c>
      <c r="I21" s="51">
        <f t="shared" si="2"/>
        <v>0.14908539520554542</v>
      </c>
      <c r="J21" s="51">
        <f t="shared" si="4"/>
        <v>32.162192307692322</v>
      </c>
      <c r="K21" s="51">
        <f t="shared" si="3"/>
        <v>1.1911923076923083</v>
      </c>
      <c r="L21" s="51">
        <v>194</v>
      </c>
      <c r="M21" s="51">
        <f t="shared" si="5"/>
        <v>0.13917525773195877</v>
      </c>
      <c r="N21" s="51">
        <v>32</v>
      </c>
      <c r="O21" s="51">
        <f t="shared" ref="O21:P21" si="30">D21/7</f>
        <v>3.8571428571428572</v>
      </c>
      <c r="P21" s="51">
        <f t="shared" si="30"/>
        <v>0</v>
      </c>
      <c r="Q21" s="51">
        <f t="shared" si="7"/>
        <v>8</v>
      </c>
      <c r="R21" s="55">
        <v>198</v>
      </c>
      <c r="S21" s="53">
        <v>198</v>
      </c>
      <c r="T21" s="54">
        <v>43969</v>
      </c>
      <c r="U21" s="55">
        <v>0</v>
      </c>
      <c r="V21" s="55">
        <f t="shared" si="8"/>
        <v>0</v>
      </c>
      <c r="W21" s="55">
        <f t="shared" si="9"/>
        <v>0</v>
      </c>
      <c r="X21" s="55">
        <v>0</v>
      </c>
      <c r="Y21" s="55" t="s">
        <v>35</v>
      </c>
      <c r="Z21" s="56">
        <f t="shared" si="19"/>
        <v>-0.75</v>
      </c>
      <c r="AA21" s="55">
        <v>5.0962962962962967E-2</v>
      </c>
      <c r="AB21" s="55">
        <f t="shared" si="27"/>
        <v>-3.0960000000000001</v>
      </c>
      <c r="AC21" s="55">
        <v>-3.31</v>
      </c>
      <c r="AD21" s="55">
        <v>-2.1756410256410255</v>
      </c>
      <c r="AE21" s="55">
        <v>0</v>
      </c>
      <c r="AF21" s="55"/>
    </row>
    <row r="22" spans="1:32" s="57" customFormat="1" ht="15.75" customHeight="1">
      <c r="A22" s="2" t="s">
        <v>77</v>
      </c>
      <c r="B22" s="2" t="s">
        <v>318</v>
      </c>
      <c r="C22" s="51">
        <v>7.99</v>
      </c>
      <c r="D22" s="51">
        <v>9</v>
      </c>
      <c r="E22" s="51">
        <v>0</v>
      </c>
      <c r="F22" s="51">
        <v>71.91</v>
      </c>
      <c r="G22" s="51">
        <v>0</v>
      </c>
      <c r="H22" s="51">
        <f t="shared" si="1"/>
        <v>0</v>
      </c>
      <c r="I22" s="51">
        <f t="shared" si="2"/>
        <v>0.14908539520554534</v>
      </c>
      <c r="J22" s="51">
        <f t="shared" si="4"/>
        <v>10.720730769230766</v>
      </c>
      <c r="K22" s="51">
        <f t="shared" si="3"/>
        <v>1.1911923076923072</v>
      </c>
      <c r="L22" s="51">
        <v>170</v>
      </c>
      <c r="M22" s="51">
        <f t="shared" si="5"/>
        <v>5.2941176470588235E-2</v>
      </c>
      <c r="N22" s="51">
        <v>5</v>
      </c>
      <c r="O22" s="51">
        <f t="shared" ref="O22:P22" si="31">D22/7</f>
        <v>1.2857142857142858</v>
      </c>
      <c r="P22" s="51">
        <f t="shared" si="31"/>
        <v>0</v>
      </c>
      <c r="Q22" s="51">
        <f t="shared" si="7"/>
        <v>3</v>
      </c>
      <c r="R22" s="55">
        <v>198</v>
      </c>
      <c r="S22" s="53">
        <v>198</v>
      </c>
      <c r="T22" s="54">
        <v>43969</v>
      </c>
      <c r="U22" s="55">
        <v>0</v>
      </c>
      <c r="V22" s="55">
        <f t="shared" si="8"/>
        <v>0</v>
      </c>
      <c r="W22" s="55">
        <f t="shared" si="9"/>
        <v>0</v>
      </c>
      <c r="X22" s="55">
        <v>0</v>
      </c>
      <c r="Y22" s="55" t="s">
        <v>35</v>
      </c>
      <c r="Z22" s="56">
        <f t="shared" si="19"/>
        <v>-0.75</v>
      </c>
      <c r="AA22" s="55">
        <v>5.0962962962962967E-2</v>
      </c>
      <c r="AB22" s="55">
        <f t="shared" si="27"/>
        <v>-1.032</v>
      </c>
      <c r="AC22" s="55">
        <v>-3.31</v>
      </c>
      <c r="AD22" s="55">
        <v>-2.1756410256410255</v>
      </c>
      <c r="AE22" s="55">
        <v>0</v>
      </c>
      <c r="AF22" s="55"/>
    </row>
    <row r="23" spans="1:32" s="57" customFormat="1" ht="15.75" customHeight="1">
      <c r="A23" s="2" t="s">
        <v>79</v>
      </c>
      <c r="B23" s="2" t="s">
        <v>319</v>
      </c>
      <c r="C23" s="51">
        <v>7.99</v>
      </c>
      <c r="D23" s="51">
        <v>21</v>
      </c>
      <c r="E23" s="51">
        <v>0</v>
      </c>
      <c r="F23" s="51">
        <v>167.79000000000002</v>
      </c>
      <c r="G23" s="51">
        <v>0</v>
      </c>
      <c r="H23" s="51">
        <f t="shared" si="1"/>
        <v>0</v>
      </c>
      <c r="I23" s="51">
        <f t="shared" si="2"/>
        <v>0.14908539520554556</v>
      </c>
      <c r="J23" s="51">
        <f t="shared" si="4"/>
        <v>25.015038461538495</v>
      </c>
      <c r="K23" s="51">
        <f t="shared" si="3"/>
        <v>1.1911923076923092</v>
      </c>
      <c r="L23" s="51">
        <v>90</v>
      </c>
      <c r="M23" s="51">
        <f t="shared" si="5"/>
        <v>0.23333333333333334</v>
      </c>
      <c r="N23" s="51">
        <v>2</v>
      </c>
      <c r="O23" s="51">
        <f t="shared" ref="O23:P23" si="32">D23/7</f>
        <v>3</v>
      </c>
      <c r="P23" s="51">
        <f t="shared" si="32"/>
        <v>0</v>
      </c>
      <c r="Q23" s="51">
        <f t="shared" si="7"/>
        <v>0</v>
      </c>
      <c r="R23" s="55">
        <v>198</v>
      </c>
      <c r="S23" s="53">
        <v>198</v>
      </c>
      <c r="T23" s="54">
        <v>43969</v>
      </c>
      <c r="U23" s="55">
        <v>0</v>
      </c>
      <c r="V23" s="55">
        <f t="shared" si="8"/>
        <v>0</v>
      </c>
      <c r="W23" s="55">
        <f t="shared" si="9"/>
        <v>0</v>
      </c>
      <c r="X23" s="55">
        <v>0</v>
      </c>
      <c r="Y23" s="55" t="s">
        <v>35</v>
      </c>
      <c r="Z23" s="56">
        <f t="shared" si="19"/>
        <v>-0.75</v>
      </c>
      <c r="AA23" s="55">
        <v>5.0962962962962967E-2</v>
      </c>
      <c r="AB23" s="55">
        <f t="shared" si="27"/>
        <v>-2.4080000000000004</v>
      </c>
      <c r="AC23" s="55">
        <v>-3.31</v>
      </c>
      <c r="AD23" s="55">
        <v>-2.1756410256410255</v>
      </c>
      <c r="AE23" s="55">
        <v>0</v>
      </c>
      <c r="AF23" s="55"/>
    </row>
    <row r="24" spans="1:32" s="57" customFormat="1" ht="15.75" customHeight="1">
      <c r="A24" s="2" t="s">
        <v>80</v>
      </c>
      <c r="B24" s="26" t="s">
        <v>276</v>
      </c>
      <c r="C24" s="51"/>
      <c r="D24" s="51">
        <v>2</v>
      </c>
      <c r="E24" s="51">
        <v>0</v>
      </c>
      <c r="F24" s="51">
        <v>15.98</v>
      </c>
      <c r="G24" s="51">
        <v>0</v>
      </c>
      <c r="H24" s="51">
        <f t="shared" si="1"/>
        <v>0</v>
      </c>
      <c r="I24" s="51">
        <f t="shared" si="2"/>
        <v>0.14908539520554548</v>
      </c>
      <c r="J24" s="51">
        <f t="shared" si="4"/>
        <v>2.3823846153846167</v>
      </c>
      <c r="K24" s="51">
        <f t="shared" si="3"/>
        <v>1.1911923076923083</v>
      </c>
      <c r="L24" s="51">
        <v>0</v>
      </c>
      <c r="M24" s="51" t="str">
        <f t="shared" si="5"/>
        <v>-</v>
      </c>
      <c r="N24" s="51">
        <v>0</v>
      </c>
      <c r="O24" s="51">
        <f t="shared" ref="O24:P24" si="33">D24/7</f>
        <v>0.2857142857142857</v>
      </c>
      <c r="P24" s="51">
        <f t="shared" si="33"/>
        <v>0</v>
      </c>
      <c r="Q24" s="51">
        <f t="shared" si="7"/>
        <v>0</v>
      </c>
      <c r="R24" s="55">
        <v>198</v>
      </c>
      <c r="S24" s="53">
        <v>198</v>
      </c>
      <c r="T24" s="54">
        <v>43969</v>
      </c>
      <c r="U24" s="55">
        <v>0</v>
      </c>
      <c r="V24" s="55">
        <f t="shared" si="8"/>
        <v>0</v>
      </c>
      <c r="W24" s="55">
        <f t="shared" si="9"/>
        <v>0</v>
      </c>
      <c r="X24" s="55">
        <v>0</v>
      </c>
      <c r="Y24" s="55" t="s">
        <v>35</v>
      </c>
      <c r="Z24" s="56">
        <f t="shared" si="19"/>
        <v>-0.75</v>
      </c>
      <c r="AA24" s="55">
        <v>5.0962962962962967E-2</v>
      </c>
      <c r="AB24" s="55">
        <f t="shared" si="27"/>
        <v>-0.22933333333333336</v>
      </c>
      <c r="AC24" s="55">
        <v>-3.31</v>
      </c>
      <c r="AD24" s="55">
        <v>-2.1756410256410255</v>
      </c>
      <c r="AE24" s="55">
        <v>0</v>
      </c>
      <c r="AF24" s="55"/>
    </row>
    <row r="25" spans="1:32" s="57" customFormat="1" ht="15.75" customHeight="1">
      <c r="A25" s="2" t="s">
        <v>81</v>
      </c>
      <c r="B25" s="2" t="s">
        <v>320</v>
      </c>
      <c r="C25" s="51"/>
      <c r="D25" s="51">
        <v>0</v>
      </c>
      <c r="E25" s="51">
        <v>0</v>
      </c>
      <c r="F25" s="51">
        <v>0</v>
      </c>
      <c r="G25" s="51">
        <v>0</v>
      </c>
      <c r="H25" s="51" t="e">
        <f t="shared" si="1"/>
        <v>#DIV/0!</v>
      </c>
      <c r="I25" s="51" t="e">
        <f t="shared" si="2"/>
        <v>#DIV/0!</v>
      </c>
      <c r="J25" s="51">
        <f t="shared" si="4"/>
        <v>0</v>
      </c>
      <c r="K25" s="51" t="e">
        <f t="shared" si="3"/>
        <v>#DIV/0!</v>
      </c>
      <c r="L25" s="51">
        <v>0</v>
      </c>
      <c r="M25" s="51" t="str">
        <f t="shared" si="5"/>
        <v>-</v>
      </c>
      <c r="N25" s="51">
        <v>198</v>
      </c>
      <c r="O25" s="51">
        <f t="shared" ref="O25:P25" si="34">D25/7</f>
        <v>0</v>
      </c>
      <c r="P25" s="51">
        <f t="shared" si="34"/>
        <v>0</v>
      </c>
      <c r="Q25" s="51" t="e">
        <f t="shared" si="7"/>
        <v>#DIV/0!</v>
      </c>
      <c r="R25" s="55">
        <v>0</v>
      </c>
      <c r="S25" s="53" t="s">
        <v>34</v>
      </c>
      <c r="T25" s="54" t="s">
        <v>34</v>
      </c>
      <c r="U25" s="55">
        <v>0</v>
      </c>
      <c r="V25" s="55">
        <f t="shared" si="8"/>
        <v>0</v>
      </c>
      <c r="W25" s="55">
        <f t="shared" si="9"/>
        <v>0</v>
      </c>
      <c r="X25" s="55">
        <v>0</v>
      </c>
      <c r="Y25" s="55" t="e">
        <v>#N/A</v>
      </c>
      <c r="Z25" s="56" t="e">
        <f t="shared" si="19"/>
        <v>#N/A</v>
      </c>
      <c r="AA25" s="55" t="e">
        <v>#N/A</v>
      </c>
      <c r="AB25" s="55">
        <f t="shared" si="27"/>
        <v>0</v>
      </c>
      <c r="AC25" s="55">
        <v>0</v>
      </c>
      <c r="AD25" s="55">
        <v>-2.1756410256410255</v>
      </c>
      <c r="AE25" s="55">
        <v>0</v>
      </c>
      <c r="AF25" s="55"/>
    </row>
    <row r="26" spans="1:32" s="57" customFormat="1" ht="15.75" customHeight="1">
      <c r="A26" s="2" t="s">
        <v>83</v>
      </c>
      <c r="B26" s="2" t="s">
        <v>321</v>
      </c>
      <c r="C26" s="51">
        <f t="shared" ref="C26:C39" si="35">IFERROR(F26/D26," - ")</f>
        <v>7.9899999999999993</v>
      </c>
      <c r="D26" s="51">
        <v>9</v>
      </c>
      <c r="E26" s="51">
        <v>0</v>
      </c>
      <c r="F26" s="51">
        <v>71.91</v>
      </c>
      <c r="G26" s="51">
        <v>0</v>
      </c>
      <c r="H26" s="51">
        <f t="shared" si="1"/>
        <v>0</v>
      </c>
      <c r="I26" s="51">
        <f t="shared" si="2"/>
        <v>0.14908539520554534</v>
      </c>
      <c r="J26" s="51">
        <f t="shared" si="4"/>
        <v>10.720730769230766</v>
      </c>
      <c r="K26" s="51">
        <f t="shared" si="3"/>
        <v>1.1911923076923072</v>
      </c>
      <c r="L26" s="51">
        <v>84</v>
      </c>
      <c r="M26" s="51">
        <f t="shared" si="5"/>
        <v>0.10714285714285714</v>
      </c>
      <c r="N26" s="51">
        <v>186</v>
      </c>
      <c r="O26" s="51">
        <f t="shared" ref="O26:P26" si="36">D26/7</f>
        <v>1.2857142857142858</v>
      </c>
      <c r="P26" s="51">
        <f t="shared" si="36"/>
        <v>0</v>
      </c>
      <c r="Q26" s="51">
        <f t="shared" si="7"/>
        <v>144</v>
      </c>
      <c r="R26" s="55">
        <v>126</v>
      </c>
      <c r="S26" s="53">
        <v>126</v>
      </c>
      <c r="T26" s="54">
        <v>44008</v>
      </c>
      <c r="U26" s="55">
        <v>0</v>
      </c>
      <c r="V26" s="55">
        <f t="shared" si="8"/>
        <v>0</v>
      </c>
      <c r="W26" s="55">
        <f t="shared" si="9"/>
        <v>0</v>
      </c>
      <c r="X26" s="55">
        <v>0</v>
      </c>
      <c r="Y26" s="55" t="s">
        <v>35</v>
      </c>
      <c r="Z26" s="56">
        <f t="shared" si="19"/>
        <v>-0.75</v>
      </c>
      <c r="AA26" s="55">
        <v>5.0962962962962967E-2</v>
      </c>
      <c r="AB26" s="55">
        <f t="shared" si="27"/>
        <v>-1.032</v>
      </c>
      <c r="AC26" s="55">
        <v>-3.31</v>
      </c>
      <c r="AD26" s="55">
        <v>-2.1756410256410255</v>
      </c>
      <c r="AE26" s="55">
        <v>0</v>
      </c>
      <c r="AF26" s="55"/>
    </row>
    <row r="27" spans="1:32" s="57" customFormat="1" ht="15.75" customHeight="1">
      <c r="A27" s="2" t="s">
        <v>84</v>
      </c>
      <c r="B27" s="2" t="s">
        <v>322</v>
      </c>
      <c r="C27" s="51">
        <f t="shared" si="35"/>
        <v>7.9899999999999984</v>
      </c>
      <c r="D27" s="51">
        <v>12</v>
      </c>
      <c r="E27" s="51">
        <v>0</v>
      </c>
      <c r="F27" s="51">
        <v>95.879999999999981</v>
      </c>
      <c r="G27" s="51">
        <v>0</v>
      </c>
      <c r="H27" s="51">
        <f t="shared" si="1"/>
        <v>0</v>
      </c>
      <c r="I27" s="51">
        <f t="shared" si="2"/>
        <v>0.14908539520554523</v>
      </c>
      <c r="J27" s="51">
        <f t="shared" si="4"/>
        <v>14.294307692307674</v>
      </c>
      <c r="K27" s="51">
        <f t="shared" si="3"/>
        <v>1.1911923076923061</v>
      </c>
      <c r="L27" s="51">
        <v>69</v>
      </c>
      <c r="M27" s="51">
        <f t="shared" si="5"/>
        <v>0.17391304347826086</v>
      </c>
      <c r="N27" s="51">
        <v>166</v>
      </c>
      <c r="O27" s="51">
        <f t="shared" ref="O27:P27" si="37">D27/7</f>
        <v>1.7142857142857142</v>
      </c>
      <c r="P27" s="51">
        <f t="shared" si="37"/>
        <v>0</v>
      </c>
      <c r="Q27" s="51">
        <f t="shared" si="7"/>
        <v>96</v>
      </c>
      <c r="R27" s="55">
        <v>126</v>
      </c>
      <c r="S27" s="53">
        <v>126</v>
      </c>
      <c r="T27" s="54">
        <v>44013</v>
      </c>
      <c r="U27" s="55">
        <v>0</v>
      </c>
      <c r="V27" s="55">
        <f t="shared" si="8"/>
        <v>0</v>
      </c>
      <c r="W27" s="55">
        <f t="shared" si="9"/>
        <v>0</v>
      </c>
      <c r="X27" s="55">
        <v>0</v>
      </c>
      <c r="Y27" s="55" t="s">
        <v>35</v>
      </c>
      <c r="Z27" s="56">
        <f t="shared" si="19"/>
        <v>-0.75</v>
      </c>
      <c r="AA27" s="55">
        <v>5.0962962962962967E-2</v>
      </c>
      <c r="AB27" s="55">
        <f t="shared" si="27"/>
        <v>-1.3760000000000001</v>
      </c>
      <c r="AC27" s="55">
        <v>-3.31</v>
      </c>
      <c r="AD27" s="55">
        <v>-2.1756410256410255</v>
      </c>
      <c r="AE27" s="55">
        <v>0</v>
      </c>
      <c r="AF27" s="55"/>
    </row>
    <row r="28" spans="1:32" s="57" customFormat="1" ht="15.75" customHeight="1">
      <c r="A28" s="2" t="s">
        <v>86</v>
      </c>
      <c r="B28" s="2" t="s">
        <v>323</v>
      </c>
      <c r="C28" s="51">
        <f t="shared" si="35"/>
        <v>7.99</v>
      </c>
      <c r="D28" s="51">
        <v>26</v>
      </c>
      <c r="E28" s="51">
        <v>0</v>
      </c>
      <c r="F28" s="51">
        <v>207.74</v>
      </c>
      <c r="G28" s="51">
        <v>0</v>
      </c>
      <c r="H28" s="51">
        <f t="shared" si="1"/>
        <v>0</v>
      </c>
      <c r="I28" s="51">
        <f t="shared" si="2"/>
        <v>0.14908539520554545</v>
      </c>
      <c r="J28" s="51">
        <f t="shared" si="4"/>
        <v>30.971000000000011</v>
      </c>
      <c r="K28" s="51">
        <f t="shared" si="3"/>
        <v>1.1911923076923081</v>
      </c>
      <c r="L28" s="51">
        <v>91</v>
      </c>
      <c r="M28" s="51">
        <f t="shared" si="5"/>
        <v>0.2857142857142857</v>
      </c>
      <c r="N28" s="51">
        <v>143</v>
      </c>
      <c r="O28" s="51">
        <f t="shared" ref="O28:P28" si="38">D28/7</f>
        <v>3.7142857142857144</v>
      </c>
      <c r="P28" s="51">
        <f t="shared" si="38"/>
        <v>0</v>
      </c>
      <c r="Q28" s="51">
        <f t="shared" si="7"/>
        <v>38</v>
      </c>
      <c r="R28" s="55">
        <v>126</v>
      </c>
      <c r="S28" s="53">
        <v>126</v>
      </c>
      <c r="T28" s="54">
        <v>44013</v>
      </c>
      <c r="U28" s="55">
        <v>0</v>
      </c>
      <c r="V28" s="55">
        <f t="shared" si="8"/>
        <v>0</v>
      </c>
      <c r="W28" s="55">
        <f t="shared" si="9"/>
        <v>0</v>
      </c>
      <c r="X28" s="55">
        <v>0</v>
      </c>
      <c r="Y28" s="55" t="s">
        <v>35</v>
      </c>
      <c r="Z28" s="56">
        <f t="shared" si="19"/>
        <v>-0.75</v>
      </c>
      <c r="AA28" s="55">
        <v>5.0962962962962967E-2</v>
      </c>
      <c r="AB28" s="55">
        <f t="shared" si="27"/>
        <v>-2.9813333333333336</v>
      </c>
      <c r="AC28" s="55">
        <v>-3.31</v>
      </c>
      <c r="AD28" s="55">
        <v>-2.1756410256410255</v>
      </c>
      <c r="AE28" s="55">
        <v>0</v>
      </c>
      <c r="AF28" s="55"/>
    </row>
    <row r="29" spans="1:32" s="57" customFormat="1" ht="15.75" customHeight="1">
      <c r="A29" s="2" t="s">
        <v>87</v>
      </c>
      <c r="B29" s="2" t="s">
        <v>324</v>
      </c>
      <c r="C29" s="51">
        <f t="shared" si="35"/>
        <v>7.99</v>
      </c>
      <c r="D29" s="51">
        <v>19</v>
      </c>
      <c r="E29" s="51">
        <v>0</v>
      </c>
      <c r="F29" s="51">
        <v>151.81</v>
      </c>
      <c r="G29" s="51">
        <v>0</v>
      </c>
      <c r="H29" s="51">
        <f t="shared" si="1"/>
        <v>0</v>
      </c>
      <c r="I29" s="51">
        <f t="shared" si="2"/>
        <v>0.1490853952055454</v>
      </c>
      <c r="J29" s="51">
        <f t="shared" si="4"/>
        <v>22.632653846153847</v>
      </c>
      <c r="K29" s="51">
        <f t="shared" si="3"/>
        <v>1.1911923076923077</v>
      </c>
      <c r="L29" s="51">
        <v>80</v>
      </c>
      <c r="M29" s="51">
        <f t="shared" si="5"/>
        <v>0.23749999999999999</v>
      </c>
      <c r="N29" s="51">
        <v>130</v>
      </c>
      <c r="O29" s="51">
        <f t="shared" ref="O29:P29" si="39">D29/7</f>
        <v>2.7142857142857144</v>
      </c>
      <c r="P29" s="51">
        <f t="shared" si="39"/>
        <v>0</v>
      </c>
      <c r="Q29" s="51">
        <f t="shared" si="7"/>
        <v>47</v>
      </c>
      <c r="R29" s="55">
        <v>126</v>
      </c>
      <c r="S29" s="53">
        <v>126</v>
      </c>
      <c r="T29" s="54">
        <v>44013</v>
      </c>
      <c r="U29" s="55">
        <v>0</v>
      </c>
      <c r="V29" s="55">
        <f t="shared" si="8"/>
        <v>0</v>
      </c>
      <c r="W29" s="55">
        <f t="shared" si="9"/>
        <v>0</v>
      </c>
      <c r="X29" s="55">
        <v>0</v>
      </c>
      <c r="Y29" s="55" t="s">
        <v>35</v>
      </c>
      <c r="Z29" s="56">
        <f t="shared" si="19"/>
        <v>-0.75</v>
      </c>
      <c r="AA29" s="55">
        <v>5.0962962962962967E-2</v>
      </c>
      <c r="AB29" s="55">
        <f t="shared" si="27"/>
        <v>-2.178666666666667</v>
      </c>
      <c r="AC29" s="55">
        <v>-3.31</v>
      </c>
      <c r="AD29" s="55">
        <v>-2.1756410256410255</v>
      </c>
      <c r="AE29" s="55">
        <v>0</v>
      </c>
      <c r="AF29" s="55"/>
    </row>
    <row r="30" spans="1:32" s="57" customFormat="1" ht="15.75" customHeight="1">
      <c r="A30" s="2" t="s">
        <v>89</v>
      </c>
      <c r="B30" s="2" t="s">
        <v>325</v>
      </c>
      <c r="C30" s="51">
        <f t="shared" si="35"/>
        <v>7.9899999999999993</v>
      </c>
      <c r="D30" s="51">
        <v>15</v>
      </c>
      <c r="E30" s="51">
        <v>0</v>
      </c>
      <c r="F30" s="51">
        <v>119.85</v>
      </c>
      <c r="G30" s="51">
        <v>0</v>
      </c>
      <c r="H30" s="51">
        <f t="shared" si="1"/>
        <v>0</v>
      </c>
      <c r="I30" s="51">
        <f t="shared" si="2"/>
        <v>0.14908539520554542</v>
      </c>
      <c r="J30" s="51">
        <f t="shared" si="4"/>
        <v>17.867884615384618</v>
      </c>
      <c r="K30" s="51">
        <f t="shared" si="3"/>
        <v>1.1911923076923079</v>
      </c>
      <c r="L30" s="51">
        <v>110</v>
      </c>
      <c r="M30" s="51">
        <f t="shared" si="5"/>
        <v>0.13636363636363635</v>
      </c>
      <c r="N30" s="51">
        <v>235</v>
      </c>
      <c r="O30" s="51">
        <f t="shared" ref="O30:P30" si="40">D30/7</f>
        <v>2.1428571428571428</v>
      </c>
      <c r="P30" s="51">
        <f t="shared" si="40"/>
        <v>0</v>
      </c>
      <c r="Q30" s="51">
        <f t="shared" si="7"/>
        <v>109</v>
      </c>
      <c r="R30" s="55">
        <v>126</v>
      </c>
      <c r="S30" s="53">
        <v>126</v>
      </c>
      <c r="T30" s="54">
        <v>44013</v>
      </c>
      <c r="U30" s="55">
        <v>0</v>
      </c>
      <c r="V30" s="55">
        <f t="shared" si="8"/>
        <v>0</v>
      </c>
      <c r="W30" s="55">
        <f t="shared" si="9"/>
        <v>0</v>
      </c>
      <c r="X30" s="55">
        <v>0</v>
      </c>
      <c r="Y30" s="55" t="s">
        <v>35</v>
      </c>
      <c r="Z30" s="56">
        <f t="shared" si="19"/>
        <v>-0.75</v>
      </c>
      <c r="AA30" s="55">
        <v>5.0962962962962967E-2</v>
      </c>
      <c r="AB30" s="55">
        <f t="shared" si="27"/>
        <v>-1.7200000000000002</v>
      </c>
      <c r="AC30" s="55">
        <v>-3.31</v>
      </c>
      <c r="AD30" s="55">
        <v>-2.1756410256410255</v>
      </c>
      <c r="AE30" s="55">
        <v>0</v>
      </c>
      <c r="AF30" s="55"/>
    </row>
    <row r="31" spans="1:32" s="57" customFormat="1" ht="15.75" customHeight="1">
      <c r="A31" s="2" t="s">
        <v>90</v>
      </c>
      <c r="B31" s="2" t="s">
        <v>326</v>
      </c>
      <c r="C31" s="51">
        <f t="shared" si="35"/>
        <v>7.5163157894736843</v>
      </c>
      <c r="D31" s="51">
        <v>19</v>
      </c>
      <c r="E31" s="51">
        <v>0</v>
      </c>
      <c r="F31" s="51">
        <v>142.81</v>
      </c>
      <c r="G31" s="51">
        <v>0</v>
      </c>
      <c r="H31" s="51">
        <f t="shared" si="1"/>
        <v>0</v>
      </c>
      <c r="I31" s="51">
        <f t="shared" si="2"/>
        <v>0.10491319827850881</v>
      </c>
      <c r="J31" s="51">
        <f t="shared" si="4"/>
        <v>14.982653846153843</v>
      </c>
      <c r="K31" s="51">
        <f t="shared" si="3"/>
        <v>0.7885607287449391</v>
      </c>
      <c r="L31" s="51">
        <v>114</v>
      </c>
      <c r="M31" s="51">
        <f t="shared" si="5"/>
        <v>0.16666666666666666</v>
      </c>
      <c r="N31" s="51">
        <v>227</v>
      </c>
      <c r="O31" s="51">
        <f t="shared" ref="O31:P31" si="41">D31/7</f>
        <v>2.7142857142857144</v>
      </c>
      <c r="P31" s="51">
        <f t="shared" si="41"/>
        <v>0</v>
      </c>
      <c r="Q31" s="51">
        <f t="shared" si="7"/>
        <v>83</v>
      </c>
      <c r="R31" s="55">
        <v>0</v>
      </c>
      <c r="S31" s="53" t="s">
        <v>34</v>
      </c>
      <c r="T31" s="54" t="s">
        <v>34</v>
      </c>
      <c r="U31" s="55">
        <v>0</v>
      </c>
      <c r="V31" s="55">
        <f t="shared" si="8"/>
        <v>0</v>
      </c>
      <c r="W31" s="55">
        <f t="shared" si="9"/>
        <v>0</v>
      </c>
      <c r="X31" s="55">
        <v>0</v>
      </c>
      <c r="Y31" s="55" t="s">
        <v>35</v>
      </c>
      <c r="Z31" s="56">
        <f t="shared" si="19"/>
        <v>-0.75</v>
      </c>
      <c r="AA31" s="55">
        <v>5.0962962962962967E-2</v>
      </c>
      <c r="AB31" s="55">
        <f t="shared" si="27"/>
        <v>-2.178666666666667</v>
      </c>
      <c r="AC31" s="55">
        <v>-3.31</v>
      </c>
      <c r="AD31" s="55">
        <v>-2.1756410256410255</v>
      </c>
      <c r="AE31" s="55">
        <v>0</v>
      </c>
      <c r="AF31" s="55"/>
    </row>
    <row r="32" spans="1:32" s="57" customFormat="1" ht="15.75" customHeight="1">
      <c r="A32" s="2" t="s">
        <v>92</v>
      </c>
      <c r="B32" s="2" t="s">
        <v>327</v>
      </c>
      <c r="C32" s="51">
        <f t="shared" si="35"/>
        <v>7.0640740740740746</v>
      </c>
      <c r="D32" s="51">
        <v>27</v>
      </c>
      <c r="E32" s="51">
        <v>0</v>
      </c>
      <c r="F32" s="51">
        <v>190.73000000000002</v>
      </c>
      <c r="G32" s="51">
        <v>-0.02</v>
      </c>
      <c r="H32" s="51">
        <f t="shared" si="1"/>
        <v>1.0486027368531432E-4</v>
      </c>
      <c r="I32" s="51">
        <f t="shared" si="2"/>
        <v>5.7107913320884572E-2</v>
      </c>
      <c r="J32" s="51">
        <f t="shared" si="4"/>
        <v>10.892192307692316</v>
      </c>
      <c r="K32" s="51">
        <f t="shared" si="3"/>
        <v>0.4034145299145302</v>
      </c>
      <c r="L32" s="51">
        <v>110</v>
      </c>
      <c r="M32" s="51">
        <f t="shared" si="5"/>
        <v>0.24545454545454545</v>
      </c>
      <c r="N32" s="51">
        <v>186</v>
      </c>
      <c r="O32" s="51">
        <f t="shared" ref="O32:P32" si="42">D32/7</f>
        <v>3.8571428571428572</v>
      </c>
      <c r="P32" s="51">
        <f t="shared" si="42"/>
        <v>0</v>
      </c>
      <c r="Q32" s="51">
        <f t="shared" si="7"/>
        <v>48</v>
      </c>
      <c r="R32" s="55">
        <v>0</v>
      </c>
      <c r="S32" s="53" t="s">
        <v>34</v>
      </c>
      <c r="T32" s="54" t="s">
        <v>34</v>
      </c>
      <c r="U32" s="55">
        <v>0</v>
      </c>
      <c r="V32" s="55">
        <f t="shared" si="8"/>
        <v>0</v>
      </c>
      <c r="W32" s="55">
        <f t="shared" si="9"/>
        <v>0</v>
      </c>
      <c r="X32" s="55">
        <v>0</v>
      </c>
      <c r="Y32" s="55" t="s">
        <v>35</v>
      </c>
      <c r="Z32" s="56">
        <f t="shared" si="19"/>
        <v>-0.75</v>
      </c>
      <c r="AA32" s="55">
        <v>5.0962962962962967E-2</v>
      </c>
      <c r="AB32" s="55">
        <f t="shared" si="27"/>
        <v>-3.0960000000000001</v>
      </c>
      <c r="AC32" s="55">
        <v>-3.31</v>
      </c>
      <c r="AD32" s="55">
        <v>-2.1756410256410255</v>
      </c>
      <c r="AE32" s="55">
        <v>0</v>
      </c>
      <c r="AF32" s="52">
        <v>1.7578475336322801</v>
      </c>
    </row>
    <row r="33" spans="1:32" s="57" customFormat="1" ht="15.75" customHeight="1">
      <c r="A33" s="2" t="s">
        <v>94</v>
      </c>
      <c r="B33" s="2" t="s">
        <v>328</v>
      </c>
      <c r="C33" s="51">
        <f t="shared" si="35"/>
        <v>7.1751851851851844</v>
      </c>
      <c r="D33" s="51">
        <v>27</v>
      </c>
      <c r="E33" s="51">
        <v>0</v>
      </c>
      <c r="F33" s="51">
        <v>193.73</v>
      </c>
      <c r="G33" s="51">
        <v>-0.1</v>
      </c>
      <c r="H33" s="51">
        <f t="shared" si="1"/>
        <v>5.1618231559386778E-4</v>
      </c>
      <c r="I33" s="51">
        <f t="shared" si="2"/>
        <v>6.8973273667951723E-2</v>
      </c>
      <c r="J33" s="51">
        <f t="shared" si="4"/>
        <v>13.362192307692286</v>
      </c>
      <c r="K33" s="51">
        <f t="shared" si="3"/>
        <v>0.49489601139601058</v>
      </c>
      <c r="L33" s="51">
        <v>112</v>
      </c>
      <c r="M33" s="51">
        <f t="shared" si="5"/>
        <v>0.24107142857142858</v>
      </c>
      <c r="N33" s="51">
        <v>166</v>
      </c>
      <c r="O33" s="51">
        <f t="shared" ref="O33:P33" si="43">D33/7</f>
        <v>3.8571428571428572</v>
      </c>
      <c r="P33" s="51">
        <f t="shared" si="43"/>
        <v>0</v>
      </c>
      <c r="Q33" s="51">
        <f t="shared" si="7"/>
        <v>43</v>
      </c>
      <c r="R33" s="55">
        <v>0</v>
      </c>
      <c r="S33" s="53" t="s">
        <v>34</v>
      </c>
      <c r="T33" s="54" t="s">
        <v>34</v>
      </c>
      <c r="U33" s="55">
        <v>0</v>
      </c>
      <c r="V33" s="55">
        <f t="shared" si="8"/>
        <v>0</v>
      </c>
      <c r="W33" s="55">
        <f t="shared" si="9"/>
        <v>0</v>
      </c>
      <c r="X33" s="55">
        <v>0</v>
      </c>
      <c r="Y33" s="55" t="s">
        <v>35</v>
      </c>
      <c r="Z33" s="56">
        <f t="shared" si="19"/>
        <v>-0.75</v>
      </c>
      <c r="AA33" s="55">
        <v>5.0962962962962967E-2</v>
      </c>
      <c r="AB33" s="55">
        <f t="shared" si="27"/>
        <v>-3.0960000000000001</v>
      </c>
      <c r="AC33" s="55">
        <v>-3.31</v>
      </c>
      <c r="AD33" s="55">
        <v>-2.1756410256410255</v>
      </c>
      <c r="AE33" s="55">
        <v>0</v>
      </c>
      <c r="AF33" s="55">
        <v>2.01941747572815</v>
      </c>
    </row>
    <row r="34" spans="1:32" s="57" customFormat="1" ht="15.75" customHeight="1">
      <c r="A34" s="2" t="s">
        <v>95</v>
      </c>
      <c r="B34" s="2" t="s">
        <v>329</v>
      </c>
      <c r="C34" s="51">
        <f t="shared" si="35"/>
        <v>8.1718181818181819</v>
      </c>
      <c r="D34" s="51">
        <v>11</v>
      </c>
      <c r="E34" s="51">
        <v>0</v>
      </c>
      <c r="F34" s="51">
        <v>89.89</v>
      </c>
      <c r="G34" s="51">
        <v>-0.02</v>
      </c>
      <c r="H34" s="51">
        <f t="shared" si="1"/>
        <v>2.2249415952831238E-4</v>
      </c>
      <c r="I34" s="51">
        <f t="shared" si="2"/>
        <v>0.16445784163550323</v>
      </c>
      <c r="J34" s="51">
        <f t="shared" si="4"/>
        <v>14.783115384615385</v>
      </c>
      <c r="K34" s="51">
        <f t="shared" si="3"/>
        <v>1.3439195804195805</v>
      </c>
      <c r="L34" s="51">
        <v>105</v>
      </c>
      <c r="M34" s="51">
        <f t="shared" si="5"/>
        <v>0.10476190476190476</v>
      </c>
      <c r="N34" s="51">
        <v>157</v>
      </c>
      <c r="O34" s="51">
        <f t="shared" ref="O34:P34" si="44">D34/7</f>
        <v>1.5714285714285714</v>
      </c>
      <c r="P34" s="51">
        <f t="shared" si="44"/>
        <v>0</v>
      </c>
      <c r="Q34" s="51">
        <f t="shared" si="7"/>
        <v>99</v>
      </c>
      <c r="R34" s="55">
        <v>0</v>
      </c>
      <c r="S34" s="53" t="s">
        <v>34</v>
      </c>
      <c r="T34" s="54" t="s">
        <v>34</v>
      </c>
      <c r="U34" s="55">
        <v>0</v>
      </c>
      <c r="V34" s="55">
        <f t="shared" si="8"/>
        <v>0</v>
      </c>
      <c r="W34" s="55">
        <f t="shared" si="9"/>
        <v>0</v>
      </c>
      <c r="X34" s="55">
        <v>0</v>
      </c>
      <c r="Y34" s="55" t="s">
        <v>35</v>
      </c>
      <c r="Z34" s="56">
        <f t="shared" si="19"/>
        <v>-0.75</v>
      </c>
      <c r="AA34" s="55">
        <v>5.0962962962962967E-2</v>
      </c>
      <c r="AB34" s="55">
        <f t="shared" si="27"/>
        <v>-1.2613333333333334</v>
      </c>
      <c r="AC34" s="55">
        <v>-3.31</v>
      </c>
      <c r="AD34" s="55">
        <v>-2.1756410256410255</v>
      </c>
      <c r="AE34" s="55">
        <v>0</v>
      </c>
      <c r="AF34" s="55">
        <v>1.51538461538461</v>
      </c>
    </row>
    <row r="35" spans="1:32" s="57" customFormat="1" ht="15.75" customHeight="1">
      <c r="A35" s="2" t="s">
        <v>96</v>
      </c>
      <c r="B35" s="2" t="s">
        <v>330</v>
      </c>
      <c r="C35" s="51">
        <f t="shared" si="35"/>
        <v>8.99</v>
      </c>
      <c r="D35" s="51">
        <v>2</v>
      </c>
      <c r="E35" s="51">
        <v>1</v>
      </c>
      <c r="F35" s="51">
        <v>17.98</v>
      </c>
      <c r="G35" s="51">
        <v>-0.08</v>
      </c>
      <c r="H35" s="51">
        <f t="shared" si="1"/>
        <v>4.4493882091212458E-3</v>
      </c>
      <c r="I35" s="51">
        <f t="shared" si="2"/>
        <v>0.22260203645075721</v>
      </c>
      <c r="J35" s="51">
        <f t="shared" si="4"/>
        <v>4.0023846153846145</v>
      </c>
      <c r="K35" s="51">
        <f t="shared" si="3"/>
        <v>2.0011923076923073</v>
      </c>
      <c r="L35" s="51">
        <v>85</v>
      </c>
      <c r="M35" s="51">
        <f t="shared" si="5"/>
        <v>2.3529411764705882E-2</v>
      </c>
      <c r="N35" s="51">
        <v>153</v>
      </c>
      <c r="O35" s="51">
        <f t="shared" ref="O35:P35" si="45">D35/7</f>
        <v>0.2857142857142857</v>
      </c>
      <c r="P35" s="51">
        <f t="shared" si="45"/>
        <v>0.14285714285714285</v>
      </c>
      <c r="Q35" s="51">
        <f t="shared" si="7"/>
        <v>357</v>
      </c>
      <c r="R35" s="55">
        <v>0</v>
      </c>
      <c r="S35" s="53" t="s">
        <v>34</v>
      </c>
      <c r="T35" s="54" t="s">
        <v>34</v>
      </c>
      <c r="U35" s="55">
        <v>0</v>
      </c>
      <c r="V35" s="55">
        <f t="shared" si="8"/>
        <v>0</v>
      </c>
      <c r="W35" s="55">
        <f t="shared" si="9"/>
        <v>0</v>
      </c>
      <c r="X35" s="55">
        <v>0</v>
      </c>
      <c r="Y35" s="55" t="s">
        <v>35</v>
      </c>
      <c r="Z35" s="56">
        <f t="shared" si="19"/>
        <v>-0.75</v>
      </c>
      <c r="AA35" s="55">
        <v>5.0962962962962967E-2</v>
      </c>
      <c r="AB35" s="55">
        <f t="shared" si="27"/>
        <v>-0.22933333333333336</v>
      </c>
      <c r="AC35" s="55">
        <v>-3.31</v>
      </c>
      <c r="AD35" s="55">
        <v>-2.1756410256410255</v>
      </c>
      <c r="AE35" s="55">
        <v>0</v>
      </c>
      <c r="AF35" s="55">
        <v>1.2352000000000001</v>
      </c>
    </row>
    <row r="36" spans="1:32" s="57" customFormat="1" ht="15.75" customHeight="1">
      <c r="A36" s="2" t="s">
        <v>98</v>
      </c>
      <c r="B36" s="2" t="s">
        <v>331</v>
      </c>
      <c r="C36" s="51">
        <f t="shared" si="35"/>
        <v>7.9899999999999993</v>
      </c>
      <c r="D36" s="51">
        <v>12</v>
      </c>
      <c r="E36" s="51">
        <v>0</v>
      </c>
      <c r="F36" s="51">
        <v>95.88</v>
      </c>
      <c r="G36" s="51">
        <v>0</v>
      </c>
      <c r="H36" s="51">
        <f t="shared" si="1"/>
        <v>0</v>
      </c>
      <c r="I36" s="51">
        <f t="shared" si="2"/>
        <v>0.14908539520554537</v>
      </c>
      <c r="J36" s="51">
        <f t="shared" si="4"/>
        <v>14.294307692307688</v>
      </c>
      <c r="K36" s="51">
        <f t="shared" si="3"/>
        <v>1.1911923076923074</v>
      </c>
      <c r="L36" s="51">
        <v>90</v>
      </c>
      <c r="M36" s="51">
        <f t="shared" si="5"/>
        <v>0.13333333333333333</v>
      </c>
      <c r="N36" s="51">
        <v>138</v>
      </c>
      <c r="O36" s="51">
        <f t="shared" ref="O36:P36" si="46">D36/7</f>
        <v>1.7142857142857142</v>
      </c>
      <c r="P36" s="51">
        <f t="shared" si="46"/>
        <v>0</v>
      </c>
      <c r="Q36" s="51">
        <f t="shared" si="7"/>
        <v>80</v>
      </c>
      <c r="R36" s="55">
        <v>0</v>
      </c>
      <c r="S36" s="53"/>
      <c r="T36" s="54" t="s">
        <v>34</v>
      </c>
      <c r="U36" s="55"/>
      <c r="V36" s="55">
        <f t="shared" si="8"/>
        <v>0</v>
      </c>
      <c r="W36" s="55">
        <f t="shared" si="9"/>
        <v>0</v>
      </c>
      <c r="X36" s="55"/>
      <c r="Y36" s="55" t="s">
        <v>35</v>
      </c>
      <c r="Z36" s="56">
        <f t="shared" si="19"/>
        <v>-0.75</v>
      </c>
      <c r="AA36" s="55">
        <v>5.0962962962962967E-2</v>
      </c>
      <c r="AB36" s="55">
        <f t="shared" si="27"/>
        <v>-1.3760000000000001</v>
      </c>
      <c r="AC36" s="55">
        <v>-3.31</v>
      </c>
      <c r="AD36" s="55">
        <v>-2.1756410256410255</v>
      </c>
      <c r="AE36" s="55">
        <v>0</v>
      </c>
      <c r="AF36" s="55">
        <v>1.4446601941747499</v>
      </c>
    </row>
    <row r="37" spans="1:32" s="57" customFormat="1" ht="15.75" customHeight="1">
      <c r="A37" s="2" t="s">
        <v>99</v>
      </c>
      <c r="B37" s="2" t="s">
        <v>45</v>
      </c>
      <c r="C37" s="51">
        <f t="shared" si="35"/>
        <v>6.9899999999999975</v>
      </c>
      <c r="D37" s="51">
        <v>17</v>
      </c>
      <c r="E37" s="51">
        <v>0</v>
      </c>
      <c r="F37" s="51">
        <v>118.82999999999996</v>
      </c>
      <c r="G37" s="51">
        <v>-0.08</v>
      </c>
      <c r="H37" s="51">
        <f t="shared" si="1"/>
        <v>6.7323066565682093E-4</v>
      </c>
      <c r="I37" s="51">
        <f t="shared" si="2"/>
        <v>4.813825827458712E-2</v>
      </c>
      <c r="J37" s="51">
        <f t="shared" si="4"/>
        <v>5.7202692307691851</v>
      </c>
      <c r="K37" s="51">
        <f t="shared" si="3"/>
        <v>0.33648642533936385</v>
      </c>
      <c r="L37" s="51">
        <v>131</v>
      </c>
      <c r="M37" s="51">
        <f t="shared" si="5"/>
        <v>0.12977099236641221</v>
      </c>
      <c r="N37" s="51">
        <v>125</v>
      </c>
      <c r="O37" s="51">
        <f t="shared" ref="O37:P37" si="47">D37/7</f>
        <v>2.4285714285714284</v>
      </c>
      <c r="P37" s="51">
        <f t="shared" si="47"/>
        <v>0</v>
      </c>
      <c r="Q37" s="51">
        <f t="shared" si="7"/>
        <v>51</v>
      </c>
      <c r="R37" s="55">
        <v>84</v>
      </c>
      <c r="S37" s="53">
        <v>84</v>
      </c>
      <c r="T37" s="54">
        <v>44078</v>
      </c>
      <c r="U37" s="55">
        <v>0</v>
      </c>
      <c r="V37" s="55">
        <f t="shared" si="8"/>
        <v>0</v>
      </c>
      <c r="W37" s="55">
        <f t="shared" si="9"/>
        <v>0</v>
      </c>
      <c r="X37" s="55">
        <v>0</v>
      </c>
      <c r="Y37" s="55" t="s">
        <v>35</v>
      </c>
      <c r="Z37" s="56">
        <f t="shared" si="19"/>
        <v>-0.75</v>
      </c>
      <c r="AA37" s="55">
        <v>5.0962962962962967E-2</v>
      </c>
      <c r="AB37" s="55">
        <f t="shared" si="27"/>
        <v>-1.9493333333333336</v>
      </c>
      <c r="AC37" s="55">
        <v>-3.31</v>
      </c>
      <c r="AD37" s="55">
        <v>-2.1756410256410255</v>
      </c>
      <c r="AE37" s="55">
        <v>0</v>
      </c>
      <c r="AF37" s="55">
        <v>1.68152866242038</v>
      </c>
    </row>
    <row r="38" spans="1:32" s="57" customFormat="1" ht="15.75" customHeight="1">
      <c r="A38" s="2" t="s">
        <v>100</v>
      </c>
      <c r="B38" s="2" t="s">
        <v>332</v>
      </c>
      <c r="C38" s="51">
        <f t="shared" si="35"/>
        <v>6.9899999999999993</v>
      </c>
      <c r="D38" s="51">
        <v>18</v>
      </c>
      <c r="E38" s="51">
        <v>0</v>
      </c>
      <c r="F38" s="51">
        <v>125.82</v>
      </c>
      <c r="G38" s="51">
        <v>0</v>
      </c>
      <c r="H38" s="51">
        <f t="shared" si="1"/>
        <v>0</v>
      </c>
      <c r="I38" s="51">
        <f t="shared" si="2"/>
        <v>4.8811488940244278E-2</v>
      </c>
      <c r="J38" s="51">
        <f t="shared" si="4"/>
        <v>6.1414615384615345</v>
      </c>
      <c r="K38" s="51">
        <f t="shared" si="3"/>
        <v>0.34119230769230746</v>
      </c>
      <c r="L38" s="51">
        <v>132</v>
      </c>
      <c r="M38" s="51">
        <f t="shared" si="5"/>
        <v>0.13636363636363635</v>
      </c>
      <c r="N38" s="51">
        <v>102</v>
      </c>
      <c r="O38" s="51">
        <f t="shared" ref="O38:P38" si="48">D38/7</f>
        <v>2.5714285714285716</v>
      </c>
      <c r="P38" s="51">
        <f t="shared" si="48"/>
        <v>0</v>
      </c>
      <c r="Q38" s="51">
        <f t="shared" si="7"/>
        <v>39</v>
      </c>
      <c r="R38" s="55">
        <v>84</v>
      </c>
      <c r="S38" s="53"/>
      <c r="T38" s="54">
        <v>44078</v>
      </c>
      <c r="U38" s="55">
        <v>0</v>
      </c>
      <c r="V38" s="55">
        <f t="shared" si="8"/>
        <v>0</v>
      </c>
      <c r="W38" s="55">
        <f t="shared" si="9"/>
        <v>0</v>
      </c>
      <c r="X38" s="55">
        <v>0</v>
      </c>
      <c r="Y38" s="55" t="s">
        <v>35</v>
      </c>
      <c r="Z38" s="56">
        <f t="shared" si="19"/>
        <v>-0.75</v>
      </c>
      <c r="AA38" s="55">
        <v>5.0962962962962967E-2</v>
      </c>
      <c r="AB38" s="55">
        <f t="shared" si="27"/>
        <v>-2.0640000000000001</v>
      </c>
      <c r="AC38" s="55">
        <v>-3.31</v>
      </c>
      <c r="AD38" s="55">
        <v>-2.1756410256410255</v>
      </c>
      <c r="AE38" s="55">
        <v>0</v>
      </c>
      <c r="AF38" s="55">
        <v>1.4229508196721301</v>
      </c>
    </row>
    <row r="39" spans="1:32" s="57" customFormat="1" ht="15.75" customHeight="1">
      <c r="A39" s="2" t="s">
        <v>101</v>
      </c>
      <c r="B39" s="2" t="s">
        <v>333</v>
      </c>
      <c r="C39" s="51">
        <f t="shared" si="35"/>
        <v>7.3536363636363635</v>
      </c>
      <c r="D39" s="51">
        <v>11</v>
      </c>
      <c r="E39" s="51">
        <v>1</v>
      </c>
      <c r="F39" s="51">
        <v>80.89</v>
      </c>
      <c r="G39" s="51">
        <v>-0.02</v>
      </c>
      <c r="H39" s="51">
        <f t="shared" si="1"/>
        <v>2.4724935097045371E-4</v>
      </c>
      <c r="I39" s="51">
        <f t="shared" si="2"/>
        <v>8.8182907462176427E-2</v>
      </c>
      <c r="J39" s="51">
        <f>F39*0.85+G39+AD39*D39+D39*AC39+AE40+AB39</f>
        <v>7.1331153846154507</v>
      </c>
      <c r="K39" s="51">
        <f t="shared" si="3"/>
        <v>0.64846503496504093</v>
      </c>
      <c r="L39" s="51">
        <v>67</v>
      </c>
      <c r="M39" s="51">
        <f t="shared" si="5"/>
        <v>0.16417910447761194</v>
      </c>
      <c r="N39" s="51">
        <v>100</v>
      </c>
      <c r="O39" s="51">
        <f t="shared" ref="O39:P39" si="49">D39/7</f>
        <v>1.5714285714285714</v>
      </c>
      <c r="P39" s="51">
        <f t="shared" si="49"/>
        <v>0.14285714285714285</v>
      </c>
      <c r="Q39" s="51">
        <f t="shared" si="7"/>
        <v>58</v>
      </c>
      <c r="R39" s="55">
        <v>84</v>
      </c>
      <c r="S39" s="53">
        <v>84</v>
      </c>
      <c r="T39" s="54">
        <v>44078</v>
      </c>
      <c r="U39" s="55">
        <v>0</v>
      </c>
      <c r="V39" s="55">
        <f t="shared" si="8"/>
        <v>0</v>
      </c>
      <c r="W39" s="55">
        <f t="shared" si="9"/>
        <v>0</v>
      </c>
      <c r="X39" s="55">
        <v>0</v>
      </c>
      <c r="Y39" s="55" t="s">
        <v>35</v>
      </c>
      <c r="Z39" s="56">
        <f t="shared" si="19"/>
        <v>-0.75</v>
      </c>
      <c r="AA39" s="55">
        <v>5.0962962962962967E-2</v>
      </c>
      <c r="AB39" s="55">
        <f t="shared" si="27"/>
        <v>-1.2613333333333334</v>
      </c>
      <c r="AC39" s="55">
        <v>-3.31</v>
      </c>
      <c r="AD39" s="55">
        <v>-2.1756410256410201</v>
      </c>
      <c r="AE39" s="55">
        <v>0</v>
      </c>
      <c r="AF39" s="55">
        <v>1.3035714285714199</v>
      </c>
    </row>
    <row r="40" spans="1:32" s="57" customFormat="1" ht="15.75" customHeight="1">
      <c r="A40" s="2" t="s">
        <v>102</v>
      </c>
      <c r="B40" s="2" t="s">
        <v>334</v>
      </c>
      <c r="C40" s="51">
        <v>7.9899999999999993</v>
      </c>
      <c r="D40" s="51">
        <v>12</v>
      </c>
      <c r="E40" s="51">
        <v>0</v>
      </c>
      <c r="F40" s="51">
        <v>95.88</v>
      </c>
      <c r="G40" s="51">
        <v>0</v>
      </c>
      <c r="H40" s="51">
        <v>0</v>
      </c>
      <c r="I40" s="51">
        <v>0.14908539520554603</v>
      </c>
      <c r="J40" s="51">
        <v>14.294307692307752</v>
      </c>
      <c r="K40" s="51">
        <v>1.1911923076923128</v>
      </c>
      <c r="L40" s="51">
        <v>69</v>
      </c>
      <c r="M40" s="51">
        <v>0.17391304347826086</v>
      </c>
      <c r="N40" s="51">
        <v>78</v>
      </c>
      <c r="O40" s="51">
        <v>1.7142857142857142</v>
      </c>
      <c r="P40" s="51">
        <v>0</v>
      </c>
      <c r="Q40" s="51">
        <v>45</v>
      </c>
      <c r="R40" s="55">
        <v>84</v>
      </c>
      <c r="S40" s="53">
        <v>84</v>
      </c>
      <c r="T40" s="54">
        <v>44078</v>
      </c>
      <c r="U40" s="55">
        <v>0</v>
      </c>
      <c r="V40" s="55">
        <v>0</v>
      </c>
      <c r="W40" s="55">
        <v>0</v>
      </c>
      <c r="X40" s="55">
        <v>0</v>
      </c>
      <c r="Y40" s="55" t="s">
        <v>35</v>
      </c>
      <c r="Z40" s="56">
        <v>-0.75</v>
      </c>
      <c r="AA40" s="55">
        <v>5.0962962962962967E-2</v>
      </c>
      <c r="AB40" s="55">
        <v>-1.3760000000000001</v>
      </c>
      <c r="AC40" s="55">
        <v>-3.31</v>
      </c>
      <c r="AD40" s="55">
        <v>-2.1756410256410201</v>
      </c>
      <c r="AE40" s="55">
        <v>0</v>
      </c>
      <c r="AF40" s="55">
        <v>1.3529411764705801</v>
      </c>
    </row>
    <row r="41" spans="1:32" s="57" customFormat="1" ht="15.75" customHeight="1">
      <c r="A41" s="2" t="s">
        <v>105</v>
      </c>
      <c r="B41" s="2" t="s">
        <v>45</v>
      </c>
      <c r="C41" s="51">
        <f t="shared" ref="C41:C56" si="50">IFERROR(F41/D41," - ")</f>
        <v>7.99</v>
      </c>
      <c r="D41" s="51">
        <v>11</v>
      </c>
      <c r="E41" s="51">
        <v>0</v>
      </c>
      <c r="F41" s="51">
        <v>87.89</v>
      </c>
      <c r="G41" s="51">
        <v>0</v>
      </c>
      <c r="H41" s="51">
        <f t="shared" ref="H41:H56" si="51">G41/F41*-1</f>
        <v>0</v>
      </c>
      <c r="I41" s="51">
        <f t="shared" ref="I41:I56" si="52">J41/F41</f>
        <v>0.14908539520554612</v>
      </c>
      <c r="J41" s="51">
        <f t="shared" ref="J41:J48" si="53">F41*0.85+G41+AD41*D41+D41*AC41+AE42+AB41</f>
        <v>13.10311538461545</v>
      </c>
      <c r="K41" s="51">
        <f t="shared" ref="K41:K56" si="54">J41/D41</f>
        <v>1.1911923076923137</v>
      </c>
      <c r="L41" s="51">
        <v>65</v>
      </c>
      <c r="M41" s="51">
        <f t="shared" ref="M41:M56" si="55">IFERROR(D41/L41,"-")</f>
        <v>0.16923076923076924</v>
      </c>
      <c r="N41" s="51">
        <v>72</v>
      </c>
      <c r="O41" s="51">
        <f t="shared" ref="O41:P41" si="56">D41/7</f>
        <v>1.5714285714285714</v>
      </c>
      <c r="P41" s="51">
        <f t="shared" si="56"/>
        <v>0</v>
      </c>
      <c r="Q41" s="51">
        <f t="shared" ref="Q41:Q56" si="57">ROUNDDOWN(N41/(O41+P41),0)</f>
        <v>45</v>
      </c>
      <c r="R41" s="55">
        <v>84</v>
      </c>
      <c r="S41" s="53">
        <v>84</v>
      </c>
      <c r="T41" s="54">
        <v>44078</v>
      </c>
      <c r="U41" s="55">
        <v>0</v>
      </c>
      <c r="V41" s="55">
        <f t="shared" ref="V41:V56" si="58">IFERROR(U41/D41,0)</f>
        <v>0</v>
      </c>
      <c r="W41" s="55">
        <f t="shared" ref="W41:W56" si="59">IFERROR(G41/(U41+X41)*-1,0)</f>
        <v>0</v>
      </c>
      <c r="X41" s="55">
        <v>0</v>
      </c>
      <c r="Y41" s="52" t="s">
        <v>35</v>
      </c>
      <c r="Z41" s="56">
        <f t="shared" ref="Z41:Z43" si="60">IF(OR(Y41="UsLargeStandardSize",Y41="UsSmallStandardSize"),-0.75,-0.48)</f>
        <v>-0.75</v>
      </c>
      <c r="AA41" s="55">
        <v>5.0962962962962967E-2</v>
      </c>
      <c r="AB41" s="55">
        <f t="shared" ref="AB41:AB56" si="61">IFERROR(Z41*AA41*D41*3,0)</f>
        <v>-1.2613333333333334</v>
      </c>
      <c r="AC41" s="55">
        <v>-3.31</v>
      </c>
      <c r="AD41" s="55">
        <v>-2.1756410256410201</v>
      </c>
      <c r="AE41" s="55">
        <v>0</v>
      </c>
      <c r="AF41" s="55">
        <v>1.4585635359116</v>
      </c>
    </row>
    <row r="42" spans="1:32" s="57" customFormat="1" ht="15.75" customHeight="1">
      <c r="A42" s="2" t="s">
        <v>106</v>
      </c>
      <c r="B42" s="2" t="s">
        <v>335</v>
      </c>
      <c r="C42" s="51">
        <f t="shared" si="50"/>
        <v>7.9900000000000011</v>
      </c>
      <c r="D42" s="51">
        <v>8</v>
      </c>
      <c r="E42" s="51">
        <v>0</v>
      </c>
      <c r="F42" s="51">
        <v>63.920000000000009</v>
      </c>
      <c r="G42" s="51">
        <v>0</v>
      </c>
      <c r="H42" s="51">
        <f t="shared" si="51"/>
        <v>0</v>
      </c>
      <c r="I42" s="51">
        <f t="shared" si="52"/>
        <v>0.14908539520554612</v>
      </c>
      <c r="J42" s="51">
        <f t="shared" si="53"/>
        <v>9.5295384615385093</v>
      </c>
      <c r="K42" s="51">
        <f t="shared" si="54"/>
        <v>1.1911923076923137</v>
      </c>
      <c r="L42" s="51">
        <v>44</v>
      </c>
      <c r="M42" s="51">
        <f t="shared" si="55"/>
        <v>0.18181818181818182</v>
      </c>
      <c r="N42" s="51">
        <v>62</v>
      </c>
      <c r="O42" s="51">
        <f t="shared" ref="O42:P42" si="62">D42/7</f>
        <v>1.1428571428571428</v>
      </c>
      <c r="P42" s="51">
        <f t="shared" si="62"/>
        <v>0</v>
      </c>
      <c r="Q42" s="51">
        <f t="shared" si="57"/>
        <v>54</v>
      </c>
      <c r="R42" s="55">
        <f ca="1">IFERROR(__xludf.DUMMYFUNCTION("IFERROR(VLOOKUP($B$2,IMPORTRANGE(""https://docs.google.com/spreadsheets/d/1iVgg6Mw12RULLujzHmfOFIY8Q_KaAD8anoZzgtVAQ74/edit#gid=1503384807"",""Second Star - Summary!A1:AD2000""),9,FALSE),"""")"),703)</f>
        <v>703</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0</v>
      </c>
      <c r="V42" s="55">
        <f t="shared" si="58"/>
        <v>0</v>
      </c>
      <c r="W42" s="55">
        <f t="shared" si="59"/>
        <v>0</v>
      </c>
      <c r="X42" s="55">
        <v>0</v>
      </c>
      <c r="Y42" s="55" t="s">
        <v>35</v>
      </c>
      <c r="Z42" s="56">
        <f t="shared" si="60"/>
        <v>-0.75</v>
      </c>
      <c r="AA42" s="55">
        <v>5.0962962962962967E-2</v>
      </c>
      <c r="AB42" s="55">
        <f t="shared" si="61"/>
        <v>-0.91733333333333344</v>
      </c>
      <c r="AC42" s="55">
        <v>-3.31</v>
      </c>
      <c r="AD42" s="55">
        <v>-2.1756410256410201</v>
      </c>
      <c r="AE42" s="55">
        <v>0</v>
      </c>
      <c r="AF42" s="55">
        <v>1.5338983050847399</v>
      </c>
    </row>
    <row r="43" spans="1:32" s="57" customFormat="1" ht="15.75" customHeight="1">
      <c r="A43" s="2" t="s">
        <v>107</v>
      </c>
      <c r="B43" s="2" t="s">
        <v>336</v>
      </c>
      <c r="C43" s="51">
        <f t="shared" si="50"/>
        <v>7.9899999999999993</v>
      </c>
      <c r="D43" s="51">
        <v>9</v>
      </c>
      <c r="E43" s="51">
        <v>0</v>
      </c>
      <c r="F43" s="51">
        <v>71.91</v>
      </c>
      <c r="G43" s="51">
        <v>-0.08</v>
      </c>
      <c r="H43" s="51">
        <f t="shared" si="51"/>
        <v>1.1125017382839662E-3</v>
      </c>
      <c r="I43" s="51">
        <f t="shared" si="52"/>
        <v>0.14797289346726211</v>
      </c>
      <c r="J43" s="51">
        <f t="shared" si="53"/>
        <v>10.640730769230817</v>
      </c>
      <c r="K43" s="51">
        <f t="shared" si="54"/>
        <v>1.182303418803424</v>
      </c>
      <c r="L43" s="51">
        <v>55</v>
      </c>
      <c r="M43" s="51">
        <f t="shared" si="55"/>
        <v>0.16363636363636364</v>
      </c>
      <c r="N43" s="51">
        <v>50</v>
      </c>
      <c r="O43" s="51">
        <f t="shared" ref="O43:P43" si="63">D43/7</f>
        <v>1.2857142857142858</v>
      </c>
      <c r="P43" s="51">
        <f t="shared" si="63"/>
        <v>0</v>
      </c>
      <c r="Q43" s="51">
        <f t="shared" si="57"/>
        <v>38</v>
      </c>
      <c r="R43" s="55">
        <v>53</v>
      </c>
      <c r="S43" s="53">
        <v>53</v>
      </c>
      <c r="T43" s="54">
        <v>44137</v>
      </c>
      <c r="U43" s="55">
        <v>0</v>
      </c>
      <c r="V43" s="55">
        <f t="shared" si="58"/>
        <v>0</v>
      </c>
      <c r="W43" s="55">
        <f t="shared" si="59"/>
        <v>0</v>
      </c>
      <c r="X43" s="55">
        <v>0</v>
      </c>
      <c r="Y43" s="55" t="s">
        <v>35</v>
      </c>
      <c r="Z43" s="56">
        <f t="shared" si="60"/>
        <v>-0.75</v>
      </c>
      <c r="AA43" s="55">
        <v>5.0962962962962967E-2</v>
      </c>
      <c r="AB43" s="55">
        <f t="shared" si="61"/>
        <v>-1.032</v>
      </c>
      <c r="AC43" s="55">
        <v>-3.31</v>
      </c>
      <c r="AD43" s="55">
        <v>-2.1756410256410201</v>
      </c>
      <c r="AE43" s="55">
        <v>0</v>
      </c>
      <c r="AF43" s="55">
        <v>1.2976827094474099</v>
      </c>
    </row>
    <row r="44" spans="1:32" s="57" customFormat="1" ht="15.75" customHeight="1">
      <c r="A44" s="2" t="s">
        <v>108</v>
      </c>
      <c r="B44" s="2" t="s">
        <v>337</v>
      </c>
      <c r="C44" s="51">
        <f t="shared" si="50"/>
        <v>7.5400000000000009</v>
      </c>
      <c r="D44" s="51">
        <v>20</v>
      </c>
      <c r="E44" s="51">
        <v>0</v>
      </c>
      <c r="F44" s="51">
        <v>150.80000000000001</v>
      </c>
      <c r="G44" s="51">
        <v>-0.1</v>
      </c>
      <c r="H44" s="51">
        <f t="shared" si="51"/>
        <v>6.6312997347480103E-4</v>
      </c>
      <c r="I44" s="51">
        <f t="shared" si="52"/>
        <v>7.3133374141332419E-2</v>
      </c>
      <c r="J44" s="51">
        <f t="shared" si="53"/>
        <v>11.02851282051293</v>
      </c>
      <c r="K44" s="51">
        <f t="shared" si="54"/>
        <v>0.55142564102564651</v>
      </c>
      <c r="L44" s="51">
        <v>138</v>
      </c>
      <c r="M44" s="51">
        <f t="shared" si="55"/>
        <v>0.14492753623188406</v>
      </c>
      <c r="N44" s="51">
        <v>13</v>
      </c>
      <c r="O44" s="51">
        <f t="shared" ref="O44:P44" si="64">D44/7</f>
        <v>2.8571428571428572</v>
      </c>
      <c r="P44" s="51">
        <f t="shared" si="64"/>
        <v>0</v>
      </c>
      <c r="Q44" s="51">
        <f t="shared" si="57"/>
        <v>4</v>
      </c>
      <c r="R44" s="55">
        <v>54</v>
      </c>
      <c r="S44" s="53">
        <v>54</v>
      </c>
      <c r="T44" s="54">
        <v>44137</v>
      </c>
      <c r="U44" s="55">
        <v>1</v>
      </c>
      <c r="V44" s="55">
        <f t="shared" si="58"/>
        <v>0.05</v>
      </c>
      <c r="W44" s="55">
        <f t="shared" si="59"/>
        <v>0.1</v>
      </c>
      <c r="X44" s="55">
        <v>0</v>
      </c>
      <c r="Y44" s="55" t="s">
        <v>35</v>
      </c>
      <c r="Z44" s="56">
        <f t="shared" ref="Z44:Z56" si="65">IF(OR(Y44="UsLargeStandardSize",Y44="UsSmallStandardSize"),-2.4,-1.2)</f>
        <v>-2.4</v>
      </c>
      <c r="AA44" s="55">
        <v>5.0962962962962967E-2</v>
      </c>
      <c r="AB44" s="55">
        <f t="shared" si="61"/>
        <v>-7.3386666666666676</v>
      </c>
      <c r="AC44" s="55">
        <v>-3.31</v>
      </c>
      <c r="AD44" s="55">
        <v>-2.1756410256410201</v>
      </c>
      <c r="AE44" s="55">
        <v>0</v>
      </c>
      <c r="AF44" s="55">
        <v>1.4475374732334001</v>
      </c>
    </row>
    <row r="45" spans="1:32" s="57" customFormat="1" ht="15.75" customHeight="1">
      <c r="A45" s="2" t="s">
        <v>109</v>
      </c>
      <c r="B45" s="2" t="s">
        <v>338</v>
      </c>
      <c r="C45" s="51">
        <f t="shared" si="50"/>
        <v>6.9899999999999993</v>
      </c>
      <c r="D45" s="51">
        <v>24</v>
      </c>
      <c r="E45" s="51">
        <v>0</v>
      </c>
      <c r="F45" s="51">
        <v>167.76</v>
      </c>
      <c r="G45" s="51">
        <v>0</v>
      </c>
      <c r="H45" s="51">
        <f t="shared" si="51"/>
        <v>0</v>
      </c>
      <c r="I45" s="51">
        <f t="shared" si="52"/>
        <v>1.2721837056601681E-2</v>
      </c>
      <c r="J45" s="51">
        <f t="shared" si="53"/>
        <v>2.1342153846154979</v>
      </c>
      <c r="K45" s="51">
        <f t="shared" si="54"/>
        <v>8.8925641025645749E-2</v>
      </c>
      <c r="L45" s="51">
        <v>93</v>
      </c>
      <c r="M45" s="51">
        <f t="shared" si="55"/>
        <v>0.25806451612903225</v>
      </c>
      <c r="N45" s="51">
        <v>6</v>
      </c>
      <c r="O45" s="51">
        <f t="shared" ref="O45:P45" si="66">D45/7</f>
        <v>3.4285714285714284</v>
      </c>
      <c r="P45" s="51">
        <f t="shared" si="66"/>
        <v>0</v>
      </c>
      <c r="Q45" s="51">
        <f t="shared" si="57"/>
        <v>1</v>
      </c>
      <c r="R45" s="55">
        <v>54</v>
      </c>
      <c r="S45" s="53">
        <v>54</v>
      </c>
      <c r="T45" s="54">
        <v>44137</v>
      </c>
      <c r="U45" s="55">
        <v>0</v>
      </c>
      <c r="V45" s="55">
        <f t="shared" si="58"/>
        <v>0</v>
      </c>
      <c r="W45" s="55">
        <f t="shared" si="59"/>
        <v>0</v>
      </c>
      <c r="X45" s="55">
        <v>0</v>
      </c>
      <c r="Y45" s="55" t="s">
        <v>35</v>
      </c>
      <c r="Z45" s="56">
        <f t="shared" si="65"/>
        <v>-2.4</v>
      </c>
      <c r="AA45" s="55">
        <v>5.0962962962962967E-2</v>
      </c>
      <c r="AB45" s="55">
        <f t="shared" si="61"/>
        <v>-8.8064</v>
      </c>
      <c r="AC45" s="55">
        <v>-3.31</v>
      </c>
      <c r="AD45" s="55">
        <v>-2.1756410256410201</v>
      </c>
      <c r="AE45" s="55">
        <v>0</v>
      </c>
      <c r="AF45" s="55">
        <v>1.55023923444976</v>
      </c>
    </row>
    <row r="46" spans="1:32" s="57" customFormat="1" ht="15.75" customHeight="1">
      <c r="A46" s="2" t="s">
        <v>111</v>
      </c>
      <c r="B46" s="2" t="s">
        <v>339</v>
      </c>
      <c r="C46" s="51">
        <f t="shared" si="50"/>
        <v>6.99</v>
      </c>
      <c r="D46" s="51">
        <v>1</v>
      </c>
      <c r="E46" s="51">
        <v>0</v>
      </c>
      <c r="F46" s="51">
        <v>6.99</v>
      </c>
      <c r="G46" s="51">
        <v>0</v>
      </c>
      <c r="H46" s="51">
        <f t="shared" si="51"/>
        <v>0</v>
      </c>
      <c r="I46" s="51">
        <f t="shared" si="52"/>
        <v>0.53874949561644925</v>
      </c>
      <c r="J46" s="51">
        <f t="shared" si="53"/>
        <v>3.7658589743589803</v>
      </c>
      <c r="K46" s="51">
        <f t="shared" si="54"/>
        <v>3.7658589743589803</v>
      </c>
      <c r="L46" s="51">
        <v>17</v>
      </c>
      <c r="M46" s="51">
        <f t="shared" si="55"/>
        <v>5.8823529411764705E-2</v>
      </c>
      <c r="N46" s="51">
        <v>1</v>
      </c>
      <c r="O46" s="51">
        <f t="shared" ref="O46:P46" si="67">D46/7</f>
        <v>0.14285714285714285</v>
      </c>
      <c r="P46" s="51">
        <f t="shared" si="67"/>
        <v>0</v>
      </c>
      <c r="Q46" s="51">
        <f t="shared" si="57"/>
        <v>7</v>
      </c>
      <c r="R46" s="55">
        <v>0</v>
      </c>
      <c r="S46" s="53" t="s">
        <v>34</v>
      </c>
      <c r="T46" s="54" t="s">
        <v>34</v>
      </c>
      <c r="U46" s="55">
        <v>0</v>
      </c>
      <c r="V46" s="55">
        <f t="shared" si="58"/>
        <v>0</v>
      </c>
      <c r="W46" s="55">
        <f t="shared" si="59"/>
        <v>0</v>
      </c>
      <c r="X46" s="55">
        <v>0</v>
      </c>
      <c r="Y46" s="55" t="e">
        <v>#N/A</v>
      </c>
      <c r="Z46" s="56" t="e">
        <f t="shared" si="65"/>
        <v>#N/A</v>
      </c>
      <c r="AA46" s="55" t="e">
        <v>#N/A</v>
      </c>
      <c r="AB46" s="55">
        <f t="shared" si="61"/>
        <v>0</v>
      </c>
      <c r="AC46" s="55">
        <v>0</v>
      </c>
      <c r="AD46" s="55">
        <v>-2.1756410256410201</v>
      </c>
      <c r="AE46" s="55">
        <v>0</v>
      </c>
      <c r="AF46" s="55" t="e">
        <v>#N/A</v>
      </c>
    </row>
    <row r="47" spans="1:32" s="57" customFormat="1" ht="15.75" customHeight="1">
      <c r="A47" s="2" t="s">
        <v>113</v>
      </c>
      <c r="B47" s="2" t="s">
        <v>340</v>
      </c>
      <c r="C47" s="51">
        <f t="shared" si="50"/>
        <v>6.99</v>
      </c>
      <c r="D47" s="51">
        <v>1</v>
      </c>
      <c r="E47" s="51">
        <v>0</v>
      </c>
      <c r="F47" s="51">
        <v>6.99</v>
      </c>
      <c r="G47" s="51">
        <v>0</v>
      </c>
      <c r="H47" s="51">
        <f t="shared" si="51"/>
        <v>0</v>
      </c>
      <c r="I47" s="51">
        <f t="shared" si="52"/>
        <v>1.272183705660185E-2</v>
      </c>
      <c r="J47" s="51">
        <f t="shared" si="53"/>
        <v>8.8925641025646929E-2</v>
      </c>
      <c r="K47" s="51">
        <f t="shared" si="54"/>
        <v>8.8925641025646929E-2</v>
      </c>
      <c r="L47" s="51">
        <v>51</v>
      </c>
      <c r="M47" s="51">
        <f t="shared" si="55"/>
        <v>1.9607843137254902E-2</v>
      </c>
      <c r="N47" s="51">
        <v>48</v>
      </c>
      <c r="O47" s="51">
        <f t="shared" ref="O47:P47" si="68">D47/7</f>
        <v>0.14285714285714285</v>
      </c>
      <c r="P47" s="51">
        <f t="shared" si="68"/>
        <v>0</v>
      </c>
      <c r="Q47" s="51">
        <f t="shared" si="57"/>
        <v>336</v>
      </c>
      <c r="R47" s="55">
        <v>0</v>
      </c>
      <c r="S47" s="53" t="s">
        <v>34</v>
      </c>
      <c r="T47" s="54" t="s">
        <v>34</v>
      </c>
      <c r="U47" s="55">
        <v>0</v>
      </c>
      <c r="V47" s="55">
        <f t="shared" si="58"/>
        <v>0</v>
      </c>
      <c r="W47" s="55">
        <f t="shared" si="59"/>
        <v>0</v>
      </c>
      <c r="X47" s="55">
        <v>0</v>
      </c>
      <c r="Y47" s="55" t="s">
        <v>35</v>
      </c>
      <c r="Z47" s="56">
        <f t="shared" si="65"/>
        <v>-2.4</v>
      </c>
      <c r="AA47" s="55">
        <v>5.0962962962962967E-2</v>
      </c>
      <c r="AB47" s="55">
        <f t="shared" si="61"/>
        <v>-0.36693333333333333</v>
      </c>
      <c r="AC47" s="55">
        <v>-3.31</v>
      </c>
      <c r="AD47" s="55">
        <v>-2.1756410256410201</v>
      </c>
      <c r="AE47" s="55">
        <v>0</v>
      </c>
      <c r="AF47" s="55">
        <v>1.5831134564643701</v>
      </c>
    </row>
    <row r="48" spans="1:32" s="57" customFormat="1" ht="15.75" customHeight="1">
      <c r="A48" s="2" t="s">
        <v>115</v>
      </c>
      <c r="B48" s="2" t="s">
        <v>341</v>
      </c>
      <c r="C48" s="51">
        <f t="shared" si="50"/>
        <v>6.9900000000000011</v>
      </c>
      <c r="D48" s="51">
        <v>8</v>
      </c>
      <c r="E48" s="51">
        <v>0</v>
      </c>
      <c r="F48" s="51">
        <v>55.920000000000009</v>
      </c>
      <c r="G48" s="51">
        <v>0</v>
      </c>
      <c r="H48" s="51">
        <f t="shared" si="51"/>
        <v>0</v>
      </c>
      <c r="I48" s="51">
        <f t="shared" si="52"/>
        <v>1.2721837056601848E-2</v>
      </c>
      <c r="J48" s="51">
        <f t="shared" si="53"/>
        <v>0.71140512820517543</v>
      </c>
      <c r="K48" s="51">
        <f t="shared" si="54"/>
        <v>8.8925641025646929E-2</v>
      </c>
      <c r="L48" s="51">
        <v>76</v>
      </c>
      <c r="M48" s="51">
        <f t="shared" si="55"/>
        <v>0.10526315789473684</v>
      </c>
      <c r="N48" s="51">
        <v>45</v>
      </c>
      <c r="O48" s="51">
        <f t="shared" ref="O48:P48" si="69">D48/7</f>
        <v>1.1428571428571428</v>
      </c>
      <c r="P48" s="51">
        <f t="shared" si="69"/>
        <v>0</v>
      </c>
      <c r="Q48" s="51">
        <f t="shared" si="57"/>
        <v>39</v>
      </c>
      <c r="R48" s="55">
        <f ca="1">IFERROR(__xludf.DUMMYFUNCTION("IFERROR(VLOOKUP($B$2,IMPORTRANGE(""https://docs.google.com/spreadsheets/d/1iVgg6Mw12RULLujzHmfOFIY8Q_KaAD8anoZzgtVAQ74/edit#gid=1503384807"",""Second Star - Summary!A1:AD2000""),9,FALSE),"""")"),703)</f>
        <v>703</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si="58"/>
        <v>0</v>
      </c>
      <c r="W48" s="55">
        <f t="shared" si="59"/>
        <v>0</v>
      </c>
      <c r="X48" s="55">
        <v>0</v>
      </c>
      <c r="Y48" s="55" t="s">
        <v>35</v>
      </c>
      <c r="Z48" s="56">
        <f t="shared" si="65"/>
        <v>-2.4</v>
      </c>
      <c r="AA48" s="55">
        <v>5.0962962962962967E-2</v>
      </c>
      <c r="AB48" s="55">
        <f t="shared" si="61"/>
        <v>-2.9354666666666667</v>
      </c>
      <c r="AC48" s="55">
        <v>-3.31</v>
      </c>
      <c r="AD48" s="55">
        <v>-2.1756410256410201</v>
      </c>
      <c r="AE48" s="55">
        <v>0</v>
      </c>
      <c r="AF48" s="55">
        <v>1.7126760563380199</v>
      </c>
    </row>
    <row r="49" spans="1:32" s="57" customFormat="1" ht="15.75" customHeight="1">
      <c r="A49" s="2" t="s">
        <v>117</v>
      </c>
      <c r="B49" s="2" t="s">
        <v>342</v>
      </c>
      <c r="C49" s="51">
        <f t="shared" si="50"/>
        <v>6.99</v>
      </c>
      <c r="D49" s="51">
        <v>20</v>
      </c>
      <c r="E49" s="51">
        <v>0</v>
      </c>
      <c r="F49" s="51">
        <v>139.80000000000001</v>
      </c>
      <c r="G49" s="51">
        <v>-0.03</v>
      </c>
      <c r="H49" s="51">
        <f t="shared" si="51"/>
        <v>2.1459227467811155E-4</v>
      </c>
      <c r="I49" s="51">
        <f t="shared" si="52"/>
        <v>1.1430706870621856E-2</v>
      </c>
      <c r="J49" s="51">
        <f t="shared" ref="J49:J56" si="70">F49*0.85+G49+AD49*D49+D49*AC49+AE49+AB49</f>
        <v>1.5980128205129356</v>
      </c>
      <c r="K49" s="51">
        <f t="shared" si="54"/>
        <v>7.9900641025646785E-2</v>
      </c>
      <c r="L49" s="51">
        <v>67</v>
      </c>
      <c r="M49" s="51">
        <f t="shared" si="55"/>
        <v>0.29850746268656714</v>
      </c>
      <c r="N49" s="51">
        <v>22</v>
      </c>
      <c r="O49" s="51">
        <f t="shared" ref="O49:P49" si="71">D49/7</f>
        <v>2.8571428571428572</v>
      </c>
      <c r="P49" s="51">
        <f t="shared" si="71"/>
        <v>0</v>
      </c>
      <c r="Q49" s="51">
        <f t="shared" si="57"/>
        <v>7</v>
      </c>
      <c r="R49" s="55">
        <f ca="1">IFERROR(__xludf.DUMMYFUNCTION("IFERROR(VLOOKUP($B$2,IMPORTRANGE(""https://docs.google.com/spreadsheets/d/1iVgg6Mw12RULLujzHmfOFIY8Q_KaAD8anoZzgtVAQ74/edit#gid=1503384807"",""Second Star - Summary!A1:AD2000""),9,FALSE),"""")"),703)</f>
        <v>703</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58"/>
        <v>0</v>
      </c>
      <c r="W49" s="55">
        <f t="shared" si="59"/>
        <v>0</v>
      </c>
      <c r="X49" s="55">
        <v>0</v>
      </c>
      <c r="Y49" s="55" t="s">
        <v>35</v>
      </c>
      <c r="Z49" s="56">
        <f t="shared" si="65"/>
        <v>-2.4</v>
      </c>
      <c r="AA49" s="55">
        <v>5.0962962962962967E-2</v>
      </c>
      <c r="AB49" s="55">
        <f t="shared" si="61"/>
        <v>-7.3386666666666676</v>
      </c>
      <c r="AC49" s="55">
        <v>-3.31</v>
      </c>
      <c r="AD49" s="55">
        <v>-2.1831660256410199</v>
      </c>
      <c r="AE49" s="55">
        <v>0</v>
      </c>
      <c r="AF49" s="55">
        <v>2.23487544483985</v>
      </c>
    </row>
    <row r="50" spans="1:32" s="57" customFormat="1" ht="15.75" customHeight="1">
      <c r="A50" s="2" t="s">
        <v>119</v>
      </c>
      <c r="B50" s="2" t="s">
        <v>45</v>
      </c>
      <c r="C50" s="51">
        <f t="shared" si="50"/>
        <v>7.6566666666666681</v>
      </c>
      <c r="D50" s="51">
        <v>9</v>
      </c>
      <c r="E50" s="51">
        <v>0</v>
      </c>
      <c r="F50" s="51">
        <v>68.910000000000011</v>
      </c>
      <c r="G50" s="51">
        <v>-0.08</v>
      </c>
      <c r="H50" s="51">
        <f t="shared" si="51"/>
        <v>1.1609345523146131E-3</v>
      </c>
      <c r="I50" s="51">
        <f t="shared" si="52"/>
        <v>8.347998504180569E-2</v>
      </c>
      <c r="J50" s="51">
        <f t="shared" si="70"/>
        <v>5.752605769230831</v>
      </c>
      <c r="K50" s="51">
        <f t="shared" si="54"/>
        <v>0.63917841880342563</v>
      </c>
      <c r="L50" s="51">
        <v>73</v>
      </c>
      <c r="M50" s="51">
        <f t="shared" si="55"/>
        <v>0.12328767123287671</v>
      </c>
      <c r="N50" s="51">
        <v>16</v>
      </c>
      <c r="O50" s="51">
        <f t="shared" ref="O50:P50" si="72">D50/7</f>
        <v>1.2857142857142858</v>
      </c>
      <c r="P50" s="51">
        <f t="shared" si="72"/>
        <v>0</v>
      </c>
      <c r="Q50" s="51">
        <f t="shared" si="57"/>
        <v>12</v>
      </c>
      <c r="R50" s="55">
        <f ca="1">IFERROR(__xludf.DUMMYFUNCTION("IFERROR(VLOOKUP($B$2,IMPORTRANGE(""https://docs.google.com/spreadsheets/d/1iVgg6Mw12RULLujzHmfOFIY8Q_KaAD8anoZzgtVAQ74/edit#gid=1503384807"",""Second Star - Summary!A1:AD2000""),9,FALSE),"""")"),703)</f>
        <v>703</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58"/>
        <v>0</v>
      </c>
      <c r="W50" s="55">
        <f t="shared" si="59"/>
        <v>0</v>
      </c>
      <c r="X50" s="55">
        <v>0</v>
      </c>
      <c r="Y50" s="55" t="s">
        <v>35</v>
      </c>
      <c r="Z50" s="56">
        <f t="shared" si="65"/>
        <v>-2.4</v>
      </c>
      <c r="AA50" s="55">
        <v>5.0962962962962967E-2</v>
      </c>
      <c r="AB50" s="55">
        <f t="shared" si="61"/>
        <v>-3.3024</v>
      </c>
      <c r="AC50" s="55">
        <v>-3.31</v>
      </c>
      <c r="AD50" s="55">
        <v>-2.1831660256410199</v>
      </c>
      <c r="AE50" s="55">
        <v>0</v>
      </c>
      <c r="AF50" s="55">
        <v>2.3805668016194299</v>
      </c>
    </row>
    <row r="51" spans="1:32" s="57" customFormat="1" ht="15.75" customHeight="1">
      <c r="A51" s="2" t="s">
        <v>121</v>
      </c>
      <c r="B51" s="2" t="s">
        <v>343</v>
      </c>
      <c r="C51" s="51">
        <f t="shared" si="50"/>
        <v>7.99</v>
      </c>
      <c r="D51" s="51">
        <v>10</v>
      </c>
      <c r="E51" s="51">
        <v>0</v>
      </c>
      <c r="F51" s="51">
        <v>79.900000000000006</v>
      </c>
      <c r="G51" s="51">
        <v>0</v>
      </c>
      <c r="H51" s="51">
        <f t="shared" si="51"/>
        <v>0</v>
      </c>
      <c r="I51" s="51">
        <f t="shared" si="52"/>
        <v>0.11657079362023114</v>
      </c>
      <c r="J51" s="51">
        <f t="shared" si="70"/>
        <v>9.3140064102564679</v>
      </c>
      <c r="K51" s="51">
        <f t="shared" si="54"/>
        <v>0.93140064102564679</v>
      </c>
      <c r="L51" s="51">
        <v>63</v>
      </c>
      <c r="M51" s="51">
        <f t="shared" si="55"/>
        <v>0.15873015873015872</v>
      </c>
      <c r="N51" s="51">
        <v>1</v>
      </c>
      <c r="O51" s="51">
        <f t="shared" ref="O51:P51" si="73">D51/7</f>
        <v>1.4285714285714286</v>
      </c>
      <c r="P51" s="51">
        <f t="shared" si="73"/>
        <v>0</v>
      </c>
      <c r="Q51" s="51">
        <f t="shared" si="57"/>
        <v>0</v>
      </c>
      <c r="R51" s="55">
        <f ca="1">IFERROR(__xludf.DUMMYFUNCTION("IFERROR(VLOOKUP($B$2,IMPORTRANGE(""https://docs.google.com/spreadsheets/d/1iVgg6Mw12RULLujzHmfOFIY8Q_KaAD8anoZzgtVAQ74/edit#gid=1503384807"",""Second Star - Summary!A1:AD2000""),9,FALSE),"""")"),703)</f>
        <v>703</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58"/>
        <v>0</v>
      </c>
      <c r="W51" s="55">
        <f t="shared" si="59"/>
        <v>0</v>
      </c>
      <c r="X51" s="55">
        <v>0</v>
      </c>
      <c r="Y51" s="55" t="s">
        <v>35</v>
      </c>
      <c r="Z51" s="56">
        <f t="shared" si="65"/>
        <v>-2.4</v>
      </c>
      <c r="AA51" s="55">
        <v>5.0962962962962967E-2</v>
      </c>
      <c r="AB51" s="55">
        <f t="shared" si="61"/>
        <v>-3.6693333333333338</v>
      </c>
      <c r="AC51" s="55">
        <v>-3.31</v>
      </c>
      <c r="AD51" s="55">
        <v>-2.1831660256410199</v>
      </c>
      <c r="AE51" s="55">
        <v>0</v>
      </c>
      <c r="AF51" s="55">
        <v>2.96969696969696</v>
      </c>
    </row>
    <row r="52" spans="1:32" s="57" customFormat="1" ht="15.75" customHeight="1">
      <c r="A52" s="2" t="s">
        <v>123</v>
      </c>
      <c r="B52" s="2" t="s">
        <v>344</v>
      </c>
      <c r="C52" s="51">
        <f t="shared" si="50"/>
        <v>7.99</v>
      </c>
      <c r="D52" s="51">
        <v>2</v>
      </c>
      <c r="E52" s="51">
        <v>0</v>
      </c>
      <c r="F52" s="51">
        <v>15.98</v>
      </c>
      <c r="G52" s="51">
        <v>-0.16</v>
      </c>
      <c r="H52" s="51">
        <f t="shared" si="51"/>
        <v>1.0012515644555695E-2</v>
      </c>
      <c r="I52" s="51">
        <f t="shared" si="52"/>
        <v>0.10655827797567544</v>
      </c>
      <c r="J52" s="51">
        <f t="shared" si="70"/>
        <v>1.7028012820512934</v>
      </c>
      <c r="K52" s="51">
        <f t="shared" si="54"/>
        <v>0.85140064102564672</v>
      </c>
      <c r="L52" s="51">
        <v>30</v>
      </c>
      <c r="M52" s="51">
        <f t="shared" si="55"/>
        <v>6.6666666666666666E-2</v>
      </c>
      <c r="N52" s="51">
        <v>76</v>
      </c>
      <c r="O52" s="51">
        <f t="shared" ref="O52:P52" si="74">D52/7</f>
        <v>0.2857142857142857</v>
      </c>
      <c r="P52" s="51">
        <f t="shared" si="74"/>
        <v>0</v>
      </c>
      <c r="Q52" s="51">
        <f t="shared" si="57"/>
        <v>266</v>
      </c>
      <c r="R52" s="55">
        <f ca="1">IFERROR(__xludf.DUMMYFUNCTION("IFERROR(VLOOKUP($B$2,IMPORTRANGE(""https://docs.google.com/spreadsheets/d/1iVgg6Mw12RULLujzHmfOFIY8Q_KaAD8anoZzgtVAQ74/edit#gid=1503384807"",""Second Star - Summary!A1:AD2000""),9,FALSE),"""")"),703)</f>
        <v>703</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58"/>
        <v>0</v>
      </c>
      <c r="W52" s="55">
        <f t="shared" si="59"/>
        <v>0</v>
      </c>
      <c r="X52" s="55">
        <v>0</v>
      </c>
      <c r="Y52" s="55" t="s">
        <v>35</v>
      </c>
      <c r="Z52" s="56">
        <f t="shared" si="65"/>
        <v>-2.4</v>
      </c>
      <c r="AA52" s="55">
        <v>5.0962962962962967E-2</v>
      </c>
      <c r="AB52" s="55">
        <f t="shared" si="61"/>
        <v>-0.73386666666666667</v>
      </c>
      <c r="AC52" s="55">
        <v>-3.31</v>
      </c>
      <c r="AD52" s="55">
        <v>-2.1831660256410199</v>
      </c>
      <c r="AE52" s="55">
        <v>0</v>
      </c>
      <c r="AF52" s="55">
        <v>1.8613861386138599</v>
      </c>
    </row>
    <row r="53" spans="1:32" s="57" customFormat="1">
      <c r="A53" s="2" t="s">
        <v>38</v>
      </c>
      <c r="B53" s="2" t="s">
        <v>345</v>
      </c>
      <c r="C53" s="51">
        <f t="shared" si="50"/>
        <v>7.9900000000000011</v>
      </c>
      <c r="D53" s="51">
        <v>6</v>
      </c>
      <c r="E53" s="51">
        <v>0</v>
      </c>
      <c r="F53" s="51">
        <v>47.940000000000005</v>
      </c>
      <c r="G53" s="51">
        <v>-0.12</v>
      </c>
      <c r="H53" s="51">
        <f t="shared" si="51"/>
        <v>2.5031289111389233E-3</v>
      </c>
      <c r="I53" s="51">
        <f t="shared" si="52"/>
        <v>0.11406766470909231</v>
      </c>
      <c r="J53" s="51">
        <f t="shared" si="70"/>
        <v>5.468403846153886</v>
      </c>
      <c r="K53" s="51">
        <f t="shared" si="54"/>
        <v>0.91140064102564766</v>
      </c>
      <c r="L53" s="51">
        <v>51</v>
      </c>
      <c r="M53" s="51">
        <f t="shared" si="55"/>
        <v>0.11764705882352941</v>
      </c>
      <c r="N53" s="51">
        <v>66</v>
      </c>
      <c r="O53" s="51">
        <f t="shared" ref="O53:P53" si="75">D53/7</f>
        <v>0.8571428571428571</v>
      </c>
      <c r="P53" s="51">
        <f t="shared" si="75"/>
        <v>0</v>
      </c>
      <c r="Q53" s="51">
        <f t="shared" si="57"/>
        <v>77</v>
      </c>
      <c r="R53" s="55">
        <f ca="1">IFERROR(__xludf.DUMMYFUNCTION("IFERROR(VLOOKUP($B$2,IMPORTRANGE(""https://docs.google.com/spreadsheets/d/1iVgg6Mw12RULLujzHmfOFIY8Q_KaAD8anoZzgtVAQ74/edit#gid=1503384807"",""Second Star - Summary!A1:AD2000""),9,FALSE),"""")"),703)</f>
        <v>703</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58"/>
        <v>0</v>
      </c>
      <c r="W53" s="55">
        <f t="shared" si="59"/>
        <v>0</v>
      </c>
      <c r="X53" s="55">
        <v>0</v>
      </c>
      <c r="Y53" s="55" t="s">
        <v>35</v>
      </c>
      <c r="Z53" s="56">
        <f t="shared" si="65"/>
        <v>-2.4</v>
      </c>
      <c r="AA53" s="55">
        <v>5.0962962962962967E-2</v>
      </c>
      <c r="AB53" s="55">
        <f t="shared" si="61"/>
        <v>-2.2016</v>
      </c>
      <c r="AC53" s="55">
        <v>-3.31</v>
      </c>
      <c r="AD53" s="55">
        <v>-2.1831660256410199</v>
      </c>
      <c r="AE53" s="55">
        <v>0</v>
      </c>
      <c r="AF53" s="55">
        <v>2.2489270386265998</v>
      </c>
    </row>
    <row r="54" spans="1:32" s="57" customFormat="1">
      <c r="A54" s="2" t="s">
        <v>40</v>
      </c>
      <c r="B54" s="2" t="s">
        <v>346</v>
      </c>
      <c r="C54" s="51">
        <f t="shared" si="50"/>
        <v>7.9900000000000011</v>
      </c>
      <c r="D54" s="51">
        <v>6</v>
      </c>
      <c r="E54" s="51">
        <v>0</v>
      </c>
      <c r="F54" s="51">
        <v>47.940000000000005</v>
      </c>
      <c r="G54" s="51">
        <v>0</v>
      </c>
      <c r="H54" s="51">
        <f t="shared" si="51"/>
        <v>0</v>
      </c>
      <c r="I54" s="51">
        <f t="shared" si="52"/>
        <v>5.3992570841758097E-2</v>
      </c>
      <c r="J54" s="51">
        <f t="shared" si="70"/>
        <v>2.5884038461538834</v>
      </c>
      <c r="K54" s="51">
        <f t="shared" si="54"/>
        <v>0.43140064102564724</v>
      </c>
      <c r="L54" s="51">
        <v>56</v>
      </c>
      <c r="M54" s="51">
        <f t="shared" si="55"/>
        <v>0.10714285714285714</v>
      </c>
      <c r="N54" s="51">
        <v>55</v>
      </c>
      <c r="O54" s="51">
        <f t="shared" ref="O54:P54" si="76">D54/7</f>
        <v>0.8571428571428571</v>
      </c>
      <c r="P54" s="51">
        <f t="shared" si="76"/>
        <v>0</v>
      </c>
      <c r="Q54" s="51">
        <f t="shared" si="57"/>
        <v>64</v>
      </c>
      <c r="R54" s="55">
        <f ca="1">IFERROR(__xludf.DUMMYFUNCTION("IFERROR(VLOOKUP($B$2,IMPORTRANGE(""https://docs.google.com/spreadsheets/d/1iVgg6Mw12RULLujzHmfOFIY8Q_KaAD8anoZzgtVAQ74/edit#gid=1503384807"",""Second Star - Summary!A1:AD2000""),9,FALSE),"""")"),703)</f>
        <v>703</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58"/>
        <v>0</v>
      </c>
      <c r="W54" s="55">
        <f t="shared" si="59"/>
        <v>0</v>
      </c>
      <c r="X54" s="55">
        <v>0</v>
      </c>
      <c r="Y54" s="55" t="s">
        <v>35</v>
      </c>
      <c r="Z54" s="56">
        <f t="shared" si="65"/>
        <v>-2.4</v>
      </c>
      <c r="AA54" s="55">
        <v>5.0962962962962967E-2</v>
      </c>
      <c r="AB54" s="55">
        <f t="shared" si="61"/>
        <v>-2.2016</v>
      </c>
      <c r="AC54" s="55">
        <v>-3.31</v>
      </c>
      <c r="AD54" s="55">
        <v>-2.1831660256410199</v>
      </c>
      <c r="AE54" s="55">
        <v>-3</v>
      </c>
      <c r="AF54" s="55">
        <v>2.9257142857142799</v>
      </c>
    </row>
    <row r="55" spans="1:32" s="57" customFormat="1" ht="15.75" customHeight="1">
      <c r="A55" s="2" t="s">
        <v>32</v>
      </c>
      <c r="B55" s="2" t="s">
        <v>347</v>
      </c>
      <c r="C55" s="51">
        <f t="shared" si="50"/>
        <v>7.99</v>
      </c>
      <c r="D55" s="51">
        <v>25</v>
      </c>
      <c r="E55" s="51">
        <v>0</v>
      </c>
      <c r="F55" s="51">
        <v>199.75</v>
      </c>
      <c r="G55" s="51">
        <v>0</v>
      </c>
      <c r="H55" s="51">
        <f t="shared" si="51"/>
        <v>0</v>
      </c>
      <c r="I55" s="51">
        <f t="shared" si="52"/>
        <v>0.10655827797567537</v>
      </c>
      <c r="J55" s="51">
        <f t="shared" si="70"/>
        <v>21.285016025641156</v>
      </c>
      <c r="K55" s="51">
        <f t="shared" si="54"/>
        <v>0.85140064102564628</v>
      </c>
      <c r="L55" s="51">
        <v>64</v>
      </c>
      <c r="M55" s="51">
        <f t="shared" si="55"/>
        <v>0.390625</v>
      </c>
      <c r="N55" s="51">
        <v>36</v>
      </c>
      <c r="O55" s="51">
        <f t="shared" ref="O55:P55" si="77">D55/7</f>
        <v>3.5714285714285716</v>
      </c>
      <c r="P55" s="51">
        <f t="shared" si="77"/>
        <v>0</v>
      </c>
      <c r="Q55" s="51">
        <f t="shared" si="57"/>
        <v>10</v>
      </c>
      <c r="R55" s="55">
        <v>66</v>
      </c>
      <c r="S55" s="53">
        <v>66</v>
      </c>
      <c r="T55" s="54">
        <v>44211</v>
      </c>
      <c r="U55" s="55">
        <v>0</v>
      </c>
      <c r="V55" s="55">
        <f t="shared" si="58"/>
        <v>0</v>
      </c>
      <c r="W55" s="55">
        <f t="shared" si="59"/>
        <v>0</v>
      </c>
      <c r="X55" s="55">
        <v>0</v>
      </c>
      <c r="Y55" s="55" t="s">
        <v>35</v>
      </c>
      <c r="Z55" s="56">
        <f t="shared" si="65"/>
        <v>-2.4</v>
      </c>
      <c r="AA55" s="55">
        <v>5.0962962962962967E-2</v>
      </c>
      <c r="AB55" s="55">
        <f t="shared" si="61"/>
        <v>-9.1733333333333338</v>
      </c>
      <c r="AC55" s="55">
        <v>-3.31</v>
      </c>
      <c r="AD55" s="55">
        <v>-2.1831660256410199</v>
      </c>
      <c r="AE55" s="55">
        <v>-2</v>
      </c>
      <c r="AF55" s="55">
        <v>2.1969696969696901</v>
      </c>
    </row>
    <row r="56" spans="1:32" s="57" customFormat="1" ht="15.75" customHeight="1">
      <c r="A56" s="2" t="s">
        <v>36</v>
      </c>
      <c r="B56" s="2"/>
      <c r="C56" s="51">
        <f t="shared" si="50"/>
        <v>8.3233333333333324</v>
      </c>
      <c r="D56" s="51">
        <v>3</v>
      </c>
      <c r="E56" s="51">
        <v>0</v>
      </c>
      <c r="F56" s="51">
        <v>24.97</v>
      </c>
      <c r="G56" s="51">
        <v>0</v>
      </c>
      <c r="H56" s="51">
        <f t="shared" si="51"/>
        <v>0</v>
      </c>
      <c r="I56" s="51">
        <f t="shared" si="52"/>
        <v>0.14594320877360592</v>
      </c>
      <c r="J56" s="51">
        <f t="shared" si="70"/>
        <v>3.6442019230769396</v>
      </c>
      <c r="K56" s="51">
        <f t="shared" si="54"/>
        <v>1.2147339743589798</v>
      </c>
      <c r="L56" s="51">
        <v>64</v>
      </c>
      <c r="M56" s="51">
        <f t="shared" si="55"/>
        <v>4.6875E-2</v>
      </c>
      <c r="N56" s="51">
        <v>124</v>
      </c>
      <c r="O56" s="51">
        <f t="shared" ref="O56:P56" si="78">D56/7</f>
        <v>0.42857142857142855</v>
      </c>
      <c r="P56" s="51">
        <f t="shared" si="78"/>
        <v>0</v>
      </c>
      <c r="Q56" s="51">
        <f t="shared" si="57"/>
        <v>289</v>
      </c>
      <c r="R56" s="55">
        <f ca="1">IFERROR(__xludf.DUMMYFUNCTION("IFERROR(VLOOKUP($B$2,IMPORTRANGE(""https://docs.google.com/spreadsheets/d/1iVgg6Mw12RULLujzHmfOFIY8Q_KaAD8anoZzgtVAQ74/edit#gid=1503384807"",""Second Star - Summary!A1:AD2000""),9,FALSE),"""")"),703)</f>
        <v>703</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58"/>
        <v>0</v>
      </c>
      <c r="W56" s="55">
        <f t="shared" si="59"/>
        <v>0</v>
      </c>
      <c r="X56" s="55">
        <v>0</v>
      </c>
      <c r="Y56" s="55" t="s">
        <v>35</v>
      </c>
      <c r="Z56" s="56">
        <f t="shared" si="65"/>
        <v>-2.4</v>
      </c>
      <c r="AA56" s="55">
        <v>5.0962962962962967E-2</v>
      </c>
      <c r="AB56" s="55">
        <f t="shared" si="61"/>
        <v>-1.1008</v>
      </c>
      <c r="AC56" s="55">
        <v>-3.31</v>
      </c>
      <c r="AD56" s="55">
        <v>-2.1831660256410199</v>
      </c>
      <c r="AE56" s="55">
        <v>0</v>
      </c>
      <c r="AF56" s="55">
        <v>1.7891373801916901</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E183" s="2"/>
      <c r="P183" s="2"/>
      <c r="AF183" s="23"/>
    </row>
    <row r="184" spans="1:32" ht="15.75" customHeight="1">
      <c r="E184" s="2"/>
      <c r="P184" s="2"/>
      <c r="AF184" s="23"/>
    </row>
    <row r="185" spans="1:32" ht="15.75" customHeight="1">
      <c r="E185" s="2"/>
      <c r="P185" s="2"/>
      <c r="AF185" s="23"/>
    </row>
    <row r="186" spans="1:32" ht="15.75" customHeight="1">
      <c r="E186" s="2"/>
      <c r="P186" s="2"/>
      <c r="AF186" s="23"/>
    </row>
    <row r="187" spans="1:32" ht="15.75" customHeight="1">
      <c r="E187" s="2"/>
      <c r="P187" s="2"/>
      <c r="AF187" s="23"/>
    </row>
    <row r="188" spans="1:32" ht="15.75" customHeight="1">
      <c r="E188" s="2"/>
      <c r="P188" s="2"/>
      <c r="AF188" s="23"/>
    </row>
    <row r="189" spans="1:32" ht="15.75" customHeight="1">
      <c r="E189" s="2"/>
      <c r="P189" s="2"/>
      <c r="AF189" s="23"/>
    </row>
    <row r="190" spans="1:32" ht="15.75" customHeight="1">
      <c r="E190" s="2"/>
      <c r="P190" s="2"/>
      <c r="AF190" s="23"/>
    </row>
    <row r="191" spans="1:32" ht="15.75" customHeight="1">
      <c r="E191" s="2"/>
      <c r="P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471" priority="1" operator="lessThan">
      <formula>100</formula>
    </cfRule>
  </conditionalFormatting>
  <conditionalFormatting sqref="Q1:Q3 Q57:Q1000">
    <cfRule type="cellIs" dxfId="470" priority="2" operator="lessThan">
      <formula>100</formula>
    </cfRule>
  </conditionalFormatting>
  <conditionalFormatting sqref="I1:I3 I57:I1000">
    <cfRule type="cellIs" dxfId="469" priority="3" operator="lessThan">
      <formula>0.05</formula>
    </cfRule>
  </conditionalFormatting>
  <conditionalFormatting sqref="I4:I17">
    <cfRule type="cellIs" dxfId="468" priority="4" operator="lessThan">
      <formula>0.05</formula>
    </cfRule>
  </conditionalFormatting>
  <conditionalFormatting sqref="I18:I56">
    <cfRule type="cellIs" dxfId="467" priority="5" operator="lessThan">
      <formula>0.05</formula>
    </cfRule>
  </conditionalFormatting>
  <conditionalFormatting sqref="Q4:Q56">
    <cfRule type="cellIs" dxfId="466" priority="6" operator="lessThan">
      <formula>100</formula>
    </cfRule>
  </conditionalFormatting>
  <conditionalFormatting sqref="Q4:Q56">
    <cfRule type="cellIs" dxfId="465" priority="7" operator="lessThan">
      <formula>100</formula>
    </cfRule>
  </conditionalFormatting>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27"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11" customWidth="1"/>
  </cols>
  <sheetData>
    <row r="1" spans="1:32" ht="18.75" customHeight="1">
      <c r="A1" s="1" t="str">
        <f ca="1">IFERROR(__xludf.DUMMYFUNCTION("IFERROR(VLOOKUP(B2,IMPORTRANGE(""https://docs.google.com/spreadsheets/d/1x0DhHglkXKoEBOD2MBsuK_EyIr1ouxD2ftIpqOYFa-k/edit?usp=sharing"",""SecondStar-SKU-Specific Info!B1:BJ5000""),4,FALSE),"""")"),"Waterproof Mattress Sheet Protector 3 Pack - Super Absorbent Bed Underpads 24x36 inches")</f>
        <v>Waterproof Mattress Sheet Protector 3 Pack - Super Absorbent Bed Underpads 24x36 inches</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Info!B1:BJ5000""),3,FALSE),"""")"),"B07N1WGLKP")</f>
        <v>B07N1WGLKP</v>
      </c>
      <c r="B2" s="4" t="s">
        <v>348</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39.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17.720833081950708</v>
      </c>
      <c r="D3" s="8">
        <f>SUM(D4:D99819)</f>
        <v>2108</v>
      </c>
      <c r="E3" s="8"/>
      <c r="F3" s="9">
        <f t="shared" ref="F3:G3" si="0">SUM(F4:F99819)</f>
        <v>53436.000000000007</v>
      </c>
      <c r="G3" s="9">
        <f t="shared" si="0"/>
        <v>-2090.8100000000009</v>
      </c>
      <c r="H3" s="10">
        <f t="shared" ref="H3:H39" si="1">G3/F3*-1</f>
        <v>3.9127367317913025E-2</v>
      </c>
      <c r="I3" s="11">
        <f t="shared" ref="I3:I39" si="2">J3/F3</f>
        <v>0.16489782478124665</v>
      </c>
      <c r="J3" s="9">
        <f>SUM(J4:J99819)</f>
        <v>8811.4801650106965</v>
      </c>
      <c r="K3" s="9">
        <f t="shared" ref="K3:K39" si="3">J3/D3</f>
        <v>4.1800190536103869</v>
      </c>
      <c r="L3" s="8"/>
      <c r="M3" s="12"/>
      <c r="N3" s="13"/>
      <c r="O3" s="8" t="str">
        <f ca="1">IFERROR(__xludf.DUMMYFUNCTION("IFERROR(VLOOKUP(B2,IMPORTRANGE(""https://docs.google.com/spreadsheets/d/1owCo6kL_VFQ5nPTdNogErmCBLjNiktT1m3SzTrxu3R0/edit#gid=2146806407"",""Second Star - Compiled!b1:g5000""),2,FALSE),"""")"),"10 - March
10 - April
10 - May
10 - Jun
10 - Jul
10 - Aug
10 - Sept
10 - Oct
10 - Nov
10 - Dec
10 - Jan
10 - Feb")</f>
        <v>10 - March
10 - April
10 - May
10 - Jun
10 - Jul
10 - Aug
10 - Sept
10 - Oct
10 - Nov
10 - Dec
10 - Jan
10 - Feb</v>
      </c>
      <c r="P3" s="8"/>
      <c r="Q3" s="14"/>
      <c r="R3" s="13"/>
      <c r="S3" s="13"/>
      <c r="T3" s="13"/>
      <c r="U3" s="8">
        <f>SUM(U4:U99819)</f>
        <v>244</v>
      </c>
      <c r="V3" s="10">
        <f>AVERAGE(V4:V99819)</f>
        <v>0.10551656353666973</v>
      </c>
      <c r="W3" s="9">
        <f>ROUND(AVERAGE(W4:W99819),2)</f>
        <v>3.91</v>
      </c>
      <c r="X3" s="8"/>
      <c r="Y3" s="8"/>
      <c r="Z3" s="8"/>
      <c r="AA3" s="8"/>
      <c r="AB3" s="8"/>
      <c r="AC3" s="15"/>
      <c r="AD3" s="9"/>
      <c r="AE3" s="9">
        <f>SUM(AE4:AE99819)</f>
        <v>-10.64</v>
      </c>
      <c r="AF3" s="16"/>
    </row>
    <row r="4" spans="1:32" s="57" customFormat="1">
      <c r="A4" s="17" t="s">
        <v>48</v>
      </c>
      <c r="B4" s="17"/>
      <c r="C4" s="50">
        <v>27.95</v>
      </c>
      <c r="D4" s="51">
        <v>34</v>
      </c>
      <c r="E4" s="51">
        <v>0</v>
      </c>
      <c r="F4" s="51">
        <v>950.30000000000041</v>
      </c>
      <c r="G4" s="51">
        <v>-1.05</v>
      </c>
      <c r="H4" s="51">
        <f t="shared" si="1"/>
        <v>1.1049142376091756E-3</v>
      </c>
      <c r="I4" s="51">
        <f t="shared" si="2"/>
        <v>0.27176200824121249</v>
      </c>
      <c r="J4" s="51">
        <f t="shared" ref="J4:J38" si="4">F4*0.85+G4+AD4*D4+D4*AC4+AE4+AB4</f>
        <v>258.25543643162433</v>
      </c>
      <c r="K4" s="51">
        <f t="shared" si="3"/>
        <v>7.5957481303418923</v>
      </c>
      <c r="L4" s="51">
        <v>131</v>
      </c>
      <c r="M4" s="51">
        <f t="shared" ref="M4:M39" si="5">IFERROR(D4/L4,"-")</f>
        <v>0.25954198473282442</v>
      </c>
      <c r="N4" s="51">
        <v>205</v>
      </c>
      <c r="O4" s="51">
        <f t="shared" ref="O4:P4" si="6">D4/7</f>
        <v>4.8571428571428568</v>
      </c>
      <c r="P4" s="51">
        <f t="shared" si="6"/>
        <v>0</v>
      </c>
      <c r="Q4" s="51">
        <f t="shared" ref="Q4:Q39" si="7">ROUNDDOWN(N4/(O4+P4),0)</f>
        <v>42</v>
      </c>
      <c r="R4" s="52">
        <v>84</v>
      </c>
      <c r="S4" s="53" t="s">
        <v>34</v>
      </c>
      <c r="T4" s="54" t="s">
        <v>34</v>
      </c>
      <c r="U4" s="52">
        <v>0</v>
      </c>
      <c r="V4" s="55">
        <f t="shared" ref="V4:V39" si="8">IFERROR(U4/D4,0)</f>
        <v>0</v>
      </c>
      <c r="W4" s="55">
        <f t="shared" ref="W4:W39" si="9">IFERROR(G4/(U4+X4)*-1,0)</f>
        <v>0</v>
      </c>
      <c r="X4" s="52">
        <v>0</v>
      </c>
      <c r="Y4" s="56" t="s">
        <v>35</v>
      </c>
      <c r="Z4" s="56">
        <f t="shared" ref="Z4:Z10" si="10">IF(OR(Y4="UsLargeStandardSize",Y4="UsSmallStandardSize"),-0.69,-0.48)</f>
        <v>-0.69</v>
      </c>
      <c r="AA4" s="55">
        <v>0.15500000000000003</v>
      </c>
      <c r="AB4" s="55">
        <f t="shared" ref="AB4:AB17" si="11">IFERROR((Z4*AA4*N4)/4,0)</f>
        <v>-5.4811874999999999</v>
      </c>
      <c r="AC4" s="55">
        <v>-5.26</v>
      </c>
      <c r="AD4" s="55">
        <v>-10.709658119658119</v>
      </c>
      <c r="AE4" s="55">
        <v>0</v>
      </c>
      <c r="AF4" s="55"/>
    </row>
    <row r="5" spans="1:32" s="57" customFormat="1" ht="15.75" customHeight="1">
      <c r="A5" s="2" t="s">
        <v>49</v>
      </c>
      <c r="B5" s="2" t="s">
        <v>349</v>
      </c>
      <c r="C5" s="51">
        <v>27.95</v>
      </c>
      <c r="D5" s="51">
        <v>40</v>
      </c>
      <c r="E5" s="51">
        <v>0</v>
      </c>
      <c r="F5" s="51">
        <v>1118.0000000000007</v>
      </c>
      <c r="G5" s="51">
        <v>-1.77</v>
      </c>
      <c r="H5" s="51">
        <f t="shared" si="1"/>
        <v>1.5831842576028612E-3</v>
      </c>
      <c r="I5" s="51">
        <f t="shared" si="2"/>
        <v>0.27269897156858286</v>
      </c>
      <c r="J5" s="51">
        <f t="shared" si="4"/>
        <v>304.87745021367584</v>
      </c>
      <c r="K5" s="51">
        <f t="shared" si="3"/>
        <v>7.6219362553418959</v>
      </c>
      <c r="L5" s="51">
        <v>184</v>
      </c>
      <c r="M5" s="51">
        <f t="shared" si="5"/>
        <v>0.21739130434782608</v>
      </c>
      <c r="N5" s="51">
        <v>182</v>
      </c>
      <c r="O5" s="51">
        <f t="shared" ref="O5:P5" si="12">D5/7</f>
        <v>5.7142857142857144</v>
      </c>
      <c r="P5" s="51">
        <f t="shared" si="12"/>
        <v>0</v>
      </c>
      <c r="Q5" s="51">
        <f t="shared" si="7"/>
        <v>31</v>
      </c>
      <c r="R5" s="55">
        <v>84</v>
      </c>
      <c r="S5" s="53" t="s">
        <v>34</v>
      </c>
      <c r="T5" s="54" t="s">
        <v>34</v>
      </c>
      <c r="U5" s="55">
        <v>1</v>
      </c>
      <c r="V5" s="55">
        <f t="shared" si="8"/>
        <v>2.5000000000000001E-2</v>
      </c>
      <c r="W5" s="55">
        <f t="shared" si="9"/>
        <v>1.77</v>
      </c>
      <c r="X5" s="55">
        <v>0</v>
      </c>
      <c r="Y5" s="55" t="s">
        <v>35</v>
      </c>
      <c r="Z5" s="56">
        <f t="shared" si="10"/>
        <v>-0.69</v>
      </c>
      <c r="AA5" s="55">
        <v>0.15500000000000003</v>
      </c>
      <c r="AB5" s="55">
        <f t="shared" si="11"/>
        <v>-4.866225</v>
      </c>
      <c r="AC5" s="55">
        <v>-5.26</v>
      </c>
      <c r="AD5" s="55">
        <v>-10.709658119658119</v>
      </c>
      <c r="AE5" s="55">
        <v>0</v>
      </c>
      <c r="AF5" s="55"/>
    </row>
    <row r="6" spans="1:32" s="57" customFormat="1" ht="15.75" customHeight="1">
      <c r="A6" s="2" t="s">
        <v>51</v>
      </c>
      <c r="B6" s="2" t="s">
        <v>350</v>
      </c>
      <c r="C6" s="51">
        <v>27.99</v>
      </c>
      <c r="D6" s="51">
        <v>31</v>
      </c>
      <c r="E6" s="51">
        <v>0</v>
      </c>
      <c r="F6" s="51">
        <v>870.85000000000059</v>
      </c>
      <c r="G6" s="51">
        <v>-1.9000000000000004</v>
      </c>
      <c r="H6" s="51">
        <f t="shared" si="1"/>
        <v>2.1817764253315715E-3</v>
      </c>
      <c r="I6" s="51">
        <f t="shared" si="2"/>
        <v>0.27501074902750033</v>
      </c>
      <c r="J6" s="51">
        <f t="shared" si="4"/>
        <v>239.49311079059885</v>
      </c>
      <c r="K6" s="51">
        <f t="shared" si="3"/>
        <v>7.7255842190515756</v>
      </c>
      <c r="L6" s="51">
        <v>185</v>
      </c>
      <c r="M6" s="51">
        <f t="shared" si="5"/>
        <v>0.16756756756756758</v>
      </c>
      <c r="N6" s="51">
        <v>141</v>
      </c>
      <c r="O6" s="51">
        <f t="shared" ref="O6:P6" si="13">D6/7</f>
        <v>4.4285714285714288</v>
      </c>
      <c r="P6" s="51">
        <f t="shared" si="13"/>
        <v>0</v>
      </c>
      <c r="Q6" s="51">
        <f t="shared" si="7"/>
        <v>31</v>
      </c>
      <c r="R6" s="55">
        <v>228</v>
      </c>
      <c r="S6" s="53" t="s">
        <v>34</v>
      </c>
      <c r="T6" s="54" t="s">
        <v>34</v>
      </c>
      <c r="U6" s="55">
        <v>1</v>
      </c>
      <c r="V6" s="55">
        <f t="shared" si="8"/>
        <v>3.2258064516129031E-2</v>
      </c>
      <c r="W6" s="55">
        <f t="shared" si="9"/>
        <v>1.9000000000000004</v>
      </c>
      <c r="X6" s="55">
        <v>0</v>
      </c>
      <c r="Y6" s="55" t="s">
        <v>35</v>
      </c>
      <c r="Z6" s="56">
        <f t="shared" si="10"/>
        <v>-0.69</v>
      </c>
      <c r="AA6" s="55">
        <v>0.15500000000000003</v>
      </c>
      <c r="AB6" s="55">
        <f t="shared" si="11"/>
        <v>-3.7699875</v>
      </c>
      <c r="AC6" s="55">
        <v>-5.26</v>
      </c>
      <c r="AD6" s="55">
        <v>-10.709658119658119</v>
      </c>
      <c r="AE6" s="55">
        <v>0</v>
      </c>
      <c r="AF6" s="55"/>
    </row>
    <row r="7" spans="1:32" s="57" customFormat="1" ht="15.75" customHeight="1">
      <c r="A7" s="2" t="s">
        <v>53</v>
      </c>
      <c r="B7" s="2"/>
      <c r="C7" s="51">
        <v>26.99</v>
      </c>
      <c r="D7" s="51">
        <v>24</v>
      </c>
      <c r="E7" s="51">
        <v>0</v>
      </c>
      <c r="F7" s="51">
        <v>670.7600000000001</v>
      </c>
      <c r="G7" s="51">
        <v>-2.02</v>
      </c>
      <c r="H7" s="51">
        <f t="shared" si="1"/>
        <v>3.0115093326972386E-3</v>
      </c>
      <c r="I7" s="51">
        <f t="shared" si="2"/>
        <v>0.2706862255176295</v>
      </c>
      <c r="J7" s="51">
        <f t="shared" si="4"/>
        <v>181.56549262820519</v>
      </c>
      <c r="K7" s="51">
        <f t="shared" si="3"/>
        <v>7.56522885950855</v>
      </c>
      <c r="L7" s="51">
        <v>145</v>
      </c>
      <c r="M7" s="51">
        <f t="shared" si="5"/>
        <v>0.16551724137931034</v>
      </c>
      <c r="N7" s="51">
        <v>123</v>
      </c>
      <c r="O7" s="51">
        <f t="shared" ref="O7:P7" si="14">D7/7</f>
        <v>3.4285714285714284</v>
      </c>
      <c r="P7" s="51">
        <f t="shared" si="14"/>
        <v>0</v>
      </c>
      <c r="Q7" s="51">
        <f t="shared" si="7"/>
        <v>35</v>
      </c>
      <c r="R7" s="55">
        <v>228</v>
      </c>
      <c r="S7" s="53" t="s">
        <v>34</v>
      </c>
      <c r="T7" s="54" t="s">
        <v>34</v>
      </c>
      <c r="U7" s="55">
        <v>0</v>
      </c>
      <c r="V7" s="55">
        <f t="shared" si="8"/>
        <v>0</v>
      </c>
      <c r="W7" s="55">
        <f t="shared" si="9"/>
        <v>0</v>
      </c>
      <c r="X7" s="55">
        <v>0</v>
      </c>
      <c r="Y7" s="55" t="s">
        <v>35</v>
      </c>
      <c r="Z7" s="56">
        <f t="shared" si="10"/>
        <v>-0.69</v>
      </c>
      <c r="AA7" s="55">
        <v>0.15500000000000003</v>
      </c>
      <c r="AB7" s="55">
        <f t="shared" si="11"/>
        <v>-3.2887124999999999</v>
      </c>
      <c r="AC7" s="55">
        <v>-5.26</v>
      </c>
      <c r="AD7" s="55">
        <v>-10.709658119658119</v>
      </c>
      <c r="AE7" s="55">
        <v>0</v>
      </c>
      <c r="AF7" s="55"/>
    </row>
    <row r="8" spans="1:32" s="57" customFormat="1" ht="15.75" customHeight="1">
      <c r="A8" s="2" t="s">
        <v>54</v>
      </c>
      <c r="B8" s="2" t="s">
        <v>351</v>
      </c>
      <c r="C8" s="51">
        <v>26.99</v>
      </c>
      <c r="D8" s="51">
        <v>42</v>
      </c>
      <c r="E8" s="51">
        <v>0</v>
      </c>
      <c r="F8" s="51">
        <v>1164.5800000000002</v>
      </c>
      <c r="G8" s="51">
        <v>-57.15</v>
      </c>
      <c r="H8" s="51">
        <f t="shared" si="1"/>
        <v>4.9073485720173789E-2</v>
      </c>
      <c r="I8" s="51">
        <f t="shared" si="2"/>
        <v>0.21812399875865898</v>
      </c>
      <c r="J8" s="51">
        <f t="shared" si="4"/>
        <v>254.02284647435911</v>
      </c>
      <c r="K8" s="51">
        <f t="shared" si="3"/>
        <v>6.0481630112942648</v>
      </c>
      <c r="L8" s="51">
        <v>177</v>
      </c>
      <c r="M8" s="51">
        <f t="shared" si="5"/>
        <v>0.23728813559322035</v>
      </c>
      <c r="N8" s="51">
        <v>299</v>
      </c>
      <c r="O8" s="51">
        <f t="shared" ref="O8:P8" si="15">D8/7</f>
        <v>6</v>
      </c>
      <c r="P8" s="51">
        <f t="shared" si="15"/>
        <v>0</v>
      </c>
      <c r="Q8" s="51">
        <f t="shared" si="7"/>
        <v>49</v>
      </c>
      <c r="R8" s="55">
        <v>228</v>
      </c>
      <c r="S8" s="53">
        <v>228</v>
      </c>
      <c r="T8" s="54">
        <v>43865</v>
      </c>
      <c r="U8" s="55">
        <v>12</v>
      </c>
      <c r="V8" s="55">
        <f t="shared" si="8"/>
        <v>0.2857142857142857</v>
      </c>
      <c r="W8" s="55">
        <f t="shared" si="9"/>
        <v>3.81</v>
      </c>
      <c r="X8" s="55">
        <v>3</v>
      </c>
      <c r="Y8" s="55" t="s">
        <v>35</v>
      </c>
      <c r="Z8" s="56">
        <f t="shared" si="10"/>
        <v>-0.69</v>
      </c>
      <c r="AA8" s="55">
        <v>0.15500000000000003</v>
      </c>
      <c r="AB8" s="55">
        <f t="shared" si="11"/>
        <v>-7.9945124999999999</v>
      </c>
      <c r="AC8" s="55">
        <v>-5.26</v>
      </c>
      <c r="AD8" s="55">
        <v>-10.709658119658119</v>
      </c>
      <c r="AE8" s="55">
        <v>0</v>
      </c>
      <c r="AF8" s="55"/>
    </row>
    <row r="9" spans="1:32" s="57" customFormat="1" ht="15.75" customHeight="1">
      <c r="A9" s="2" t="s">
        <v>56</v>
      </c>
      <c r="B9" s="2" t="s">
        <v>264</v>
      </c>
      <c r="C9" s="51">
        <v>28.99</v>
      </c>
      <c r="D9" s="51">
        <v>33</v>
      </c>
      <c r="E9" s="51">
        <v>0</v>
      </c>
      <c r="F9" s="51">
        <v>915.67000000000019</v>
      </c>
      <c r="G9" s="51">
        <v>-63.190000000000012</v>
      </c>
      <c r="H9" s="51">
        <f t="shared" si="1"/>
        <v>6.9009577686284365E-2</v>
      </c>
      <c r="I9" s="51">
        <f t="shared" si="2"/>
        <v>0.19733938760828923</v>
      </c>
      <c r="J9" s="51">
        <f t="shared" si="4"/>
        <v>180.69775705128222</v>
      </c>
      <c r="K9" s="51">
        <f t="shared" si="3"/>
        <v>5.4756896076146129</v>
      </c>
      <c r="L9" s="51">
        <v>190</v>
      </c>
      <c r="M9" s="51">
        <f t="shared" si="5"/>
        <v>0.1736842105263158</v>
      </c>
      <c r="N9" s="51">
        <v>278</v>
      </c>
      <c r="O9" s="51">
        <f t="shared" ref="O9:P9" si="16">D9/7</f>
        <v>4.7142857142857144</v>
      </c>
      <c r="P9" s="51">
        <f t="shared" si="16"/>
        <v>0</v>
      </c>
      <c r="Q9" s="51">
        <f t="shared" si="7"/>
        <v>58</v>
      </c>
      <c r="R9" s="55">
        <v>300</v>
      </c>
      <c r="S9" s="53" t="s">
        <v>34</v>
      </c>
      <c r="T9" s="54" t="s">
        <v>34</v>
      </c>
      <c r="U9" s="55">
        <v>5</v>
      </c>
      <c r="V9" s="55">
        <f t="shared" si="8"/>
        <v>0.15151515151515152</v>
      </c>
      <c r="W9" s="55">
        <f t="shared" si="9"/>
        <v>5.744545454545456</v>
      </c>
      <c r="X9" s="55">
        <v>6</v>
      </c>
      <c r="Y9" s="55" t="s">
        <v>35</v>
      </c>
      <c r="Z9" s="56">
        <f t="shared" si="10"/>
        <v>-0.69</v>
      </c>
      <c r="AA9" s="55">
        <v>0.15500000000000003</v>
      </c>
      <c r="AB9" s="55">
        <f t="shared" si="11"/>
        <v>-7.4330250000000007</v>
      </c>
      <c r="AC9" s="55">
        <v>-5.26</v>
      </c>
      <c r="AD9" s="55">
        <v>-10.709658119658119</v>
      </c>
      <c r="AE9" s="55">
        <v>0</v>
      </c>
      <c r="AF9" s="55"/>
    </row>
    <row r="10" spans="1:32" s="57" customFormat="1" ht="15.75" customHeight="1">
      <c r="A10" s="2" t="s">
        <v>58</v>
      </c>
      <c r="B10" s="2" t="s">
        <v>352</v>
      </c>
      <c r="C10" s="51">
        <v>27.99</v>
      </c>
      <c r="D10" s="51">
        <v>35</v>
      </c>
      <c r="E10" s="51">
        <v>0</v>
      </c>
      <c r="F10" s="51">
        <v>955.6600000000002</v>
      </c>
      <c r="G10" s="51">
        <v>-70.78</v>
      </c>
      <c r="H10" s="51">
        <f t="shared" si="1"/>
        <v>7.4063997656070135E-2</v>
      </c>
      <c r="I10" s="51">
        <f t="shared" si="2"/>
        <v>0.1845458932172174</v>
      </c>
      <c r="J10" s="51">
        <f t="shared" si="4"/>
        <v>176.36312831196602</v>
      </c>
      <c r="K10" s="51">
        <f t="shared" si="3"/>
        <v>5.0389465231990291</v>
      </c>
      <c r="L10" s="51">
        <v>159</v>
      </c>
      <c r="M10" s="51">
        <f t="shared" si="5"/>
        <v>0.22012578616352202</v>
      </c>
      <c r="N10" s="51">
        <v>233</v>
      </c>
      <c r="O10" s="51">
        <f t="shared" ref="O10:P10" si="17">D10/7</f>
        <v>5</v>
      </c>
      <c r="P10" s="51">
        <f t="shared" si="17"/>
        <v>0</v>
      </c>
      <c r="Q10" s="51">
        <f t="shared" si="7"/>
        <v>46</v>
      </c>
      <c r="R10" s="55">
        <v>300</v>
      </c>
      <c r="S10" s="53" t="s">
        <v>34</v>
      </c>
      <c r="T10" s="54" t="s">
        <v>34</v>
      </c>
      <c r="U10" s="55">
        <v>7</v>
      </c>
      <c r="V10" s="55">
        <f t="shared" si="8"/>
        <v>0.2</v>
      </c>
      <c r="W10" s="55">
        <f t="shared" si="9"/>
        <v>5.055714285714286</v>
      </c>
      <c r="X10" s="55">
        <v>7</v>
      </c>
      <c r="Y10" s="55" t="s">
        <v>35</v>
      </c>
      <c r="Z10" s="56">
        <f t="shared" si="10"/>
        <v>-0.69</v>
      </c>
      <c r="AA10" s="55">
        <v>0.15500000000000003</v>
      </c>
      <c r="AB10" s="55">
        <f t="shared" si="11"/>
        <v>-6.2298375000000004</v>
      </c>
      <c r="AC10" s="55">
        <v>-5.26</v>
      </c>
      <c r="AD10" s="55">
        <v>-10.709658119658119</v>
      </c>
      <c r="AE10" s="55">
        <v>0</v>
      </c>
      <c r="AF10" s="55"/>
    </row>
    <row r="11" spans="1:32" s="57" customFormat="1" ht="15.75" customHeight="1">
      <c r="A11" s="2" t="s">
        <v>60</v>
      </c>
      <c r="B11" s="2" t="s">
        <v>353</v>
      </c>
      <c r="C11" s="51">
        <v>26.99</v>
      </c>
      <c r="D11" s="51">
        <v>33</v>
      </c>
      <c r="E11" s="51">
        <v>0</v>
      </c>
      <c r="F11" s="51">
        <v>896.67000000000019</v>
      </c>
      <c r="G11" s="51">
        <v>-72.970000000000013</v>
      </c>
      <c r="H11" s="51">
        <f t="shared" si="1"/>
        <v>8.1378879632417717E-2</v>
      </c>
      <c r="I11" s="51">
        <f t="shared" si="2"/>
        <v>0.16806785891273501</v>
      </c>
      <c r="J11" s="51">
        <f t="shared" si="4"/>
        <v>150.70140705128213</v>
      </c>
      <c r="K11" s="51">
        <f t="shared" si="3"/>
        <v>4.5667093045843075</v>
      </c>
      <c r="L11" s="51">
        <v>168</v>
      </c>
      <c r="M11" s="51">
        <f t="shared" si="5"/>
        <v>0.19642857142857142</v>
      </c>
      <c r="N11" s="51">
        <v>214</v>
      </c>
      <c r="O11" s="51">
        <f t="shared" ref="O11:P11" si="18">D11/7</f>
        <v>4.7142857142857144</v>
      </c>
      <c r="P11" s="51">
        <f t="shared" si="18"/>
        <v>0</v>
      </c>
      <c r="Q11" s="51">
        <f t="shared" si="7"/>
        <v>45</v>
      </c>
      <c r="R11" s="55">
        <v>528</v>
      </c>
      <c r="S11" s="53" t="s">
        <v>34</v>
      </c>
      <c r="T11" s="54" t="s">
        <v>34</v>
      </c>
      <c r="U11" s="55">
        <v>8</v>
      </c>
      <c r="V11" s="55">
        <f t="shared" si="8"/>
        <v>0.24242424242424243</v>
      </c>
      <c r="W11" s="55">
        <f t="shared" si="9"/>
        <v>6.6336363636363647</v>
      </c>
      <c r="X11" s="55">
        <v>3</v>
      </c>
      <c r="Y11" s="55" t="s">
        <v>35</v>
      </c>
      <c r="Z11" s="56">
        <f t="shared" ref="Z11:Z39" si="19">IF(OR(Y11="UsLargeStandardSize",Y11="UsSmallStandardSize"),-0.75,-0.48)</f>
        <v>-0.75</v>
      </c>
      <c r="AA11" s="55">
        <v>0.15500000000000003</v>
      </c>
      <c r="AB11" s="55">
        <f t="shared" si="11"/>
        <v>-6.2193750000000012</v>
      </c>
      <c r="AC11" s="55">
        <v>-5.42</v>
      </c>
      <c r="AD11" s="55">
        <v>-10.709658119658119</v>
      </c>
      <c r="AE11" s="55">
        <v>0</v>
      </c>
      <c r="AF11" s="55"/>
    </row>
    <row r="12" spans="1:32" s="57" customFormat="1" ht="15.75" customHeight="1">
      <c r="A12" s="2" t="s">
        <v>62</v>
      </c>
      <c r="B12" s="2" t="s">
        <v>354</v>
      </c>
      <c r="C12" s="51">
        <v>26.99</v>
      </c>
      <c r="D12" s="51">
        <v>39</v>
      </c>
      <c r="E12" s="51">
        <v>0</v>
      </c>
      <c r="F12" s="51">
        <v>1072.6100000000001</v>
      </c>
      <c r="G12" s="51">
        <v>-76.59</v>
      </c>
      <c r="H12" s="51">
        <f t="shared" si="1"/>
        <v>7.1405263795787835E-2</v>
      </c>
      <c r="I12" s="51">
        <f t="shared" si="2"/>
        <v>0.18789502552962717</v>
      </c>
      <c r="J12" s="51">
        <f t="shared" si="4"/>
        <v>201.53808333333342</v>
      </c>
      <c r="K12" s="51">
        <f t="shared" si="3"/>
        <v>5.1676431623931647</v>
      </c>
      <c r="L12" s="51">
        <v>212</v>
      </c>
      <c r="M12" s="51">
        <f t="shared" si="5"/>
        <v>0.18396226415094338</v>
      </c>
      <c r="N12" s="51">
        <v>156</v>
      </c>
      <c r="O12" s="51">
        <f t="shared" ref="O12:P12" si="20">D12/7</f>
        <v>5.5714285714285712</v>
      </c>
      <c r="P12" s="51">
        <f t="shared" si="20"/>
        <v>0</v>
      </c>
      <c r="Q12" s="51">
        <f t="shared" si="7"/>
        <v>28</v>
      </c>
      <c r="R12" s="55">
        <v>528</v>
      </c>
      <c r="S12" s="53">
        <v>300</v>
      </c>
      <c r="T12" s="54">
        <v>43896</v>
      </c>
      <c r="U12" s="55">
        <v>6</v>
      </c>
      <c r="V12" s="55">
        <f t="shared" si="8"/>
        <v>0.15384615384615385</v>
      </c>
      <c r="W12" s="55">
        <f t="shared" si="9"/>
        <v>8.51</v>
      </c>
      <c r="X12" s="55">
        <v>3</v>
      </c>
      <c r="Y12" s="55" t="s">
        <v>35</v>
      </c>
      <c r="Z12" s="56">
        <f t="shared" si="19"/>
        <v>-0.75</v>
      </c>
      <c r="AA12" s="55">
        <v>0.15500000000000003</v>
      </c>
      <c r="AB12" s="55">
        <f t="shared" si="11"/>
        <v>-4.5337500000000004</v>
      </c>
      <c r="AC12" s="55">
        <v>-5.42</v>
      </c>
      <c r="AD12" s="55">
        <v>-10.709658119658119</v>
      </c>
      <c r="AE12" s="55">
        <v>0</v>
      </c>
      <c r="AF12" s="55"/>
    </row>
    <row r="13" spans="1:32" s="57" customFormat="1" ht="15.75" customHeight="1">
      <c r="A13" s="2" t="s">
        <v>63</v>
      </c>
      <c r="B13" s="2" t="s">
        <v>355</v>
      </c>
      <c r="C13" s="51">
        <v>27.99</v>
      </c>
      <c r="D13" s="51">
        <v>45</v>
      </c>
      <c r="E13" s="51">
        <v>0</v>
      </c>
      <c r="F13" s="51">
        <v>1243.5500000000002</v>
      </c>
      <c r="G13" s="51">
        <v>-69.180000000000007</v>
      </c>
      <c r="H13" s="51">
        <f t="shared" si="1"/>
        <v>5.5631056250251297E-2</v>
      </c>
      <c r="I13" s="51">
        <f t="shared" si="2"/>
        <v>0.21816880874543415</v>
      </c>
      <c r="J13" s="51">
        <f t="shared" si="4"/>
        <v>271.30382211538466</v>
      </c>
      <c r="K13" s="51">
        <f t="shared" si="3"/>
        <v>6.028973824786326</v>
      </c>
      <c r="L13" s="51">
        <v>214</v>
      </c>
      <c r="M13" s="51">
        <f t="shared" si="5"/>
        <v>0.2102803738317757</v>
      </c>
      <c r="N13" s="51">
        <v>129</v>
      </c>
      <c r="O13" s="51">
        <f t="shared" ref="O13:P13" si="21">D13/7</f>
        <v>6.4285714285714288</v>
      </c>
      <c r="P13" s="51">
        <f t="shared" si="21"/>
        <v>0</v>
      </c>
      <c r="Q13" s="51">
        <f t="shared" si="7"/>
        <v>20</v>
      </c>
      <c r="R13" s="55">
        <v>240</v>
      </c>
      <c r="S13" s="53" t="s">
        <v>34</v>
      </c>
      <c r="T13" s="54" t="s">
        <v>34</v>
      </c>
      <c r="U13" s="55">
        <v>5</v>
      </c>
      <c r="V13" s="55">
        <f t="shared" si="8"/>
        <v>0.1111111111111111</v>
      </c>
      <c r="W13" s="55">
        <f t="shared" si="9"/>
        <v>6.28909090909091</v>
      </c>
      <c r="X13" s="55">
        <v>6</v>
      </c>
      <c r="Y13" s="55" t="s">
        <v>35</v>
      </c>
      <c r="Z13" s="56">
        <f t="shared" si="19"/>
        <v>-0.75</v>
      </c>
      <c r="AA13" s="55">
        <v>0.15500000000000003</v>
      </c>
      <c r="AB13" s="55">
        <f t="shared" si="11"/>
        <v>-3.7490625000000009</v>
      </c>
      <c r="AC13" s="55">
        <v>-5.42</v>
      </c>
      <c r="AD13" s="55">
        <v>-10.41965811965812</v>
      </c>
      <c r="AE13" s="55">
        <v>0</v>
      </c>
      <c r="AF13" s="55"/>
    </row>
    <row r="14" spans="1:32" s="57" customFormat="1" ht="15.75" customHeight="1">
      <c r="A14" s="2" t="s">
        <v>64</v>
      </c>
      <c r="B14" s="2"/>
      <c r="C14" s="51">
        <v>26.99</v>
      </c>
      <c r="D14" s="51">
        <v>46</v>
      </c>
      <c r="E14" s="51">
        <v>0</v>
      </c>
      <c r="F14" s="51">
        <v>1250.5400000000002</v>
      </c>
      <c r="G14" s="51">
        <v>-75.099999999999994</v>
      </c>
      <c r="H14" s="51">
        <f t="shared" si="1"/>
        <v>6.0054056647528255E-2</v>
      </c>
      <c r="I14" s="51">
        <f t="shared" si="2"/>
        <v>0.19886212275954906</v>
      </c>
      <c r="J14" s="51">
        <f t="shared" si="4"/>
        <v>248.68503899572653</v>
      </c>
      <c r="K14" s="51">
        <f t="shared" si="3"/>
        <v>5.4061964999070984</v>
      </c>
      <c r="L14" s="51">
        <v>252</v>
      </c>
      <c r="M14" s="51">
        <f t="shared" si="5"/>
        <v>0.18253968253968253</v>
      </c>
      <c r="N14" s="51">
        <v>363</v>
      </c>
      <c r="O14" s="51">
        <f t="shared" ref="O14:P14" si="22">D14/7</f>
        <v>6.5714285714285712</v>
      </c>
      <c r="P14" s="51">
        <f t="shared" si="22"/>
        <v>0</v>
      </c>
      <c r="Q14" s="51">
        <f t="shared" si="7"/>
        <v>55</v>
      </c>
      <c r="R14" s="55">
        <v>240</v>
      </c>
      <c r="S14" s="53" t="s">
        <v>34</v>
      </c>
      <c r="T14" s="54" t="s">
        <v>34</v>
      </c>
      <c r="U14" s="55">
        <v>11</v>
      </c>
      <c r="V14" s="55">
        <f t="shared" si="8"/>
        <v>0.2391304347826087</v>
      </c>
      <c r="W14" s="55">
        <f t="shared" si="9"/>
        <v>4.4176470588235288</v>
      </c>
      <c r="X14" s="55">
        <v>6</v>
      </c>
      <c r="Y14" s="55" t="s">
        <v>35</v>
      </c>
      <c r="Z14" s="56">
        <f t="shared" si="19"/>
        <v>-0.75</v>
      </c>
      <c r="AA14" s="55">
        <v>0.15500000000000003</v>
      </c>
      <c r="AB14" s="55">
        <f t="shared" si="11"/>
        <v>-10.549687500000001</v>
      </c>
      <c r="AC14" s="55">
        <v>-5.42</v>
      </c>
      <c r="AD14" s="55">
        <v>-10.41965811965812</v>
      </c>
      <c r="AE14" s="55">
        <v>0</v>
      </c>
      <c r="AF14" s="55"/>
    </row>
    <row r="15" spans="1:32" s="57" customFormat="1" ht="15.75" customHeight="1">
      <c r="A15" s="2" t="s">
        <v>65</v>
      </c>
      <c r="B15" s="2" t="s">
        <v>356</v>
      </c>
      <c r="C15" s="51">
        <v>24.99</v>
      </c>
      <c r="D15" s="51">
        <v>39</v>
      </c>
      <c r="E15" s="51">
        <v>0</v>
      </c>
      <c r="F15" s="51">
        <v>1023.6100000000002</v>
      </c>
      <c r="G15" s="51">
        <v>-83</v>
      </c>
      <c r="H15" s="51">
        <f t="shared" si="1"/>
        <v>8.1085569699397217E-2</v>
      </c>
      <c r="I15" s="51">
        <f t="shared" si="2"/>
        <v>0.1554223125343964</v>
      </c>
      <c r="J15" s="51">
        <f t="shared" si="4"/>
        <v>159.09183333333354</v>
      </c>
      <c r="K15" s="51">
        <f t="shared" si="3"/>
        <v>4.0792777777777829</v>
      </c>
      <c r="L15" s="51">
        <v>178</v>
      </c>
      <c r="M15" s="51">
        <f t="shared" si="5"/>
        <v>0.21910112359550563</v>
      </c>
      <c r="N15" s="51">
        <v>352</v>
      </c>
      <c r="O15" s="51">
        <f t="shared" ref="O15:P15" si="23">D15/7</f>
        <v>5.5714285714285712</v>
      </c>
      <c r="P15" s="51">
        <f t="shared" si="23"/>
        <v>0</v>
      </c>
      <c r="Q15" s="51">
        <f t="shared" si="7"/>
        <v>63</v>
      </c>
      <c r="R15" s="55">
        <v>24</v>
      </c>
      <c r="S15" s="53">
        <v>12</v>
      </c>
      <c r="T15" s="54">
        <v>43920</v>
      </c>
      <c r="U15" s="55">
        <v>13</v>
      </c>
      <c r="V15" s="55">
        <f t="shared" si="8"/>
        <v>0.33333333333333331</v>
      </c>
      <c r="W15" s="55">
        <f t="shared" si="9"/>
        <v>4.6111111111111107</v>
      </c>
      <c r="X15" s="55">
        <v>5</v>
      </c>
      <c r="Y15" s="55" t="s">
        <v>35</v>
      </c>
      <c r="Z15" s="56">
        <f t="shared" si="19"/>
        <v>-0.75</v>
      </c>
      <c r="AA15" s="55">
        <v>0.15500000000000003</v>
      </c>
      <c r="AB15" s="55">
        <f t="shared" si="11"/>
        <v>-10.230000000000002</v>
      </c>
      <c r="AC15" s="55">
        <v>-5.42</v>
      </c>
      <c r="AD15" s="55">
        <v>-10.41965811965812</v>
      </c>
      <c r="AE15" s="55">
        <v>0</v>
      </c>
      <c r="AF15" s="55"/>
    </row>
    <row r="16" spans="1:32" s="57" customFormat="1" ht="15.75" customHeight="1">
      <c r="A16" s="2" t="s">
        <v>66</v>
      </c>
      <c r="B16" s="2" t="s">
        <v>357</v>
      </c>
      <c r="C16" s="51">
        <v>24.99</v>
      </c>
      <c r="D16" s="51">
        <v>26</v>
      </c>
      <c r="E16" s="51">
        <v>0</v>
      </c>
      <c r="F16" s="51">
        <v>691.74000000000012</v>
      </c>
      <c r="G16" s="51">
        <v>-54.879999999999995</v>
      </c>
      <c r="H16" s="51">
        <f t="shared" si="1"/>
        <v>7.9336166767860733E-2</v>
      </c>
      <c r="I16" s="51">
        <f t="shared" si="2"/>
        <v>0.16232627343928202</v>
      </c>
      <c r="J16" s="51">
        <f t="shared" si="4"/>
        <v>112.28757638888897</v>
      </c>
      <c r="K16" s="51">
        <f t="shared" si="3"/>
        <v>4.3187529380341907</v>
      </c>
      <c r="L16" s="51">
        <v>148</v>
      </c>
      <c r="M16" s="51">
        <f t="shared" si="5"/>
        <v>0.17567567567567569</v>
      </c>
      <c r="N16" s="51">
        <v>309</v>
      </c>
      <c r="O16" s="51">
        <f t="shared" ref="O16:P16" si="24">D16/7</f>
        <v>3.7142857142857144</v>
      </c>
      <c r="P16" s="51">
        <f t="shared" si="24"/>
        <v>0</v>
      </c>
      <c r="Q16" s="51">
        <f t="shared" si="7"/>
        <v>83</v>
      </c>
      <c r="R16" s="55">
        <v>24</v>
      </c>
      <c r="S16" s="53">
        <v>12</v>
      </c>
      <c r="T16" s="54">
        <v>43920</v>
      </c>
      <c r="U16" s="55">
        <v>7</v>
      </c>
      <c r="V16" s="55">
        <f t="shared" si="8"/>
        <v>0.26923076923076922</v>
      </c>
      <c r="W16" s="55">
        <f t="shared" si="9"/>
        <v>6.8599999999999994</v>
      </c>
      <c r="X16" s="55">
        <v>1</v>
      </c>
      <c r="Y16" s="55" t="s">
        <v>35</v>
      </c>
      <c r="Z16" s="56">
        <f t="shared" si="19"/>
        <v>-0.75</v>
      </c>
      <c r="AA16" s="55">
        <v>0.15500000000000003</v>
      </c>
      <c r="AB16" s="55">
        <f t="shared" si="11"/>
        <v>-8.9803125000000019</v>
      </c>
      <c r="AC16" s="55">
        <v>-5.42</v>
      </c>
      <c r="AD16" s="55">
        <v>-10.41965811965812</v>
      </c>
      <c r="AE16" s="55">
        <v>0</v>
      </c>
      <c r="AF16" s="55"/>
    </row>
    <row r="17" spans="1:32" s="57" customFormat="1" ht="15.75" customHeight="1">
      <c r="A17" s="2" t="s">
        <v>67</v>
      </c>
      <c r="B17" s="2" t="s">
        <v>358</v>
      </c>
      <c r="C17" s="51">
        <v>24.99</v>
      </c>
      <c r="D17" s="51">
        <v>21</v>
      </c>
      <c r="E17" s="51">
        <v>0</v>
      </c>
      <c r="F17" s="51">
        <v>541.79000000000008</v>
      </c>
      <c r="G17" s="51">
        <v>0</v>
      </c>
      <c r="H17" s="51">
        <f t="shared" si="1"/>
        <v>0</v>
      </c>
      <c r="I17" s="51">
        <f t="shared" si="2"/>
        <v>0.22049235771642064</v>
      </c>
      <c r="J17" s="51">
        <f t="shared" si="4"/>
        <v>119.46055448717956</v>
      </c>
      <c r="K17" s="51">
        <f t="shared" si="3"/>
        <v>5.6885978327228361</v>
      </c>
      <c r="L17" s="51">
        <v>138</v>
      </c>
      <c r="M17" s="51">
        <f t="shared" si="5"/>
        <v>0.15217391304347827</v>
      </c>
      <c r="N17" s="51">
        <v>290</v>
      </c>
      <c r="O17" s="51">
        <f t="shared" ref="O17:P17" si="25">D17/7</f>
        <v>3</v>
      </c>
      <c r="P17" s="51">
        <f t="shared" si="25"/>
        <v>0</v>
      </c>
      <c r="Q17" s="51">
        <f t="shared" si="7"/>
        <v>96</v>
      </c>
      <c r="R17" s="55">
        <v>12</v>
      </c>
      <c r="S17" s="53" t="s">
        <v>34</v>
      </c>
      <c r="T17" s="54" t="s">
        <v>34</v>
      </c>
      <c r="U17" s="55">
        <v>0</v>
      </c>
      <c r="V17" s="55">
        <f t="shared" si="8"/>
        <v>0</v>
      </c>
      <c r="W17" s="55">
        <f t="shared" si="9"/>
        <v>0</v>
      </c>
      <c r="X17" s="55">
        <v>0</v>
      </c>
      <c r="Y17" s="55" t="s">
        <v>35</v>
      </c>
      <c r="Z17" s="56">
        <f t="shared" si="19"/>
        <v>-0.75</v>
      </c>
      <c r="AA17" s="55">
        <v>0.15500000000000003</v>
      </c>
      <c r="AB17" s="55">
        <f t="shared" si="11"/>
        <v>-8.4281250000000014</v>
      </c>
      <c r="AC17" s="55">
        <v>-5.42</v>
      </c>
      <c r="AD17" s="55">
        <v>-10.41965811965812</v>
      </c>
      <c r="AE17" s="55">
        <v>0</v>
      </c>
      <c r="AF17" s="55"/>
    </row>
    <row r="18" spans="1:32" s="57" customFormat="1" ht="15.75" customHeight="1">
      <c r="A18" s="2" t="s">
        <v>69</v>
      </c>
      <c r="B18" s="2" t="s">
        <v>359</v>
      </c>
      <c r="C18" s="51">
        <v>26.99</v>
      </c>
      <c r="D18" s="51">
        <v>18</v>
      </c>
      <c r="E18" s="51">
        <v>0</v>
      </c>
      <c r="F18" s="51">
        <v>466.82000000000011</v>
      </c>
      <c r="G18" s="51">
        <v>0</v>
      </c>
      <c r="H18" s="51">
        <f t="shared" si="1"/>
        <v>0</v>
      </c>
      <c r="I18" s="51">
        <f t="shared" si="2"/>
        <v>0.22003267607676169</v>
      </c>
      <c r="J18" s="51">
        <f t="shared" si="4"/>
        <v>102.71565384615391</v>
      </c>
      <c r="K18" s="51">
        <f t="shared" si="3"/>
        <v>5.7064252136752174</v>
      </c>
      <c r="L18" s="51">
        <v>134</v>
      </c>
      <c r="M18" s="51">
        <f t="shared" si="5"/>
        <v>0.13432835820895522</v>
      </c>
      <c r="N18" s="51">
        <v>263</v>
      </c>
      <c r="O18" s="51">
        <f t="shared" ref="O18:P18" si="26">D18/7</f>
        <v>2.5714285714285716</v>
      </c>
      <c r="P18" s="51">
        <f t="shared" si="26"/>
        <v>0</v>
      </c>
      <c r="Q18" s="51">
        <f t="shared" si="7"/>
        <v>102</v>
      </c>
      <c r="R18" s="55">
        <v>12</v>
      </c>
      <c r="S18" s="53" t="s">
        <v>34</v>
      </c>
      <c r="T18" s="54" t="s">
        <v>34</v>
      </c>
      <c r="U18" s="55">
        <v>0</v>
      </c>
      <c r="V18" s="55">
        <f t="shared" si="8"/>
        <v>0</v>
      </c>
      <c r="W18" s="55">
        <f t="shared" si="9"/>
        <v>0</v>
      </c>
      <c r="X18" s="55">
        <v>0</v>
      </c>
      <c r="Y18" s="55" t="s">
        <v>35</v>
      </c>
      <c r="Z18" s="56">
        <f t="shared" si="19"/>
        <v>-0.75</v>
      </c>
      <c r="AA18" s="55">
        <v>0.15500000000000003</v>
      </c>
      <c r="AB18" s="58">
        <f t="shared" ref="AB18:AB39" si="27">IFERROR(Z18*AA18*D18*3,0)</f>
        <v>-6.2775000000000007</v>
      </c>
      <c r="AC18" s="55">
        <v>-5.42</v>
      </c>
      <c r="AD18" s="55">
        <v>-10.41965811965812</v>
      </c>
      <c r="AE18" s="55">
        <v>-2.69</v>
      </c>
      <c r="AF18" s="55"/>
    </row>
    <row r="19" spans="1:32" s="57" customFormat="1" ht="15.75" customHeight="1">
      <c r="A19" s="2" t="s">
        <v>71</v>
      </c>
      <c r="B19" s="2" t="s">
        <v>360</v>
      </c>
      <c r="C19" s="51">
        <v>24.03</v>
      </c>
      <c r="D19" s="51">
        <v>49</v>
      </c>
      <c r="E19" s="51">
        <v>0</v>
      </c>
      <c r="F19" s="51">
        <v>1267.4400000000003</v>
      </c>
      <c r="G19" s="51">
        <v>-44.4</v>
      </c>
      <c r="H19" s="51">
        <f t="shared" si="1"/>
        <v>3.5031244082560115E-2</v>
      </c>
      <c r="I19" s="51">
        <f t="shared" si="2"/>
        <v>0.18911506827680388</v>
      </c>
      <c r="J19" s="51">
        <f t="shared" si="4"/>
        <v>239.69200213675236</v>
      </c>
      <c r="K19" s="51">
        <f t="shared" si="3"/>
        <v>4.891673512994946</v>
      </c>
      <c r="L19" s="51">
        <v>178</v>
      </c>
      <c r="M19" s="51">
        <f t="shared" si="5"/>
        <v>0.2752808988764045</v>
      </c>
      <c r="N19" s="51">
        <v>233</v>
      </c>
      <c r="O19" s="51">
        <f t="shared" ref="O19:P19" si="28">D19/7</f>
        <v>7</v>
      </c>
      <c r="P19" s="51">
        <f t="shared" si="28"/>
        <v>0</v>
      </c>
      <c r="Q19" s="51">
        <f t="shared" si="7"/>
        <v>33</v>
      </c>
      <c r="R19" s="55">
        <v>0</v>
      </c>
      <c r="S19" s="53" t="s">
        <v>34</v>
      </c>
      <c r="T19" s="54" t="s">
        <v>34</v>
      </c>
      <c r="U19" s="55">
        <v>5</v>
      </c>
      <c r="V19" s="55">
        <f t="shared" si="8"/>
        <v>0.10204081632653061</v>
      </c>
      <c r="W19" s="55">
        <f t="shared" si="9"/>
        <v>4.4399999999999995</v>
      </c>
      <c r="X19" s="55">
        <v>5</v>
      </c>
      <c r="Y19" s="55" t="s">
        <v>35</v>
      </c>
      <c r="Z19" s="56">
        <f t="shared" si="19"/>
        <v>-0.75</v>
      </c>
      <c r="AA19" s="55">
        <v>0.15500000000000003</v>
      </c>
      <c r="AB19" s="55">
        <f t="shared" si="27"/>
        <v>-17.088750000000005</v>
      </c>
      <c r="AC19" s="55">
        <v>-5.42</v>
      </c>
      <c r="AD19" s="55">
        <v>-10.41965811965812</v>
      </c>
      <c r="AE19" s="55">
        <v>0</v>
      </c>
      <c r="AF19" s="55"/>
    </row>
    <row r="20" spans="1:32" s="57" customFormat="1" ht="15.75" customHeight="1">
      <c r="A20" s="2" t="s">
        <v>73</v>
      </c>
      <c r="B20" s="2" t="s">
        <v>361</v>
      </c>
      <c r="C20" s="51">
        <v>25.93</v>
      </c>
      <c r="D20" s="51">
        <v>52</v>
      </c>
      <c r="E20" s="51">
        <v>0</v>
      </c>
      <c r="F20" s="51">
        <v>1316.46</v>
      </c>
      <c r="G20" s="51">
        <v>-105.61</v>
      </c>
      <c r="H20" s="51">
        <f t="shared" si="1"/>
        <v>8.0222718502651044E-2</v>
      </c>
      <c r="I20" s="51">
        <f t="shared" si="2"/>
        <v>0.1273747609329397</v>
      </c>
      <c r="J20" s="51">
        <f t="shared" si="4"/>
        <v>167.68377777777781</v>
      </c>
      <c r="K20" s="51">
        <f t="shared" si="3"/>
        <v>3.2246880341880346</v>
      </c>
      <c r="L20" s="51">
        <v>244</v>
      </c>
      <c r="M20" s="51">
        <f t="shared" si="5"/>
        <v>0.21311475409836064</v>
      </c>
      <c r="N20" s="51">
        <v>157</v>
      </c>
      <c r="O20" s="51">
        <f t="shared" ref="O20:P20" si="29">D20/7</f>
        <v>7.4285714285714288</v>
      </c>
      <c r="P20" s="51">
        <f t="shared" si="29"/>
        <v>0</v>
      </c>
      <c r="Q20" s="51">
        <f t="shared" si="7"/>
        <v>21</v>
      </c>
      <c r="R20" s="55">
        <v>480</v>
      </c>
      <c r="S20" s="53" t="s">
        <v>34</v>
      </c>
      <c r="T20" s="54" t="s">
        <v>34</v>
      </c>
      <c r="U20" s="55">
        <v>14</v>
      </c>
      <c r="V20" s="55">
        <f t="shared" si="8"/>
        <v>0.26923076923076922</v>
      </c>
      <c r="W20" s="55">
        <f t="shared" si="9"/>
        <v>5.2805</v>
      </c>
      <c r="X20" s="55">
        <v>6</v>
      </c>
      <c r="Y20" s="55" t="s">
        <v>35</v>
      </c>
      <c r="Z20" s="56">
        <f t="shared" si="19"/>
        <v>-0.75</v>
      </c>
      <c r="AA20" s="55">
        <v>0.15500000000000003</v>
      </c>
      <c r="AB20" s="55">
        <f t="shared" si="27"/>
        <v>-18.135000000000002</v>
      </c>
      <c r="AC20" s="55">
        <v>-5.42</v>
      </c>
      <c r="AD20" s="55">
        <v>-10.41965811965812</v>
      </c>
      <c r="AE20" s="55">
        <v>-3.9</v>
      </c>
      <c r="AF20" s="55"/>
    </row>
    <row r="21" spans="1:32" s="57" customFormat="1" ht="15.75" customHeight="1">
      <c r="A21" s="2" t="s">
        <v>75</v>
      </c>
      <c r="B21" s="2" t="s">
        <v>362</v>
      </c>
      <c r="C21" s="51">
        <v>23.99</v>
      </c>
      <c r="D21" s="51">
        <v>91</v>
      </c>
      <c r="E21" s="51">
        <v>0</v>
      </c>
      <c r="F21" s="51">
        <v>2220.0799999999995</v>
      </c>
      <c r="G21" s="51">
        <v>-107.76</v>
      </c>
      <c r="H21" s="51">
        <f t="shared" si="1"/>
        <v>4.8538791394904704E-2</v>
      </c>
      <c r="I21" s="51">
        <f t="shared" si="2"/>
        <v>0.13790622910485695</v>
      </c>
      <c r="J21" s="51">
        <f t="shared" si="4"/>
        <v>306.16286111111071</v>
      </c>
      <c r="K21" s="51">
        <f t="shared" si="3"/>
        <v>3.3644270451770408</v>
      </c>
      <c r="L21" s="51">
        <v>341</v>
      </c>
      <c r="M21" s="51">
        <f t="shared" si="5"/>
        <v>0.26686217008797652</v>
      </c>
      <c r="N21" s="51">
        <v>87</v>
      </c>
      <c r="O21" s="51">
        <f t="shared" ref="O21:P21" si="30">D21/7</f>
        <v>13</v>
      </c>
      <c r="P21" s="51">
        <f t="shared" si="30"/>
        <v>0</v>
      </c>
      <c r="Q21" s="51">
        <f t="shared" si="7"/>
        <v>6</v>
      </c>
      <c r="R21" s="55">
        <v>480</v>
      </c>
      <c r="S21" s="53">
        <v>480</v>
      </c>
      <c r="T21" s="54">
        <v>43969</v>
      </c>
      <c r="U21" s="55">
        <v>13</v>
      </c>
      <c r="V21" s="55">
        <f t="shared" si="8"/>
        <v>0.14285714285714285</v>
      </c>
      <c r="W21" s="55">
        <f t="shared" si="9"/>
        <v>4.8981818181818184</v>
      </c>
      <c r="X21" s="55">
        <v>9</v>
      </c>
      <c r="Y21" s="55" t="s">
        <v>35</v>
      </c>
      <c r="Z21" s="56">
        <f t="shared" si="19"/>
        <v>-0.75</v>
      </c>
      <c r="AA21" s="55">
        <v>0.15500000000000003</v>
      </c>
      <c r="AB21" s="55">
        <f t="shared" si="27"/>
        <v>-31.736250000000005</v>
      </c>
      <c r="AC21" s="55">
        <v>-5.42</v>
      </c>
      <c r="AD21" s="55">
        <v>-10.41965811965812</v>
      </c>
      <c r="AE21" s="55">
        <v>0</v>
      </c>
      <c r="AF21" s="55"/>
    </row>
    <row r="22" spans="1:32" s="57" customFormat="1" ht="15.75" customHeight="1">
      <c r="A22" s="2" t="s">
        <v>77</v>
      </c>
      <c r="B22" s="2" t="s">
        <v>318</v>
      </c>
      <c r="C22" s="51">
        <v>24.48</v>
      </c>
      <c r="D22" s="51">
        <v>72</v>
      </c>
      <c r="E22" s="51">
        <v>0</v>
      </c>
      <c r="F22" s="51">
        <v>1774.640000000001</v>
      </c>
      <c r="G22" s="51">
        <v>-73.319999999999993</v>
      </c>
      <c r="H22" s="51">
        <f t="shared" si="1"/>
        <v>4.1315421719334597E-2</v>
      </c>
      <c r="I22" s="51">
        <f t="shared" si="2"/>
        <v>0.15189481550320971</v>
      </c>
      <c r="J22" s="51">
        <f t="shared" si="4"/>
        <v>269.55861538461625</v>
      </c>
      <c r="K22" s="51">
        <f t="shared" si="3"/>
        <v>3.74386965811967</v>
      </c>
      <c r="L22" s="51">
        <v>263</v>
      </c>
      <c r="M22" s="51">
        <f t="shared" si="5"/>
        <v>0.27376425855513309</v>
      </c>
      <c r="N22" s="51">
        <v>14</v>
      </c>
      <c r="O22" s="51">
        <f t="shared" ref="O22:P22" si="31">D22/7</f>
        <v>10.285714285714286</v>
      </c>
      <c r="P22" s="51">
        <f t="shared" si="31"/>
        <v>0</v>
      </c>
      <c r="Q22" s="51">
        <f t="shared" si="7"/>
        <v>1</v>
      </c>
      <c r="R22" s="55">
        <v>480</v>
      </c>
      <c r="S22" s="53">
        <v>480</v>
      </c>
      <c r="T22" s="54">
        <v>43969</v>
      </c>
      <c r="U22" s="55">
        <v>12</v>
      </c>
      <c r="V22" s="55">
        <f t="shared" si="8"/>
        <v>0.16666666666666666</v>
      </c>
      <c r="W22" s="55">
        <f t="shared" si="9"/>
        <v>3.8589473684210525</v>
      </c>
      <c r="X22" s="55">
        <v>7</v>
      </c>
      <c r="Y22" s="55" t="s">
        <v>35</v>
      </c>
      <c r="Z22" s="56">
        <f t="shared" si="19"/>
        <v>-0.75</v>
      </c>
      <c r="AA22" s="55">
        <v>0.15500000000000003</v>
      </c>
      <c r="AB22" s="55">
        <f t="shared" si="27"/>
        <v>-25.110000000000003</v>
      </c>
      <c r="AC22" s="55">
        <v>-5.42</v>
      </c>
      <c r="AD22" s="55">
        <v>-10.41965811965812</v>
      </c>
      <c r="AE22" s="55">
        <v>0</v>
      </c>
      <c r="AF22" s="55"/>
    </row>
    <row r="23" spans="1:32" s="57" customFormat="1" ht="15.75" customHeight="1">
      <c r="A23" s="2" t="s">
        <v>79</v>
      </c>
      <c r="B23" s="2" t="s">
        <v>319</v>
      </c>
      <c r="C23" s="51">
        <v>24.48</v>
      </c>
      <c r="D23" s="51">
        <v>29</v>
      </c>
      <c r="E23" s="51">
        <v>0</v>
      </c>
      <c r="F23" s="51">
        <v>717.59999999999991</v>
      </c>
      <c r="G23" s="51">
        <v>0</v>
      </c>
      <c r="H23" s="51">
        <f t="shared" si="1"/>
        <v>0</v>
      </c>
      <c r="I23" s="51">
        <f t="shared" si="2"/>
        <v>0.19578618245528767</v>
      </c>
      <c r="J23" s="51">
        <f t="shared" si="4"/>
        <v>140.49616452991441</v>
      </c>
      <c r="K23" s="51">
        <f t="shared" si="3"/>
        <v>4.8446953286177381</v>
      </c>
      <c r="L23" s="51">
        <v>0</v>
      </c>
      <c r="M23" s="51" t="str">
        <f t="shared" si="5"/>
        <v>-</v>
      </c>
      <c r="N23" s="51">
        <v>0</v>
      </c>
      <c r="O23" s="51">
        <f t="shared" ref="O23:P23" si="32">D23/7</f>
        <v>4.1428571428571432</v>
      </c>
      <c r="P23" s="51">
        <f t="shared" si="32"/>
        <v>0</v>
      </c>
      <c r="Q23" s="51">
        <f t="shared" si="7"/>
        <v>0</v>
      </c>
      <c r="R23" s="55">
        <v>480</v>
      </c>
      <c r="S23" s="53">
        <v>480</v>
      </c>
      <c r="T23" s="54">
        <v>43969</v>
      </c>
      <c r="U23" s="55">
        <v>0</v>
      </c>
      <c r="V23" s="55">
        <f t="shared" si="8"/>
        <v>0</v>
      </c>
      <c r="W23" s="55">
        <f t="shared" si="9"/>
        <v>0</v>
      </c>
      <c r="X23" s="55">
        <v>0</v>
      </c>
      <c r="Y23" s="55" t="s">
        <v>35</v>
      </c>
      <c r="Z23" s="56">
        <f t="shared" si="19"/>
        <v>-0.75</v>
      </c>
      <c r="AA23" s="55">
        <v>0.15500000000000003</v>
      </c>
      <c r="AB23" s="55">
        <f t="shared" si="27"/>
        <v>-10.113750000000003</v>
      </c>
      <c r="AC23" s="55">
        <v>-5.42</v>
      </c>
      <c r="AD23" s="55">
        <v>-10.41965811965812</v>
      </c>
      <c r="AE23" s="55">
        <v>0</v>
      </c>
      <c r="AF23" s="55"/>
    </row>
    <row r="24" spans="1:32" s="57" customFormat="1" ht="15.75" customHeight="1">
      <c r="A24" s="2" t="s">
        <v>80</v>
      </c>
      <c r="B24" s="26" t="s">
        <v>276</v>
      </c>
      <c r="C24" s="51"/>
      <c r="D24" s="51">
        <v>0</v>
      </c>
      <c r="E24" s="51">
        <v>0</v>
      </c>
      <c r="F24" s="51">
        <v>0</v>
      </c>
      <c r="G24" s="51">
        <v>0</v>
      </c>
      <c r="H24" s="51" t="e">
        <f t="shared" si="1"/>
        <v>#DIV/0!</v>
      </c>
      <c r="I24" s="51" t="e">
        <f t="shared" si="2"/>
        <v>#DIV/0!</v>
      </c>
      <c r="J24" s="51">
        <f t="shared" si="4"/>
        <v>0</v>
      </c>
      <c r="K24" s="51" t="e">
        <f t="shared" si="3"/>
        <v>#DIV/0!</v>
      </c>
      <c r="L24" s="51">
        <v>4</v>
      </c>
      <c r="M24" s="51">
        <f t="shared" si="5"/>
        <v>0</v>
      </c>
      <c r="N24" s="51">
        <v>0</v>
      </c>
      <c r="O24" s="51">
        <f t="shared" ref="O24:P24" si="33">D24/7</f>
        <v>0</v>
      </c>
      <c r="P24" s="51">
        <f t="shared" si="33"/>
        <v>0</v>
      </c>
      <c r="Q24" s="51" t="e">
        <f t="shared" si="7"/>
        <v>#DIV/0!</v>
      </c>
      <c r="R24" s="55">
        <v>480</v>
      </c>
      <c r="S24" s="53">
        <v>480</v>
      </c>
      <c r="T24" s="54">
        <v>43969</v>
      </c>
      <c r="U24" s="55">
        <v>0</v>
      </c>
      <c r="V24" s="55">
        <f t="shared" si="8"/>
        <v>0</v>
      </c>
      <c r="W24" s="55">
        <f t="shared" si="9"/>
        <v>0</v>
      </c>
      <c r="X24" s="55">
        <v>0</v>
      </c>
      <c r="Y24" s="55" t="s">
        <v>35</v>
      </c>
      <c r="Z24" s="56">
        <f t="shared" si="19"/>
        <v>-0.75</v>
      </c>
      <c r="AA24" s="55">
        <v>0.15500000000000003</v>
      </c>
      <c r="AB24" s="55">
        <f t="shared" si="27"/>
        <v>0</v>
      </c>
      <c r="AC24" s="55">
        <v>-5.42</v>
      </c>
      <c r="AD24" s="55">
        <v>-10.41965811965812</v>
      </c>
      <c r="AE24" s="55">
        <v>0</v>
      </c>
      <c r="AF24" s="55"/>
    </row>
    <row r="25" spans="1:32" s="57" customFormat="1" ht="15.75" customHeight="1">
      <c r="A25" s="2" t="s">
        <v>81</v>
      </c>
      <c r="B25" s="2" t="s">
        <v>363</v>
      </c>
      <c r="C25" s="51"/>
      <c r="D25" s="51">
        <v>2</v>
      </c>
      <c r="E25" s="51">
        <v>0</v>
      </c>
      <c r="F25" s="51">
        <v>50.43</v>
      </c>
      <c r="G25" s="51">
        <v>0</v>
      </c>
      <c r="H25" s="51">
        <f t="shared" si="1"/>
        <v>0</v>
      </c>
      <c r="I25" s="51">
        <f t="shared" si="2"/>
        <v>0.20798500417774654</v>
      </c>
      <c r="J25" s="51">
        <f t="shared" si="4"/>
        <v>10.488683760683758</v>
      </c>
      <c r="K25" s="51">
        <f t="shared" si="3"/>
        <v>5.2443418803418789</v>
      </c>
      <c r="L25" s="51">
        <v>0</v>
      </c>
      <c r="M25" s="51" t="str">
        <f t="shared" si="5"/>
        <v>-</v>
      </c>
      <c r="N25" s="51">
        <v>168</v>
      </c>
      <c r="O25" s="51">
        <f t="shared" ref="O25:P25" si="34">D25/7</f>
        <v>0.2857142857142857</v>
      </c>
      <c r="P25" s="51">
        <f t="shared" si="34"/>
        <v>0</v>
      </c>
      <c r="Q25" s="51">
        <f t="shared" si="7"/>
        <v>588</v>
      </c>
      <c r="R25" s="55">
        <v>0</v>
      </c>
      <c r="S25" s="53" t="s">
        <v>34</v>
      </c>
      <c r="T25" s="54" t="s">
        <v>34</v>
      </c>
      <c r="U25" s="55">
        <v>0</v>
      </c>
      <c r="V25" s="55">
        <f t="shared" si="8"/>
        <v>0</v>
      </c>
      <c r="W25" s="55">
        <f t="shared" si="9"/>
        <v>0</v>
      </c>
      <c r="X25" s="55">
        <v>0</v>
      </c>
      <c r="Y25" s="55" t="s">
        <v>35</v>
      </c>
      <c r="Z25" s="56">
        <f t="shared" si="19"/>
        <v>-0.75</v>
      </c>
      <c r="AA25" s="55">
        <v>0.15500000000000003</v>
      </c>
      <c r="AB25" s="55">
        <f t="shared" si="27"/>
        <v>-0.69750000000000012</v>
      </c>
      <c r="AC25" s="55">
        <v>-5.42</v>
      </c>
      <c r="AD25" s="55">
        <v>-10.41965811965812</v>
      </c>
      <c r="AE25" s="55">
        <v>0</v>
      </c>
      <c r="AF25" s="55"/>
    </row>
    <row r="26" spans="1:32" s="57" customFormat="1" ht="15.75" customHeight="1">
      <c r="A26" s="2" t="s">
        <v>83</v>
      </c>
      <c r="B26" s="2" t="s">
        <v>364</v>
      </c>
      <c r="C26" s="51">
        <f t="shared" ref="C26:C39" si="35">IFERROR(F26/D26," - ")</f>
        <v>25.928421052631577</v>
      </c>
      <c r="D26" s="51">
        <v>19</v>
      </c>
      <c r="E26" s="51">
        <v>0</v>
      </c>
      <c r="F26" s="51">
        <v>492.64</v>
      </c>
      <c r="G26" s="51">
        <v>-14.98</v>
      </c>
      <c r="H26" s="51">
        <f t="shared" si="1"/>
        <v>3.0407599870087693E-2</v>
      </c>
      <c r="I26" s="51">
        <f t="shared" si="2"/>
        <v>0.19524246047112631</v>
      </c>
      <c r="J26" s="51">
        <f t="shared" si="4"/>
        <v>96.184245726495661</v>
      </c>
      <c r="K26" s="51">
        <f t="shared" si="3"/>
        <v>5.0623287224471403</v>
      </c>
      <c r="L26" s="51">
        <v>99</v>
      </c>
      <c r="M26" s="51">
        <f t="shared" si="5"/>
        <v>0.19191919191919191</v>
      </c>
      <c r="N26" s="51">
        <v>451</v>
      </c>
      <c r="O26" s="51">
        <f t="shared" ref="O26:P26" si="36">D26/7</f>
        <v>2.7142857142857144</v>
      </c>
      <c r="P26" s="51">
        <f t="shared" si="36"/>
        <v>0</v>
      </c>
      <c r="Q26" s="51">
        <f t="shared" si="7"/>
        <v>166</v>
      </c>
      <c r="R26" s="55">
        <v>444</v>
      </c>
      <c r="S26" s="53">
        <v>444</v>
      </c>
      <c r="T26" s="54">
        <v>44008</v>
      </c>
      <c r="U26" s="55">
        <v>1</v>
      </c>
      <c r="V26" s="55">
        <f t="shared" si="8"/>
        <v>5.2631578947368418E-2</v>
      </c>
      <c r="W26" s="55">
        <f t="shared" si="9"/>
        <v>4.9933333333333332</v>
      </c>
      <c r="X26" s="55">
        <v>2</v>
      </c>
      <c r="Y26" s="55" t="s">
        <v>35</v>
      </c>
      <c r="Z26" s="56">
        <f t="shared" si="19"/>
        <v>-0.75</v>
      </c>
      <c r="AA26" s="55">
        <v>0.15500000000000003</v>
      </c>
      <c r="AB26" s="55">
        <f t="shared" si="27"/>
        <v>-6.6262500000000006</v>
      </c>
      <c r="AC26" s="55">
        <v>-5.42</v>
      </c>
      <c r="AD26" s="55">
        <v>-10.41965811965812</v>
      </c>
      <c r="AE26" s="55">
        <v>0</v>
      </c>
      <c r="AF26" s="55"/>
    </row>
    <row r="27" spans="1:32" s="57" customFormat="1" ht="15.75" customHeight="1">
      <c r="A27" s="2" t="s">
        <v>84</v>
      </c>
      <c r="B27" s="2" t="s">
        <v>365</v>
      </c>
      <c r="C27" s="51">
        <f t="shared" si="35"/>
        <v>25.587187499999995</v>
      </c>
      <c r="D27" s="51">
        <v>32</v>
      </c>
      <c r="E27" s="51">
        <v>0</v>
      </c>
      <c r="F27" s="51">
        <v>818.78999999999985</v>
      </c>
      <c r="G27" s="51">
        <v>-52.75</v>
      </c>
      <c r="H27" s="51">
        <f t="shared" si="1"/>
        <v>6.4424333467677924E-2</v>
      </c>
      <c r="I27" s="51">
        <f t="shared" si="2"/>
        <v>0.152899327264549</v>
      </c>
      <c r="J27" s="51">
        <f t="shared" si="4"/>
        <v>125.19244017094005</v>
      </c>
      <c r="K27" s="51">
        <f t="shared" si="3"/>
        <v>3.9122637553418764</v>
      </c>
      <c r="L27" s="51">
        <v>141</v>
      </c>
      <c r="M27" s="51">
        <f t="shared" si="5"/>
        <v>0.22695035460992907</v>
      </c>
      <c r="N27" s="51">
        <v>435</v>
      </c>
      <c r="O27" s="51">
        <f t="shared" ref="O27:P27" si="37">D27/7</f>
        <v>4.5714285714285712</v>
      </c>
      <c r="P27" s="51">
        <f t="shared" si="37"/>
        <v>0</v>
      </c>
      <c r="Q27" s="51">
        <f t="shared" si="7"/>
        <v>95</v>
      </c>
      <c r="R27" s="55">
        <v>444</v>
      </c>
      <c r="S27" s="53">
        <v>444</v>
      </c>
      <c r="T27" s="54">
        <v>44013</v>
      </c>
      <c r="U27" s="55">
        <v>7</v>
      </c>
      <c r="V27" s="55">
        <f t="shared" si="8"/>
        <v>0.21875</v>
      </c>
      <c r="W27" s="55">
        <f t="shared" si="9"/>
        <v>5.8611111111111107</v>
      </c>
      <c r="X27" s="55">
        <v>2</v>
      </c>
      <c r="Y27" s="55" t="s">
        <v>35</v>
      </c>
      <c r="Z27" s="56">
        <f t="shared" si="19"/>
        <v>-0.75</v>
      </c>
      <c r="AA27" s="55">
        <v>0.15500000000000003</v>
      </c>
      <c r="AB27" s="55">
        <f t="shared" si="27"/>
        <v>-11.160000000000002</v>
      </c>
      <c r="AC27" s="55">
        <v>-5.42</v>
      </c>
      <c r="AD27" s="55">
        <v>-10.41965811965812</v>
      </c>
      <c r="AE27" s="55">
        <v>0</v>
      </c>
      <c r="AF27" s="55"/>
    </row>
    <row r="28" spans="1:32" s="57" customFormat="1" ht="15.75" customHeight="1">
      <c r="A28" s="2" t="s">
        <v>86</v>
      </c>
      <c r="B28" s="2" t="s">
        <v>366</v>
      </c>
      <c r="C28" s="51">
        <f t="shared" si="35"/>
        <v>25.768550724637684</v>
      </c>
      <c r="D28" s="51">
        <v>69</v>
      </c>
      <c r="E28" s="51">
        <v>0</v>
      </c>
      <c r="F28" s="51">
        <v>1778.0300000000002</v>
      </c>
      <c r="G28" s="51">
        <v>-73.94</v>
      </c>
      <c r="H28" s="51">
        <f t="shared" si="1"/>
        <v>4.1585350078457615E-2</v>
      </c>
      <c r="I28" s="51">
        <f t="shared" si="2"/>
        <v>0.17791338714396815</v>
      </c>
      <c r="J28" s="51">
        <f t="shared" si="4"/>
        <v>316.33533974358971</v>
      </c>
      <c r="K28" s="51">
        <f t="shared" si="3"/>
        <v>4.5845701412114455</v>
      </c>
      <c r="L28" s="51">
        <v>191</v>
      </c>
      <c r="M28" s="51">
        <f t="shared" si="5"/>
        <v>0.36125654450261779</v>
      </c>
      <c r="N28" s="51">
        <v>339</v>
      </c>
      <c r="O28" s="51">
        <f t="shared" ref="O28:P28" si="38">D28/7</f>
        <v>9.8571428571428577</v>
      </c>
      <c r="P28" s="51">
        <f t="shared" si="38"/>
        <v>0</v>
      </c>
      <c r="Q28" s="51">
        <f t="shared" si="7"/>
        <v>34</v>
      </c>
      <c r="R28" s="55">
        <v>444</v>
      </c>
      <c r="S28" s="53">
        <v>444</v>
      </c>
      <c r="T28" s="54">
        <v>44013</v>
      </c>
      <c r="U28" s="55">
        <v>11</v>
      </c>
      <c r="V28" s="55">
        <f t="shared" si="8"/>
        <v>0.15942028985507245</v>
      </c>
      <c r="W28" s="55">
        <f t="shared" si="9"/>
        <v>4.6212499999999999</v>
      </c>
      <c r="X28" s="55">
        <v>5</v>
      </c>
      <c r="Y28" s="55" t="s">
        <v>35</v>
      </c>
      <c r="Z28" s="56">
        <f t="shared" si="19"/>
        <v>-0.75</v>
      </c>
      <c r="AA28" s="55">
        <v>0.15500000000000003</v>
      </c>
      <c r="AB28" s="55">
        <f t="shared" si="27"/>
        <v>-24.063750000000006</v>
      </c>
      <c r="AC28" s="55">
        <v>-5.42</v>
      </c>
      <c r="AD28" s="55">
        <v>-10.41965811965812</v>
      </c>
      <c r="AE28" s="55">
        <v>-4.05</v>
      </c>
      <c r="AF28" s="55"/>
    </row>
    <row r="29" spans="1:32" s="57" customFormat="1" ht="15.75" customHeight="1">
      <c r="A29" s="2" t="s">
        <v>87</v>
      </c>
      <c r="B29" s="2" t="s">
        <v>367</v>
      </c>
      <c r="C29" s="51">
        <f t="shared" si="35"/>
        <v>26.68471698113208</v>
      </c>
      <c r="D29" s="51">
        <v>53</v>
      </c>
      <c r="E29" s="51">
        <v>0</v>
      </c>
      <c r="F29" s="51">
        <v>1414.2900000000002</v>
      </c>
      <c r="G29" s="51">
        <v>-69.12</v>
      </c>
      <c r="H29" s="51">
        <f t="shared" si="1"/>
        <v>4.8872579174002499E-2</v>
      </c>
      <c r="I29" s="51">
        <f t="shared" si="2"/>
        <v>0.19447275287113647</v>
      </c>
      <c r="J29" s="51">
        <f t="shared" si="4"/>
        <v>275.04086965811962</v>
      </c>
      <c r="K29" s="51">
        <f t="shared" si="3"/>
        <v>5.1894503709079176</v>
      </c>
      <c r="L29" s="51">
        <v>173</v>
      </c>
      <c r="M29" s="51">
        <f t="shared" si="5"/>
        <v>0.30635838150289019</v>
      </c>
      <c r="N29" s="51">
        <v>307</v>
      </c>
      <c r="O29" s="51">
        <f t="shared" ref="O29:P29" si="39">D29/7</f>
        <v>7.5714285714285712</v>
      </c>
      <c r="P29" s="51">
        <f t="shared" si="39"/>
        <v>0</v>
      </c>
      <c r="Q29" s="51">
        <f t="shared" si="7"/>
        <v>40</v>
      </c>
      <c r="R29" s="55">
        <v>444</v>
      </c>
      <c r="S29" s="53">
        <v>444</v>
      </c>
      <c r="T29" s="54">
        <v>44013</v>
      </c>
      <c r="U29" s="55">
        <v>7</v>
      </c>
      <c r="V29" s="55">
        <f t="shared" si="8"/>
        <v>0.13207547169811321</v>
      </c>
      <c r="W29" s="55">
        <f t="shared" si="9"/>
        <v>6.2836363636363641</v>
      </c>
      <c r="X29" s="55">
        <v>4</v>
      </c>
      <c r="Y29" s="55" t="s">
        <v>35</v>
      </c>
      <c r="Z29" s="56">
        <f t="shared" si="19"/>
        <v>-0.75</v>
      </c>
      <c r="AA29" s="55">
        <v>0.15500000000000003</v>
      </c>
      <c r="AB29" s="55">
        <f t="shared" si="27"/>
        <v>-18.483750000000001</v>
      </c>
      <c r="AC29" s="55">
        <v>-5.42</v>
      </c>
      <c r="AD29" s="55">
        <v>-10.41965811965812</v>
      </c>
      <c r="AE29" s="55">
        <v>0</v>
      </c>
      <c r="AF29" s="55"/>
    </row>
    <row r="30" spans="1:32" s="57" customFormat="1" ht="15.75" customHeight="1">
      <c r="A30" s="2" t="s">
        <v>89</v>
      </c>
      <c r="B30" s="2" t="s">
        <v>368</v>
      </c>
      <c r="C30" s="51">
        <f t="shared" si="35"/>
        <v>25.954655172413798</v>
      </c>
      <c r="D30" s="51">
        <v>58</v>
      </c>
      <c r="E30" s="51">
        <v>0</v>
      </c>
      <c r="F30" s="51">
        <v>1505.3700000000003</v>
      </c>
      <c r="G30" s="51">
        <v>-76.580000000000013</v>
      </c>
      <c r="H30" s="51">
        <f t="shared" si="1"/>
        <v>5.0871214385832052E-2</v>
      </c>
      <c r="I30" s="51">
        <f t="shared" si="2"/>
        <v>0.1754099185315432</v>
      </c>
      <c r="J30" s="51">
        <f t="shared" si="4"/>
        <v>264.05682905982923</v>
      </c>
      <c r="K30" s="51">
        <f t="shared" si="3"/>
        <v>4.5527039493074009</v>
      </c>
      <c r="L30" s="51">
        <v>209</v>
      </c>
      <c r="M30" s="51">
        <f t="shared" si="5"/>
        <v>0.27751196172248804</v>
      </c>
      <c r="N30" s="51">
        <v>673</v>
      </c>
      <c r="O30" s="51">
        <f t="shared" ref="O30:P30" si="40">D30/7</f>
        <v>8.2857142857142865</v>
      </c>
      <c r="P30" s="51">
        <f t="shared" si="40"/>
        <v>0</v>
      </c>
      <c r="Q30" s="51">
        <f t="shared" si="7"/>
        <v>81</v>
      </c>
      <c r="R30" s="55">
        <v>444</v>
      </c>
      <c r="S30" s="53">
        <v>444</v>
      </c>
      <c r="T30" s="54">
        <v>44013</v>
      </c>
      <c r="U30" s="55">
        <v>12</v>
      </c>
      <c r="V30" s="55">
        <f t="shared" si="8"/>
        <v>0.20689655172413793</v>
      </c>
      <c r="W30" s="55">
        <f t="shared" si="9"/>
        <v>3.1908333333333339</v>
      </c>
      <c r="X30" s="55">
        <v>12</v>
      </c>
      <c r="Y30" s="55" t="s">
        <v>35</v>
      </c>
      <c r="Z30" s="56">
        <f t="shared" si="19"/>
        <v>-0.75</v>
      </c>
      <c r="AA30" s="55">
        <v>0.15500000000000003</v>
      </c>
      <c r="AB30" s="55">
        <f t="shared" si="27"/>
        <v>-20.227500000000006</v>
      </c>
      <c r="AC30" s="55">
        <v>-5.42</v>
      </c>
      <c r="AD30" s="55">
        <v>-10.41965811965812</v>
      </c>
      <c r="AE30" s="55">
        <v>0</v>
      </c>
      <c r="AF30" s="55"/>
    </row>
    <row r="31" spans="1:32" s="57" customFormat="1" ht="15.75" customHeight="1">
      <c r="A31" s="2" t="s">
        <v>90</v>
      </c>
      <c r="B31" s="2" t="s">
        <v>369</v>
      </c>
      <c r="C31" s="51">
        <f t="shared" si="35"/>
        <v>24.783181818181799</v>
      </c>
      <c r="D31" s="51">
        <v>66</v>
      </c>
      <c r="E31" s="51">
        <v>0</v>
      </c>
      <c r="F31" s="51">
        <v>1635.6899999999987</v>
      </c>
      <c r="G31" s="51">
        <v>-101.00999999999999</v>
      </c>
      <c r="H31" s="51">
        <f t="shared" si="1"/>
        <v>6.1753755295930204E-2</v>
      </c>
      <c r="I31" s="51">
        <f t="shared" si="2"/>
        <v>0.13504488265047968</v>
      </c>
      <c r="J31" s="51">
        <f t="shared" si="4"/>
        <v>220.89156410256291</v>
      </c>
      <c r="K31" s="51">
        <f t="shared" si="3"/>
        <v>3.3468418803418625</v>
      </c>
      <c r="L31" s="51">
        <v>252</v>
      </c>
      <c r="M31" s="51">
        <f t="shared" si="5"/>
        <v>0.26190476190476192</v>
      </c>
      <c r="N31" s="51">
        <v>631</v>
      </c>
      <c r="O31" s="51">
        <f t="shared" ref="O31:P31" si="41">D31/7</f>
        <v>9.4285714285714288</v>
      </c>
      <c r="P31" s="51">
        <f t="shared" si="41"/>
        <v>0</v>
      </c>
      <c r="Q31" s="51">
        <f t="shared" si="7"/>
        <v>66</v>
      </c>
      <c r="R31" s="55">
        <v>0</v>
      </c>
      <c r="S31" s="53" t="s">
        <v>34</v>
      </c>
      <c r="T31" s="54" t="s">
        <v>34</v>
      </c>
      <c r="U31" s="55">
        <v>12</v>
      </c>
      <c r="V31" s="55">
        <f t="shared" si="8"/>
        <v>0.18181818181818182</v>
      </c>
      <c r="W31" s="55">
        <f t="shared" si="9"/>
        <v>5.9417647058823526</v>
      </c>
      <c r="X31" s="55">
        <v>5</v>
      </c>
      <c r="Y31" s="55" t="s">
        <v>35</v>
      </c>
      <c r="Z31" s="56">
        <f t="shared" si="19"/>
        <v>-0.75</v>
      </c>
      <c r="AA31" s="55">
        <v>0.15500000000000003</v>
      </c>
      <c r="AB31" s="55">
        <f t="shared" si="27"/>
        <v>-23.017500000000005</v>
      </c>
      <c r="AC31" s="55">
        <v>-5.42</v>
      </c>
      <c r="AD31" s="55">
        <v>-10.41965811965812</v>
      </c>
      <c r="AE31" s="55">
        <v>0</v>
      </c>
      <c r="AF31" s="55"/>
    </row>
    <row r="32" spans="1:32" s="57" customFormat="1" ht="15.75" customHeight="1">
      <c r="A32" s="2" t="s">
        <v>92</v>
      </c>
      <c r="B32" s="2" t="s">
        <v>370</v>
      </c>
      <c r="C32" s="51">
        <f t="shared" si="35"/>
        <v>23.586632653061205</v>
      </c>
      <c r="D32" s="51">
        <v>98</v>
      </c>
      <c r="E32" s="51">
        <v>0</v>
      </c>
      <c r="F32" s="51">
        <v>2311.489999999998</v>
      </c>
      <c r="G32" s="51">
        <v>-94.43</v>
      </c>
      <c r="H32" s="51">
        <f t="shared" si="1"/>
        <v>4.0852437172559729E-2</v>
      </c>
      <c r="I32" s="51">
        <f t="shared" si="2"/>
        <v>0.12248206428472658</v>
      </c>
      <c r="J32" s="51">
        <f t="shared" si="4"/>
        <v>283.11606677350238</v>
      </c>
      <c r="K32" s="51">
        <f t="shared" si="3"/>
        <v>2.8889394568724733</v>
      </c>
      <c r="L32" s="51">
        <v>297</v>
      </c>
      <c r="M32" s="51">
        <f t="shared" si="5"/>
        <v>0.32996632996632996</v>
      </c>
      <c r="N32" s="51">
        <v>486</v>
      </c>
      <c r="O32" s="51">
        <f t="shared" ref="O32:P32" si="42">D32/7</f>
        <v>14</v>
      </c>
      <c r="P32" s="51">
        <f t="shared" si="42"/>
        <v>0</v>
      </c>
      <c r="Q32" s="51">
        <f t="shared" si="7"/>
        <v>34</v>
      </c>
      <c r="R32" s="55">
        <v>0</v>
      </c>
      <c r="S32" s="53" t="s">
        <v>34</v>
      </c>
      <c r="T32" s="54" t="s">
        <v>34</v>
      </c>
      <c r="U32" s="55">
        <v>13</v>
      </c>
      <c r="V32" s="55">
        <f t="shared" si="8"/>
        <v>0.1326530612244898</v>
      </c>
      <c r="W32" s="55">
        <f t="shared" si="9"/>
        <v>4.9700000000000006</v>
      </c>
      <c r="X32" s="55">
        <v>6</v>
      </c>
      <c r="Y32" s="55" t="s">
        <v>35</v>
      </c>
      <c r="Z32" s="56">
        <f t="shared" si="19"/>
        <v>-0.75</v>
      </c>
      <c r="AA32" s="55">
        <v>0.15843055555555555</v>
      </c>
      <c r="AB32" s="55">
        <f t="shared" si="27"/>
        <v>-34.933937499999999</v>
      </c>
      <c r="AC32" s="55">
        <v>-5.42</v>
      </c>
      <c r="AD32" s="55">
        <v>-10.41965811965812</v>
      </c>
      <c r="AE32" s="55">
        <v>0</v>
      </c>
      <c r="AF32" s="52">
        <v>2.13740458015267</v>
      </c>
    </row>
    <row r="33" spans="1:32" s="57" customFormat="1" ht="15.75" customHeight="1">
      <c r="A33" s="2" t="s">
        <v>94</v>
      </c>
      <c r="B33" s="2" t="s">
        <v>371</v>
      </c>
      <c r="C33" s="51">
        <f t="shared" si="35"/>
        <v>24.757586206896576</v>
      </c>
      <c r="D33" s="51">
        <v>87</v>
      </c>
      <c r="E33" s="51">
        <v>0</v>
      </c>
      <c r="F33" s="51">
        <v>2153.9100000000021</v>
      </c>
      <c r="G33" s="51">
        <v>-66.91</v>
      </c>
      <c r="H33" s="51">
        <f t="shared" si="1"/>
        <v>3.1064436304209523E-2</v>
      </c>
      <c r="I33" s="51">
        <f t="shared" si="2"/>
        <v>0.1647471167967765</v>
      </c>
      <c r="J33" s="51">
        <f t="shared" si="4"/>
        <v>354.85046233974521</v>
      </c>
      <c r="K33" s="51">
        <f t="shared" si="3"/>
        <v>4.0787409464338529</v>
      </c>
      <c r="L33" s="51">
        <v>286</v>
      </c>
      <c r="M33" s="51">
        <f t="shared" si="5"/>
        <v>0.30419580419580422</v>
      </c>
      <c r="N33" s="51">
        <v>444</v>
      </c>
      <c r="O33" s="51">
        <f t="shared" ref="O33:P33" si="43">D33/7</f>
        <v>12.428571428571429</v>
      </c>
      <c r="P33" s="51">
        <f t="shared" si="43"/>
        <v>0</v>
      </c>
      <c r="Q33" s="51">
        <f t="shared" si="7"/>
        <v>35</v>
      </c>
      <c r="R33" s="55">
        <v>0</v>
      </c>
      <c r="S33" s="53" t="s">
        <v>34</v>
      </c>
      <c r="T33" s="54" t="s">
        <v>34</v>
      </c>
      <c r="U33" s="55">
        <v>5</v>
      </c>
      <c r="V33" s="55">
        <f t="shared" si="8"/>
        <v>5.7471264367816091E-2</v>
      </c>
      <c r="W33" s="55">
        <f t="shared" si="9"/>
        <v>4.4606666666666666</v>
      </c>
      <c r="X33" s="55">
        <v>10</v>
      </c>
      <c r="Y33" s="55" t="s">
        <v>35</v>
      </c>
      <c r="Z33" s="56">
        <f t="shared" si="19"/>
        <v>-0.75</v>
      </c>
      <c r="AA33" s="55">
        <v>0.15843055555555555</v>
      </c>
      <c r="AB33" s="55">
        <f t="shared" si="27"/>
        <v>-31.01278125</v>
      </c>
      <c r="AC33" s="55">
        <v>-5.42</v>
      </c>
      <c r="AD33" s="55">
        <v>-10.41965811965812</v>
      </c>
      <c r="AE33" s="55">
        <v>0</v>
      </c>
      <c r="AF33" s="55">
        <v>2.5461538461538402</v>
      </c>
    </row>
    <row r="34" spans="1:32" s="57" customFormat="1" ht="15.75" customHeight="1">
      <c r="A34" s="2" t="s">
        <v>95</v>
      </c>
      <c r="B34" s="2" t="s">
        <v>369</v>
      </c>
      <c r="C34" s="51">
        <f t="shared" si="35"/>
        <v>26.040847457627123</v>
      </c>
      <c r="D34" s="51">
        <v>59</v>
      </c>
      <c r="E34" s="51">
        <v>0</v>
      </c>
      <c r="F34" s="51">
        <v>1536.4100000000003</v>
      </c>
      <c r="G34" s="51">
        <v>-50.849999999999994</v>
      </c>
      <c r="H34" s="51">
        <f t="shared" si="1"/>
        <v>3.3096634361921611E-2</v>
      </c>
      <c r="I34" s="51">
        <f t="shared" si="2"/>
        <v>0.19495252874569366</v>
      </c>
      <c r="J34" s="51">
        <f t="shared" si="4"/>
        <v>299.52701469017126</v>
      </c>
      <c r="K34" s="51">
        <f t="shared" si="3"/>
        <v>5.0767290625452759</v>
      </c>
      <c r="L34" s="51">
        <v>231</v>
      </c>
      <c r="M34" s="51">
        <f t="shared" si="5"/>
        <v>0.25541125541125542</v>
      </c>
      <c r="N34" s="51">
        <v>353</v>
      </c>
      <c r="O34" s="51">
        <f t="shared" ref="O34:P34" si="44">D34/7</f>
        <v>8.4285714285714288</v>
      </c>
      <c r="P34" s="51">
        <f t="shared" si="44"/>
        <v>0</v>
      </c>
      <c r="Q34" s="51">
        <f t="shared" si="7"/>
        <v>41</v>
      </c>
      <c r="R34" s="55">
        <v>0</v>
      </c>
      <c r="S34" s="53" t="s">
        <v>34</v>
      </c>
      <c r="T34" s="54" t="s">
        <v>34</v>
      </c>
      <c r="U34" s="55">
        <v>4</v>
      </c>
      <c r="V34" s="55">
        <f t="shared" si="8"/>
        <v>6.7796610169491525E-2</v>
      </c>
      <c r="W34" s="55">
        <f t="shared" si="9"/>
        <v>5.6499999999999995</v>
      </c>
      <c r="X34" s="55">
        <v>5</v>
      </c>
      <c r="Y34" s="55" t="s">
        <v>35</v>
      </c>
      <c r="Z34" s="56">
        <f t="shared" si="19"/>
        <v>-0.75</v>
      </c>
      <c r="AA34" s="55">
        <v>0.15843055555555555</v>
      </c>
      <c r="AB34" s="55">
        <f t="shared" si="27"/>
        <v>-21.031656250000001</v>
      </c>
      <c r="AC34" s="55">
        <v>-5.42</v>
      </c>
      <c r="AD34" s="55">
        <v>-10.41965811965812</v>
      </c>
      <c r="AE34" s="55">
        <v>0</v>
      </c>
      <c r="AF34" s="55">
        <v>2.0954003407155</v>
      </c>
    </row>
    <row r="35" spans="1:32" s="57" customFormat="1" ht="15.75" customHeight="1">
      <c r="A35" s="2" t="s">
        <v>96</v>
      </c>
      <c r="B35" s="2" t="s">
        <v>372</v>
      </c>
      <c r="C35" s="51">
        <f t="shared" si="35"/>
        <v>26.609649122807021</v>
      </c>
      <c r="D35" s="51">
        <v>57</v>
      </c>
      <c r="E35" s="51">
        <v>0</v>
      </c>
      <c r="F35" s="51">
        <v>1516.7500000000002</v>
      </c>
      <c r="G35" s="51">
        <v>-48.48</v>
      </c>
      <c r="H35" s="51">
        <f t="shared" si="1"/>
        <v>3.1963078951705942E-2</v>
      </c>
      <c r="I35" s="51">
        <f t="shared" si="2"/>
        <v>0.20938076046117504</v>
      </c>
      <c r="J35" s="51">
        <f t="shared" si="4"/>
        <v>317.57826842948731</v>
      </c>
      <c r="K35" s="51">
        <f t="shared" si="3"/>
        <v>5.5715485689383737</v>
      </c>
      <c r="L35" s="51">
        <v>267</v>
      </c>
      <c r="M35" s="51">
        <f t="shared" si="5"/>
        <v>0.21348314606741572</v>
      </c>
      <c r="N35" s="51">
        <v>326</v>
      </c>
      <c r="O35" s="51">
        <f t="shared" ref="O35:P35" si="45">D35/7</f>
        <v>8.1428571428571423</v>
      </c>
      <c r="P35" s="51">
        <f t="shared" si="45"/>
        <v>0</v>
      </c>
      <c r="Q35" s="51">
        <f t="shared" si="7"/>
        <v>40</v>
      </c>
      <c r="R35" s="55">
        <v>0</v>
      </c>
      <c r="S35" s="53" t="s">
        <v>34</v>
      </c>
      <c r="T35" s="54" t="s">
        <v>34</v>
      </c>
      <c r="U35" s="55">
        <v>6</v>
      </c>
      <c r="V35" s="55">
        <f t="shared" si="8"/>
        <v>0.10526315789473684</v>
      </c>
      <c r="W35" s="55">
        <f t="shared" si="9"/>
        <v>6.9257142857142853</v>
      </c>
      <c r="X35" s="55">
        <v>1</v>
      </c>
      <c r="Y35" s="55" t="s">
        <v>35</v>
      </c>
      <c r="Z35" s="56">
        <f t="shared" si="19"/>
        <v>-0.75</v>
      </c>
      <c r="AA35" s="55">
        <v>0.15843055555555555</v>
      </c>
      <c r="AB35" s="55">
        <f t="shared" si="27"/>
        <v>-20.318718750000002</v>
      </c>
      <c r="AC35" s="55">
        <v>-5.42</v>
      </c>
      <c r="AD35" s="55">
        <v>-10.41965811965812</v>
      </c>
      <c r="AE35" s="55">
        <v>0</v>
      </c>
      <c r="AF35" s="55">
        <v>1.64243614931237</v>
      </c>
    </row>
    <row r="36" spans="1:32" s="57" customFormat="1" ht="15.75" customHeight="1">
      <c r="A36" s="2" t="s">
        <v>98</v>
      </c>
      <c r="B36" s="2" t="s">
        <v>373</v>
      </c>
      <c r="C36" s="51">
        <f t="shared" si="35"/>
        <v>26.798135593220337</v>
      </c>
      <c r="D36" s="51">
        <v>59</v>
      </c>
      <c r="E36" s="51">
        <v>0</v>
      </c>
      <c r="F36" s="51">
        <v>1581.09</v>
      </c>
      <c r="G36" s="51">
        <v>-60.17</v>
      </c>
      <c r="H36" s="51">
        <f t="shared" si="1"/>
        <v>3.8056024641228522E-2</v>
      </c>
      <c r="I36" s="51">
        <f t="shared" si="2"/>
        <v>0.20756883839007945</v>
      </c>
      <c r="J36" s="51">
        <f t="shared" si="4"/>
        <v>328.1850146901707</v>
      </c>
      <c r="K36" s="51">
        <f t="shared" si="3"/>
        <v>5.5624578761045882</v>
      </c>
      <c r="L36" s="51">
        <v>214</v>
      </c>
      <c r="M36" s="51">
        <f t="shared" si="5"/>
        <v>0.27570093457943923</v>
      </c>
      <c r="N36" s="51">
        <v>259</v>
      </c>
      <c r="O36" s="51">
        <f t="shared" ref="O36:P36" si="46">D36/7</f>
        <v>8.4285714285714288</v>
      </c>
      <c r="P36" s="51">
        <f t="shared" si="46"/>
        <v>0</v>
      </c>
      <c r="Q36" s="51">
        <f t="shared" si="7"/>
        <v>30</v>
      </c>
      <c r="R36" s="55">
        <v>0</v>
      </c>
      <c r="S36" s="53"/>
      <c r="T36" s="54" t="s">
        <v>34</v>
      </c>
      <c r="U36" s="55"/>
      <c r="V36" s="55">
        <f t="shared" si="8"/>
        <v>0</v>
      </c>
      <c r="W36" s="55">
        <f t="shared" si="9"/>
        <v>0</v>
      </c>
      <c r="X36" s="55"/>
      <c r="Y36" s="55" t="s">
        <v>35</v>
      </c>
      <c r="Z36" s="56">
        <f t="shared" si="19"/>
        <v>-0.75</v>
      </c>
      <c r="AA36" s="55">
        <v>0.15843055555555555</v>
      </c>
      <c r="AB36" s="55">
        <f t="shared" si="27"/>
        <v>-21.031656250000001</v>
      </c>
      <c r="AC36" s="55">
        <v>-5.42</v>
      </c>
      <c r="AD36" s="55">
        <v>-10.41965811965812</v>
      </c>
      <c r="AE36" s="55">
        <v>0</v>
      </c>
      <c r="AF36" s="55">
        <v>2.1728395061728301</v>
      </c>
    </row>
    <row r="37" spans="1:32" s="57" customFormat="1" ht="15.75" customHeight="1">
      <c r="A37" s="2" t="s">
        <v>99</v>
      </c>
      <c r="B37" s="2" t="s">
        <v>374</v>
      </c>
      <c r="C37" s="51">
        <f t="shared" si="35"/>
        <v>26.136153846153853</v>
      </c>
      <c r="D37" s="51">
        <v>52</v>
      </c>
      <c r="E37" s="51">
        <v>0</v>
      </c>
      <c r="F37" s="51">
        <v>1359.0800000000004</v>
      </c>
      <c r="G37" s="51">
        <v>-76.210000000000008</v>
      </c>
      <c r="H37" s="51">
        <f t="shared" si="1"/>
        <v>5.6074697589545856E-2</v>
      </c>
      <c r="I37" s="51">
        <f t="shared" si="2"/>
        <v>0.17424243074563531</v>
      </c>
      <c r="J37" s="51">
        <f t="shared" si="4"/>
        <v>236.8094027777781</v>
      </c>
      <c r="K37" s="51">
        <f t="shared" si="3"/>
        <v>4.5540269764957326</v>
      </c>
      <c r="L37" s="51">
        <v>197</v>
      </c>
      <c r="M37" s="51">
        <f t="shared" si="5"/>
        <v>0.26395939086294418</v>
      </c>
      <c r="N37" s="51">
        <v>221</v>
      </c>
      <c r="O37" s="51">
        <f t="shared" ref="O37:P37" si="47">D37/7</f>
        <v>7.4285714285714288</v>
      </c>
      <c r="P37" s="51">
        <f t="shared" si="47"/>
        <v>0</v>
      </c>
      <c r="Q37" s="51">
        <f t="shared" si="7"/>
        <v>29</v>
      </c>
      <c r="R37" s="55">
        <v>414</v>
      </c>
      <c r="S37" s="53">
        <v>414</v>
      </c>
      <c r="T37" s="54">
        <v>44078</v>
      </c>
      <c r="U37" s="55">
        <v>17</v>
      </c>
      <c r="V37" s="55">
        <f t="shared" si="8"/>
        <v>0.32692307692307693</v>
      </c>
      <c r="W37" s="55">
        <f t="shared" si="9"/>
        <v>2.7217857142857147</v>
      </c>
      <c r="X37" s="55">
        <v>11</v>
      </c>
      <c r="Y37" s="55" t="s">
        <v>35</v>
      </c>
      <c r="Z37" s="56">
        <f t="shared" si="19"/>
        <v>-0.75</v>
      </c>
      <c r="AA37" s="55">
        <v>0.15843055555555555</v>
      </c>
      <c r="AB37" s="55">
        <f t="shared" si="27"/>
        <v>-18.536375</v>
      </c>
      <c r="AC37" s="55">
        <v>-5.42</v>
      </c>
      <c r="AD37" s="55">
        <v>-10.41965811965812</v>
      </c>
      <c r="AE37" s="55">
        <v>0</v>
      </c>
      <c r="AF37" s="55">
        <v>2.6082089552238799</v>
      </c>
    </row>
    <row r="38" spans="1:32" s="57" customFormat="1" ht="15.75" customHeight="1">
      <c r="A38" s="2" t="s">
        <v>100</v>
      </c>
      <c r="B38" s="2" t="s">
        <v>375</v>
      </c>
      <c r="C38" s="51">
        <f t="shared" si="35"/>
        <v>24.845161290322579</v>
      </c>
      <c r="D38" s="51">
        <v>62</v>
      </c>
      <c r="E38" s="51">
        <v>0</v>
      </c>
      <c r="F38" s="51">
        <v>1540.3999999999999</v>
      </c>
      <c r="G38" s="51">
        <v>-72.64</v>
      </c>
      <c r="H38" s="51">
        <f t="shared" si="1"/>
        <v>4.7156582705790706E-2</v>
      </c>
      <c r="I38" s="51">
        <f t="shared" si="2"/>
        <v>0.15096087644845255</v>
      </c>
      <c r="J38" s="51">
        <f t="shared" si="4"/>
        <v>232.5401340811963</v>
      </c>
      <c r="K38" s="51">
        <f t="shared" si="3"/>
        <v>3.7506473238902629</v>
      </c>
      <c r="L38" s="51">
        <v>188</v>
      </c>
      <c r="M38" s="51">
        <f t="shared" si="5"/>
        <v>0.32978723404255317</v>
      </c>
      <c r="N38" s="51">
        <v>163</v>
      </c>
      <c r="O38" s="51">
        <f t="shared" ref="O38:P38" si="48">D38/7</f>
        <v>8.8571428571428577</v>
      </c>
      <c r="P38" s="51">
        <f t="shared" si="48"/>
        <v>0</v>
      </c>
      <c r="Q38" s="51">
        <f t="shared" si="7"/>
        <v>18</v>
      </c>
      <c r="R38" s="55">
        <v>414</v>
      </c>
      <c r="S38" s="53"/>
      <c r="T38" s="54">
        <v>44078</v>
      </c>
      <c r="U38" s="55">
        <v>6</v>
      </c>
      <c r="V38" s="55">
        <f t="shared" si="8"/>
        <v>9.6774193548387094E-2</v>
      </c>
      <c r="W38" s="55">
        <f t="shared" si="9"/>
        <v>6.0533333333333337</v>
      </c>
      <c r="X38" s="55">
        <v>6</v>
      </c>
      <c r="Y38" s="55" t="s">
        <v>35</v>
      </c>
      <c r="Z38" s="56">
        <f t="shared" si="19"/>
        <v>-0.75</v>
      </c>
      <c r="AA38" s="55">
        <v>0.15843055555555555</v>
      </c>
      <c r="AB38" s="55">
        <f t="shared" si="27"/>
        <v>-22.101062499999998</v>
      </c>
      <c r="AC38" s="55">
        <v>-5.42</v>
      </c>
      <c r="AD38" s="55">
        <v>-10.41965811965812</v>
      </c>
      <c r="AE38" s="55">
        <v>0</v>
      </c>
      <c r="AF38" s="55">
        <v>2.30549285176824</v>
      </c>
    </row>
    <row r="39" spans="1:32" s="57" customFormat="1" ht="15.75" customHeight="1">
      <c r="A39" s="2" t="s">
        <v>101</v>
      </c>
      <c r="B39" s="2" t="s">
        <v>376</v>
      </c>
      <c r="C39" s="51">
        <f t="shared" si="35"/>
        <v>25.805263157894739</v>
      </c>
      <c r="D39" s="51">
        <v>38</v>
      </c>
      <c r="E39" s="51">
        <v>0</v>
      </c>
      <c r="F39" s="51">
        <v>980.60000000000014</v>
      </c>
      <c r="G39" s="51">
        <v>-65.599999999999994</v>
      </c>
      <c r="H39" s="51">
        <f t="shared" si="1"/>
        <v>6.6897817662655498E-2</v>
      </c>
      <c r="I39" s="51">
        <f t="shared" si="2"/>
        <v>0.15547336217927005</v>
      </c>
      <c r="J39" s="51">
        <f>F39*0.85+G39+AD39*D39+D39*AC39+AE40+AB39</f>
        <v>152.45717895299222</v>
      </c>
      <c r="K39" s="51">
        <f t="shared" si="3"/>
        <v>4.012031025078743</v>
      </c>
      <c r="L39" s="51">
        <v>168</v>
      </c>
      <c r="M39" s="51">
        <f t="shared" si="5"/>
        <v>0.22619047619047619</v>
      </c>
      <c r="N39" s="51">
        <v>147</v>
      </c>
      <c r="O39" s="51">
        <f t="shared" ref="O39:P39" si="49">D39/7</f>
        <v>5.4285714285714288</v>
      </c>
      <c r="P39" s="51">
        <f t="shared" si="49"/>
        <v>0</v>
      </c>
      <c r="Q39" s="51">
        <f t="shared" si="7"/>
        <v>27</v>
      </c>
      <c r="R39" s="55">
        <v>414</v>
      </c>
      <c r="S39" s="53">
        <v>414</v>
      </c>
      <c r="T39" s="54">
        <v>44078</v>
      </c>
      <c r="U39" s="55">
        <v>5</v>
      </c>
      <c r="V39" s="55">
        <f t="shared" si="8"/>
        <v>0.13157894736842105</v>
      </c>
      <c r="W39" s="55">
        <f t="shared" si="9"/>
        <v>9.3714285714285701</v>
      </c>
      <c r="X39" s="55">
        <v>2</v>
      </c>
      <c r="Y39" s="55" t="s">
        <v>35</v>
      </c>
      <c r="Z39" s="56">
        <f t="shared" si="19"/>
        <v>-0.75</v>
      </c>
      <c r="AA39" s="55">
        <v>0.15843055555555555</v>
      </c>
      <c r="AB39" s="55">
        <f t="shared" si="27"/>
        <v>-13.5458125</v>
      </c>
      <c r="AC39" s="55">
        <v>-5.42</v>
      </c>
      <c r="AD39" s="55">
        <v>-10.4196581196581</v>
      </c>
      <c r="AE39" s="55">
        <v>0</v>
      </c>
      <c r="AF39" s="55">
        <v>2.0518806744487601</v>
      </c>
    </row>
    <row r="40" spans="1:32" s="57" customFormat="1" ht="15.75" customHeight="1">
      <c r="A40" s="2" t="s">
        <v>102</v>
      </c>
      <c r="B40" s="2" t="s">
        <v>377</v>
      </c>
      <c r="C40" s="51">
        <v>24.067142857142866</v>
      </c>
      <c r="D40" s="51">
        <v>49</v>
      </c>
      <c r="E40" s="51">
        <v>0</v>
      </c>
      <c r="F40" s="51">
        <v>1179.2900000000004</v>
      </c>
      <c r="G40" s="51">
        <v>-59.96</v>
      </c>
      <c r="H40" s="51">
        <v>5.0844151989756531E-2</v>
      </c>
      <c r="I40" s="51">
        <v>0.12619990281165214</v>
      </c>
      <c r="J40" s="51">
        <v>148.82628338675332</v>
      </c>
      <c r="K40" s="51">
        <v>3.0372710895255781</v>
      </c>
      <c r="L40" s="51">
        <v>162</v>
      </c>
      <c r="M40" s="51">
        <v>0.30246913580246915</v>
      </c>
      <c r="N40" s="51">
        <v>62</v>
      </c>
      <c r="O40" s="51">
        <v>7</v>
      </c>
      <c r="P40" s="51">
        <v>0</v>
      </c>
      <c r="Q40" s="51">
        <v>8</v>
      </c>
      <c r="R40" s="55">
        <v>414</v>
      </c>
      <c r="S40" s="53">
        <v>414</v>
      </c>
      <c r="T40" s="54">
        <v>44078</v>
      </c>
      <c r="U40" s="55">
        <v>6</v>
      </c>
      <c r="V40" s="55">
        <v>0.12244897959183673</v>
      </c>
      <c r="W40" s="55">
        <v>5.4509090909090911</v>
      </c>
      <c r="X40" s="55">
        <v>5</v>
      </c>
      <c r="Y40" s="55" t="s">
        <v>35</v>
      </c>
      <c r="Z40" s="56">
        <v>-0.75</v>
      </c>
      <c r="AA40" s="55">
        <v>0.15843055555555555</v>
      </c>
      <c r="AB40" s="55">
        <v>-17.466968749999999</v>
      </c>
      <c r="AC40" s="55">
        <v>-5.42</v>
      </c>
      <c r="AD40" s="55">
        <v>-10.4196581196581</v>
      </c>
      <c r="AE40" s="55">
        <v>0</v>
      </c>
      <c r="AF40" s="55">
        <v>2.22913719943422</v>
      </c>
    </row>
    <row r="41" spans="1:32" s="57" customFormat="1" ht="15.75" customHeight="1">
      <c r="A41" s="2" t="s">
        <v>105</v>
      </c>
      <c r="B41" s="2" t="s">
        <v>46</v>
      </c>
      <c r="C41" s="51">
        <f t="shared" ref="C41:C56" si="50">IFERROR(F41/D41," - ")</f>
        <v>23.013877551020418</v>
      </c>
      <c r="D41" s="51">
        <v>49</v>
      </c>
      <c r="E41" s="51">
        <v>2</v>
      </c>
      <c r="F41" s="51">
        <v>1127.6800000000005</v>
      </c>
      <c r="G41" s="51">
        <v>-43.21</v>
      </c>
      <c r="H41" s="51">
        <f t="shared" ref="H41:H56" si="51">G41/F41*-1</f>
        <v>3.8317607832009062E-2</v>
      </c>
      <c r="I41" s="51">
        <f t="shared" ref="I41:I56" si="52">J41/F41</f>
        <v>0.10792758884324749</v>
      </c>
      <c r="J41" s="51">
        <f t="shared" ref="J41:J48" si="53">F41*0.85+G41+AD41*D41+D41*AC41+AE42+AB41</f>
        <v>121.70778338675339</v>
      </c>
      <c r="K41" s="51">
        <f t="shared" ref="K41:K56" si="54">J41/D41</f>
        <v>2.4838323140153755</v>
      </c>
      <c r="L41" s="51">
        <v>139</v>
      </c>
      <c r="M41" s="51">
        <f t="shared" ref="M41:M56" si="55">IFERROR(D41/L41,"-")</f>
        <v>0.35251798561151076</v>
      </c>
      <c r="N41" s="51">
        <v>19</v>
      </c>
      <c r="O41" s="51">
        <f t="shared" ref="O41:P41" si="56">D41/7</f>
        <v>7</v>
      </c>
      <c r="P41" s="51">
        <f t="shared" si="56"/>
        <v>0.2857142857142857</v>
      </c>
      <c r="Q41" s="51">
        <f t="shared" ref="Q41:Q56" si="57">ROUNDDOWN(N41/(O41+P41),0)</f>
        <v>2</v>
      </c>
      <c r="R41" s="55">
        <v>414</v>
      </c>
      <c r="S41" s="53">
        <v>414</v>
      </c>
      <c r="T41" s="54">
        <v>44078</v>
      </c>
      <c r="U41" s="55">
        <v>6</v>
      </c>
      <c r="V41" s="55">
        <f t="shared" ref="V41:V56" si="58">IFERROR(U41/D41,0)</f>
        <v>0.12244897959183673</v>
      </c>
      <c r="W41" s="55">
        <f t="shared" ref="W41:W56" si="59">IFERROR(G41/(U41+X41)*-1,0)</f>
        <v>3.9281818181818182</v>
      </c>
      <c r="X41" s="55">
        <v>5</v>
      </c>
      <c r="Y41" s="52" t="s">
        <v>35</v>
      </c>
      <c r="Z41" s="56">
        <f t="shared" ref="Z41:Z43" si="60">IF(OR(Y41="UsLargeStandardSize",Y41="UsSmallStandardSize"),-0.75,-0.48)</f>
        <v>-0.75</v>
      </c>
      <c r="AA41" s="55">
        <v>0.15843055555555555</v>
      </c>
      <c r="AB41" s="55">
        <f t="shared" ref="AB41:AB56" si="61">IFERROR(Z41*AA41*D41*3,0)</f>
        <v>-17.466968749999999</v>
      </c>
      <c r="AC41" s="55">
        <v>-5.42</v>
      </c>
      <c r="AD41" s="55">
        <v>-10.4196581196581</v>
      </c>
      <c r="AE41" s="55">
        <v>0</v>
      </c>
      <c r="AF41" s="55">
        <v>2.6761819803746598</v>
      </c>
    </row>
    <row r="42" spans="1:32" s="57" customFormat="1" ht="15.75" customHeight="1">
      <c r="A42" s="2" t="s">
        <v>106</v>
      </c>
      <c r="B42" s="2" t="s">
        <v>378</v>
      </c>
      <c r="C42" s="51">
        <f t="shared" si="50"/>
        <v>22.990000000000006</v>
      </c>
      <c r="D42" s="51">
        <v>25</v>
      </c>
      <c r="E42" s="51">
        <v>0</v>
      </c>
      <c r="F42" s="51">
        <v>574.75000000000011</v>
      </c>
      <c r="G42" s="51">
        <v>-25.519999999999996</v>
      </c>
      <c r="H42" s="51">
        <f t="shared" si="51"/>
        <v>4.4401913875598067E-2</v>
      </c>
      <c r="I42" s="51">
        <f t="shared" si="52"/>
        <v>0.10111235886654649</v>
      </c>
      <c r="J42" s="51">
        <f t="shared" si="53"/>
        <v>58.114328258547609</v>
      </c>
      <c r="K42" s="51">
        <f t="shared" si="54"/>
        <v>2.3245731303419044</v>
      </c>
      <c r="L42" s="51">
        <v>119</v>
      </c>
      <c r="M42" s="51">
        <f t="shared" si="55"/>
        <v>0.21008403361344538</v>
      </c>
      <c r="N42" s="51">
        <v>0</v>
      </c>
      <c r="O42" s="51">
        <f t="shared" ref="O42:P42" si="62">D42/7</f>
        <v>3.5714285714285716</v>
      </c>
      <c r="P42" s="51">
        <f t="shared" si="62"/>
        <v>0</v>
      </c>
      <c r="Q42" s="51">
        <f t="shared" si="57"/>
        <v>0</v>
      </c>
      <c r="R42" s="55">
        <f ca="1">IFERROR(__xludf.DUMMYFUNCTION("IFERROR(VLOOKUP($B$2,IMPORTRANGE(""https://docs.google.com/spreadsheets/d/1iVgg6Mw12RULLujzHmfOFIY8Q_KaAD8anoZzgtVAQ74/edit#gid=1503384807"",""Second Star - Summary!A1:AD2000""),9,FALSE),"""")"),1870)</f>
        <v>1870</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1</v>
      </c>
      <c r="V42" s="55">
        <f t="shared" si="58"/>
        <v>0.04</v>
      </c>
      <c r="W42" s="55">
        <f t="shared" si="59"/>
        <v>12.759999999999998</v>
      </c>
      <c r="X42" s="55">
        <v>1</v>
      </c>
      <c r="Y42" s="55" t="s">
        <v>35</v>
      </c>
      <c r="Z42" s="56">
        <f t="shared" si="60"/>
        <v>-0.75</v>
      </c>
      <c r="AA42" s="55">
        <v>0.15843055555555555</v>
      </c>
      <c r="AB42" s="55">
        <f t="shared" si="61"/>
        <v>-8.9117187500000004</v>
      </c>
      <c r="AC42" s="55">
        <v>-5.42</v>
      </c>
      <c r="AD42" s="55">
        <v>-10.4196581196581</v>
      </c>
      <c r="AE42" s="55">
        <v>0</v>
      </c>
      <c r="AF42" s="55">
        <v>3.2962542565266699</v>
      </c>
    </row>
    <row r="43" spans="1:32" s="57" customFormat="1" ht="15.75" customHeight="1">
      <c r="A43" s="2" t="s">
        <v>107</v>
      </c>
      <c r="B43" s="2" t="s">
        <v>379</v>
      </c>
      <c r="C43" s="51">
        <f t="shared" si="50"/>
        <v>22.990000000000002</v>
      </c>
      <c r="D43" s="51">
        <v>8</v>
      </c>
      <c r="E43" s="51">
        <v>0</v>
      </c>
      <c r="F43" s="51">
        <v>183.92000000000002</v>
      </c>
      <c r="G43" s="51">
        <v>0</v>
      </c>
      <c r="H43" s="51">
        <f t="shared" si="51"/>
        <v>0</v>
      </c>
      <c r="I43" s="51">
        <f t="shared" si="52"/>
        <v>0.14551427274214451</v>
      </c>
      <c r="J43" s="51">
        <f t="shared" si="53"/>
        <v>26.76298504273522</v>
      </c>
      <c r="K43" s="51">
        <f t="shared" si="54"/>
        <v>3.3453731303419025</v>
      </c>
      <c r="L43" s="51">
        <v>42</v>
      </c>
      <c r="M43" s="51">
        <f t="shared" si="55"/>
        <v>0.19047619047619047</v>
      </c>
      <c r="N43" s="51">
        <v>0</v>
      </c>
      <c r="O43" s="51">
        <f t="shared" ref="O43:P43" si="63">D43/7</f>
        <v>1.1428571428571428</v>
      </c>
      <c r="P43" s="51">
        <f t="shared" si="63"/>
        <v>0</v>
      </c>
      <c r="Q43" s="51">
        <f t="shared" si="57"/>
        <v>0</v>
      </c>
      <c r="R43" s="55">
        <v>148</v>
      </c>
      <c r="S43" s="53">
        <v>148</v>
      </c>
      <c r="T43" s="54">
        <v>44137</v>
      </c>
      <c r="U43" s="55">
        <v>0</v>
      </c>
      <c r="V43" s="55">
        <f t="shared" si="58"/>
        <v>0</v>
      </c>
      <c r="W43" s="55">
        <f t="shared" si="59"/>
        <v>0</v>
      </c>
      <c r="X43" s="55">
        <v>0</v>
      </c>
      <c r="Y43" s="55" t="s">
        <v>35</v>
      </c>
      <c r="Z43" s="56">
        <f t="shared" si="60"/>
        <v>-0.75</v>
      </c>
      <c r="AA43" s="55">
        <v>0.15843055555555555</v>
      </c>
      <c r="AB43" s="55">
        <f t="shared" si="61"/>
        <v>-2.85175</v>
      </c>
      <c r="AC43" s="55">
        <v>-5.42</v>
      </c>
      <c r="AD43" s="55">
        <v>-10.4196581196581</v>
      </c>
      <c r="AE43" s="55">
        <v>0</v>
      </c>
      <c r="AF43" s="55" t="e">
        <v>#N/A</v>
      </c>
    </row>
    <row r="44" spans="1:32" s="57" customFormat="1" ht="15.75" customHeight="1">
      <c r="A44" s="2" t="s">
        <v>108</v>
      </c>
      <c r="B44" s="2" t="s">
        <v>168</v>
      </c>
      <c r="C44" s="51">
        <f t="shared" si="50"/>
        <v>22.99</v>
      </c>
      <c r="D44" s="51">
        <v>3</v>
      </c>
      <c r="E44" s="51">
        <v>2</v>
      </c>
      <c r="F44" s="51">
        <v>68.97</v>
      </c>
      <c r="G44" s="51">
        <v>0</v>
      </c>
      <c r="H44" s="51">
        <f t="shared" si="51"/>
        <v>0</v>
      </c>
      <c r="I44" s="51">
        <f t="shared" si="52"/>
        <v>0.11140243063688127</v>
      </c>
      <c r="J44" s="51">
        <f t="shared" si="53"/>
        <v>7.6834256410257007</v>
      </c>
      <c r="K44" s="51">
        <f t="shared" si="54"/>
        <v>2.5611418803419004</v>
      </c>
      <c r="L44" s="51">
        <v>26</v>
      </c>
      <c r="M44" s="51">
        <f t="shared" si="55"/>
        <v>0.11538461538461539</v>
      </c>
      <c r="N44" s="51">
        <v>0</v>
      </c>
      <c r="O44" s="51">
        <f t="shared" ref="O44:P44" si="64">D44/7</f>
        <v>0.42857142857142855</v>
      </c>
      <c r="P44" s="51">
        <f t="shared" si="64"/>
        <v>0.2857142857142857</v>
      </c>
      <c r="Q44" s="51">
        <f t="shared" si="57"/>
        <v>0</v>
      </c>
      <c r="R44" s="55">
        <v>60</v>
      </c>
      <c r="S44" s="53">
        <v>60</v>
      </c>
      <c r="T44" s="54">
        <v>44137</v>
      </c>
      <c r="U44" s="55">
        <v>0</v>
      </c>
      <c r="V44" s="55">
        <f t="shared" si="58"/>
        <v>0</v>
      </c>
      <c r="W44" s="55">
        <f t="shared" si="59"/>
        <v>0</v>
      </c>
      <c r="X44" s="55">
        <v>0</v>
      </c>
      <c r="Y44" s="55" t="s">
        <v>35</v>
      </c>
      <c r="Z44" s="56">
        <f t="shared" ref="Z44:Z56" si="65">IF(OR(Y44="UsLargeStandardSize",Y44="UsSmallStandardSize"),-2.4,-1.2)</f>
        <v>-2.4</v>
      </c>
      <c r="AA44" s="55">
        <v>0.15843055555555555</v>
      </c>
      <c r="AB44" s="55">
        <f t="shared" si="61"/>
        <v>-3.4220999999999995</v>
      </c>
      <c r="AC44" s="55">
        <v>-5.42</v>
      </c>
      <c r="AD44" s="55">
        <v>-10.4196581196581</v>
      </c>
      <c r="AE44" s="55">
        <v>0</v>
      </c>
      <c r="AF44" s="55" t="e">
        <v>#N/A</v>
      </c>
    </row>
    <row r="45" spans="1:32" s="57" customFormat="1" ht="15.75" customHeight="1">
      <c r="A45" s="2" t="s">
        <v>109</v>
      </c>
      <c r="B45" s="2" t="s">
        <v>380</v>
      </c>
      <c r="C45" s="51">
        <f t="shared" si="50"/>
        <v>22.99</v>
      </c>
      <c r="D45" s="51">
        <v>3</v>
      </c>
      <c r="E45" s="51">
        <v>0</v>
      </c>
      <c r="F45" s="51">
        <v>68.97</v>
      </c>
      <c r="G45" s="51">
        <v>0</v>
      </c>
      <c r="H45" s="51">
        <f t="shared" si="51"/>
        <v>0</v>
      </c>
      <c r="I45" s="51">
        <f t="shared" si="52"/>
        <v>0.11140243063688127</v>
      </c>
      <c r="J45" s="51">
        <f t="shared" si="53"/>
        <v>7.6834256410257007</v>
      </c>
      <c r="K45" s="51">
        <f t="shared" si="54"/>
        <v>2.5611418803419004</v>
      </c>
      <c r="L45" s="51">
        <v>59</v>
      </c>
      <c r="M45" s="51">
        <f t="shared" si="55"/>
        <v>5.0847457627118647E-2</v>
      </c>
      <c r="N45" s="51">
        <v>295</v>
      </c>
      <c r="O45" s="51">
        <f t="shared" ref="O45:P45" si="66">D45/7</f>
        <v>0.42857142857142855</v>
      </c>
      <c r="P45" s="51">
        <f t="shared" si="66"/>
        <v>0</v>
      </c>
      <c r="Q45" s="51">
        <f t="shared" si="57"/>
        <v>688</v>
      </c>
      <c r="R45" s="55">
        <v>60</v>
      </c>
      <c r="S45" s="53">
        <v>60</v>
      </c>
      <c r="T45" s="54">
        <v>44137</v>
      </c>
      <c r="U45" s="55">
        <v>0</v>
      </c>
      <c r="V45" s="55">
        <f t="shared" si="58"/>
        <v>0</v>
      </c>
      <c r="W45" s="55">
        <f t="shared" si="59"/>
        <v>0</v>
      </c>
      <c r="X45" s="55">
        <v>0</v>
      </c>
      <c r="Y45" s="55" t="s">
        <v>35</v>
      </c>
      <c r="Z45" s="56">
        <f t="shared" si="65"/>
        <v>-2.4</v>
      </c>
      <c r="AA45" s="55">
        <v>0.15843055555555555</v>
      </c>
      <c r="AB45" s="55">
        <f t="shared" si="61"/>
        <v>-3.4220999999999995</v>
      </c>
      <c r="AC45" s="55">
        <v>-5.42</v>
      </c>
      <c r="AD45" s="55">
        <v>-10.4196581196581</v>
      </c>
      <c r="AE45" s="55">
        <v>0</v>
      </c>
      <c r="AF45" s="55">
        <v>1.8407079646017599</v>
      </c>
    </row>
    <row r="46" spans="1:32" s="57" customFormat="1" ht="15.75" customHeight="1">
      <c r="A46" s="2" t="s">
        <v>111</v>
      </c>
      <c r="B46" s="2" t="s">
        <v>381</v>
      </c>
      <c r="C46" s="51">
        <f t="shared" si="50"/>
        <v>23.021176470588244</v>
      </c>
      <c r="D46" s="51">
        <v>34</v>
      </c>
      <c r="E46" s="51">
        <v>0</v>
      </c>
      <c r="F46" s="51">
        <v>782.72000000000025</v>
      </c>
      <c r="G46" s="51">
        <v>-0.21</v>
      </c>
      <c r="H46" s="51">
        <f t="shared" si="51"/>
        <v>2.6829517579721987E-4</v>
      </c>
      <c r="I46" s="51">
        <f t="shared" si="52"/>
        <v>9.9506335511581112E-2</v>
      </c>
      <c r="J46" s="51">
        <f t="shared" si="53"/>
        <v>77.885598931624799</v>
      </c>
      <c r="K46" s="51">
        <f t="shared" si="54"/>
        <v>2.2907529097536705</v>
      </c>
      <c r="L46" s="51">
        <v>114</v>
      </c>
      <c r="M46" s="51">
        <f t="shared" si="55"/>
        <v>0.2982456140350877</v>
      </c>
      <c r="N46" s="51">
        <v>251</v>
      </c>
      <c r="O46" s="51">
        <f t="shared" ref="O46:P46" si="67">D46/7</f>
        <v>4.8571428571428568</v>
      </c>
      <c r="P46" s="51">
        <f t="shared" si="67"/>
        <v>0</v>
      </c>
      <c r="Q46" s="51">
        <f t="shared" si="57"/>
        <v>51</v>
      </c>
      <c r="R46" s="55">
        <v>0</v>
      </c>
      <c r="S46" s="53" t="s">
        <v>34</v>
      </c>
      <c r="T46" s="54" t="s">
        <v>34</v>
      </c>
      <c r="U46" s="55">
        <v>1</v>
      </c>
      <c r="V46" s="55">
        <f t="shared" si="58"/>
        <v>2.9411764705882353E-2</v>
      </c>
      <c r="W46" s="55">
        <f t="shared" si="59"/>
        <v>0.21</v>
      </c>
      <c r="X46" s="55">
        <v>0</v>
      </c>
      <c r="Y46" s="55" t="s">
        <v>35</v>
      </c>
      <c r="Z46" s="56">
        <f t="shared" si="65"/>
        <v>-2.4</v>
      </c>
      <c r="AA46" s="55">
        <v>0.19880729166666666</v>
      </c>
      <c r="AB46" s="55">
        <f t="shared" si="61"/>
        <v>-48.668025</v>
      </c>
      <c r="AC46" s="55">
        <v>-5.42</v>
      </c>
      <c r="AD46" s="55">
        <v>-10.4196581196581</v>
      </c>
      <c r="AE46" s="55">
        <v>0</v>
      </c>
      <c r="AF46" s="55">
        <v>2.1732283464566899</v>
      </c>
    </row>
    <row r="47" spans="1:32" s="57" customFormat="1" ht="15.75" customHeight="1">
      <c r="A47" s="2" t="s">
        <v>113</v>
      </c>
      <c r="B47" s="2" t="s">
        <v>382</v>
      </c>
      <c r="C47" s="51">
        <f t="shared" si="50"/>
        <v>22.990000000000006</v>
      </c>
      <c r="D47" s="51">
        <v>41</v>
      </c>
      <c r="E47" s="51">
        <v>0</v>
      </c>
      <c r="F47" s="51">
        <v>942.59000000000026</v>
      </c>
      <c r="G47" s="51">
        <v>-0.4</v>
      </c>
      <c r="H47" s="51">
        <f t="shared" si="51"/>
        <v>4.2436266032951753E-4</v>
      </c>
      <c r="I47" s="51">
        <f t="shared" si="52"/>
        <v>9.8332896162719841E-2</v>
      </c>
      <c r="J47" s="51">
        <f t="shared" si="53"/>
        <v>92.687604594018126</v>
      </c>
      <c r="K47" s="51">
        <f t="shared" si="54"/>
        <v>2.2606732827809299</v>
      </c>
      <c r="L47" s="51">
        <v>149</v>
      </c>
      <c r="M47" s="51">
        <f t="shared" si="55"/>
        <v>0.27516778523489932</v>
      </c>
      <c r="N47" s="51">
        <v>256</v>
      </c>
      <c r="O47" s="51">
        <f t="shared" ref="O47:P47" si="68">D47/7</f>
        <v>5.8571428571428568</v>
      </c>
      <c r="P47" s="51">
        <f t="shared" si="68"/>
        <v>0</v>
      </c>
      <c r="Q47" s="51">
        <f t="shared" si="57"/>
        <v>43</v>
      </c>
      <c r="R47" s="55">
        <v>0</v>
      </c>
      <c r="S47" s="53" t="s">
        <v>34</v>
      </c>
      <c r="T47" s="54" t="s">
        <v>34</v>
      </c>
      <c r="U47" s="55">
        <v>0</v>
      </c>
      <c r="V47" s="55">
        <f t="shared" si="58"/>
        <v>0</v>
      </c>
      <c r="W47" s="55">
        <f t="shared" si="59"/>
        <v>0</v>
      </c>
      <c r="X47" s="55">
        <v>0</v>
      </c>
      <c r="Y47" s="55" t="s">
        <v>35</v>
      </c>
      <c r="Z47" s="56">
        <f t="shared" si="65"/>
        <v>-2.4</v>
      </c>
      <c r="AA47" s="55">
        <v>0.19880729166666666</v>
      </c>
      <c r="AB47" s="55">
        <f t="shared" si="61"/>
        <v>-58.687912500000003</v>
      </c>
      <c r="AC47" s="55">
        <v>-5.42</v>
      </c>
      <c r="AD47" s="55">
        <v>-10.4196581196581</v>
      </c>
      <c r="AE47" s="55">
        <v>0</v>
      </c>
      <c r="AF47" s="55">
        <v>2.4104575163398598</v>
      </c>
    </row>
    <row r="48" spans="1:32" s="57" customFormat="1" ht="15.75" customHeight="1">
      <c r="A48" s="2" t="s">
        <v>115</v>
      </c>
      <c r="B48" s="2" t="s">
        <v>383</v>
      </c>
      <c r="C48" s="51">
        <f t="shared" si="50"/>
        <v>22.990000000000006</v>
      </c>
      <c r="D48" s="51">
        <v>52</v>
      </c>
      <c r="E48" s="51">
        <v>0</v>
      </c>
      <c r="F48" s="51">
        <v>1195.4800000000002</v>
      </c>
      <c r="G48" s="51">
        <v>0</v>
      </c>
      <c r="H48" s="51">
        <f t="shared" si="51"/>
        <v>0</v>
      </c>
      <c r="I48" s="51">
        <f t="shared" si="52"/>
        <v>9.8757258823049296E-2</v>
      </c>
      <c r="J48" s="51">
        <f t="shared" si="53"/>
        <v>118.06232777777899</v>
      </c>
      <c r="K48" s="51">
        <f t="shared" si="54"/>
        <v>2.2704293803419038</v>
      </c>
      <c r="L48" s="51">
        <v>143</v>
      </c>
      <c r="M48" s="51">
        <f t="shared" si="55"/>
        <v>0.36363636363636365</v>
      </c>
      <c r="N48" s="51">
        <v>222</v>
      </c>
      <c r="O48" s="51">
        <f t="shared" ref="O48:P48" si="69">D48/7</f>
        <v>7.4285714285714288</v>
      </c>
      <c r="P48" s="51">
        <f t="shared" si="69"/>
        <v>0</v>
      </c>
      <c r="Q48" s="51">
        <f t="shared" si="57"/>
        <v>29</v>
      </c>
      <c r="R48" s="55">
        <f ca="1">IFERROR(__xludf.DUMMYFUNCTION("IFERROR(VLOOKUP($B$2,IMPORTRANGE(""https://docs.google.com/spreadsheets/d/1iVgg6Mw12RULLujzHmfOFIY8Q_KaAD8anoZzgtVAQ74/edit#gid=1503384807"",""Second Star - Summary!A1:AD2000""),9,FALSE),"""")"),1870)</f>
        <v>1870</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si="58"/>
        <v>0</v>
      </c>
      <c r="W48" s="55">
        <f t="shared" si="59"/>
        <v>0</v>
      </c>
      <c r="X48" s="55">
        <v>0</v>
      </c>
      <c r="Y48" s="55" t="s">
        <v>35</v>
      </c>
      <c r="Z48" s="56">
        <f t="shared" si="65"/>
        <v>-2.4</v>
      </c>
      <c r="AA48" s="55">
        <v>0.19880729166666666</v>
      </c>
      <c r="AB48" s="55">
        <f t="shared" si="61"/>
        <v>-74.433449999999993</v>
      </c>
      <c r="AC48" s="55">
        <v>-5.42</v>
      </c>
      <c r="AD48" s="55">
        <v>-10.4196581196581</v>
      </c>
      <c r="AE48" s="55">
        <v>0</v>
      </c>
      <c r="AF48" s="55">
        <v>2.6685962373371899</v>
      </c>
    </row>
    <row r="49" spans="1:32" s="57" customFormat="1" ht="15.75" customHeight="1">
      <c r="A49" s="2" t="s">
        <v>117</v>
      </c>
      <c r="B49" s="2" t="s">
        <v>384</v>
      </c>
      <c r="C49" s="51">
        <f t="shared" si="50"/>
        <v>23.030952380952382</v>
      </c>
      <c r="D49" s="51">
        <v>63</v>
      </c>
      <c r="E49" s="51">
        <v>0</v>
      </c>
      <c r="F49" s="51">
        <v>1450.95</v>
      </c>
      <c r="G49" s="51">
        <v>-0.16</v>
      </c>
      <c r="H49" s="51">
        <f t="shared" si="51"/>
        <v>1.1027258003377098E-4</v>
      </c>
      <c r="I49" s="51">
        <f t="shared" si="52"/>
        <v>9.8417520218849544E-2</v>
      </c>
      <c r="J49" s="51">
        <f t="shared" ref="J49:J56" si="70">F49*0.85+G49+AD49*D49+D49*AC49+AE49+AB49</f>
        <v>142.79890096153974</v>
      </c>
      <c r="K49" s="51">
        <f t="shared" si="54"/>
        <v>2.266649221611742</v>
      </c>
      <c r="L49" s="51">
        <v>139</v>
      </c>
      <c r="M49" s="51">
        <f t="shared" si="55"/>
        <v>0.45323741007194246</v>
      </c>
      <c r="N49" s="51">
        <v>171</v>
      </c>
      <c r="O49" s="51">
        <f t="shared" ref="O49:P49" si="71">D49/7</f>
        <v>9</v>
      </c>
      <c r="P49" s="51">
        <f t="shared" si="71"/>
        <v>0</v>
      </c>
      <c r="Q49" s="51">
        <f t="shared" si="57"/>
        <v>19</v>
      </c>
      <c r="R49" s="55">
        <f ca="1">IFERROR(__xludf.DUMMYFUNCTION("IFERROR(VLOOKUP($B$2,IMPORTRANGE(""https://docs.google.com/spreadsheets/d/1iVgg6Mw12RULLujzHmfOFIY8Q_KaAD8anoZzgtVAQ74/edit#gid=1503384807"",""Second Star - Summary!A1:AD2000""),9,FALSE),"""")"),1870)</f>
        <v>1870</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58"/>
        <v>0</v>
      </c>
      <c r="W49" s="55">
        <f t="shared" si="59"/>
        <v>0</v>
      </c>
      <c r="X49" s="55">
        <v>0</v>
      </c>
      <c r="Y49" s="55" t="s">
        <v>35</v>
      </c>
      <c r="Z49" s="56">
        <f t="shared" si="65"/>
        <v>-2.4</v>
      </c>
      <c r="AA49" s="55">
        <v>0.19880729166666666</v>
      </c>
      <c r="AB49" s="55">
        <f t="shared" si="61"/>
        <v>-90.178987499999991</v>
      </c>
      <c r="AC49" s="55">
        <v>-5.42</v>
      </c>
      <c r="AD49" s="55">
        <v>-10.4557081196581</v>
      </c>
      <c r="AE49" s="55">
        <v>0</v>
      </c>
      <c r="AF49" s="55">
        <v>3.5185185185185102</v>
      </c>
    </row>
    <row r="50" spans="1:32" s="57" customFormat="1" ht="15.75" customHeight="1">
      <c r="A50" s="2" t="s">
        <v>119</v>
      </c>
      <c r="B50" s="2" t="s">
        <v>385</v>
      </c>
      <c r="C50" s="51">
        <f t="shared" si="50"/>
        <v>23.013684210526318</v>
      </c>
      <c r="D50" s="51">
        <v>57</v>
      </c>
      <c r="E50" s="51">
        <v>0</v>
      </c>
      <c r="F50" s="51">
        <v>1311.7800000000002</v>
      </c>
      <c r="G50" s="51">
        <v>-0.15</v>
      </c>
      <c r="H50" s="51">
        <f t="shared" si="51"/>
        <v>1.1434844257421211E-4</v>
      </c>
      <c r="I50" s="51">
        <f t="shared" si="52"/>
        <v>9.7849582002689756E-2</v>
      </c>
      <c r="J50" s="51">
        <f t="shared" si="70"/>
        <v>128.35712467948838</v>
      </c>
      <c r="K50" s="51">
        <f t="shared" si="54"/>
        <v>2.2518793803419013</v>
      </c>
      <c r="L50" s="51">
        <v>158</v>
      </c>
      <c r="M50" s="51">
        <f t="shared" si="55"/>
        <v>0.36075949367088606</v>
      </c>
      <c r="N50" s="51">
        <v>107</v>
      </c>
      <c r="O50" s="51">
        <f t="shared" ref="O50:P50" si="72">D50/7</f>
        <v>8.1428571428571423</v>
      </c>
      <c r="P50" s="51">
        <f t="shared" si="72"/>
        <v>0</v>
      </c>
      <c r="Q50" s="51">
        <f t="shared" si="57"/>
        <v>13</v>
      </c>
      <c r="R50" s="55">
        <f ca="1">IFERROR(__xludf.DUMMYFUNCTION("IFERROR(VLOOKUP($B$2,IMPORTRANGE(""https://docs.google.com/spreadsheets/d/1iVgg6Mw12RULLujzHmfOFIY8Q_KaAD8anoZzgtVAQ74/edit#gid=1503384807"",""Second Star - Summary!A1:AD2000""),9,FALSE),"""")"),1870)</f>
        <v>1870</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1</v>
      </c>
      <c r="V50" s="55">
        <f t="shared" si="58"/>
        <v>1.7543859649122806E-2</v>
      </c>
      <c r="W50" s="55">
        <f t="shared" si="59"/>
        <v>0.15</v>
      </c>
      <c r="X50" s="55">
        <v>0</v>
      </c>
      <c r="Y50" s="55" t="s">
        <v>35</v>
      </c>
      <c r="Z50" s="56">
        <f t="shared" si="65"/>
        <v>-2.4</v>
      </c>
      <c r="AA50" s="55">
        <v>0.19880729166666666</v>
      </c>
      <c r="AB50" s="55">
        <f t="shared" si="61"/>
        <v>-81.590512500000003</v>
      </c>
      <c r="AC50" s="55">
        <v>-5.42</v>
      </c>
      <c r="AD50" s="55">
        <v>-10.4557081196581</v>
      </c>
      <c r="AE50" s="55">
        <v>0</v>
      </c>
      <c r="AF50" s="55">
        <v>2.5232403718459402</v>
      </c>
    </row>
    <row r="51" spans="1:32" s="57" customFormat="1" ht="15.75" customHeight="1">
      <c r="A51" s="2" t="s">
        <v>121</v>
      </c>
      <c r="B51" s="2" t="s">
        <v>386</v>
      </c>
      <c r="C51" s="51">
        <f t="shared" si="50"/>
        <v>22.990000000000006</v>
      </c>
      <c r="D51" s="51">
        <v>39</v>
      </c>
      <c r="E51" s="51">
        <v>1</v>
      </c>
      <c r="F51" s="51">
        <v>896.61000000000024</v>
      </c>
      <c r="G51" s="51">
        <v>0</v>
      </c>
      <c r="H51" s="51">
        <f t="shared" si="51"/>
        <v>0</v>
      </c>
      <c r="I51" s="51">
        <f t="shared" si="52"/>
        <v>9.7189185747799209E-2</v>
      </c>
      <c r="J51" s="51">
        <f t="shared" si="70"/>
        <v>87.140795833334266</v>
      </c>
      <c r="K51" s="51">
        <f t="shared" si="54"/>
        <v>2.2343793803419043</v>
      </c>
      <c r="L51" s="51">
        <v>134</v>
      </c>
      <c r="M51" s="51">
        <f t="shared" si="55"/>
        <v>0.29104477611940299</v>
      </c>
      <c r="N51" s="51">
        <v>59</v>
      </c>
      <c r="O51" s="51">
        <f t="shared" ref="O51:P51" si="73">D51/7</f>
        <v>5.5714285714285712</v>
      </c>
      <c r="P51" s="51">
        <f t="shared" si="73"/>
        <v>0.14285714285714285</v>
      </c>
      <c r="Q51" s="51">
        <f t="shared" si="57"/>
        <v>10</v>
      </c>
      <c r="R51" s="55">
        <f ca="1">IFERROR(__xludf.DUMMYFUNCTION("IFERROR(VLOOKUP($B$2,IMPORTRANGE(""https://docs.google.com/spreadsheets/d/1iVgg6Mw12RULLujzHmfOFIY8Q_KaAD8anoZzgtVAQ74/edit#gid=1503384807"",""Second Star - Summary!A1:AD2000""),9,FALSE),"""")"),1870)</f>
        <v>1870</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58"/>
        <v>0</v>
      </c>
      <c r="W51" s="55">
        <f t="shared" si="59"/>
        <v>0</v>
      </c>
      <c r="X51" s="55">
        <v>0</v>
      </c>
      <c r="Y51" s="55" t="s">
        <v>35</v>
      </c>
      <c r="Z51" s="56">
        <f t="shared" si="65"/>
        <v>-2.4</v>
      </c>
      <c r="AA51" s="55">
        <v>0.19880729166666666</v>
      </c>
      <c r="AB51" s="55">
        <f t="shared" si="61"/>
        <v>-55.825087499999995</v>
      </c>
      <c r="AC51" s="55">
        <v>-5.42</v>
      </c>
      <c r="AD51" s="55">
        <v>-10.4557081196581</v>
      </c>
      <c r="AE51" s="55">
        <v>0</v>
      </c>
      <c r="AF51" s="55">
        <v>3.4545454545454501</v>
      </c>
    </row>
    <row r="52" spans="1:32" s="57" customFormat="1" ht="15.75" customHeight="1">
      <c r="A52" s="2" t="s">
        <v>123</v>
      </c>
      <c r="B52" s="2" t="s">
        <v>387</v>
      </c>
      <c r="C52" s="51">
        <f t="shared" si="50"/>
        <v>23.09</v>
      </c>
      <c r="D52" s="51">
        <v>10</v>
      </c>
      <c r="E52" s="51">
        <v>0</v>
      </c>
      <c r="F52" s="51">
        <v>230.9</v>
      </c>
      <c r="G52" s="51">
        <v>-0.06</v>
      </c>
      <c r="H52" s="51">
        <f t="shared" si="51"/>
        <v>2.5985275010827197E-4</v>
      </c>
      <c r="I52" s="51">
        <f t="shared" si="52"/>
        <v>0.1001896656709354</v>
      </c>
      <c r="J52" s="51">
        <f t="shared" si="70"/>
        <v>23.133793803418985</v>
      </c>
      <c r="K52" s="51">
        <f t="shared" si="54"/>
        <v>2.3133793803418987</v>
      </c>
      <c r="L52" s="51">
        <v>107</v>
      </c>
      <c r="M52" s="51">
        <f t="shared" si="55"/>
        <v>9.3457943925233641E-2</v>
      </c>
      <c r="N52" s="51">
        <v>45</v>
      </c>
      <c r="O52" s="51">
        <f t="shared" ref="O52:P52" si="74">D52/7</f>
        <v>1.4285714285714286</v>
      </c>
      <c r="P52" s="51">
        <f t="shared" si="74"/>
        <v>0</v>
      </c>
      <c r="Q52" s="51">
        <f t="shared" si="57"/>
        <v>31</v>
      </c>
      <c r="R52" s="55">
        <f ca="1">IFERROR(__xludf.DUMMYFUNCTION("IFERROR(VLOOKUP($B$2,IMPORTRANGE(""https://docs.google.com/spreadsheets/d/1iVgg6Mw12RULLujzHmfOFIY8Q_KaAD8anoZzgtVAQ74/edit#gid=1503384807"",""Second Star - Summary!A1:AD2000""),9,FALSE),"""")"),1870)</f>
        <v>1870</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58"/>
        <v>0</v>
      </c>
      <c r="W52" s="55">
        <f t="shared" si="59"/>
        <v>0</v>
      </c>
      <c r="X52" s="55">
        <v>0</v>
      </c>
      <c r="Y52" s="55" t="s">
        <v>35</v>
      </c>
      <c r="Z52" s="56">
        <f t="shared" si="65"/>
        <v>-2.4</v>
      </c>
      <c r="AA52" s="55">
        <v>0.19880729166666666</v>
      </c>
      <c r="AB52" s="55">
        <f t="shared" si="61"/>
        <v>-14.314125000000001</v>
      </c>
      <c r="AC52" s="55">
        <v>-5.42</v>
      </c>
      <c r="AD52" s="55">
        <v>-10.4557081196581</v>
      </c>
      <c r="AE52" s="55">
        <v>0</v>
      </c>
      <c r="AF52" s="55">
        <v>3.6634050880626199</v>
      </c>
    </row>
    <row r="53" spans="1:32" s="57" customFormat="1">
      <c r="A53" s="2" t="s">
        <v>38</v>
      </c>
      <c r="B53" s="2" t="s">
        <v>388</v>
      </c>
      <c r="C53" s="51">
        <f t="shared" si="50"/>
        <v>24.143846153846155</v>
      </c>
      <c r="D53" s="51">
        <v>13</v>
      </c>
      <c r="E53" s="51">
        <v>0</v>
      </c>
      <c r="F53" s="51">
        <v>313.87</v>
      </c>
      <c r="G53" s="51">
        <v>-13.64</v>
      </c>
      <c r="H53" s="51">
        <f t="shared" si="51"/>
        <v>4.3457482397170802E-2</v>
      </c>
      <c r="I53" s="51">
        <f t="shared" si="52"/>
        <v>8.9708898411586663E-2</v>
      </c>
      <c r="J53" s="51">
        <f t="shared" si="70"/>
        <v>28.156931944444707</v>
      </c>
      <c r="K53" s="51">
        <f t="shared" si="54"/>
        <v>2.1659178418803622</v>
      </c>
      <c r="L53" s="51">
        <v>96</v>
      </c>
      <c r="M53" s="51">
        <f t="shared" si="55"/>
        <v>0.13541666666666666</v>
      </c>
      <c r="N53" s="51">
        <v>23</v>
      </c>
      <c r="O53" s="51">
        <f t="shared" ref="O53:P53" si="75">D53/7</f>
        <v>1.8571428571428572</v>
      </c>
      <c r="P53" s="51">
        <f t="shared" si="75"/>
        <v>0</v>
      </c>
      <c r="Q53" s="51">
        <f t="shared" si="57"/>
        <v>12</v>
      </c>
      <c r="R53" s="55">
        <f ca="1">IFERROR(__xludf.DUMMYFUNCTION("IFERROR(VLOOKUP($B$2,IMPORTRANGE(""https://docs.google.com/spreadsheets/d/1iVgg6Mw12RULLujzHmfOFIY8Q_KaAD8anoZzgtVAQ74/edit#gid=1503384807"",""Second Star - Summary!A1:AD2000""),9,FALSE),"""")"),1870)</f>
        <v>1870</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58"/>
        <v>0</v>
      </c>
      <c r="W53" s="55">
        <f t="shared" si="59"/>
        <v>3.41</v>
      </c>
      <c r="X53" s="55">
        <v>4</v>
      </c>
      <c r="Y53" s="55" t="s">
        <v>35</v>
      </c>
      <c r="Z53" s="56">
        <f t="shared" si="65"/>
        <v>-2.4</v>
      </c>
      <c r="AA53" s="55">
        <v>0.19880729166666666</v>
      </c>
      <c r="AB53" s="55">
        <f t="shared" si="61"/>
        <v>-18.608362499999998</v>
      </c>
      <c r="AC53" s="55">
        <v>-5.42</v>
      </c>
      <c r="AD53" s="55">
        <v>-10.4557081196581</v>
      </c>
      <c r="AE53" s="55">
        <v>0</v>
      </c>
      <c r="AF53" s="55">
        <v>4.8888888888888804</v>
      </c>
    </row>
    <row r="54" spans="1:32" s="57" customFormat="1">
      <c r="A54" s="2" t="s">
        <v>40</v>
      </c>
      <c r="B54" s="2" t="s">
        <v>389</v>
      </c>
      <c r="C54" s="51">
        <f t="shared" si="50"/>
        <v>25.99</v>
      </c>
      <c r="D54" s="51">
        <v>2</v>
      </c>
      <c r="E54" s="51">
        <v>0</v>
      </c>
      <c r="F54" s="51">
        <v>51.98</v>
      </c>
      <c r="G54" s="51">
        <v>-19.410000000000004</v>
      </c>
      <c r="H54" s="51">
        <f t="shared" si="51"/>
        <v>0.37341285109657568</v>
      </c>
      <c r="I54" s="51">
        <f t="shared" si="52"/>
        <v>-0.18932745747049273</v>
      </c>
      <c r="J54" s="51">
        <f t="shared" si="70"/>
        <v>-9.8412412393162114</v>
      </c>
      <c r="K54" s="51">
        <f t="shared" si="54"/>
        <v>-4.9206206196581057</v>
      </c>
      <c r="L54" s="51">
        <v>87</v>
      </c>
      <c r="M54" s="51">
        <f t="shared" si="55"/>
        <v>2.2988505747126436E-2</v>
      </c>
      <c r="N54" s="51">
        <v>5</v>
      </c>
      <c r="O54" s="51">
        <f t="shared" ref="O54:P54" si="76">D54/7</f>
        <v>0.2857142857142857</v>
      </c>
      <c r="P54" s="51">
        <f t="shared" si="76"/>
        <v>0</v>
      </c>
      <c r="Q54" s="51">
        <f t="shared" si="57"/>
        <v>17</v>
      </c>
      <c r="R54" s="55">
        <f ca="1">IFERROR(__xludf.DUMMYFUNCTION("IFERROR(VLOOKUP($B$2,IMPORTRANGE(""https://docs.google.com/spreadsheets/d/1iVgg6Mw12RULLujzHmfOFIY8Q_KaAD8anoZzgtVAQ74/edit#gid=1503384807"",""Second Star - Summary!A1:AD2000""),9,FALSE),"""")"),1870)</f>
        <v>1870</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1</v>
      </c>
      <c r="V54" s="55">
        <f t="shared" si="58"/>
        <v>0.5</v>
      </c>
      <c r="W54" s="55">
        <f t="shared" si="59"/>
        <v>6.4700000000000015</v>
      </c>
      <c r="X54" s="55">
        <v>2</v>
      </c>
      <c r="Y54" s="55" t="s">
        <v>35</v>
      </c>
      <c r="Z54" s="56">
        <f t="shared" si="65"/>
        <v>-2.4</v>
      </c>
      <c r="AA54" s="55">
        <v>0.19880729166666666</v>
      </c>
      <c r="AB54" s="55">
        <f t="shared" si="61"/>
        <v>-2.862825</v>
      </c>
      <c r="AC54" s="55">
        <v>-5.42</v>
      </c>
      <c r="AD54" s="55">
        <v>-10.4557081196581</v>
      </c>
      <c r="AE54" s="55">
        <v>0</v>
      </c>
      <c r="AF54" s="55">
        <v>3.16793893129771</v>
      </c>
    </row>
    <row r="55" spans="1:32" s="57" customFormat="1" ht="15.75" customHeight="1">
      <c r="A55" s="2" t="s">
        <v>32</v>
      </c>
      <c r="B55" s="2" t="s">
        <v>390</v>
      </c>
      <c r="C55" s="51">
        <f t="shared" si="50"/>
        <v>24.990000000000002</v>
      </c>
      <c r="D55" s="51">
        <v>7</v>
      </c>
      <c r="E55" s="51">
        <v>0</v>
      </c>
      <c r="F55" s="51">
        <v>174.93</v>
      </c>
      <c r="G55" s="51">
        <v>-17.769999999999996</v>
      </c>
      <c r="H55" s="51">
        <f t="shared" si="51"/>
        <v>0.10158349053907274</v>
      </c>
      <c r="I55" s="51">
        <f t="shared" si="52"/>
        <v>5.5854659934792807E-2</v>
      </c>
      <c r="J55" s="51">
        <f t="shared" si="70"/>
        <v>9.7706556623933061</v>
      </c>
      <c r="K55" s="51">
        <f t="shared" si="54"/>
        <v>1.3958079517704722</v>
      </c>
      <c r="L55" s="51">
        <v>90</v>
      </c>
      <c r="M55" s="51">
        <f t="shared" si="55"/>
        <v>7.7777777777777779E-2</v>
      </c>
      <c r="N55" s="51">
        <v>4</v>
      </c>
      <c r="O55" s="51">
        <f t="shared" ref="O55:P55" si="77">D55/7</f>
        <v>1</v>
      </c>
      <c r="P55" s="51">
        <f t="shared" si="77"/>
        <v>0</v>
      </c>
      <c r="Q55" s="51">
        <f t="shared" si="57"/>
        <v>4</v>
      </c>
      <c r="R55" s="55">
        <v>0</v>
      </c>
      <c r="S55" s="53" t="s">
        <v>34</v>
      </c>
      <c r="T55" s="54" t="s">
        <v>34</v>
      </c>
      <c r="U55" s="55">
        <v>1</v>
      </c>
      <c r="V55" s="55">
        <f t="shared" si="58"/>
        <v>0.14285714285714285</v>
      </c>
      <c r="W55" s="55">
        <f t="shared" si="59"/>
        <v>3.5539999999999994</v>
      </c>
      <c r="X55" s="55">
        <v>4</v>
      </c>
      <c r="Y55" s="55" t="s">
        <v>35</v>
      </c>
      <c r="Z55" s="56">
        <f t="shared" si="65"/>
        <v>-2.4</v>
      </c>
      <c r="AA55" s="55">
        <v>0.19880729166666666</v>
      </c>
      <c r="AB55" s="55">
        <f t="shared" si="61"/>
        <v>-10.019887499999999</v>
      </c>
      <c r="AC55" s="55">
        <v>-5.42</v>
      </c>
      <c r="AD55" s="55">
        <v>-10.4557081196581</v>
      </c>
      <c r="AE55" s="55">
        <v>0</v>
      </c>
      <c r="AF55" s="55">
        <v>2.1052631578947301</v>
      </c>
    </row>
    <row r="56" spans="1:32" s="57" customFormat="1" ht="15.75" customHeight="1">
      <c r="A56" s="2" t="s">
        <v>36</v>
      </c>
      <c r="B56" s="2"/>
      <c r="C56" s="51">
        <f t="shared" si="50"/>
        <v>25.029534883720935</v>
      </c>
      <c r="D56" s="51">
        <v>43</v>
      </c>
      <c r="E56" s="51">
        <v>0</v>
      </c>
      <c r="F56" s="51">
        <v>1076.2700000000002</v>
      </c>
      <c r="G56" s="51">
        <v>-25.980000000000004</v>
      </c>
      <c r="H56" s="51">
        <f t="shared" si="51"/>
        <v>2.4138924247633028E-2</v>
      </c>
      <c r="I56" s="51">
        <f t="shared" si="52"/>
        <v>0.13439314795980734</v>
      </c>
      <c r="J56" s="51">
        <f t="shared" si="70"/>
        <v>144.64331335470186</v>
      </c>
      <c r="K56" s="51">
        <f t="shared" si="54"/>
        <v>3.3637979849930666</v>
      </c>
      <c r="L56" s="51">
        <v>129</v>
      </c>
      <c r="M56" s="51">
        <f t="shared" si="55"/>
        <v>0.33333333333333331</v>
      </c>
      <c r="N56" s="51">
        <v>268</v>
      </c>
      <c r="O56" s="51">
        <f t="shared" ref="O56:P56" si="78">D56/7</f>
        <v>6.1428571428571432</v>
      </c>
      <c r="P56" s="51">
        <f t="shared" si="78"/>
        <v>0</v>
      </c>
      <c r="Q56" s="51">
        <f t="shared" si="57"/>
        <v>43</v>
      </c>
      <c r="R56" s="55">
        <f ca="1">IFERROR(__xludf.DUMMYFUNCTION("IFERROR(VLOOKUP($B$2,IMPORTRANGE(""https://docs.google.com/spreadsheets/d/1iVgg6Mw12RULLujzHmfOFIY8Q_KaAD8anoZzgtVAQ74/edit#gid=1503384807"",""Second Star - Summary!A1:AD2000""),9,FALSE),"""")"),1870)</f>
        <v>1870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1</v>
      </c>
      <c r="V56" s="55">
        <f t="shared" si="58"/>
        <v>2.3255813953488372E-2</v>
      </c>
      <c r="W56" s="55">
        <f t="shared" si="59"/>
        <v>25.980000000000004</v>
      </c>
      <c r="X56" s="55">
        <v>0</v>
      </c>
      <c r="Y56" s="55" t="s">
        <v>35</v>
      </c>
      <c r="Z56" s="56">
        <f t="shared" si="65"/>
        <v>-2.4</v>
      </c>
      <c r="AA56" s="55">
        <v>0.19880729166666666</v>
      </c>
      <c r="AB56" s="55">
        <f t="shared" si="61"/>
        <v>-61.550737499999997</v>
      </c>
      <c r="AC56" s="55">
        <v>-5.42</v>
      </c>
      <c r="AD56" s="55">
        <v>-10.4557081196581</v>
      </c>
      <c r="AE56" s="55">
        <v>0</v>
      </c>
      <c r="AF56" s="55">
        <v>2.8904109589040998</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E183" s="2"/>
      <c r="P183" s="2"/>
      <c r="AF183" s="23"/>
    </row>
    <row r="184" spans="1:32" ht="15.75" customHeight="1">
      <c r="E184" s="2"/>
      <c r="P184" s="2"/>
      <c r="AF184" s="23"/>
    </row>
    <row r="185" spans="1:32" ht="15.75" customHeight="1">
      <c r="E185" s="2"/>
      <c r="P185" s="2"/>
      <c r="AF185" s="23"/>
    </row>
    <row r="186" spans="1:32" ht="15.75" customHeight="1">
      <c r="E186" s="2"/>
      <c r="P186" s="2"/>
      <c r="AF186" s="23"/>
    </row>
    <row r="187" spans="1:32" ht="15.75" customHeight="1">
      <c r="E187" s="2"/>
      <c r="P187" s="2"/>
      <c r="AF187" s="23"/>
    </row>
    <row r="188" spans="1:32" ht="15.75" customHeight="1">
      <c r="E188" s="2"/>
      <c r="P188" s="2"/>
      <c r="AF188" s="23"/>
    </row>
    <row r="189" spans="1:32" ht="15.75" customHeight="1">
      <c r="E189" s="2"/>
      <c r="P189" s="2"/>
      <c r="AF189" s="23"/>
    </row>
    <row r="190" spans="1:32" ht="15.75" customHeight="1">
      <c r="E190" s="2"/>
      <c r="P190" s="2"/>
      <c r="AF190" s="23"/>
    </row>
    <row r="191" spans="1:32" ht="15.75" customHeight="1">
      <c r="E191" s="2"/>
      <c r="P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464" priority="1" operator="lessThan">
      <formula>100</formula>
    </cfRule>
  </conditionalFormatting>
  <conditionalFormatting sqref="Q1:Q3 Q57:Q1000">
    <cfRule type="cellIs" dxfId="463" priority="2" operator="lessThan">
      <formula>100</formula>
    </cfRule>
  </conditionalFormatting>
  <conditionalFormatting sqref="I1:I3 I57:I1000">
    <cfRule type="cellIs" dxfId="462" priority="3" operator="lessThan">
      <formula>0.05</formula>
    </cfRule>
  </conditionalFormatting>
  <conditionalFormatting sqref="I4:I17">
    <cfRule type="cellIs" dxfId="461" priority="4" operator="lessThan">
      <formula>0.05</formula>
    </cfRule>
  </conditionalFormatting>
  <conditionalFormatting sqref="I18:I56">
    <cfRule type="cellIs" dxfId="460" priority="5" operator="lessThan">
      <formula>0.05</formula>
    </cfRule>
  </conditionalFormatting>
  <conditionalFormatting sqref="Q4:Q56">
    <cfRule type="cellIs" dxfId="459" priority="6" operator="lessThan">
      <formula>100</formula>
    </cfRule>
  </conditionalFormatting>
  <conditionalFormatting sqref="Q4:Q56">
    <cfRule type="cellIs" dxfId="458" priority="7" operator="lessThan">
      <formula>100</formula>
    </cfRule>
  </conditionalFormatting>
  <pageMargins left="0.7" right="0.7" top="0.75" bottom="0.75" header="0" footer="0"/>
  <pageSetup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2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Info!B1:BJ5000""),4,FALSE),"""")"),"Waterproof Mattress Sheet Protector Bed Underpad - Super Absorbent 24 x 36")</f>
        <v>Waterproof Mattress Sheet Protector Bed Underpad - Super Absorbent 24 x 36</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Info!B1:BJ5000""),3,FALSE),"""")"),"B00IOQLNGW")</f>
        <v>B00IOQLNGW</v>
      </c>
      <c r="B2" s="4" t="s">
        <v>391</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7.8344494720965301</v>
      </c>
      <c r="D3" s="8">
        <f>SUM(D4:D99819)</f>
        <v>277</v>
      </c>
      <c r="E3" s="8"/>
      <c r="F3" s="9">
        <f t="shared" ref="F3:G3" si="0">SUM(F4:F99819)</f>
        <v>2963.0999999999995</v>
      </c>
      <c r="G3" s="9">
        <f t="shared" si="0"/>
        <v>-0.30000000000000004</v>
      </c>
      <c r="H3" s="10">
        <f t="shared" ref="H3:H39" si="1">G3/F3*-1</f>
        <v>1.0124531740407009E-4</v>
      </c>
      <c r="I3" s="11">
        <f t="shared" ref="I3:I39" si="2">J3/F3</f>
        <v>0.15509435217166886</v>
      </c>
      <c r="J3" s="9">
        <f>SUM(J4:J99819)</f>
        <v>459.56007491987191</v>
      </c>
      <c r="K3" s="9">
        <f t="shared" ref="K3:K39" si="3">J3/D3</f>
        <v>1.6590616423100069</v>
      </c>
      <c r="L3" s="8"/>
      <c r="M3" s="12"/>
      <c r="N3" s="13"/>
      <c r="O3" s="8" t="str">
        <f ca="1">IFERROR(__xludf.DUMMYFUNCTION("IFERROR(VLOOKUP(B2,IMPORTRANGE(""https://docs.google.com/spreadsheets/d/1owCo6kL_VFQ5nPTdNogErmCBLjNiktT1m3SzTrxu3R0/edit#gid=2146806407"",""Second Star - Compiled!b1:g5000""),2,FALSE),"""")"),"1 - March
1 - April
1 - May
1 - Jun
1 - Jul
1 - Aug
1 - Sept
1 - Oct
1 - Nov
1 - Dec
1 - Jan
1 - Feb")</f>
        <v>1 - March
1 - April
1 - May
1 - Jun
1 - Jul
1 - Aug
1 - Sept
1 - Oct
1 - Nov
1 - Dec
1 - Jan
1 - Feb</v>
      </c>
      <c r="P3" s="8"/>
      <c r="Q3" s="14"/>
      <c r="R3" s="13"/>
      <c r="S3" s="13"/>
      <c r="T3" s="13"/>
      <c r="U3" s="8">
        <f>SUM(U4:U99819)</f>
        <v>1</v>
      </c>
      <c r="V3" s="10">
        <f>AVERAGE(V4:V99819)</f>
        <v>4.7169811320754715E-3</v>
      </c>
      <c r="W3" s="9">
        <f>ROUND(AVERAGE(W4:W99819),2)</f>
        <v>0</v>
      </c>
      <c r="X3" s="8"/>
      <c r="Y3" s="8"/>
      <c r="Z3" s="8"/>
      <c r="AA3" s="8"/>
      <c r="AB3" s="8"/>
      <c r="AC3" s="15"/>
      <c r="AD3" s="9"/>
      <c r="AE3" s="9">
        <f>SUM(AE4:AE99819)</f>
        <v>0</v>
      </c>
      <c r="AF3" s="16"/>
    </row>
    <row r="4" spans="1:32" s="57" customFormat="1">
      <c r="A4" s="17" t="s">
        <v>48</v>
      </c>
      <c r="B4" s="17"/>
      <c r="C4" s="50">
        <v>8.99</v>
      </c>
      <c r="D4" s="51">
        <v>18</v>
      </c>
      <c r="E4" s="51">
        <v>0</v>
      </c>
      <c r="F4" s="51">
        <v>161.82</v>
      </c>
      <c r="G4" s="51">
        <v>0</v>
      </c>
      <c r="H4" s="51">
        <f t="shared" si="1"/>
        <v>0</v>
      </c>
      <c r="I4" s="51">
        <f t="shared" si="2"/>
        <v>6.7255020713898633E-2</v>
      </c>
      <c r="J4" s="51">
        <f t="shared" ref="J4:J38" si="4">F4*0.85+G4+AD4*D4+D4*AC4+AE4+AB4</f>
        <v>10.883207451923075</v>
      </c>
      <c r="K4" s="51">
        <f t="shared" si="3"/>
        <v>0.60462263621794865</v>
      </c>
      <c r="L4" s="51">
        <v>87</v>
      </c>
      <c r="M4" s="51">
        <f t="shared" ref="M4:M39" si="5">IFERROR(D4/L4,"-")</f>
        <v>0.20689655172413793</v>
      </c>
      <c r="N4" s="51">
        <v>63</v>
      </c>
      <c r="O4" s="51">
        <f t="shared" ref="O4:P4" si="6">D4/7</f>
        <v>2.5714285714285716</v>
      </c>
      <c r="P4" s="51">
        <f t="shared" si="6"/>
        <v>0</v>
      </c>
      <c r="Q4" s="51">
        <f t="shared" ref="Q4:Q39" si="7">ROUNDDOWN(N4/(O4+P4),0)</f>
        <v>24</v>
      </c>
      <c r="R4" s="52">
        <v>0</v>
      </c>
      <c r="S4" s="53" t="s">
        <v>34</v>
      </c>
      <c r="T4" s="54" t="s">
        <v>34</v>
      </c>
      <c r="U4" s="52">
        <v>0</v>
      </c>
      <c r="V4" s="55">
        <f t="shared" ref="V4:V39" si="8">IFERROR(U4/D4,0)</f>
        <v>0</v>
      </c>
      <c r="W4" s="55">
        <f t="shared" ref="W4:W39" si="9">IFERROR(G4/(U4+X4)*-1,0)</f>
        <v>0</v>
      </c>
      <c r="X4" s="52">
        <v>0</v>
      </c>
      <c r="Y4" s="56" t="s">
        <v>35</v>
      </c>
      <c r="Z4" s="56">
        <f t="shared" ref="Z4:Z10" si="10">IF(OR(Y4="UsLargeStandardSize",Y4="UsSmallStandardSize"),-0.69,-0.48)</f>
        <v>-0.69</v>
      </c>
      <c r="AA4" s="55">
        <v>9.2083333333333336E-2</v>
      </c>
      <c r="AB4" s="55">
        <f t="shared" ref="AB4:AB17" si="11">IFERROR((Z4*AA4*N4)/4,0)</f>
        <v>-1.000715625</v>
      </c>
      <c r="AC4" s="55">
        <v>-3.28</v>
      </c>
      <c r="AD4" s="55">
        <v>-3.701282051282051</v>
      </c>
      <c r="AE4" s="55">
        <v>0</v>
      </c>
      <c r="AF4" s="55"/>
    </row>
    <row r="5" spans="1:32" s="57" customFormat="1" ht="15.75" customHeight="1">
      <c r="A5" s="2" t="s">
        <v>49</v>
      </c>
      <c r="B5" s="2" t="s">
        <v>392</v>
      </c>
      <c r="C5" s="51">
        <v>8.99</v>
      </c>
      <c r="D5" s="51">
        <v>31</v>
      </c>
      <c r="E5" s="51">
        <v>0</v>
      </c>
      <c r="F5" s="51">
        <v>278.69</v>
      </c>
      <c r="G5" s="51">
        <v>0</v>
      </c>
      <c r="H5" s="51">
        <f t="shared" si="1"/>
        <v>0</v>
      </c>
      <c r="I5" s="51">
        <f t="shared" si="2"/>
        <v>7.0988296261998665E-2</v>
      </c>
      <c r="J5" s="51">
        <f t="shared" si="4"/>
        <v>19.783728285256409</v>
      </c>
      <c r="K5" s="51">
        <f t="shared" si="3"/>
        <v>0.63818478339536799</v>
      </c>
      <c r="L5" s="51">
        <v>114</v>
      </c>
      <c r="M5" s="51">
        <f t="shared" si="5"/>
        <v>0.27192982456140352</v>
      </c>
      <c r="N5" s="51">
        <v>43</v>
      </c>
      <c r="O5" s="51">
        <f t="shared" ref="O5:P5" si="12">D5/7</f>
        <v>4.4285714285714288</v>
      </c>
      <c r="P5" s="51">
        <f t="shared" si="12"/>
        <v>0</v>
      </c>
      <c r="Q5" s="51">
        <f t="shared" si="7"/>
        <v>9</v>
      </c>
      <c r="R5" s="55">
        <v>0</v>
      </c>
      <c r="S5" s="53" t="s">
        <v>34</v>
      </c>
      <c r="T5" s="54" t="s">
        <v>34</v>
      </c>
      <c r="U5" s="55">
        <v>0</v>
      </c>
      <c r="V5" s="55">
        <f t="shared" si="8"/>
        <v>0</v>
      </c>
      <c r="W5" s="55">
        <f t="shared" si="9"/>
        <v>0</v>
      </c>
      <c r="X5" s="55">
        <v>0</v>
      </c>
      <c r="Y5" s="55" t="s">
        <v>35</v>
      </c>
      <c r="Z5" s="56">
        <f t="shared" si="10"/>
        <v>-0.69</v>
      </c>
      <c r="AA5" s="55">
        <v>9.2083333333333336E-2</v>
      </c>
      <c r="AB5" s="55">
        <f t="shared" si="11"/>
        <v>-0.68302812499999999</v>
      </c>
      <c r="AC5" s="55">
        <v>-3.28</v>
      </c>
      <c r="AD5" s="55">
        <v>-3.701282051282051</v>
      </c>
      <c r="AE5" s="55">
        <v>0</v>
      </c>
      <c r="AF5" s="55"/>
    </row>
    <row r="6" spans="1:32" s="57" customFormat="1" ht="15.75" customHeight="1">
      <c r="A6" s="2" t="s">
        <v>51</v>
      </c>
      <c r="B6" s="2" t="s">
        <v>393</v>
      </c>
      <c r="C6" s="51">
        <v>12.99</v>
      </c>
      <c r="D6" s="51">
        <v>15</v>
      </c>
      <c r="E6" s="51">
        <v>0</v>
      </c>
      <c r="F6" s="51">
        <v>142.85</v>
      </c>
      <c r="G6" s="51">
        <v>-0.08</v>
      </c>
      <c r="H6" s="51">
        <f t="shared" si="1"/>
        <v>5.6002800140007001E-4</v>
      </c>
      <c r="I6" s="51">
        <f t="shared" si="2"/>
        <v>0.11381119079992461</v>
      </c>
      <c r="J6" s="51">
        <f t="shared" si="4"/>
        <v>16.25792860576923</v>
      </c>
      <c r="K6" s="51">
        <f t="shared" si="3"/>
        <v>1.083861907051282</v>
      </c>
      <c r="L6" s="51">
        <v>109</v>
      </c>
      <c r="M6" s="51">
        <f t="shared" si="5"/>
        <v>0.13761467889908258</v>
      </c>
      <c r="N6" s="51">
        <v>23</v>
      </c>
      <c r="O6" s="51">
        <f t="shared" ref="O6:P6" si="13">D6/7</f>
        <v>2.1428571428571428</v>
      </c>
      <c r="P6" s="51">
        <f t="shared" si="13"/>
        <v>0</v>
      </c>
      <c r="Q6" s="51">
        <f t="shared" si="7"/>
        <v>10</v>
      </c>
      <c r="R6" s="55">
        <v>0</v>
      </c>
      <c r="S6" s="53" t="s">
        <v>34</v>
      </c>
      <c r="T6" s="54" t="s">
        <v>34</v>
      </c>
      <c r="U6" s="55">
        <v>0</v>
      </c>
      <c r="V6" s="55">
        <f t="shared" si="8"/>
        <v>0</v>
      </c>
      <c r="W6" s="55">
        <f t="shared" si="9"/>
        <v>0</v>
      </c>
      <c r="X6" s="55">
        <v>0</v>
      </c>
      <c r="Y6" s="55" t="s">
        <v>35</v>
      </c>
      <c r="Z6" s="56">
        <f t="shared" si="10"/>
        <v>-0.69</v>
      </c>
      <c r="AA6" s="55">
        <v>9.2083333333333336E-2</v>
      </c>
      <c r="AB6" s="55">
        <f t="shared" si="11"/>
        <v>-0.36534062499999997</v>
      </c>
      <c r="AC6" s="55">
        <v>-3.28</v>
      </c>
      <c r="AD6" s="55">
        <v>-3.701282051282051</v>
      </c>
      <c r="AE6" s="55">
        <v>0</v>
      </c>
      <c r="AF6" s="55"/>
    </row>
    <row r="7" spans="1:32" s="57" customFormat="1" ht="15.75" customHeight="1">
      <c r="A7" s="2" t="s">
        <v>53</v>
      </c>
      <c r="B7" s="2"/>
      <c r="C7" s="51">
        <v>12.99</v>
      </c>
      <c r="D7" s="51">
        <v>3</v>
      </c>
      <c r="E7" s="51">
        <v>0</v>
      </c>
      <c r="F7" s="51">
        <v>34.97</v>
      </c>
      <c r="G7" s="51">
        <v>0</v>
      </c>
      <c r="H7" s="51">
        <f t="shared" si="1"/>
        <v>0</v>
      </c>
      <c r="I7" s="51">
        <f t="shared" si="2"/>
        <v>0.24064378670728759</v>
      </c>
      <c r="J7" s="51">
        <f t="shared" si="4"/>
        <v>8.4153132211538466</v>
      </c>
      <c r="K7" s="51">
        <f t="shared" si="3"/>
        <v>2.8051044070512821</v>
      </c>
      <c r="L7" s="51">
        <v>45</v>
      </c>
      <c r="M7" s="51">
        <f t="shared" si="5"/>
        <v>6.6666666666666666E-2</v>
      </c>
      <c r="N7" s="51">
        <v>23</v>
      </c>
      <c r="O7" s="51">
        <f t="shared" ref="O7:P7" si="14">D7/7</f>
        <v>0.42857142857142855</v>
      </c>
      <c r="P7" s="51">
        <f t="shared" si="14"/>
        <v>0</v>
      </c>
      <c r="Q7" s="51">
        <f t="shared" si="7"/>
        <v>53</v>
      </c>
      <c r="R7" s="55">
        <v>0</v>
      </c>
      <c r="S7" s="53" t="s">
        <v>34</v>
      </c>
      <c r="T7" s="54" t="s">
        <v>34</v>
      </c>
      <c r="U7" s="55">
        <v>0</v>
      </c>
      <c r="V7" s="55">
        <f t="shared" si="8"/>
        <v>0</v>
      </c>
      <c r="W7" s="55">
        <f t="shared" si="9"/>
        <v>0</v>
      </c>
      <c r="X7" s="55">
        <v>0</v>
      </c>
      <c r="Y7" s="55" t="s">
        <v>35</v>
      </c>
      <c r="Z7" s="56">
        <f t="shared" si="10"/>
        <v>-0.69</v>
      </c>
      <c r="AA7" s="55">
        <v>9.2083333333333336E-2</v>
      </c>
      <c r="AB7" s="55">
        <f t="shared" si="11"/>
        <v>-0.36534062499999997</v>
      </c>
      <c r="AC7" s="55">
        <v>-3.28</v>
      </c>
      <c r="AD7" s="55">
        <v>-3.701282051282051</v>
      </c>
      <c r="AE7" s="55">
        <v>0</v>
      </c>
      <c r="AF7" s="55"/>
    </row>
    <row r="8" spans="1:32" s="57" customFormat="1" ht="15.75" customHeight="1">
      <c r="A8" s="2" t="s">
        <v>54</v>
      </c>
      <c r="B8" s="2" t="s">
        <v>45</v>
      </c>
      <c r="C8" s="51">
        <v>15.99</v>
      </c>
      <c r="D8" s="51">
        <v>3</v>
      </c>
      <c r="E8" s="51">
        <v>0</v>
      </c>
      <c r="F8" s="51">
        <v>46.97</v>
      </c>
      <c r="G8" s="51">
        <v>0</v>
      </c>
      <c r="H8" s="51">
        <f t="shared" si="1"/>
        <v>0</v>
      </c>
      <c r="I8" s="51">
        <f t="shared" si="2"/>
        <v>0.39699982906437814</v>
      </c>
      <c r="J8" s="51">
        <f t="shared" si="4"/>
        <v>18.647081971153842</v>
      </c>
      <c r="K8" s="51">
        <f t="shared" si="3"/>
        <v>6.2156939903846142</v>
      </c>
      <c r="L8" s="51">
        <v>58</v>
      </c>
      <c r="M8" s="51">
        <f t="shared" si="5"/>
        <v>5.1724137931034482E-2</v>
      </c>
      <c r="N8" s="51">
        <v>21</v>
      </c>
      <c r="O8" s="51">
        <f t="shared" ref="O8:P8" si="15">D8/7</f>
        <v>0.42857142857142855</v>
      </c>
      <c r="P8" s="51">
        <f t="shared" si="15"/>
        <v>0</v>
      </c>
      <c r="Q8" s="51">
        <f t="shared" si="7"/>
        <v>49</v>
      </c>
      <c r="R8" s="55">
        <v>0</v>
      </c>
      <c r="S8" s="53" t="s">
        <v>34</v>
      </c>
      <c r="T8" s="54" t="s">
        <v>34</v>
      </c>
      <c r="U8" s="55">
        <v>0</v>
      </c>
      <c r="V8" s="55">
        <f t="shared" si="8"/>
        <v>0</v>
      </c>
      <c r="W8" s="55">
        <f t="shared" si="9"/>
        <v>0</v>
      </c>
      <c r="X8" s="55">
        <v>0</v>
      </c>
      <c r="Y8" s="55" t="s">
        <v>35</v>
      </c>
      <c r="Z8" s="56">
        <f t="shared" si="10"/>
        <v>-0.69</v>
      </c>
      <c r="AA8" s="55">
        <v>9.2083333333333336E-2</v>
      </c>
      <c r="AB8" s="55">
        <f t="shared" si="11"/>
        <v>-0.33357187499999996</v>
      </c>
      <c r="AC8" s="55">
        <v>-3.28</v>
      </c>
      <c r="AD8" s="55">
        <v>-3.701282051282051</v>
      </c>
      <c r="AE8" s="55">
        <v>0</v>
      </c>
      <c r="AF8" s="55"/>
    </row>
    <row r="9" spans="1:32" s="57" customFormat="1" ht="15.75" customHeight="1">
      <c r="A9" s="2" t="s">
        <v>56</v>
      </c>
      <c r="B9" s="2" t="s">
        <v>394</v>
      </c>
      <c r="C9" s="51">
        <v>16.989999999999998</v>
      </c>
      <c r="D9" s="51">
        <v>1</v>
      </c>
      <c r="E9" s="51">
        <v>0</v>
      </c>
      <c r="F9" s="51">
        <v>16.989999999999998</v>
      </c>
      <c r="G9" s="51">
        <v>-0.02</v>
      </c>
      <c r="H9" s="51">
        <f t="shared" si="1"/>
        <v>1.1771630370806358E-3</v>
      </c>
      <c r="I9" s="51">
        <f t="shared" si="2"/>
        <v>0.41921897873560615</v>
      </c>
      <c r="J9" s="51">
        <f t="shared" si="4"/>
        <v>7.1225304487179475</v>
      </c>
      <c r="K9" s="51">
        <f t="shared" si="3"/>
        <v>7.1225304487179475</v>
      </c>
      <c r="L9" s="51">
        <v>60</v>
      </c>
      <c r="M9" s="51">
        <f t="shared" si="5"/>
        <v>1.6666666666666666E-2</v>
      </c>
      <c r="N9" s="51">
        <v>20</v>
      </c>
      <c r="O9" s="51">
        <f t="shared" ref="O9:P9" si="16">D9/7</f>
        <v>0.14285714285714285</v>
      </c>
      <c r="P9" s="51">
        <f t="shared" si="16"/>
        <v>0</v>
      </c>
      <c r="Q9" s="51">
        <f t="shared" si="7"/>
        <v>140</v>
      </c>
      <c r="R9" s="55">
        <v>0</v>
      </c>
      <c r="S9" s="53" t="s">
        <v>34</v>
      </c>
      <c r="T9" s="54" t="s">
        <v>34</v>
      </c>
      <c r="U9" s="55">
        <v>0</v>
      </c>
      <c r="V9" s="55">
        <f t="shared" si="8"/>
        <v>0</v>
      </c>
      <c r="W9" s="55">
        <f t="shared" si="9"/>
        <v>0</v>
      </c>
      <c r="X9" s="55">
        <v>0</v>
      </c>
      <c r="Y9" s="55" t="s">
        <v>35</v>
      </c>
      <c r="Z9" s="56">
        <f t="shared" si="10"/>
        <v>-0.69</v>
      </c>
      <c r="AA9" s="55">
        <v>9.2083333333333336E-2</v>
      </c>
      <c r="AB9" s="55">
        <f t="shared" si="11"/>
        <v>-0.31768750000000001</v>
      </c>
      <c r="AC9" s="55">
        <v>-3.28</v>
      </c>
      <c r="AD9" s="55">
        <v>-3.701282051282051</v>
      </c>
      <c r="AE9" s="55">
        <v>0</v>
      </c>
      <c r="AF9" s="55"/>
    </row>
    <row r="10" spans="1:32" s="57" customFormat="1" ht="15.75" customHeight="1">
      <c r="A10" s="2" t="s">
        <v>58</v>
      </c>
      <c r="B10" s="2" t="s">
        <v>45</v>
      </c>
      <c r="C10" s="51">
        <v>15.99</v>
      </c>
      <c r="D10" s="51">
        <v>3</v>
      </c>
      <c r="E10" s="51">
        <v>0</v>
      </c>
      <c r="F10" s="51">
        <v>46.97</v>
      </c>
      <c r="G10" s="51">
        <v>0</v>
      </c>
      <c r="H10" s="51">
        <f t="shared" si="1"/>
        <v>0</v>
      </c>
      <c r="I10" s="51">
        <f t="shared" si="2"/>
        <v>0.39835255420808691</v>
      </c>
      <c r="J10" s="51">
        <f t="shared" si="4"/>
        <v>18.710619471153841</v>
      </c>
      <c r="K10" s="51">
        <f t="shared" si="3"/>
        <v>6.2368731570512805</v>
      </c>
      <c r="L10" s="51">
        <v>44</v>
      </c>
      <c r="M10" s="51">
        <f t="shared" si="5"/>
        <v>6.8181818181818177E-2</v>
      </c>
      <c r="N10" s="51">
        <v>17</v>
      </c>
      <c r="O10" s="51">
        <f t="shared" ref="O10:P10" si="17">D10/7</f>
        <v>0.42857142857142855</v>
      </c>
      <c r="P10" s="51">
        <f t="shared" si="17"/>
        <v>0</v>
      </c>
      <c r="Q10" s="51">
        <f t="shared" si="7"/>
        <v>39</v>
      </c>
      <c r="R10" s="55">
        <v>0</v>
      </c>
      <c r="S10" s="53" t="s">
        <v>34</v>
      </c>
      <c r="T10" s="54" t="s">
        <v>34</v>
      </c>
      <c r="U10" s="55">
        <v>0</v>
      </c>
      <c r="V10" s="55">
        <f t="shared" si="8"/>
        <v>0</v>
      </c>
      <c r="W10" s="55">
        <f t="shared" si="9"/>
        <v>0</v>
      </c>
      <c r="X10" s="55">
        <v>0</v>
      </c>
      <c r="Y10" s="55" t="s">
        <v>35</v>
      </c>
      <c r="Z10" s="56">
        <f t="shared" si="10"/>
        <v>-0.69</v>
      </c>
      <c r="AA10" s="55">
        <v>9.2083333333333336E-2</v>
      </c>
      <c r="AB10" s="55">
        <f t="shared" si="11"/>
        <v>-0.27003437499999999</v>
      </c>
      <c r="AC10" s="55">
        <v>-3.28</v>
      </c>
      <c r="AD10" s="55">
        <v>-3.701282051282051</v>
      </c>
      <c r="AE10" s="55">
        <v>0</v>
      </c>
      <c r="AF10" s="55"/>
    </row>
    <row r="11" spans="1:32" s="57" customFormat="1" ht="15.75" customHeight="1">
      <c r="A11" s="2" t="s">
        <v>60</v>
      </c>
      <c r="B11" s="2" t="s">
        <v>395</v>
      </c>
      <c r="C11" s="51">
        <v>14.99</v>
      </c>
      <c r="D11" s="51">
        <v>0</v>
      </c>
      <c r="E11" s="51">
        <v>0</v>
      </c>
      <c r="F11" s="51">
        <v>0</v>
      </c>
      <c r="G11" s="51">
        <v>0</v>
      </c>
      <c r="H11" s="51" t="e">
        <f t="shared" si="1"/>
        <v>#DIV/0!</v>
      </c>
      <c r="I11" s="51" t="e">
        <f t="shared" si="2"/>
        <v>#DIV/0!</v>
      </c>
      <c r="J11" s="51">
        <f t="shared" si="4"/>
        <v>-0.293515625</v>
      </c>
      <c r="K11" s="51" t="e">
        <f t="shared" si="3"/>
        <v>#DIV/0!</v>
      </c>
      <c r="L11" s="51">
        <v>0</v>
      </c>
      <c r="M11" s="51" t="str">
        <f t="shared" si="5"/>
        <v>-</v>
      </c>
      <c r="N11" s="51">
        <v>17</v>
      </c>
      <c r="O11" s="51">
        <f t="shared" ref="O11:P11" si="18">D11/7</f>
        <v>0</v>
      </c>
      <c r="P11" s="51">
        <f t="shared" si="18"/>
        <v>0</v>
      </c>
      <c r="Q11" s="51" t="e">
        <f t="shared" si="7"/>
        <v>#DIV/0!</v>
      </c>
      <c r="R11" s="55">
        <v>0</v>
      </c>
      <c r="S11" s="53" t="s">
        <v>34</v>
      </c>
      <c r="T11" s="54" t="s">
        <v>34</v>
      </c>
      <c r="U11" s="55">
        <v>0</v>
      </c>
      <c r="V11" s="55">
        <f t="shared" si="8"/>
        <v>0</v>
      </c>
      <c r="W11" s="55">
        <f t="shared" si="9"/>
        <v>0</v>
      </c>
      <c r="X11" s="55">
        <v>0</v>
      </c>
      <c r="Y11" s="55" t="s">
        <v>35</v>
      </c>
      <c r="Z11" s="56">
        <f t="shared" ref="Z11:Z39" si="19">IF(OR(Y11="UsLargeStandardSize",Y11="UsSmallStandardSize"),-0.75,-0.48)</f>
        <v>-0.75</v>
      </c>
      <c r="AA11" s="55">
        <v>9.2083333333333336E-2</v>
      </c>
      <c r="AB11" s="55">
        <f t="shared" si="11"/>
        <v>-0.293515625</v>
      </c>
      <c r="AC11" s="55">
        <v>-3.48</v>
      </c>
      <c r="AD11" s="55">
        <v>-3.701282051282051</v>
      </c>
      <c r="AE11" s="55">
        <v>0</v>
      </c>
      <c r="AF11" s="55"/>
    </row>
    <row r="12" spans="1:32" s="57" customFormat="1" ht="15.75" customHeight="1">
      <c r="A12" s="2" t="s">
        <v>62</v>
      </c>
      <c r="B12" s="26" t="s">
        <v>45</v>
      </c>
      <c r="C12" s="51">
        <v>14.99</v>
      </c>
      <c r="D12" s="51">
        <v>1</v>
      </c>
      <c r="E12" s="51">
        <v>0</v>
      </c>
      <c r="F12" s="51">
        <v>14.99</v>
      </c>
      <c r="G12" s="51">
        <v>0</v>
      </c>
      <c r="H12" s="51">
        <f t="shared" si="1"/>
        <v>0</v>
      </c>
      <c r="I12" s="51">
        <f t="shared" si="2"/>
        <v>0.35365133914062363</v>
      </c>
      <c r="J12" s="51">
        <f t="shared" si="4"/>
        <v>5.3012335737179486</v>
      </c>
      <c r="K12" s="51">
        <f t="shared" si="3"/>
        <v>5.3012335737179486</v>
      </c>
      <c r="L12" s="51">
        <v>49</v>
      </c>
      <c r="M12" s="51">
        <f t="shared" si="5"/>
        <v>2.0408163265306121E-2</v>
      </c>
      <c r="N12" s="51">
        <v>15</v>
      </c>
      <c r="O12" s="51">
        <f t="shared" ref="O12:P12" si="20">D12/7</f>
        <v>0.14285714285714285</v>
      </c>
      <c r="P12" s="51">
        <f t="shared" si="20"/>
        <v>0</v>
      </c>
      <c r="Q12" s="51">
        <f t="shared" si="7"/>
        <v>105</v>
      </c>
      <c r="R12" s="55">
        <v>0</v>
      </c>
      <c r="S12" s="53" t="s">
        <v>34</v>
      </c>
      <c r="T12" s="54" t="s">
        <v>34</v>
      </c>
      <c r="U12" s="55">
        <v>0</v>
      </c>
      <c r="V12" s="55">
        <f t="shared" si="8"/>
        <v>0</v>
      </c>
      <c r="W12" s="55">
        <f t="shared" si="9"/>
        <v>0</v>
      </c>
      <c r="X12" s="55">
        <v>0</v>
      </c>
      <c r="Y12" s="55" t="s">
        <v>35</v>
      </c>
      <c r="Z12" s="56">
        <f t="shared" si="19"/>
        <v>-0.75</v>
      </c>
      <c r="AA12" s="55">
        <v>9.2083333333333336E-2</v>
      </c>
      <c r="AB12" s="55">
        <f t="shared" si="11"/>
        <v>-0.25898437499999999</v>
      </c>
      <c r="AC12" s="55">
        <v>-3.48</v>
      </c>
      <c r="AD12" s="55">
        <v>-3.701282051282051</v>
      </c>
      <c r="AE12" s="55">
        <v>0</v>
      </c>
      <c r="AF12" s="55"/>
    </row>
    <row r="13" spans="1:32" s="57" customFormat="1" ht="15.75" customHeight="1">
      <c r="A13" s="2" t="s">
        <v>63</v>
      </c>
      <c r="B13" s="26" t="s">
        <v>45</v>
      </c>
      <c r="C13" s="51">
        <v>12.99</v>
      </c>
      <c r="D13" s="51">
        <v>1</v>
      </c>
      <c r="E13" s="51">
        <v>0</v>
      </c>
      <c r="F13" s="51">
        <v>12.99</v>
      </c>
      <c r="G13" s="51">
        <v>0</v>
      </c>
      <c r="H13" s="51">
        <f t="shared" si="1"/>
        <v>0</v>
      </c>
      <c r="I13" s="51">
        <f t="shared" si="2"/>
        <v>0.2772312219952231</v>
      </c>
      <c r="J13" s="51">
        <f t="shared" si="4"/>
        <v>3.6012335737179479</v>
      </c>
      <c r="K13" s="51">
        <f t="shared" si="3"/>
        <v>3.6012335737179479</v>
      </c>
      <c r="L13" s="51">
        <v>55</v>
      </c>
      <c r="M13" s="51">
        <f t="shared" si="5"/>
        <v>1.8181818181818181E-2</v>
      </c>
      <c r="N13" s="51">
        <v>15</v>
      </c>
      <c r="O13" s="51">
        <f t="shared" ref="O13:P13" si="21">D13/7</f>
        <v>0.14285714285714285</v>
      </c>
      <c r="P13" s="51">
        <f t="shared" si="21"/>
        <v>0</v>
      </c>
      <c r="Q13" s="51">
        <f t="shared" si="7"/>
        <v>105</v>
      </c>
      <c r="R13" s="55">
        <v>0</v>
      </c>
      <c r="S13" s="53" t="s">
        <v>34</v>
      </c>
      <c r="T13" s="54" t="s">
        <v>34</v>
      </c>
      <c r="U13" s="55">
        <v>0</v>
      </c>
      <c r="V13" s="55">
        <f t="shared" si="8"/>
        <v>0</v>
      </c>
      <c r="W13" s="55">
        <f t="shared" si="9"/>
        <v>0</v>
      </c>
      <c r="X13" s="55">
        <v>0</v>
      </c>
      <c r="Y13" s="55" t="s">
        <v>35</v>
      </c>
      <c r="Z13" s="56">
        <f t="shared" si="19"/>
        <v>-0.75</v>
      </c>
      <c r="AA13" s="55">
        <v>9.2083333333333336E-2</v>
      </c>
      <c r="AB13" s="55">
        <f t="shared" si="11"/>
        <v>-0.25898437499999999</v>
      </c>
      <c r="AC13" s="55">
        <v>-3.48</v>
      </c>
      <c r="AD13" s="55">
        <v>-3.701282051282051</v>
      </c>
      <c r="AE13" s="55">
        <v>0</v>
      </c>
      <c r="AF13" s="55"/>
    </row>
    <row r="14" spans="1:32" s="57" customFormat="1" ht="15.75" customHeight="1">
      <c r="A14" s="2" t="s">
        <v>64</v>
      </c>
      <c r="B14" s="2"/>
      <c r="C14" s="51">
        <v>11.99</v>
      </c>
      <c r="D14" s="51">
        <v>2</v>
      </c>
      <c r="E14" s="51">
        <v>0</v>
      </c>
      <c r="F14" s="51">
        <v>23.98</v>
      </c>
      <c r="G14" s="51">
        <v>0</v>
      </c>
      <c r="H14" s="51">
        <f t="shared" si="1"/>
        <v>0</v>
      </c>
      <c r="I14" s="51">
        <f t="shared" si="2"/>
        <v>0.2424207004768931</v>
      </c>
      <c r="J14" s="51">
        <f t="shared" si="4"/>
        <v>5.8132483974358964</v>
      </c>
      <c r="K14" s="51">
        <f t="shared" si="3"/>
        <v>2.9066241987179482</v>
      </c>
      <c r="L14" s="51">
        <v>55</v>
      </c>
      <c r="M14" s="51">
        <f t="shared" si="5"/>
        <v>3.6363636363636362E-2</v>
      </c>
      <c r="N14" s="51">
        <v>12</v>
      </c>
      <c r="O14" s="51">
        <f t="shared" ref="O14:P14" si="22">D14/7</f>
        <v>0.2857142857142857</v>
      </c>
      <c r="P14" s="51">
        <f t="shared" si="22"/>
        <v>0</v>
      </c>
      <c r="Q14" s="51">
        <f t="shared" si="7"/>
        <v>42</v>
      </c>
      <c r="R14" s="55">
        <v>0</v>
      </c>
      <c r="S14" s="53" t="s">
        <v>34</v>
      </c>
      <c r="T14" s="54" t="s">
        <v>34</v>
      </c>
      <c r="U14" s="55">
        <v>0</v>
      </c>
      <c r="V14" s="55">
        <f t="shared" si="8"/>
        <v>0</v>
      </c>
      <c r="W14" s="55">
        <f t="shared" si="9"/>
        <v>0</v>
      </c>
      <c r="X14" s="55">
        <v>0</v>
      </c>
      <c r="Y14" s="55" t="s">
        <v>35</v>
      </c>
      <c r="Z14" s="56">
        <f t="shared" si="19"/>
        <v>-0.75</v>
      </c>
      <c r="AA14" s="55">
        <v>9.2083333333333336E-2</v>
      </c>
      <c r="AB14" s="55">
        <f t="shared" si="11"/>
        <v>-0.2071875</v>
      </c>
      <c r="AC14" s="55">
        <v>-3.48</v>
      </c>
      <c r="AD14" s="55">
        <v>-3.701282051282051</v>
      </c>
      <c r="AE14" s="55">
        <v>0</v>
      </c>
      <c r="AF14" s="55"/>
    </row>
    <row r="15" spans="1:32" s="57" customFormat="1" ht="15.75" customHeight="1">
      <c r="A15" s="2" t="s">
        <v>65</v>
      </c>
      <c r="B15" s="2" t="s">
        <v>396</v>
      </c>
      <c r="C15" s="51">
        <v>13.99</v>
      </c>
      <c r="D15" s="51">
        <v>2</v>
      </c>
      <c r="E15" s="51">
        <v>0</v>
      </c>
      <c r="F15" s="51">
        <v>24.98</v>
      </c>
      <c r="G15" s="51">
        <v>0</v>
      </c>
      <c r="H15" s="51">
        <f t="shared" si="1"/>
        <v>0</v>
      </c>
      <c r="I15" s="51">
        <f t="shared" si="2"/>
        <v>0.26674333056188543</v>
      </c>
      <c r="J15" s="51">
        <f t="shared" si="4"/>
        <v>6.6632483974358978</v>
      </c>
      <c r="K15" s="51">
        <f t="shared" si="3"/>
        <v>3.3316241987179489</v>
      </c>
      <c r="L15" s="51">
        <v>39</v>
      </c>
      <c r="M15" s="51">
        <f t="shared" si="5"/>
        <v>5.128205128205128E-2</v>
      </c>
      <c r="N15" s="51">
        <v>12</v>
      </c>
      <c r="O15" s="51">
        <f t="shared" ref="O15:P15" si="23">D15/7</f>
        <v>0.2857142857142857</v>
      </c>
      <c r="P15" s="51">
        <f t="shared" si="23"/>
        <v>0</v>
      </c>
      <c r="Q15" s="51">
        <f t="shared" si="7"/>
        <v>42</v>
      </c>
      <c r="R15" s="55">
        <v>0</v>
      </c>
      <c r="S15" s="53" t="s">
        <v>34</v>
      </c>
      <c r="T15" s="54" t="s">
        <v>34</v>
      </c>
      <c r="U15" s="55">
        <v>0</v>
      </c>
      <c r="V15" s="55">
        <f t="shared" si="8"/>
        <v>0</v>
      </c>
      <c r="W15" s="55">
        <f t="shared" si="9"/>
        <v>0</v>
      </c>
      <c r="X15" s="55">
        <v>0</v>
      </c>
      <c r="Y15" s="55" t="s">
        <v>35</v>
      </c>
      <c r="Z15" s="56">
        <f t="shared" si="19"/>
        <v>-0.75</v>
      </c>
      <c r="AA15" s="55">
        <v>9.2083333333333336E-2</v>
      </c>
      <c r="AB15" s="55">
        <f t="shared" si="11"/>
        <v>-0.2071875</v>
      </c>
      <c r="AC15" s="55">
        <v>-3.48</v>
      </c>
      <c r="AD15" s="55">
        <v>-3.701282051282051</v>
      </c>
      <c r="AE15" s="55">
        <v>0</v>
      </c>
      <c r="AF15" s="55"/>
    </row>
    <row r="16" spans="1:32" s="57" customFormat="1" ht="15.75" customHeight="1">
      <c r="A16" s="2" t="s">
        <v>66</v>
      </c>
      <c r="B16" s="2" t="s">
        <v>178</v>
      </c>
      <c r="C16" s="51">
        <v>13.99</v>
      </c>
      <c r="D16" s="51">
        <v>6</v>
      </c>
      <c r="E16" s="51">
        <v>0</v>
      </c>
      <c r="F16" s="51">
        <v>77.94</v>
      </c>
      <c r="G16" s="51">
        <v>0</v>
      </c>
      <c r="H16" s="51">
        <f t="shared" si="1"/>
        <v>0</v>
      </c>
      <c r="I16" s="51">
        <f t="shared" si="2"/>
        <v>0.29606081046070942</v>
      </c>
      <c r="J16" s="51">
        <f t="shared" si="4"/>
        <v>23.07497956730769</v>
      </c>
      <c r="K16" s="51">
        <f t="shared" si="3"/>
        <v>3.8458299278846151</v>
      </c>
      <c r="L16" s="51">
        <v>44</v>
      </c>
      <c r="M16" s="51">
        <f t="shared" si="5"/>
        <v>0.13636363636363635</v>
      </c>
      <c r="N16" s="51">
        <v>5</v>
      </c>
      <c r="O16" s="51">
        <f t="shared" ref="O16:P16" si="24">D16/7</f>
        <v>0.8571428571428571</v>
      </c>
      <c r="P16" s="51">
        <f t="shared" si="24"/>
        <v>0</v>
      </c>
      <c r="Q16" s="51">
        <f t="shared" si="7"/>
        <v>5</v>
      </c>
      <c r="R16" s="55">
        <v>0</v>
      </c>
      <c r="S16" s="53" t="s">
        <v>34</v>
      </c>
      <c r="T16" s="54" t="s">
        <v>34</v>
      </c>
      <c r="U16" s="55">
        <v>0</v>
      </c>
      <c r="V16" s="55">
        <f t="shared" si="8"/>
        <v>0</v>
      </c>
      <c r="W16" s="55">
        <f t="shared" si="9"/>
        <v>0</v>
      </c>
      <c r="X16" s="55">
        <v>0</v>
      </c>
      <c r="Y16" s="55" t="s">
        <v>35</v>
      </c>
      <c r="Z16" s="56">
        <f t="shared" si="19"/>
        <v>-0.75</v>
      </c>
      <c r="AA16" s="55">
        <v>9.2083333333333336E-2</v>
      </c>
      <c r="AB16" s="55">
        <f t="shared" si="11"/>
        <v>-8.6328125000000006E-2</v>
      </c>
      <c r="AC16" s="55">
        <v>-3.48</v>
      </c>
      <c r="AD16" s="55">
        <v>-3.701282051282051</v>
      </c>
      <c r="AE16" s="55">
        <v>0</v>
      </c>
      <c r="AF16" s="55"/>
    </row>
    <row r="17" spans="1:32" s="57" customFormat="1" ht="15.75" customHeight="1">
      <c r="A17" s="2" t="s">
        <v>67</v>
      </c>
      <c r="B17" s="2" t="s">
        <v>46</v>
      </c>
      <c r="C17" s="51">
        <v>13.99</v>
      </c>
      <c r="D17" s="51">
        <v>4</v>
      </c>
      <c r="E17" s="51">
        <v>0</v>
      </c>
      <c r="F17" s="51">
        <v>55.96</v>
      </c>
      <c r="G17" s="51">
        <v>0</v>
      </c>
      <c r="H17" s="51">
        <f t="shared" si="1"/>
        <v>0</v>
      </c>
      <c r="I17" s="51">
        <f t="shared" si="2"/>
        <v>0.33637609309992483</v>
      </c>
      <c r="J17" s="51">
        <f t="shared" si="4"/>
        <v>18.823606169871795</v>
      </c>
      <c r="K17" s="51">
        <f t="shared" si="3"/>
        <v>4.7059015424679487</v>
      </c>
      <c r="L17" s="51">
        <v>60</v>
      </c>
      <c r="M17" s="51">
        <f t="shared" si="5"/>
        <v>6.6666666666666666E-2</v>
      </c>
      <c r="N17" s="51">
        <v>1</v>
      </c>
      <c r="O17" s="51">
        <f t="shared" ref="O17:P17" si="25">D17/7</f>
        <v>0.5714285714285714</v>
      </c>
      <c r="P17" s="51">
        <f t="shared" si="25"/>
        <v>0</v>
      </c>
      <c r="Q17" s="51">
        <f t="shared" si="7"/>
        <v>1</v>
      </c>
      <c r="R17" s="55">
        <v>0</v>
      </c>
      <c r="S17" s="53" t="s">
        <v>34</v>
      </c>
      <c r="T17" s="54" t="s">
        <v>34</v>
      </c>
      <c r="U17" s="55">
        <v>0</v>
      </c>
      <c r="V17" s="55">
        <f t="shared" si="8"/>
        <v>0</v>
      </c>
      <c r="W17" s="55">
        <f t="shared" si="9"/>
        <v>0</v>
      </c>
      <c r="X17" s="55">
        <v>0</v>
      </c>
      <c r="Y17" s="55" t="s">
        <v>35</v>
      </c>
      <c r="Z17" s="56">
        <f t="shared" si="19"/>
        <v>-0.75</v>
      </c>
      <c r="AA17" s="55">
        <v>9.2083333333333336E-2</v>
      </c>
      <c r="AB17" s="55">
        <f t="shared" si="11"/>
        <v>-1.7265625E-2</v>
      </c>
      <c r="AC17" s="55">
        <v>-3.48</v>
      </c>
      <c r="AD17" s="55">
        <v>-3.701282051282051</v>
      </c>
      <c r="AE17" s="55">
        <v>0</v>
      </c>
      <c r="AF17" s="55"/>
    </row>
    <row r="18" spans="1:32" s="57" customFormat="1" ht="15.75" customHeight="1">
      <c r="A18" s="2" t="s">
        <v>69</v>
      </c>
      <c r="B18" s="2" t="s">
        <v>46</v>
      </c>
      <c r="C18" s="51" t="s">
        <v>397</v>
      </c>
      <c r="D18" s="51">
        <v>0</v>
      </c>
      <c r="E18" s="51">
        <v>0</v>
      </c>
      <c r="F18" s="51">
        <v>0</v>
      </c>
      <c r="G18" s="51">
        <v>0</v>
      </c>
      <c r="H18" s="51" t="e">
        <f t="shared" si="1"/>
        <v>#DIV/0!</v>
      </c>
      <c r="I18" s="51" t="e">
        <f t="shared" si="2"/>
        <v>#DIV/0!</v>
      </c>
      <c r="J18" s="51">
        <f t="shared" si="4"/>
        <v>0</v>
      </c>
      <c r="K18" s="51" t="e">
        <f t="shared" si="3"/>
        <v>#DIV/0!</v>
      </c>
      <c r="L18" s="51">
        <v>0</v>
      </c>
      <c r="M18" s="51" t="str">
        <f t="shared" si="5"/>
        <v>-</v>
      </c>
      <c r="N18" s="51">
        <v>1</v>
      </c>
      <c r="O18" s="51">
        <f t="shared" ref="O18:P18" si="26">D18/7</f>
        <v>0</v>
      </c>
      <c r="P18" s="51">
        <f t="shared" si="26"/>
        <v>0</v>
      </c>
      <c r="Q18" s="51" t="e">
        <f t="shared" si="7"/>
        <v>#DIV/0!</v>
      </c>
      <c r="R18" s="55">
        <v>0</v>
      </c>
      <c r="S18" s="53" t="s">
        <v>34</v>
      </c>
      <c r="T18" s="54" t="s">
        <v>34</v>
      </c>
      <c r="U18" s="55">
        <v>0</v>
      </c>
      <c r="V18" s="55">
        <f t="shared" si="8"/>
        <v>0</v>
      </c>
      <c r="W18" s="55">
        <f t="shared" si="9"/>
        <v>0</v>
      </c>
      <c r="X18" s="55">
        <v>0</v>
      </c>
      <c r="Y18" s="55" t="e">
        <v>#N/A</v>
      </c>
      <c r="Z18" s="56" t="e">
        <f t="shared" si="19"/>
        <v>#N/A</v>
      </c>
      <c r="AA18" s="55" t="e">
        <v>#N/A</v>
      </c>
      <c r="AB18" s="58">
        <f t="shared" ref="AB18:AB39" si="27">IFERROR(Z18*AA18*D18*3,0)</f>
        <v>0</v>
      </c>
      <c r="AC18" s="55">
        <v>0</v>
      </c>
      <c r="AD18" s="55">
        <v>-3.701282051282051</v>
      </c>
      <c r="AE18" s="55">
        <v>0</v>
      </c>
      <c r="AF18" s="55"/>
    </row>
    <row r="19" spans="1:32" s="57" customFormat="1" ht="15.75" customHeight="1">
      <c r="A19" s="2" t="s">
        <v>71</v>
      </c>
      <c r="B19" s="2"/>
      <c r="C19" s="51" t="s">
        <v>397</v>
      </c>
      <c r="D19" s="51">
        <v>0</v>
      </c>
      <c r="E19" s="51">
        <v>0</v>
      </c>
      <c r="F19" s="51">
        <v>0</v>
      </c>
      <c r="G19" s="51">
        <v>0</v>
      </c>
      <c r="H19" s="51" t="e">
        <f t="shared" si="1"/>
        <v>#DIV/0!</v>
      </c>
      <c r="I19" s="51" t="e">
        <f t="shared" si="2"/>
        <v>#DIV/0!</v>
      </c>
      <c r="J19" s="51">
        <f t="shared" si="4"/>
        <v>0</v>
      </c>
      <c r="K19" s="51" t="e">
        <f t="shared" si="3"/>
        <v>#DIV/0!</v>
      </c>
      <c r="L19" s="51">
        <v>0</v>
      </c>
      <c r="M19" s="51" t="str">
        <f t="shared" si="5"/>
        <v>-</v>
      </c>
      <c r="N19" s="51">
        <v>1</v>
      </c>
      <c r="O19" s="51">
        <f t="shared" ref="O19:P19" si="28">D19/7</f>
        <v>0</v>
      </c>
      <c r="P19" s="51">
        <f t="shared" si="28"/>
        <v>0</v>
      </c>
      <c r="Q19" s="51" t="e">
        <f t="shared" si="7"/>
        <v>#DIV/0!</v>
      </c>
      <c r="R19" s="55">
        <v>0</v>
      </c>
      <c r="S19" s="53" t="s">
        <v>34</v>
      </c>
      <c r="T19" s="54" t="s">
        <v>34</v>
      </c>
      <c r="U19" s="55">
        <v>0</v>
      </c>
      <c r="V19" s="55">
        <f t="shared" si="8"/>
        <v>0</v>
      </c>
      <c r="W19" s="55">
        <f t="shared" si="9"/>
        <v>0</v>
      </c>
      <c r="X19" s="55">
        <v>0</v>
      </c>
      <c r="Y19" s="55" t="e">
        <v>#N/A</v>
      </c>
      <c r="Z19" s="56" t="e">
        <f t="shared" si="19"/>
        <v>#N/A</v>
      </c>
      <c r="AA19" s="55" t="e">
        <v>#N/A</v>
      </c>
      <c r="AB19" s="55">
        <f t="shared" si="27"/>
        <v>0</v>
      </c>
      <c r="AC19" s="55">
        <v>0</v>
      </c>
      <c r="AD19" s="55">
        <v>-3.701282051282051</v>
      </c>
      <c r="AE19" s="55">
        <v>0</v>
      </c>
      <c r="AF19" s="55"/>
    </row>
    <row r="20" spans="1:32" s="57" customFormat="1" ht="15.75" customHeight="1">
      <c r="A20" s="2" t="s">
        <v>73</v>
      </c>
      <c r="B20" s="2"/>
      <c r="C20" s="51" t="s">
        <v>397</v>
      </c>
      <c r="D20" s="51">
        <v>0</v>
      </c>
      <c r="E20" s="51">
        <v>0</v>
      </c>
      <c r="F20" s="51">
        <v>0</v>
      </c>
      <c r="G20" s="51">
        <v>0</v>
      </c>
      <c r="H20" s="51" t="e">
        <f t="shared" si="1"/>
        <v>#DIV/0!</v>
      </c>
      <c r="I20" s="51" t="e">
        <f t="shared" si="2"/>
        <v>#DIV/0!</v>
      </c>
      <c r="J20" s="51">
        <f t="shared" si="4"/>
        <v>0</v>
      </c>
      <c r="K20" s="51" t="e">
        <f t="shared" si="3"/>
        <v>#DIV/0!</v>
      </c>
      <c r="L20" s="51">
        <v>0</v>
      </c>
      <c r="M20" s="51" t="str">
        <f t="shared" si="5"/>
        <v>-</v>
      </c>
      <c r="N20" s="51">
        <v>1</v>
      </c>
      <c r="O20" s="51">
        <f t="shared" ref="O20:P20" si="29">D20/7</f>
        <v>0</v>
      </c>
      <c r="P20" s="51">
        <f t="shared" si="29"/>
        <v>0</v>
      </c>
      <c r="Q20" s="51" t="e">
        <f t="shared" si="7"/>
        <v>#DIV/0!</v>
      </c>
      <c r="R20" s="55">
        <v>60</v>
      </c>
      <c r="S20" s="53" t="s">
        <v>34</v>
      </c>
      <c r="T20" s="54" t="s">
        <v>34</v>
      </c>
      <c r="U20" s="55">
        <v>0</v>
      </c>
      <c r="V20" s="55">
        <f t="shared" si="8"/>
        <v>0</v>
      </c>
      <c r="W20" s="55">
        <f t="shared" si="9"/>
        <v>0</v>
      </c>
      <c r="X20" s="55">
        <v>0</v>
      </c>
      <c r="Y20" s="55" t="e">
        <v>#N/A</v>
      </c>
      <c r="Z20" s="56" t="e">
        <f t="shared" si="19"/>
        <v>#N/A</v>
      </c>
      <c r="AA20" s="55" t="e">
        <v>#N/A</v>
      </c>
      <c r="AB20" s="55">
        <f t="shared" si="27"/>
        <v>0</v>
      </c>
      <c r="AC20" s="55">
        <v>0</v>
      </c>
      <c r="AD20" s="55">
        <v>-3.701282051282051</v>
      </c>
      <c r="AE20" s="55">
        <v>0</v>
      </c>
      <c r="AF20" s="55"/>
    </row>
    <row r="21" spans="1:32" s="57" customFormat="1" ht="15.75" customHeight="1">
      <c r="A21" s="2" t="s">
        <v>75</v>
      </c>
      <c r="B21" s="2"/>
      <c r="C21" s="51" t="s">
        <v>397</v>
      </c>
      <c r="D21" s="51">
        <v>0</v>
      </c>
      <c r="E21" s="51">
        <v>0</v>
      </c>
      <c r="F21" s="51">
        <v>0</v>
      </c>
      <c r="G21" s="51">
        <v>0</v>
      </c>
      <c r="H21" s="51" t="e">
        <f t="shared" si="1"/>
        <v>#DIV/0!</v>
      </c>
      <c r="I21" s="51" t="e">
        <f t="shared" si="2"/>
        <v>#DIV/0!</v>
      </c>
      <c r="J21" s="51">
        <f t="shared" si="4"/>
        <v>0</v>
      </c>
      <c r="K21" s="51" t="e">
        <f t="shared" si="3"/>
        <v>#DIV/0!</v>
      </c>
      <c r="L21" s="51">
        <v>0</v>
      </c>
      <c r="M21" s="51" t="str">
        <f t="shared" si="5"/>
        <v>-</v>
      </c>
      <c r="N21" s="51">
        <v>1</v>
      </c>
      <c r="O21" s="51">
        <f t="shared" ref="O21:P21" si="30">D21/7</f>
        <v>0</v>
      </c>
      <c r="P21" s="51">
        <f t="shared" si="30"/>
        <v>0</v>
      </c>
      <c r="Q21" s="51" t="e">
        <f t="shared" si="7"/>
        <v>#DIV/0!</v>
      </c>
      <c r="R21" s="55">
        <v>60</v>
      </c>
      <c r="S21" s="53">
        <v>60</v>
      </c>
      <c r="T21" s="54">
        <v>43969</v>
      </c>
      <c r="U21" s="55">
        <v>0</v>
      </c>
      <c r="V21" s="55">
        <f t="shared" si="8"/>
        <v>0</v>
      </c>
      <c r="W21" s="55">
        <f t="shared" si="9"/>
        <v>0</v>
      </c>
      <c r="X21" s="55">
        <v>0</v>
      </c>
      <c r="Y21" s="55" t="e">
        <v>#N/A</v>
      </c>
      <c r="Z21" s="56" t="e">
        <f t="shared" si="19"/>
        <v>#N/A</v>
      </c>
      <c r="AA21" s="55" t="e">
        <v>#N/A</v>
      </c>
      <c r="AB21" s="55">
        <f t="shared" si="27"/>
        <v>0</v>
      </c>
      <c r="AC21" s="55">
        <v>0</v>
      </c>
      <c r="AD21" s="55">
        <v>-3.701282051282051</v>
      </c>
      <c r="AE21" s="55">
        <v>0</v>
      </c>
      <c r="AF21" s="55"/>
    </row>
    <row r="22" spans="1:32" s="57" customFormat="1" ht="15.75" customHeight="1">
      <c r="A22" s="2" t="s">
        <v>77</v>
      </c>
      <c r="B22" s="2" t="s">
        <v>398</v>
      </c>
      <c r="C22" s="51" t="s">
        <v>397</v>
      </c>
      <c r="D22" s="51">
        <v>0</v>
      </c>
      <c r="E22" s="51">
        <v>0</v>
      </c>
      <c r="F22" s="51">
        <v>0</v>
      </c>
      <c r="G22" s="51">
        <v>0</v>
      </c>
      <c r="H22" s="51" t="e">
        <f t="shared" si="1"/>
        <v>#DIV/0!</v>
      </c>
      <c r="I22" s="51" t="e">
        <f t="shared" si="2"/>
        <v>#DIV/0!</v>
      </c>
      <c r="J22" s="51">
        <f t="shared" si="4"/>
        <v>0</v>
      </c>
      <c r="K22" s="51" t="e">
        <f t="shared" si="3"/>
        <v>#DIV/0!</v>
      </c>
      <c r="L22" s="51">
        <v>0</v>
      </c>
      <c r="M22" s="51" t="str">
        <f t="shared" si="5"/>
        <v>-</v>
      </c>
      <c r="N22" s="51">
        <v>1</v>
      </c>
      <c r="O22" s="51">
        <f t="shared" ref="O22:P22" si="31">D22/7</f>
        <v>0</v>
      </c>
      <c r="P22" s="51">
        <f t="shared" si="31"/>
        <v>0</v>
      </c>
      <c r="Q22" s="51" t="e">
        <f t="shared" si="7"/>
        <v>#DIV/0!</v>
      </c>
      <c r="R22" s="55">
        <v>60</v>
      </c>
      <c r="S22" s="53">
        <v>60</v>
      </c>
      <c r="T22" s="54">
        <v>43969</v>
      </c>
      <c r="U22" s="55">
        <v>0</v>
      </c>
      <c r="V22" s="55">
        <f t="shared" si="8"/>
        <v>0</v>
      </c>
      <c r="W22" s="55">
        <f t="shared" si="9"/>
        <v>0</v>
      </c>
      <c r="X22" s="55">
        <v>0</v>
      </c>
      <c r="Y22" s="55" t="e">
        <v>#N/A</v>
      </c>
      <c r="Z22" s="56" t="e">
        <f t="shared" si="19"/>
        <v>#N/A</v>
      </c>
      <c r="AA22" s="55" t="e">
        <v>#N/A</v>
      </c>
      <c r="AB22" s="55">
        <f t="shared" si="27"/>
        <v>0</v>
      </c>
      <c r="AC22" s="55">
        <v>0</v>
      </c>
      <c r="AD22" s="55">
        <v>-3.701282051282051</v>
      </c>
      <c r="AE22" s="55">
        <v>0</v>
      </c>
      <c r="AF22" s="55"/>
    </row>
    <row r="23" spans="1:32" s="57" customFormat="1" ht="15.75" customHeight="1">
      <c r="A23" s="2" t="s">
        <v>79</v>
      </c>
      <c r="B23" s="2" t="s">
        <v>319</v>
      </c>
      <c r="C23" s="51" t="s">
        <v>397</v>
      </c>
      <c r="D23" s="51">
        <v>0</v>
      </c>
      <c r="E23" s="51">
        <v>0</v>
      </c>
      <c r="F23" s="51">
        <v>0</v>
      </c>
      <c r="G23" s="51">
        <v>0</v>
      </c>
      <c r="H23" s="51" t="e">
        <f t="shared" si="1"/>
        <v>#DIV/0!</v>
      </c>
      <c r="I23" s="51" t="e">
        <f t="shared" si="2"/>
        <v>#DIV/0!</v>
      </c>
      <c r="J23" s="51">
        <f t="shared" si="4"/>
        <v>0</v>
      </c>
      <c r="K23" s="51" t="e">
        <f t="shared" si="3"/>
        <v>#DIV/0!</v>
      </c>
      <c r="L23" s="51">
        <v>0</v>
      </c>
      <c r="M23" s="51" t="str">
        <f t="shared" si="5"/>
        <v>-</v>
      </c>
      <c r="N23" s="51">
        <v>1</v>
      </c>
      <c r="O23" s="51">
        <f t="shared" ref="O23:P23" si="32">D23/7</f>
        <v>0</v>
      </c>
      <c r="P23" s="51">
        <f t="shared" si="32"/>
        <v>0</v>
      </c>
      <c r="Q23" s="51" t="e">
        <f t="shared" si="7"/>
        <v>#DIV/0!</v>
      </c>
      <c r="R23" s="55">
        <v>60</v>
      </c>
      <c r="S23" s="53">
        <v>60</v>
      </c>
      <c r="T23" s="54">
        <v>43969</v>
      </c>
      <c r="U23" s="55">
        <v>0</v>
      </c>
      <c r="V23" s="55">
        <f t="shared" si="8"/>
        <v>0</v>
      </c>
      <c r="W23" s="55">
        <f t="shared" si="9"/>
        <v>0</v>
      </c>
      <c r="X23" s="55">
        <v>0</v>
      </c>
      <c r="Y23" s="55" t="e">
        <v>#N/A</v>
      </c>
      <c r="Z23" s="56" t="e">
        <f t="shared" si="19"/>
        <v>#N/A</v>
      </c>
      <c r="AA23" s="55" t="e">
        <v>#N/A</v>
      </c>
      <c r="AB23" s="55">
        <f t="shared" si="27"/>
        <v>0</v>
      </c>
      <c r="AC23" s="55">
        <v>0</v>
      </c>
      <c r="AD23" s="55">
        <v>-3.701282051282051</v>
      </c>
      <c r="AE23" s="55">
        <v>0</v>
      </c>
      <c r="AF23" s="55"/>
    </row>
    <row r="24" spans="1:32" s="57" customFormat="1" ht="15.75" customHeight="1">
      <c r="A24" s="2" t="s">
        <v>80</v>
      </c>
      <c r="B24" s="26" t="s">
        <v>276</v>
      </c>
      <c r="C24" s="51"/>
      <c r="D24" s="51">
        <v>0</v>
      </c>
      <c r="E24" s="51">
        <v>0</v>
      </c>
      <c r="F24" s="51">
        <v>0</v>
      </c>
      <c r="G24" s="51">
        <v>0</v>
      </c>
      <c r="H24" s="51" t="e">
        <f t="shared" si="1"/>
        <v>#DIV/0!</v>
      </c>
      <c r="I24" s="51" t="e">
        <f t="shared" si="2"/>
        <v>#DIV/0!</v>
      </c>
      <c r="J24" s="51">
        <f t="shared" si="4"/>
        <v>0</v>
      </c>
      <c r="K24" s="51" t="e">
        <f t="shared" si="3"/>
        <v>#DIV/0!</v>
      </c>
      <c r="L24" s="51">
        <v>0</v>
      </c>
      <c r="M24" s="51" t="str">
        <f t="shared" si="5"/>
        <v>-</v>
      </c>
      <c r="N24" s="51">
        <v>1</v>
      </c>
      <c r="O24" s="51">
        <f t="shared" ref="O24:P24" si="33">D24/7</f>
        <v>0</v>
      </c>
      <c r="P24" s="51">
        <f t="shared" si="33"/>
        <v>0</v>
      </c>
      <c r="Q24" s="51" t="e">
        <f t="shared" si="7"/>
        <v>#DIV/0!</v>
      </c>
      <c r="R24" s="55">
        <v>60</v>
      </c>
      <c r="S24" s="53">
        <v>60</v>
      </c>
      <c r="T24" s="54">
        <v>43969</v>
      </c>
      <c r="U24" s="55">
        <v>0</v>
      </c>
      <c r="V24" s="55">
        <f t="shared" si="8"/>
        <v>0</v>
      </c>
      <c r="W24" s="55">
        <f t="shared" si="9"/>
        <v>0</v>
      </c>
      <c r="X24" s="55">
        <v>0</v>
      </c>
      <c r="Y24" s="55" t="e">
        <v>#N/A</v>
      </c>
      <c r="Z24" s="56" t="e">
        <f t="shared" si="19"/>
        <v>#N/A</v>
      </c>
      <c r="AA24" s="55" t="e">
        <v>#N/A</v>
      </c>
      <c r="AB24" s="55">
        <f t="shared" si="27"/>
        <v>0</v>
      </c>
      <c r="AC24" s="55">
        <v>0</v>
      </c>
      <c r="AD24" s="55">
        <v>-3.701282051282051</v>
      </c>
      <c r="AE24" s="55">
        <v>0</v>
      </c>
      <c r="AF24" s="55"/>
    </row>
    <row r="25" spans="1:32" s="57" customFormat="1" ht="15.75" customHeight="1">
      <c r="A25" s="2" t="s">
        <v>81</v>
      </c>
      <c r="B25" s="2" t="s">
        <v>399</v>
      </c>
      <c r="C25" s="51"/>
      <c r="D25" s="51">
        <v>0</v>
      </c>
      <c r="E25" s="51">
        <v>0</v>
      </c>
      <c r="F25" s="51">
        <v>0</v>
      </c>
      <c r="G25" s="51">
        <v>0</v>
      </c>
      <c r="H25" s="51" t="e">
        <f t="shared" si="1"/>
        <v>#DIV/0!</v>
      </c>
      <c r="I25" s="51" t="e">
        <f t="shared" si="2"/>
        <v>#DIV/0!</v>
      </c>
      <c r="J25" s="51">
        <f t="shared" si="4"/>
        <v>0</v>
      </c>
      <c r="K25" s="51" t="e">
        <f t="shared" si="3"/>
        <v>#DIV/0!</v>
      </c>
      <c r="L25" s="51">
        <v>0</v>
      </c>
      <c r="M25" s="51" t="str">
        <f t="shared" si="5"/>
        <v>-</v>
      </c>
      <c r="N25" s="51">
        <v>1</v>
      </c>
      <c r="O25" s="51">
        <f t="shared" ref="O25:P25" si="34">D25/7</f>
        <v>0</v>
      </c>
      <c r="P25" s="51">
        <f t="shared" si="34"/>
        <v>0</v>
      </c>
      <c r="Q25" s="51" t="e">
        <f t="shared" si="7"/>
        <v>#DIV/0!</v>
      </c>
      <c r="R25" s="55">
        <v>0</v>
      </c>
      <c r="S25" s="53" t="s">
        <v>34</v>
      </c>
      <c r="T25" s="54" t="s">
        <v>34</v>
      </c>
      <c r="U25" s="55">
        <v>0</v>
      </c>
      <c r="V25" s="55">
        <f t="shared" si="8"/>
        <v>0</v>
      </c>
      <c r="W25" s="55">
        <f t="shared" si="9"/>
        <v>0</v>
      </c>
      <c r="X25" s="55">
        <v>0</v>
      </c>
      <c r="Y25" s="55" t="e">
        <v>#N/A</v>
      </c>
      <c r="Z25" s="56" t="e">
        <f t="shared" si="19"/>
        <v>#N/A</v>
      </c>
      <c r="AA25" s="55" t="e">
        <v>#N/A</v>
      </c>
      <c r="AB25" s="55">
        <f t="shared" si="27"/>
        <v>0</v>
      </c>
      <c r="AC25" s="55">
        <v>0</v>
      </c>
      <c r="AD25" s="55">
        <v>-3.701282051282051</v>
      </c>
      <c r="AE25" s="55">
        <v>0</v>
      </c>
      <c r="AF25" s="55"/>
    </row>
    <row r="26" spans="1:32" s="57" customFormat="1" ht="15.75" customHeight="1">
      <c r="A26" s="2" t="s">
        <v>83</v>
      </c>
      <c r="B26" s="2" t="s">
        <v>400</v>
      </c>
      <c r="C26" s="51">
        <f t="shared" ref="C26:C39" si="35">IFERROR(F26/D26," - ")</f>
        <v>14.1775</v>
      </c>
      <c r="D26" s="51">
        <v>4</v>
      </c>
      <c r="E26" s="51">
        <v>0</v>
      </c>
      <c r="F26" s="51">
        <v>56.71</v>
      </c>
      <c r="G26" s="51">
        <v>0</v>
      </c>
      <c r="H26" s="51">
        <f t="shared" si="1"/>
        <v>0</v>
      </c>
      <c r="I26" s="51">
        <f t="shared" si="2"/>
        <v>0.32885949206263076</v>
      </c>
      <c r="J26" s="51">
        <f t="shared" si="4"/>
        <v>18.649621794871791</v>
      </c>
      <c r="K26" s="51">
        <f t="shared" si="3"/>
        <v>4.6624054487179478</v>
      </c>
      <c r="L26" s="51">
        <v>44</v>
      </c>
      <c r="M26" s="51">
        <f t="shared" si="5"/>
        <v>9.0909090909090912E-2</v>
      </c>
      <c r="N26" s="51">
        <v>54</v>
      </c>
      <c r="O26" s="51">
        <f t="shared" ref="O26:P26" si="36">D26/7</f>
        <v>0.5714285714285714</v>
      </c>
      <c r="P26" s="51">
        <f t="shared" si="36"/>
        <v>0</v>
      </c>
      <c r="Q26" s="51">
        <f t="shared" si="7"/>
        <v>94</v>
      </c>
      <c r="R26" s="55">
        <v>36</v>
      </c>
      <c r="S26" s="53">
        <v>36</v>
      </c>
      <c r="T26" s="54">
        <v>44008</v>
      </c>
      <c r="U26" s="55">
        <v>0</v>
      </c>
      <c r="V26" s="55">
        <f t="shared" si="8"/>
        <v>0</v>
      </c>
      <c r="W26" s="55">
        <f t="shared" si="9"/>
        <v>0</v>
      </c>
      <c r="X26" s="55">
        <v>0</v>
      </c>
      <c r="Y26" s="55" t="s">
        <v>35</v>
      </c>
      <c r="Z26" s="56">
        <f t="shared" si="19"/>
        <v>-0.75</v>
      </c>
      <c r="AA26" s="55">
        <v>9.2083333333333336E-2</v>
      </c>
      <c r="AB26" s="55">
        <f t="shared" si="27"/>
        <v>-0.82874999999999999</v>
      </c>
      <c r="AC26" s="55">
        <v>-3.48</v>
      </c>
      <c r="AD26" s="55">
        <v>-3.701282051282051</v>
      </c>
      <c r="AE26" s="55">
        <v>0</v>
      </c>
      <c r="AF26" s="55"/>
    </row>
    <row r="27" spans="1:32" s="57" customFormat="1" ht="15.75" customHeight="1">
      <c r="A27" s="2" t="s">
        <v>84</v>
      </c>
      <c r="B27" s="2" t="s">
        <v>401</v>
      </c>
      <c r="C27" s="51">
        <f t="shared" si="35"/>
        <v>14.24</v>
      </c>
      <c r="D27" s="51">
        <v>3</v>
      </c>
      <c r="E27" s="51">
        <v>0</v>
      </c>
      <c r="F27" s="51">
        <v>42.72</v>
      </c>
      <c r="G27" s="51">
        <v>0</v>
      </c>
      <c r="H27" s="51">
        <f t="shared" si="1"/>
        <v>0</v>
      </c>
      <c r="I27" s="51">
        <f t="shared" si="2"/>
        <v>0.33114680117401324</v>
      </c>
      <c r="J27" s="51">
        <f t="shared" si="4"/>
        <v>14.146591346153846</v>
      </c>
      <c r="K27" s="51">
        <f t="shared" si="3"/>
        <v>4.7155304487179484</v>
      </c>
      <c r="L27" s="51">
        <v>35</v>
      </c>
      <c r="M27" s="51">
        <f t="shared" si="5"/>
        <v>8.5714285714285715E-2</v>
      </c>
      <c r="N27" s="51">
        <v>55</v>
      </c>
      <c r="O27" s="51">
        <f t="shared" ref="O27:P27" si="37">D27/7</f>
        <v>0.42857142857142855</v>
      </c>
      <c r="P27" s="51">
        <f t="shared" si="37"/>
        <v>0</v>
      </c>
      <c r="Q27" s="51">
        <f t="shared" si="7"/>
        <v>128</v>
      </c>
      <c r="R27" s="55">
        <v>36</v>
      </c>
      <c r="S27" s="53">
        <v>36</v>
      </c>
      <c r="T27" s="54">
        <v>44013</v>
      </c>
      <c r="U27" s="55">
        <v>0</v>
      </c>
      <c r="V27" s="55">
        <f t="shared" si="8"/>
        <v>0</v>
      </c>
      <c r="W27" s="55">
        <f t="shared" si="9"/>
        <v>0</v>
      </c>
      <c r="X27" s="55">
        <v>0</v>
      </c>
      <c r="Y27" s="55" t="s">
        <v>35</v>
      </c>
      <c r="Z27" s="56">
        <f t="shared" si="19"/>
        <v>-0.75</v>
      </c>
      <c r="AA27" s="55">
        <v>9.2083333333333336E-2</v>
      </c>
      <c r="AB27" s="55">
        <f t="shared" si="27"/>
        <v>-0.62156250000000002</v>
      </c>
      <c r="AC27" s="55">
        <v>-3.48</v>
      </c>
      <c r="AD27" s="55">
        <v>-3.701282051282051</v>
      </c>
      <c r="AE27" s="55">
        <v>0</v>
      </c>
      <c r="AF27" s="55"/>
    </row>
    <row r="28" spans="1:32" s="57" customFormat="1" ht="15.75" customHeight="1">
      <c r="A28" s="2" t="s">
        <v>86</v>
      </c>
      <c r="B28" s="2" t="s">
        <v>402</v>
      </c>
      <c r="C28" s="51">
        <f t="shared" si="35"/>
        <v>13.198333333333332</v>
      </c>
      <c r="D28" s="51">
        <v>6</v>
      </c>
      <c r="E28" s="51">
        <v>0</v>
      </c>
      <c r="F28" s="51">
        <v>79.19</v>
      </c>
      <c r="G28" s="51">
        <v>0</v>
      </c>
      <c r="H28" s="51">
        <f t="shared" si="1"/>
        <v>0</v>
      </c>
      <c r="I28" s="51">
        <f t="shared" si="2"/>
        <v>0.29019677601095711</v>
      </c>
      <c r="J28" s="51">
        <f t="shared" si="4"/>
        <v>22.980682692307692</v>
      </c>
      <c r="K28" s="51">
        <f t="shared" si="3"/>
        <v>3.8301137820512818</v>
      </c>
      <c r="L28" s="51">
        <v>56</v>
      </c>
      <c r="M28" s="51">
        <f t="shared" si="5"/>
        <v>0.10714285714285714</v>
      </c>
      <c r="N28" s="51">
        <v>47</v>
      </c>
      <c r="O28" s="51">
        <f t="shared" ref="O28:P28" si="38">D28/7</f>
        <v>0.8571428571428571</v>
      </c>
      <c r="P28" s="51">
        <f t="shared" si="38"/>
        <v>0</v>
      </c>
      <c r="Q28" s="51">
        <f t="shared" si="7"/>
        <v>54</v>
      </c>
      <c r="R28" s="55">
        <v>36</v>
      </c>
      <c r="S28" s="53">
        <v>36</v>
      </c>
      <c r="T28" s="54">
        <v>44013</v>
      </c>
      <c r="U28" s="55">
        <v>0</v>
      </c>
      <c r="V28" s="55">
        <f t="shared" si="8"/>
        <v>0</v>
      </c>
      <c r="W28" s="55">
        <f t="shared" si="9"/>
        <v>0</v>
      </c>
      <c r="X28" s="55">
        <v>0</v>
      </c>
      <c r="Y28" s="55" t="s">
        <v>35</v>
      </c>
      <c r="Z28" s="56">
        <f t="shared" si="19"/>
        <v>-0.75</v>
      </c>
      <c r="AA28" s="55">
        <v>9.2083333333333336E-2</v>
      </c>
      <c r="AB28" s="55">
        <f t="shared" si="27"/>
        <v>-1.243125</v>
      </c>
      <c r="AC28" s="55">
        <v>-3.48</v>
      </c>
      <c r="AD28" s="55">
        <v>-3.701282051282051</v>
      </c>
      <c r="AE28" s="55">
        <v>0</v>
      </c>
      <c r="AF28" s="55"/>
    </row>
    <row r="29" spans="1:32" s="57" customFormat="1" ht="15.75" customHeight="1">
      <c r="A29" s="2" t="s">
        <v>87</v>
      </c>
      <c r="B29" s="2" t="s">
        <v>403</v>
      </c>
      <c r="C29" s="51">
        <f t="shared" si="35"/>
        <v>12.99</v>
      </c>
      <c r="D29" s="51">
        <v>2</v>
      </c>
      <c r="E29" s="51">
        <v>0</v>
      </c>
      <c r="F29" s="51">
        <v>25.98</v>
      </c>
      <c r="G29" s="51">
        <v>0</v>
      </c>
      <c r="H29" s="51">
        <f t="shared" si="1"/>
        <v>0</v>
      </c>
      <c r="I29" s="51">
        <f t="shared" si="2"/>
        <v>0.2812186642585025</v>
      </c>
      <c r="J29" s="51">
        <f t="shared" si="4"/>
        <v>7.3060608974358958</v>
      </c>
      <c r="K29" s="51">
        <f t="shared" si="3"/>
        <v>3.6530304487179479</v>
      </c>
      <c r="L29" s="51">
        <v>58</v>
      </c>
      <c r="M29" s="51">
        <f t="shared" si="5"/>
        <v>3.4482758620689655E-2</v>
      </c>
      <c r="N29" s="51">
        <v>46</v>
      </c>
      <c r="O29" s="51">
        <f t="shared" ref="O29:P29" si="39">D29/7</f>
        <v>0.2857142857142857</v>
      </c>
      <c r="P29" s="51">
        <f t="shared" si="39"/>
        <v>0</v>
      </c>
      <c r="Q29" s="51">
        <f t="shared" si="7"/>
        <v>161</v>
      </c>
      <c r="R29" s="55">
        <v>36</v>
      </c>
      <c r="S29" s="53">
        <v>36</v>
      </c>
      <c r="T29" s="54">
        <v>44013</v>
      </c>
      <c r="U29" s="55">
        <v>0</v>
      </c>
      <c r="V29" s="55">
        <f t="shared" si="8"/>
        <v>0</v>
      </c>
      <c r="W29" s="55">
        <f t="shared" si="9"/>
        <v>0</v>
      </c>
      <c r="X29" s="55">
        <v>0</v>
      </c>
      <c r="Y29" s="55" t="s">
        <v>35</v>
      </c>
      <c r="Z29" s="56">
        <f t="shared" si="19"/>
        <v>-0.75</v>
      </c>
      <c r="AA29" s="55">
        <v>9.2083333333333336E-2</v>
      </c>
      <c r="AB29" s="55">
        <f t="shared" si="27"/>
        <v>-0.41437499999999999</v>
      </c>
      <c r="AC29" s="55">
        <v>-3.48</v>
      </c>
      <c r="AD29" s="55">
        <v>-3.701282051282051</v>
      </c>
      <c r="AE29" s="55">
        <v>0</v>
      </c>
      <c r="AF29" s="55"/>
    </row>
    <row r="30" spans="1:32" s="57" customFormat="1" ht="15.75" customHeight="1">
      <c r="A30" s="2" t="s">
        <v>89</v>
      </c>
      <c r="B30" s="2" t="s">
        <v>404</v>
      </c>
      <c r="C30" s="51">
        <f t="shared" si="35"/>
        <v>11.546666666666667</v>
      </c>
      <c r="D30" s="51">
        <v>9</v>
      </c>
      <c r="E30" s="51">
        <v>0</v>
      </c>
      <c r="F30" s="51">
        <v>103.92</v>
      </c>
      <c r="G30" s="51">
        <v>-0.03</v>
      </c>
      <c r="H30" s="51">
        <f t="shared" si="1"/>
        <v>2.8868360277136258E-4</v>
      </c>
      <c r="I30" s="51">
        <f t="shared" si="2"/>
        <v>0.209832313688044</v>
      </c>
      <c r="J30" s="51">
        <f t="shared" si="4"/>
        <v>21.805774038461532</v>
      </c>
      <c r="K30" s="51">
        <f t="shared" si="3"/>
        <v>2.4228637820512815</v>
      </c>
      <c r="L30" s="51">
        <v>68</v>
      </c>
      <c r="M30" s="51">
        <f t="shared" si="5"/>
        <v>0.13235294117647059</v>
      </c>
      <c r="N30" s="51">
        <v>72</v>
      </c>
      <c r="O30" s="51">
        <f t="shared" ref="O30:P30" si="40">D30/7</f>
        <v>1.2857142857142858</v>
      </c>
      <c r="P30" s="51">
        <f t="shared" si="40"/>
        <v>0</v>
      </c>
      <c r="Q30" s="51">
        <f t="shared" si="7"/>
        <v>56</v>
      </c>
      <c r="R30" s="55">
        <v>36</v>
      </c>
      <c r="S30" s="53">
        <v>36</v>
      </c>
      <c r="T30" s="54">
        <v>44013</v>
      </c>
      <c r="U30" s="55">
        <v>0</v>
      </c>
      <c r="V30" s="55">
        <f t="shared" si="8"/>
        <v>0</v>
      </c>
      <c r="W30" s="55">
        <f t="shared" si="9"/>
        <v>0</v>
      </c>
      <c r="X30" s="55">
        <v>0</v>
      </c>
      <c r="Y30" s="55" t="s">
        <v>35</v>
      </c>
      <c r="Z30" s="56">
        <f t="shared" si="19"/>
        <v>-0.75</v>
      </c>
      <c r="AA30" s="55">
        <v>9.2083333333333336E-2</v>
      </c>
      <c r="AB30" s="55">
        <f t="shared" si="27"/>
        <v>-1.8646875000000001</v>
      </c>
      <c r="AC30" s="55">
        <v>-3.48</v>
      </c>
      <c r="AD30" s="55">
        <v>-3.701282051282051</v>
      </c>
      <c r="AE30" s="55">
        <v>0</v>
      </c>
      <c r="AF30" s="55"/>
    </row>
    <row r="31" spans="1:32" s="57" customFormat="1" ht="15.75" customHeight="1">
      <c r="A31" s="2" t="s">
        <v>90</v>
      </c>
      <c r="B31" s="2" t="s">
        <v>45</v>
      </c>
      <c r="C31" s="51">
        <f t="shared" si="35"/>
        <v>13.147500000000001</v>
      </c>
      <c r="D31" s="51">
        <v>4</v>
      </c>
      <c r="E31" s="51">
        <v>0</v>
      </c>
      <c r="F31" s="51">
        <v>52.59</v>
      </c>
      <c r="G31" s="51">
        <v>-0.1</v>
      </c>
      <c r="H31" s="51">
        <f t="shared" si="1"/>
        <v>1.9015021867275148E-3</v>
      </c>
      <c r="I31" s="51">
        <f t="shared" si="2"/>
        <v>0.2861308574799733</v>
      </c>
      <c r="J31" s="51">
        <f t="shared" si="4"/>
        <v>15.047621794871796</v>
      </c>
      <c r="K31" s="51">
        <f t="shared" si="3"/>
        <v>3.7619054487179491</v>
      </c>
      <c r="L31" s="51">
        <v>75</v>
      </c>
      <c r="M31" s="51">
        <f t="shared" si="5"/>
        <v>5.3333333333333337E-2</v>
      </c>
      <c r="N31" s="51">
        <v>70</v>
      </c>
      <c r="O31" s="51">
        <f t="shared" ref="O31:P31" si="41">D31/7</f>
        <v>0.5714285714285714</v>
      </c>
      <c r="P31" s="51">
        <f t="shared" si="41"/>
        <v>0</v>
      </c>
      <c r="Q31" s="51">
        <f t="shared" si="7"/>
        <v>122</v>
      </c>
      <c r="R31" s="55">
        <v>0</v>
      </c>
      <c r="S31" s="53" t="s">
        <v>34</v>
      </c>
      <c r="T31" s="54" t="s">
        <v>34</v>
      </c>
      <c r="U31" s="55">
        <v>1</v>
      </c>
      <c r="V31" s="55">
        <f t="shared" si="8"/>
        <v>0.25</v>
      </c>
      <c r="W31" s="55">
        <f t="shared" si="9"/>
        <v>0.1</v>
      </c>
      <c r="X31" s="55">
        <v>0</v>
      </c>
      <c r="Y31" s="55" t="s">
        <v>35</v>
      </c>
      <c r="Z31" s="56">
        <f t="shared" si="19"/>
        <v>-0.75</v>
      </c>
      <c r="AA31" s="55">
        <v>9.2083333333333336E-2</v>
      </c>
      <c r="AB31" s="55">
        <f t="shared" si="27"/>
        <v>-0.82874999999999999</v>
      </c>
      <c r="AC31" s="55">
        <v>-3.48</v>
      </c>
      <c r="AD31" s="55">
        <v>-3.701282051282051</v>
      </c>
      <c r="AE31" s="55">
        <v>0</v>
      </c>
      <c r="AF31" s="55"/>
    </row>
    <row r="32" spans="1:32" s="57" customFormat="1" ht="15.75" customHeight="1">
      <c r="A32" s="2" t="s">
        <v>92</v>
      </c>
      <c r="B32" s="2" t="s">
        <v>405</v>
      </c>
      <c r="C32" s="51">
        <f t="shared" si="35"/>
        <v>12.465</v>
      </c>
      <c r="D32" s="51">
        <v>4</v>
      </c>
      <c r="E32" s="51">
        <v>0</v>
      </c>
      <c r="F32" s="51">
        <v>49.86</v>
      </c>
      <c r="G32" s="51">
        <v>0</v>
      </c>
      <c r="H32" s="51">
        <f t="shared" si="1"/>
        <v>0</v>
      </c>
      <c r="I32" s="51">
        <f t="shared" si="2"/>
        <v>0.25726277165807854</v>
      </c>
      <c r="J32" s="51">
        <f t="shared" si="4"/>
        <v>12.827121794871795</v>
      </c>
      <c r="K32" s="51">
        <f t="shared" si="3"/>
        <v>3.2067804487179488</v>
      </c>
      <c r="L32" s="51">
        <v>89</v>
      </c>
      <c r="M32" s="51">
        <f t="shared" si="5"/>
        <v>4.49438202247191E-2</v>
      </c>
      <c r="N32" s="51">
        <v>64</v>
      </c>
      <c r="O32" s="51">
        <f t="shared" ref="O32:P32" si="42">D32/7</f>
        <v>0.5714285714285714</v>
      </c>
      <c r="P32" s="51">
        <f t="shared" si="42"/>
        <v>0</v>
      </c>
      <c r="Q32" s="51">
        <f t="shared" si="7"/>
        <v>112</v>
      </c>
      <c r="R32" s="55">
        <v>0</v>
      </c>
      <c r="S32" s="53" t="s">
        <v>34</v>
      </c>
      <c r="T32" s="54" t="s">
        <v>34</v>
      </c>
      <c r="U32" s="55">
        <v>0</v>
      </c>
      <c r="V32" s="55">
        <f t="shared" si="8"/>
        <v>0</v>
      </c>
      <c r="W32" s="55">
        <f t="shared" si="9"/>
        <v>0</v>
      </c>
      <c r="X32" s="55">
        <v>0</v>
      </c>
      <c r="Y32" s="55" t="s">
        <v>35</v>
      </c>
      <c r="Z32" s="56">
        <f t="shared" si="19"/>
        <v>-0.75</v>
      </c>
      <c r="AA32" s="55">
        <v>9.2083333333333336E-2</v>
      </c>
      <c r="AB32" s="55">
        <f t="shared" si="27"/>
        <v>-0.82874999999999999</v>
      </c>
      <c r="AC32" s="55">
        <v>-3.48</v>
      </c>
      <c r="AD32" s="55">
        <v>-3.701282051282051</v>
      </c>
      <c r="AE32" s="55">
        <v>0</v>
      </c>
      <c r="AF32" s="52">
        <v>0.967741935483871</v>
      </c>
    </row>
    <row r="33" spans="1:32" s="57" customFormat="1" ht="15.75" customHeight="1">
      <c r="A33" s="2" t="s">
        <v>94</v>
      </c>
      <c r="B33" s="26" t="s">
        <v>45</v>
      </c>
      <c r="C33" s="51">
        <f t="shared" si="35"/>
        <v>11.379999999999999</v>
      </c>
      <c r="D33" s="51">
        <v>8</v>
      </c>
      <c r="E33" s="51">
        <v>0</v>
      </c>
      <c r="F33" s="51">
        <v>91.039999999999992</v>
      </c>
      <c r="G33" s="51">
        <v>0</v>
      </c>
      <c r="H33" s="51">
        <f t="shared" si="1"/>
        <v>0</v>
      </c>
      <c r="I33" s="51">
        <f t="shared" si="2"/>
        <v>0.20074960006308851</v>
      </c>
      <c r="J33" s="51">
        <f t="shared" si="4"/>
        <v>18.276243589743576</v>
      </c>
      <c r="K33" s="51">
        <f t="shared" si="3"/>
        <v>2.284530448717947</v>
      </c>
      <c r="L33" s="51">
        <v>89</v>
      </c>
      <c r="M33" s="51">
        <f t="shared" si="5"/>
        <v>8.98876404494382E-2</v>
      </c>
      <c r="N33" s="51">
        <v>59</v>
      </c>
      <c r="O33" s="51">
        <f t="shared" ref="O33:P33" si="43">D33/7</f>
        <v>1.1428571428571428</v>
      </c>
      <c r="P33" s="51">
        <f t="shared" si="43"/>
        <v>0</v>
      </c>
      <c r="Q33" s="51">
        <f t="shared" si="7"/>
        <v>51</v>
      </c>
      <c r="R33" s="55">
        <v>0</v>
      </c>
      <c r="S33" s="53" t="s">
        <v>34</v>
      </c>
      <c r="T33" s="54" t="s">
        <v>34</v>
      </c>
      <c r="U33" s="55">
        <v>0</v>
      </c>
      <c r="V33" s="55">
        <f t="shared" si="8"/>
        <v>0</v>
      </c>
      <c r="W33" s="55">
        <f t="shared" si="9"/>
        <v>0</v>
      </c>
      <c r="X33" s="55">
        <v>0</v>
      </c>
      <c r="Y33" s="55" t="s">
        <v>35</v>
      </c>
      <c r="Z33" s="56">
        <f t="shared" si="19"/>
        <v>-0.75</v>
      </c>
      <c r="AA33" s="55">
        <v>9.2083333333333336E-2</v>
      </c>
      <c r="AB33" s="55">
        <f t="shared" si="27"/>
        <v>-1.6575</v>
      </c>
      <c r="AC33" s="55">
        <v>-3.48</v>
      </c>
      <c r="AD33" s="55">
        <v>-3.701282051282051</v>
      </c>
      <c r="AE33" s="55">
        <v>0</v>
      </c>
      <c r="AF33" s="55">
        <v>1.1929824561403499</v>
      </c>
    </row>
    <row r="34" spans="1:32" s="57" customFormat="1" ht="15.75" customHeight="1">
      <c r="A34" s="2" t="s">
        <v>95</v>
      </c>
      <c r="B34" s="2"/>
      <c r="C34" s="51">
        <f t="shared" si="35"/>
        <v>9.9574999999999996</v>
      </c>
      <c r="D34" s="51">
        <v>8</v>
      </c>
      <c r="E34" s="51">
        <v>0</v>
      </c>
      <c r="F34" s="51">
        <v>79.66</v>
      </c>
      <c r="G34" s="51">
        <v>0</v>
      </c>
      <c r="H34" s="51">
        <f t="shared" si="1"/>
        <v>0</v>
      </c>
      <c r="I34" s="51">
        <f t="shared" si="2"/>
        <v>0.10799954292924412</v>
      </c>
      <c r="J34" s="51">
        <f t="shared" si="4"/>
        <v>8.6032435897435864</v>
      </c>
      <c r="K34" s="51">
        <f t="shared" si="3"/>
        <v>1.0754054487179483</v>
      </c>
      <c r="L34" s="51">
        <v>77</v>
      </c>
      <c r="M34" s="51">
        <f t="shared" si="5"/>
        <v>0.1038961038961039</v>
      </c>
      <c r="N34" s="51">
        <v>41</v>
      </c>
      <c r="O34" s="51">
        <f t="shared" ref="O34:P34" si="44">D34/7</f>
        <v>1.1428571428571428</v>
      </c>
      <c r="P34" s="51">
        <f t="shared" si="44"/>
        <v>0</v>
      </c>
      <c r="Q34" s="51">
        <f t="shared" si="7"/>
        <v>35</v>
      </c>
      <c r="R34" s="55">
        <v>0</v>
      </c>
      <c r="S34" s="53" t="s">
        <v>34</v>
      </c>
      <c r="T34" s="54" t="s">
        <v>34</v>
      </c>
      <c r="U34" s="55">
        <v>0</v>
      </c>
      <c r="V34" s="55">
        <f t="shared" si="8"/>
        <v>0</v>
      </c>
      <c r="W34" s="55">
        <f t="shared" si="9"/>
        <v>0</v>
      </c>
      <c r="X34" s="55">
        <v>0</v>
      </c>
      <c r="Y34" s="55" t="s">
        <v>35</v>
      </c>
      <c r="Z34" s="56">
        <f t="shared" si="19"/>
        <v>-0.75</v>
      </c>
      <c r="AA34" s="55">
        <v>9.2083333333333336E-2</v>
      </c>
      <c r="AB34" s="55">
        <f t="shared" si="27"/>
        <v>-1.6575</v>
      </c>
      <c r="AC34" s="55">
        <v>-3.48</v>
      </c>
      <c r="AD34" s="55">
        <v>-3.701282051282051</v>
      </c>
      <c r="AE34" s="55">
        <v>0</v>
      </c>
      <c r="AF34" s="55">
        <v>1.2287581699346399</v>
      </c>
    </row>
    <row r="35" spans="1:32" s="57" customFormat="1" ht="15.75" customHeight="1">
      <c r="A35" s="2" t="s">
        <v>96</v>
      </c>
      <c r="B35" s="2" t="s">
        <v>406</v>
      </c>
      <c r="C35" s="51">
        <f t="shared" si="35"/>
        <v>10.074117647058825</v>
      </c>
      <c r="D35" s="51">
        <v>17</v>
      </c>
      <c r="E35" s="51">
        <v>0</v>
      </c>
      <c r="F35" s="51">
        <v>171.26000000000002</v>
      </c>
      <c r="G35" s="51">
        <v>0</v>
      </c>
      <c r="H35" s="51">
        <f t="shared" si="1"/>
        <v>0</v>
      </c>
      <c r="I35" s="51">
        <f t="shared" si="2"/>
        <v>0.1165889152645402</v>
      </c>
      <c r="J35" s="51">
        <f t="shared" si="4"/>
        <v>19.967017628205156</v>
      </c>
      <c r="K35" s="51">
        <f t="shared" si="3"/>
        <v>1.1745304487179504</v>
      </c>
      <c r="L35" s="51">
        <v>59</v>
      </c>
      <c r="M35" s="51">
        <f t="shared" si="5"/>
        <v>0.28813559322033899</v>
      </c>
      <c r="N35" s="51">
        <v>28</v>
      </c>
      <c r="O35" s="51">
        <f t="shared" ref="O35:P35" si="45">D35/7</f>
        <v>2.4285714285714284</v>
      </c>
      <c r="P35" s="51">
        <f t="shared" si="45"/>
        <v>0</v>
      </c>
      <c r="Q35" s="51">
        <f t="shared" si="7"/>
        <v>11</v>
      </c>
      <c r="R35" s="55">
        <v>0</v>
      </c>
      <c r="S35" s="53" t="s">
        <v>34</v>
      </c>
      <c r="T35" s="54" t="s">
        <v>34</v>
      </c>
      <c r="U35" s="55">
        <v>0</v>
      </c>
      <c r="V35" s="55">
        <f t="shared" si="8"/>
        <v>0</v>
      </c>
      <c r="W35" s="55">
        <f t="shared" si="9"/>
        <v>0</v>
      </c>
      <c r="X35" s="55">
        <v>0</v>
      </c>
      <c r="Y35" s="55" t="s">
        <v>35</v>
      </c>
      <c r="Z35" s="56">
        <f t="shared" si="19"/>
        <v>-0.75</v>
      </c>
      <c r="AA35" s="55">
        <v>9.2083333333333336E-2</v>
      </c>
      <c r="AB35" s="55">
        <f t="shared" si="27"/>
        <v>-3.5221875000000002</v>
      </c>
      <c r="AC35" s="55">
        <v>-3.48</v>
      </c>
      <c r="AD35" s="55">
        <v>-3.701282051282051</v>
      </c>
      <c r="AE35" s="55">
        <v>0</v>
      </c>
      <c r="AF35" s="55">
        <v>1.3176470588235201</v>
      </c>
    </row>
    <row r="36" spans="1:32" s="57" customFormat="1" ht="15.75" customHeight="1">
      <c r="A36" s="2" t="s">
        <v>98</v>
      </c>
      <c r="B36" s="2" t="s">
        <v>45</v>
      </c>
      <c r="C36" s="51">
        <f t="shared" si="35"/>
        <v>9.9987500000000011</v>
      </c>
      <c r="D36" s="51">
        <v>8</v>
      </c>
      <c r="E36" s="51">
        <v>0</v>
      </c>
      <c r="F36" s="51">
        <v>79.990000000000009</v>
      </c>
      <c r="G36" s="51">
        <v>0</v>
      </c>
      <c r="H36" s="51">
        <f t="shared" si="1"/>
        <v>0</v>
      </c>
      <c r="I36" s="51">
        <f t="shared" si="2"/>
        <v>0.11106067745647692</v>
      </c>
      <c r="J36" s="51">
        <f t="shared" si="4"/>
        <v>8.8837435897435899</v>
      </c>
      <c r="K36" s="51">
        <f t="shared" si="3"/>
        <v>1.1104679487179487</v>
      </c>
      <c r="L36" s="51">
        <v>53</v>
      </c>
      <c r="M36" s="51">
        <f t="shared" si="5"/>
        <v>0.15094339622641509</v>
      </c>
      <c r="N36" s="51">
        <v>24</v>
      </c>
      <c r="O36" s="51">
        <f t="shared" ref="O36:P36" si="46">D36/7</f>
        <v>1.1428571428571428</v>
      </c>
      <c r="P36" s="51">
        <f t="shared" si="46"/>
        <v>0</v>
      </c>
      <c r="Q36" s="51">
        <f t="shared" si="7"/>
        <v>21</v>
      </c>
      <c r="R36" s="55">
        <v>0</v>
      </c>
      <c r="S36" s="53"/>
      <c r="T36" s="54" t="s">
        <v>34</v>
      </c>
      <c r="U36" s="55"/>
      <c r="V36" s="55">
        <f t="shared" si="8"/>
        <v>0</v>
      </c>
      <c r="W36" s="55">
        <f t="shared" si="9"/>
        <v>0</v>
      </c>
      <c r="X36" s="55"/>
      <c r="Y36" s="55" t="s">
        <v>35</v>
      </c>
      <c r="Z36" s="56">
        <f t="shared" si="19"/>
        <v>-0.75</v>
      </c>
      <c r="AA36" s="55">
        <v>9.2083333333333336E-2</v>
      </c>
      <c r="AB36" s="55">
        <f t="shared" si="27"/>
        <v>-1.6575</v>
      </c>
      <c r="AC36" s="55">
        <v>-3.48</v>
      </c>
      <c r="AD36" s="55">
        <v>-3.701282051282051</v>
      </c>
      <c r="AE36" s="55">
        <v>0</v>
      </c>
      <c r="AF36" s="55">
        <v>1.93197278911564</v>
      </c>
    </row>
    <row r="37" spans="1:32" s="57" customFormat="1" ht="15.75" customHeight="1">
      <c r="A37" s="2" t="s">
        <v>99</v>
      </c>
      <c r="B37" s="2" t="s">
        <v>45</v>
      </c>
      <c r="C37" s="51">
        <f t="shared" si="35"/>
        <v>11.996</v>
      </c>
      <c r="D37" s="51">
        <v>5</v>
      </c>
      <c r="E37" s="51">
        <v>0</v>
      </c>
      <c r="F37" s="51">
        <v>59.980000000000004</v>
      </c>
      <c r="G37" s="51">
        <v>0</v>
      </c>
      <c r="H37" s="51">
        <f t="shared" si="1"/>
        <v>0</v>
      </c>
      <c r="I37" s="51">
        <f t="shared" si="2"/>
        <v>0.23408890035994914</v>
      </c>
      <c r="J37" s="51">
        <f t="shared" si="4"/>
        <v>14.040652243589751</v>
      </c>
      <c r="K37" s="51">
        <f t="shared" si="3"/>
        <v>2.8081304487179501</v>
      </c>
      <c r="L37" s="51">
        <v>62</v>
      </c>
      <c r="M37" s="51">
        <f t="shared" si="5"/>
        <v>8.0645161290322578E-2</v>
      </c>
      <c r="N37" s="51">
        <v>20</v>
      </c>
      <c r="O37" s="51">
        <f t="shared" ref="O37:P37" si="47">D37/7</f>
        <v>0.7142857142857143</v>
      </c>
      <c r="P37" s="51">
        <f t="shared" si="47"/>
        <v>0</v>
      </c>
      <c r="Q37" s="51">
        <f t="shared" si="7"/>
        <v>28</v>
      </c>
      <c r="R37" s="55">
        <v>60</v>
      </c>
      <c r="S37" s="53">
        <v>60</v>
      </c>
      <c r="T37" s="54">
        <v>44078</v>
      </c>
      <c r="U37" s="55">
        <v>0</v>
      </c>
      <c r="V37" s="55">
        <f t="shared" si="8"/>
        <v>0</v>
      </c>
      <c r="W37" s="55">
        <f t="shared" si="9"/>
        <v>0</v>
      </c>
      <c r="X37" s="55">
        <v>0</v>
      </c>
      <c r="Y37" s="55" t="s">
        <v>35</v>
      </c>
      <c r="Z37" s="56">
        <f t="shared" si="19"/>
        <v>-0.75</v>
      </c>
      <c r="AA37" s="55">
        <v>9.2083333333333336E-2</v>
      </c>
      <c r="AB37" s="55">
        <f t="shared" si="27"/>
        <v>-1.0359375000000002</v>
      </c>
      <c r="AC37" s="55">
        <v>-3.48</v>
      </c>
      <c r="AD37" s="55">
        <v>-3.701282051282051</v>
      </c>
      <c r="AE37" s="55">
        <v>0</v>
      </c>
      <c r="AF37" s="55">
        <v>2.3030303030303001</v>
      </c>
    </row>
    <row r="38" spans="1:32" s="57" customFormat="1" ht="15.75" customHeight="1">
      <c r="A38" s="2" t="s">
        <v>100</v>
      </c>
      <c r="B38" s="2" t="s">
        <v>45</v>
      </c>
      <c r="C38" s="51">
        <f t="shared" si="35"/>
        <v>12.001666666666667</v>
      </c>
      <c r="D38" s="51">
        <v>6</v>
      </c>
      <c r="E38" s="51">
        <v>0</v>
      </c>
      <c r="F38" s="51">
        <v>72.010000000000005</v>
      </c>
      <c r="G38" s="51">
        <v>0</v>
      </c>
      <c r="H38" s="51">
        <f t="shared" si="1"/>
        <v>0</v>
      </c>
      <c r="I38" s="51">
        <f t="shared" si="2"/>
        <v>0.23437970687831824</v>
      </c>
      <c r="J38" s="51">
        <f t="shared" si="4"/>
        <v>16.877682692307697</v>
      </c>
      <c r="K38" s="51">
        <f t="shared" si="3"/>
        <v>2.8129471153846164</v>
      </c>
      <c r="L38" s="51">
        <v>64</v>
      </c>
      <c r="M38" s="51">
        <f t="shared" si="5"/>
        <v>9.375E-2</v>
      </c>
      <c r="N38" s="51">
        <v>11</v>
      </c>
      <c r="O38" s="51">
        <f t="shared" ref="O38:P38" si="48">D38/7</f>
        <v>0.8571428571428571</v>
      </c>
      <c r="P38" s="51">
        <f t="shared" si="48"/>
        <v>0</v>
      </c>
      <c r="Q38" s="51">
        <f t="shared" si="7"/>
        <v>12</v>
      </c>
      <c r="R38" s="55">
        <v>60</v>
      </c>
      <c r="S38" s="53"/>
      <c r="T38" s="54">
        <v>44078</v>
      </c>
      <c r="U38" s="55">
        <v>0</v>
      </c>
      <c r="V38" s="55">
        <f t="shared" si="8"/>
        <v>0</v>
      </c>
      <c r="W38" s="55">
        <f t="shared" si="9"/>
        <v>0</v>
      </c>
      <c r="X38" s="55">
        <v>0</v>
      </c>
      <c r="Y38" s="55" t="s">
        <v>35</v>
      </c>
      <c r="Z38" s="56">
        <f t="shared" si="19"/>
        <v>-0.75</v>
      </c>
      <c r="AA38" s="55">
        <v>9.2083333333333336E-2</v>
      </c>
      <c r="AB38" s="55">
        <f t="shared" si="27"/>
        <v>-1.243125</v>
      </c>
      <c r="AC38" s="55">
        <v>-3.48</v>
      </c>
      <c r="AD38" s="55">
        <v>-3.701282051282051</v>
      </c>
      <c r="AE38" s="55">
        <v>0</v>
      </c>
      <c r="AF38" s="55">
        <v>1.9644970414201099</v>
      </c>
    </row>
    <row r="39" spans="1:32" s="57" customFormat="1" ht="15.75" customHeight="1">
      <c r="A39" s="2" t="s">
        <v>101</v>
      </c>
      <c r="B39" s="2" t="s">
        <v>45</v>
      </c>
      <c r="C39" s="51">
        <f t="shared" si="35"/>
        <v>11.99</v>
      </c>
      <c r="D39" s="51">
        <v>5</v>
      </c>
      <c r="E39" s="51">
        <v>0</v>
      </c>
      <c r="F39" s="51">
        <v>59.95</v>
      </c>
      <c r="G39" s="51">
        <v>0</v>
      </c>
      <c r="H39" s="51">
        <f t="shared" si="1"/>
        <v>0</v>
      </c>
      <c r="I39" s="51">
        <f t="shared" si="2"/>
        <v>0.23378068796646786</v>
      </c>
      <c r="J39" s="51">
        <f>F39*0.85+G39+AD39*D39+D39*AC39+AE40+AB39</f>
        <v>14.01515224358975</v>
      </c>
      <c r="K39" s="51">
        <f t="shared" si="3"/>
        <v>2.80303044871795</v>
      </c>
      <c r="L39" s="51">
        <v>44</v>
      </c>
      <c r="M39" s="51">
        <f t="shared" si="5"/>
        <v>0.11363636363636363</v>
      </c>
      <c r="N39" s="51">
        <v>11</v>
      </c>
      <c r="O39" s="51">
        <f t="shared" ref="O39:P39" si="49">D39/7</f>
        <v>0.7142857142857143</v>
      </c>
      <c r="P39" s="51">
        <f t="shared" si="49"/>
        <v>0</v>
      </c>
      <c r="Q39" s="51">
        <f t="shared" si="7"/>
        <v>15</v>
      </c>
      <c r="R39" s="55">
        <v>60</v>
      </c>
      <c r="S39" s="53">
        <v>60</v>
      </c>
      <c r="T39" s="54">
        <v>44078</v>
      </c>
      <c r="U39" s="55">
        <v>0</v>
      </c>
      <c r="V39" s="55">
        <f t="shared" si="8"/>
        <v>0</v>
      </c>
      <c r="W39" s="55">
        <f t="shared" si="9"/>
        <v>0</v>
      </c>
      <c r="X39" s="55">
        <v>0</v>
      </c>
      <c r="Y39" s="55" t="s">
        <v>35</v>
      </c>
      <c r="Z39" s="56">
        <f t="shared" si="19"/>
        <v>-0.75</v>
      </c>
      <c r="AA39" s="55">
        <v>9.2083333333333336E-2</v>
      </c>
      <c r="AB39" s="55">
        <f t="shared" si="27"/>
        <v>-1.0359375000000002</v>
      </c>
      <c r="AC39" s="55">
        <v>-3.48</v>
      </c>
      <c r="AD39" s="55">
        <v>-3.7012820512820501</v>
      </c>
      <c r="AE39" s="55">
        <v>0</v>
      </c>
      <c r="AF39" s="55">
        <v>1.9171597633135999</v>
      </c>
    </row>
    <row r="40" spans="1:32" s="57" customFormat="1" ht="15.75" customHeight="1">
      <c r="A40" s="2" t="s">
        <v>102</v>
      </c>
      <c r="B40" s="2" t="s">
        <v>46</v>
      </c>
      <c r="C40" s="51">
        <v>11.989999999999998</v>
      </c>
      <c r="D40" s="51">
        <v>8</v>
      </c>
      <c r="E40" s="51">
        <v>0</v>
      </c>
      <c r="F40" s="51">
        <v>95.919999999999987</v>
      </c>
      <c r="G40" s="51">
        <v>0</v>
      </c>
      <c r="H40" s="51">
        <v>0</v>
      </c>
      <c r="I40" s="51">
        <v>0.23378068796646778</v>
      </c>
      <c r="J40" s="51">
        <v>22.424243589743586</v>
      </c>
      <c r="K40" s="51">
        <v>2.8030304487179483</v>
      </c>
      <c r="L40" s="51">
        <v>52</v>
      </c>
      <c r="M40" s="51">
        <v>0.15384615384615385</v>
      </c>
      <c r="N40" s="51">
        <v>0</v>
      </c>
      <c r="O40" s="51">
        <v>1.1428571428571428</v>
      </c>
      <c r="P40" s="51">
        <v>0</v>
      </c>
      <c r="Q40" s="51">
        <v>0</v>
      </c>
      <c r="R40" s="55">
        <v>60</v>
      </c>
      <c r="S40" s="53">
        <v>60</v>
      </c>
      <c r="T40" s="54">
        <v>44078</v>
      </c>
      <c r="U40" s="55">
        <v>0</v>
      </c>
      <c r="V40" s="55">
        <v>0</v>
      </c>
      <c r="W40" s="55">
        <v>0</v>
      </c>
      <c r="X40" s="55">
        <v>0</v>
      </c>
      <c r="Y40" s="55" t="s">
        <v>35</v>
      </c>
      <c r="Z40" s="56">
        <v>-0.75</v>
      </c>
      <c r="AA40" s="55">
        <v>9.2083333333333336E-2</v>
      </c>
      <c r="AB40" s="55">
        <v>-1.6575</v>
      </c>
      <c r="AC40" s="55">
        <v>-3.48</v>
      </c>
      <c r="AD40" s="55">
        <v>-3.7012820512820501</v>
      </c>
      <c r="AE40" s="55">
        <v>0</v>
      </c>
      <c r="AF40" s="55" t="e">
        <v>#N/A</v>
      </c>
    </row>
    <row r="41" spans="1:32" s="57" customFormat="1" ht="15.75" customHeight="1">
      <c r="A41" s="2" t="s">
        <v>105</v>
      </c>
      <c r="B41" s="2" t="s">
        <v>46</v>
      </c>
      <c r="C41" s="51">
        <f t="shared" ref="C41:C56" si="50">IFERROR(F41/D41," - ")</f>
        <v>11.99</v>
      </c>
      <c r="D41" s="51">
        <v>1</v>
      </c>
      <c r="E41" s="51">
        <v>0</v>
      </c>
      <c r="F41" s="51">
        <v>11.99</v>
      </c>
      <c r="G41" s="51">
        <v>0</v>
      </c>
      <c r="H41" s="51">
        <f t="shared" ref="H41:H56" si="51">G41/F41*-1</f>
        <v>0</v>
      </c>
      <c r="I41" s="51">
        <f t="shared" ref="I41:I56" si="52">J41/F41</f>
        <v>0.23378068796646789</v>
      </c>
      <c r="J41" s="51">
        <f t="shared" ref="J41:J48" si="53">F41*0.85+G41+AD41*D41+D41*AC41+AE42+AB41</f>
        <v>2.80303044871795</v>
      </c>
      <c r="K41" s="51">
        <f t="shared" ref="K41:K56" si="54">J41/D41</f>
        <v>2.80303044871795</v>
      </c>
      <c r="L41" s="51">
        <v>5</v>
      </c>
      <c r="M41" s="51">
        <f t="shared" ref="M41:M56" si="55">IFERROR(D41/L41,"-")</f>
        <v>0.2</v>
      </c>
      <c r="N41" s="51">
        <v>0</v>
      </c>
      <c r="O41" s="51">
        <f t="shared" ref="O41:P41" si="56">D41/7</f>
        <v>0.14285714285714285</v>
      </c>
      <c r="P41" s="51">
        <f t="shared" si="56"/>
        <v>0</v>
      </c>
      <c r="Q41" s="51">
        <f t="shared" ref="Q41:Q56" si="57">ROUNDDOWN(N41/(O41+P41),0)</f>
        <v>0</v>
      </c>
      <c r="R41" s="55">
        <v>60</v>
      </c>
      <c r="S41" s="53">
        <v>60</v>
      </c>
      <c r="T41" s="54">
        <v>44078</v>
      </c>
      <c r="U41" s="55">
        <v>0</v>
      </c>
      <c r="V41" s="55">
        <f t="shared" ref="V41:V56" si="58">IFERROR(U41/D41,0)</f>
        <v>0</v>
      </c>
      <c r="W41" s="55">
        <f t="shared" ref="W41:W56" si="59">IFERROR(G41/(U41+X41)*-1,0)</f>
        <v>0</v>
      </c>
      <c r="X41" s="55">
        <v>0</v>
      </c>
      <c r="Y41" s="55" t="s">
        <v>35</v>
      </c>
      <c r="Z41" s="56">
        <f t="shared" ref="Z41:Z43" si="60">IF(OR(Y41="UsLargeStandardSize",Y41="UsSmallStandardSize"),-0.75,-0.48)</f>
        <v>-0.75</v>
      </c>
      <c r="AA41" s="55">
        <v>9.2083333333333336E-2</v>
      </c>
      <c r="AB41" s="55">
        <f t="shared" ref="AB41:AB56" si="61">IFERROR(Z41*AA41*D41*3,0)</f>
        <v>-0.2071875</v>
      </c>
      <c r="AC41" s="55">
        <v>-3.48</v>
      </c>
      <c r="AD41" s="55">
        <v>-3.7012820512820501</v>
      </c>
      <c r="AE41" s="55">
        <v>0</v>
      </c>
      <c r="AF41" s="55" t="e">
        <v>#N/A</v>
      </c>
    </row>
    <row r="42" spans="1:32" s="57" customFormat="1" ht="15.75" customHeight="1">
      <c r="A42" s="2" t="s">
        <v>106</v>
      </c>
      <c r="B42" s="2" t="s">
        <v>378</v>
      </c>
      <c r="C42" s="51" t="str">
        <f t="shared" si="50"/>
        <v xml:space="preserve"> - </v>
      </c>
      <c r="D42" s="51">
        <v>0</v>
      </c>
      <c r="E42" s="51">
        <v>0</v>
      </c>
      <c r="F42" s="51">
        <v>0</v>
      </c>
      <c r="G42" s="51">
        <v>0</v>
      </c>
      <c r="H42" s="51" t="e">
        <f t="shared" si="51"/>
        <v>#DIV/0!</v>
      </c>
      <c r="I42" s="51" t="e">
        <f t="shared" si="52"/>
        <v>#DIV/0!</v>
      </c>
      <c r="J42" s="51">
        <f t="shared" si="53"/>
        <v>0</v>
      </c>
      <c r="K42" s="51" t="e">
        <f t="shared" si="54"/>
        <v>#DIV/0!</v>
      </c>
      <c r="L42" s="51">
        <v>0</v>
      </c>
      <c r="M42" s="51" t="str">
        <f t="shared" si="55"/>
        <v>-</v>
      </c>
      <c r="N42" s="51">
        <v>0</v>
      </c>
      <c r="O42" s="51">
        <f t="shared" ref="O42:P42" si="62">D42/7</f>
        <v>0</v>
      </c>
      <c r="P42" s="51">
        <f t="shared" si="62"/>
        <v>0</v>
      </c>
      <c r="Q42" s="51" t="e">
        <f t="shared" si="57"/>
        <v>#DIV/0!</v>
      </c>
      <c r="R42" s="55">
        <f ca="1">IFERROR(__xludf.DUMMYFUNCTION("IFERROR(VLOOKUP($B$2,IMPORTRANGE(""https://docs.google.com/spreadsheets/d/1iVgg6Mw12RULLujzHmfOFIY8Q_KaAD8anoZzgtVAQ74/edit#gid=1503384807"",""Second Star - Summary!A1:AD2000""),9,FALSE),"""")"),39)</f>
        <v>39</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0</v>
      </c>
      <c r="V42" s="55">
        <f t="shared" si="58"/>
        <v>0</v>
      </c>
      <c r="W42" s="55">
        <f t="shared" si="59"/>
        <v>0</v>
      </c>
      <c r="X42" s="55">
        <v>0</v>
      </c>
      <c r="Y42" s="55" t="s">
        <v>35</v>
      </c>
      <c r="Z42" s="56">
        <f t="shared" si="60"/>
        <v>-0.75</v>
      </c>
      <c r="AA42" s="55">
        <v>9.2083333333333336E-2</v>
      </c>
      <c r="AB42" s="55">
        <f t="shared" si="61"/>
        <v>0</v>
      </c>
      <c r="AC42" s="55">
        <v>-3.48</v>
      </c>
      <c r="AD42" s="55">
        <v>-3.7012820512820501</v>
      </c>
      <c r="AE42" s="55">
        <v>0</v>
      </c>
      <c r="AF42" s="55" t="e">
        <v>#N/A</v>
      </c>
    </row>
    <row r="43" spans="1:32" s="57" customFormat="1" ht="15.75" customHeight="1">
      <c r="A43" s="2" t="s">
        <v>107</v>
      </c>
      <c r="B43" s="2" t="s">
        <v>378</v>
      </c>
      <c r="C43" s="51" t="str">
        <f t="shared" si="50"/>
        <v xml:space="preserve"> - </v>
      </c>
      <c r="D43" s="51">
        <v>0</v>
      </c>
      <c r="E43" s="51">
        <v>0</v>
      </c>
      <c r="F43" s="51">
        <v>0</v>
      </c>
      <c r="G43" s="51">
        <v>0</v>
      </c>
      <c r="H43" s="51" t="e">
        <f t="shared" si="51"/>
        <v>#DIV/0!</v>
      </c>
      <c r="I43" s="51" t="e">
        <f t="shared" si="52"/>
        <v>#DIV/0!</v>
      </c>
      <c r="J43" s="51">
        <f t="shared" si="53"/>
        <v>0</v>
      </c>
      <c r="K43" s="51" t="e">
        <f t="shared" si="54"/>
        <v>#DIV/0!</v>
      </c>
      <c r="L43" s="51">
        <v>0</v>
      </c>
      <c r="M43" s="51" t="str">
        <f t="shared" si="55"/>
        <v>-</v>
      </c>
      <c r="N43" s="51">
        <v>0</v>
      </c>
      <c r="O43" s="51">
        <f t="shared" ref="O43:P43" si="63">D43/7</f>
        <v>0</v>
      </c>
      <c r="P43" s="51">
        <f t="shared" si="63"/>
        <v>0</v>
      </c>
      <c r="Q43" s="51" t="e">
        <f t="shared" si="57"/>
        <v>#DIV/0!</v>
      </c>
      <c r="R43" s="55">
        <v>140</v>
      </c>
      <c r="S43" s="53">
        <v>140</v>
      </c>
      <c r="T43" s="54">
        <v>44137</v>
      </c>
      <c r="U43" s="55">
        <v>0</v>
      </c>
      <c r="V43" s="55">
        <f t="shared" si="58"/>
        <v>0</v>
      </c>
      <c r="W43" s="55">
        <f t="shared" si="59"/>
        <v>0</v>
      </c>
      <c r="X43" s="55">
        <v>0</v>
      </c>
      <c r="Y43" s="55" t="e">
        <v>#N/A</v>
      </c>
      <c r="Z43" s="56" t="e">
        <f t="shared" si="60"/>
        <v>#N/A</v>
      </c>
      <c r="AA43" s="55" t="e">
        <v>#N/A</v>
      </c>
      <c r="AB43" s="55">
        <f t="shared" si="61"/>
        <v>0</v>
      </c>
      <c r="AC43" s="55">
        <v>0</v>
      </c>
      <c r="AD43" s="55">
        <v>-3.7012820512820501</v>
      </c>
      <c r="AE43" s="55">
        <v>0</v>
      </c>
      <c r="AF43" s="55" t="e">
        <v>#N/A</v>
      </c>
    </row>
    <row r="44" spans="1:32" s="57" customFormat="1" ht="15.75" customHeight="1">
      <c r="A44" s="2" t="s">
        <v>108</v>
      </c>
      <c r="B44" s="2" t="s">
        <v>168</v>
      </c>
      <c r="C44" s="51" t="str">
        <f t="shared" si="50"/>
        <v xml:space="preserve"> - </v>
      </c>
      <c r="D44" s="51">
        <v>0</v>
      </c>
      <c r="E44" s="51">
        <v>0</v>
      </c>
      <c r="F44" s="51">
        <v>0</v>
      </c>
      <c r="G44" s="51">
        <v>0</v>
      </c>
      <c r="H44" s="51" t="e">
        <f t="shared" si="51"/>
        <v>#DIV/0!</v>
      </c>
      <c r="I44" s="51" t="e">
        <f t="shared" si="52"/>
        <v>#DIV/0!</v>
      </c>
      <c r="J44" s="51">
        <f t="shared" si="53"/>
        <v>0</v>
      </c>
      <c r="K44" s="51" t="e">
        <f t="shared" si="54"/>
        <v>#DIV/0!</v>
      </c>
      <c r="L44" s="51">
        <v>0</v>
      </c>
      <c r="M44" s="51" t="str">
        <f t="shared" si="55"/>
        <v>-</v>
      </c>
      <c r="N44" s="51">
        <v>0</v>
      </c>
      <c r="O44" s="51">
        <f t="shared" ref="O44:P44" si="64">D44/7</f>
        <v>0</v>
      </c>
      <c r="P44" s="51">
        <f t="shared" si="64"/>
        <v>0</v>
      </c>
      <c r="Q44" s="51" t="e">
        <f t="shared" si="57"/>
        <v>#DIV/0!</v>
      </c>
      <c r="R44" s="55">
        <v>144</v>
      </c>
      <c r="S44" s="53">
        <v>144</v>
      </c>
      <c r="T44" s="54">
        <v>44137</v>
      </c>
      <c r="U44" s="55">
        <v>0</v>
      </c>
      <c r="V44" s="55">
        <f t="shared" si="58"/>
        <v>0</v>
      </c>
      <c r="W44" s="55">
        <f t="shared" si="59"/>
        <v>0</v>
      </c>
      <c r="X44" s="55">
        <v>0</v>
      </c>
      <c r="Y44" s="55" t="e">
        <v>#N/A</v>
      </c>
      <c r="Z44" s="56" t="e">
        <f t="shared" ref="Z44:Z56" si="65">IF(OR(Y44="UsLargeStandardSize",Y44="UsSmallStandardSize"),-2.4,-1.2)</f>
        <v>#N/A</v>
      </c>
      <c r="AA44" s="55" t="e">
        <v>#N/A</v>
      </c>
      <c r="AB44" s="55">
        <f t="shared" si="61"/>
        <v>0</v>
      </c>
      <c r="AC44" s="55">
        <v>0</v>
      </c>
      <c r="AD44" s="55">
        <v>-3.7012820512820501</v>
      </c>
      <c r="AE44" s="55">
        <v>0</v>
      </c>
      <c r="AF44" s="55" t="e">
        <v>#N/A</v>
      </c>
    </row>
    <row r="45" spans="1:32" s="57" customFormat="1" ht="15.75" customHeight="1">
      <c r="A45" s="2" t="s">
        <v>109</v>
      </c>
      <c r="B45" s="2" t="s">
        <v>407</v>
      </c>
      <c r="C45" s="51">
        <f t="shared" si="50"/>
        <v>11.99</v>
      </c>
      <c r="D45" s="51">
        <v>4</v>
      </c>
      <c r="E45" s="51">
        <v>0</v>
      </c>
      <c r="F45" s="51">
        <v>47.96</v>
      </c>
      <c r="G45" s="51">
        <v>0</v>
      </c>
      <c r="H45" s="51">
        <f t="shared" si="51"/>
        <v>0</v>
      </c>
      <c r="I45" s="51">
        <f t="shared" si="52"/>
        <v>0.19576463292059634</v>
      </c>
      <c r="J45" s="51">
        <f t="shared" si="53"/>
        <v>9.3888717948718003</v>
      </c>
      <c r="K45" s="51">
        <f t="shared" si="54"/>
        <v>2.3472179487179501</v>
      </c>
      <c r="L45" s="51">
        <v>31</v>
      </c>
      <c r="M45" s="51">
        <f t="shared" si="55"/>
        <v>0.12903225806451613</v>
      </c>
      <c r="N45" s="51">
        <v>60</v>
      </c>
      <c r="O45" s="51">
        <f t="shared" ref="O45:P45" si="66">D45/7</f>
        <v>0.5714285714285714</v>
      </c>
      <c r="P45" s="51">
        <f t="shared" si="66"/>
        <v>0</v>
      </c>
      <c r="Q45" s="51">
        <f t="shared" si="57"/>
        <v>105</v>
      </c>
      <c r="R45" s="55">
        <v>144</v>
      </c>
      <c r="S45" s="53">
        <v>144</v>
      </c>
      <c r="T45" s="54">
        <v>44137</v>
      </c>
      <c r="U45" s="55">
        <v>0</v>
      </c>
      <c r="V45" s="55">
        <f t="shared" si="58"/>
        <v>0</v>
      </c>
      <c r="W45" s="55">
        <f t="shared" si="59"/>
        <v>0</v>
      </c>
      <c r="X45" s="55">
        <v>0</v>
      </c>
      <c r="Y45" s="55" t="s">
        <v>35</v>
      </c>
      <c r="Z45" s="56">
        <f t="shared" si="65"/>
        <v>-2.4</v>
      </c>
      <c r="AA45" s="55">
        <v>9.2083333333333336E-2</v>
      </c>
      <c r="AB45" s="55">
        <f t="shared" si="61"/>
        <v>-2.6520000000000001</v>
      </c>
      <c r="AC45" s="55">
        <v>-3.48</v>
      </c>
      <c r="AD45" s="55">
        <v>-3.7012820512820501</v>
      </c>
      <c r="AE45" s="55">
        <v>0</v>
      </c>
      <c r="AF45" s="55">
        <v>1.7297297297297201</v>
      </c>
    </row>
    <row r="46" spans="1:32" s="57" customFormat="1" ht="15.75" customHeight="1">
      <c r="A46" s="2" t="s">
        <v>111</v>
      </c>
      <c r="B46" s="2" t="s">
        <v>408</v>
      </c>
      <c r="C46" s="51">
        <f t="shared" si="50"/>
        <v>11.456666666666669</v>
      </c>
      <c r="D46" s="51">
        <v>3</v>
      </c>
      <c r="E46" s="51">
        <v>0</v>
      </c>
      <c r="F46" s="51">
        <v>34.370000000000005</v>
      </c>
      <c r="G46" s="51">
        <v>0</v>
      </c>
      <c r="H46" s="51">
        <f t="shared" si="51"/>
        <v>0</v>
      </c>
      <c r="I46" s="51">
        <f t="shared" si="52"/>
        <v>0.16530852040017027</v>
      </c>
      <c r="J46" s="51">
        <f t="shared" si="53"/>
        <v>5.6816538461538526</v>
      </c>
      <c r="K46" s="51">
        <f t="shared" si="54"/>
        <v>1.8938846153846176</v>
      </c>
      <c r="L46" s="51">
        <v>39</v>
      </c>
      <c r="M46" s="51">
        <f t="shared" si="55"/>
        <v>7.6923076923076927E-2</v>
      </c>
      <c r="N46" s="51">
        <v>45</v>
      </c>
      <c r="O46" s="51">
        <f t="shared" ref="O46:P46" si="67">D46/7</f>
        <v>0.42857142857142855</v>
      </c>
      <c r="P46" s="51">
        <f t="shared" si="67"/>
        <v>0</v>
      </c>
      <c r="Q46" s="51">
        <f t="shared" si="57"/>
        <v>105</v>
      </c>
      <c r="R46" s="55">
        <v>0</v>
      </c>
      <c r="S46" s="53" t="s">
        <v>34</v>
      </c>
      <c r="T46" s="54" t="s">
        <v>34</v>
      </c>
      <c r="U46" s="55">
        <v>0</v>
      </c>
      <c r="V46" s="55">
        <f t="shared" si="58"/>
        <v>0</v>
      </c>
      <c r="W46" s="55">
        <f t="shared" si="59"/>
        <v>0</v>
      </c>
      <c r="X46" s="55">
        <v>0</v>
      </c>
      <c r="Y46" s="55" t="s">
        <v>35</v>
      </c>
      <c r="Z46" s="56">
        <f t="shared" si="65"/>
        <v>-2.4</v>
      </c>
      <c r="AA46" s="55">
        <v>9.2083333333333336E-2</v>
      </c>
      <c r="AB46" s="55">
        <f t="shared" si="61"/>
        <v>-1.9890000000000001</v>
      </c>
      <c r="AC46" s="55">
        <v>-3.48</v>
      </c>
      <c r="AD46" s="55">
        <v>-3.7012820512820501</v>
      </c>
      <c r="AE46" s="55">
        <v>0</v>
      </c>
      <c r="AF46" s="55">
        <v>2.3448275862068901</v>
      </c>
    </row>
    <row r="47" spans="1:32" s="57" customFormat="1" ht="15.75" customHeight="1">
      <c r="A47" s="2" t="s">
        <v>113</v>
      </c>
      <c r="B47" s="2" t="s">
        <v>409</v>
      </c>
      <c r="C47" s="51">
        <f t="shared" si="50"/>
        <v>10.775</v>
      </c>
      <c r="D47" s="51">
        <v>10</v>
      </c>
      <c r="E47" s="51">
        <v>0</v>
      </c>
      <c r="F47" s="51">
        <v>107.75</v>
      </c>
      <c r="G47" s="51">
        <v>0</v>
      </c>
      <c r="H47" s="51">
        <f t="shared" si="51"/>
        <v>0</v>
      </c>
      <c r="I47" s="51">
        <f t="shared" si="52"/>
        <v>0.12199238503182823</v>
      </c>
      <c r="J47" s="51">
        <f t="shared" si="53"/>
        <v>13.144679487179491</v>
      </c>
      <c r="K47" s="51">
        <f t="shared" si="54"/>
        <v>1.3144679487179491</v>
      </c>
      <c r="L47" s="51">
        <v>59</v>
      </c>
      <c r="M47" s="51">
        <f t="shared" si="55"/>
        <v>0.16949152542372881</v>
      </c>
      <c r="N47" s="51">
        <v>175</v>
      </c>
      <c r="O47" s="51">
        <f t="shared" ref="O47:P47" si="68">D47/7</f>
        <v>1.4285714285714286</v>
      </c>
      <c r="P47" s="51">
        <f t="shared" si="68"/>
        <v>0</v>
      </c>
      <c r="Q47" s="51">
        <f t="shared" si="57"/>
        <v>122</v>
      </c>
      <c r="R47" s="55">
        <v>0</v>
      </c>
      <c r="S47" s="53" t="s">
        <v>34</v>
      </c>
      <c r="T47" s="54" t="s">
        <v>34</v>
      </c>
      <c r="U47" s="55">
        <v>0</v>
      </c>
      <c r="V47" s="55">
        <f t="shared" si="58"/>
        <v>0</v>
      </c>
      <c r="W47" s="55">
        <f t="shared" si="59"/>
        <v>0</v>
      </c>
      <c r="X47" s="55">
        <v>0</v>
      </c>
      <c r="Y47" s="55" t="s">
        <v>35</v>
      </c>
      <c r="Z47" s="56">
        <f t="shared" si="65"/>
        <v>-2.4</v>
      </c>
      <c r="AA47" s="55">
        <v>9.2083333333333336E-2</v>
      </c>
      <c r="AB47" s="55">
        <f t="shared" si="61"/>
        <v>-6.63</v>
      </c>
      <c r="AC47" s="55">
        <v>-3.48</v>
      </c>
      <c r="AD47" s="55">
        <v>-3.7012820512820501</v>
      </c>
      <c r="AE47" s="55">
        <v>0</v>
      </c>
      <c r="AF47" s="55">
        <v>1.1179039301310001</v>
      </c>
    </row>
    <row r="48" spans="1:32" s="57" customFormat="1" ht="15.75" customHeight="1">
      <c r="A48" s="2" t="s">
        <v>115</v>
      </c>
      <c r="B48" s="2" t="s">
        <v>410</v>
      </c>
      <c r="C48" s="51">
        <f t="shared" si="50"/>
        <v>10.092222222222224</v>
      </c>
      <c r="D48" s="51">
        <v>9</v>
      </c>
      <c r="E48" s="51">
        <v>0</v>
      </c>
      <c r="F48" s="51">
        <v>90.830000000000013</v>
      </c>
      <c r="G48" s="51">
        <v>0</v>
      </c>
      <c r="H48" s="51">
        <f t="shared" si="51"/>
        <v>0</v>
      </c>
      <c r="I48" s="51">
        <f t="shared" si="52"/>
        <v>7.273986060180071E-2</v>
      </c>
      <c r="J48" s="51">
        <f t="shared" si="53"/>
        <v>6.6069615384615599</v>
      </c>
      <c r="K48" s="51">
        <f t="shared" si="54"/>
        <v>0.73410683760684003</v>
      </c>
      <c r="L48" s="51">
        <v>44</v>
      </c>
      <c r="M48" s="51">
        <f t="shared" si="55"/>
        <v>0.20454545454545456</v>
      </c>
      <c r="N48" s="51">
        <v>171</v>
      </c>
      <c r="O48" s="51">
        <f t="shared" ref="O48:P48" si="69">D48/7</f>
        <v>1.2857142857142858</v>
      </c>
      <c r="P48" s="51">
        <f t="shared" si="69"/>
        <v>0</v>
      </c>
      <c r="Q48" s="51">
        <f t="shared" si="57"/>
        <v>133</v>
      </c>
      <c r="R48" s="55">
        <f ca="1">IFERROR(__xludf.DUMMYFUNCTION("IFERROR(VLOOKUP($B$2,IMPORTRANGE(""https://docs.google.com/spreadsheets/d/1iVgg6Mw12RULLujzHmfOFIY8Q_KaAD8anoZzgtVAQ74/edit#gid=1503384807"",""Second Star - Summary!A1:AD2000""),9,FALSE),"""")"),39)</f>
        <v>39</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si="58"/>
        <v>0</v>
      </c>
      <c r="W48" s="55">
        <f t="shared" si="59"/>
        <v>0</v>
      </c>
      <c r="X48" s="55">
        <v>0</v>
      </c>
      <c r="Y48" s="55" t="s">
        <v>35</v>
      </c>
      <c r="Z48" s="56">
        <f t="shared" si="65"/>
        <v>-2.4</v>
      </c>
      <c r="AA48" s="55">
        <v>9.2083333333333336E-2</v>
      </c>
      <c r="AB48" s="55">
        <f t="shared" si="61"/>
        <v>-5.9670000000000005</v>
      </c>
      <c r="AC48" s="55">
        <v>-3.48</v>
      </c>
      <c r="AD48" s="55">
        <v>-3.7012820512820501</v>
      </c>
      <c r="AE48" s="55">
        <v>0</v>
      </c>
      <c r="AF48" s="55">
        <v>1.13761467889908</v>
      </c>
    </row>
    <row r="49" spans="1:32" s="57" customFormat="1" ht="15.75" customHeight="1">
      <c r="A49" s="2" t="s">
        <v>117</v>
      </c>
      <c r="B49" s="2" t="s">
        <v>45</v>
      </c>
      <c r="C49" s="51">
        <f t="shared" si="50"/>
        <v>10.053750000000001</v>
      </c>
      <c r="D49" s="51">
        <v>8</v>
      </c>
      <c r="E49" s="51">
        <v>0</v>
      </c>
      <c r="F49" s="51">
        <v>80.430000000000007</v>
      </c>
      <c r="G49" s="51">
        <v>0</v>
      </c>
      <c r="H49" s="51">
        <f t="shared" si="51"/>
        <v>0</v>
      </c>
      <c r="I49" s="51">
        <f t="shared" si="52"/>
        <v>6.8494884865642119E-2</v>
      </c>
      <c r="J49" s="51">
        <f t="shared" ref="J49:J56" si="70">F49*0.85+G49+AD49*D49+D49*AC49+AE49+AB49</f>
        <v>5.5090435897435963</v>
      </c>
      <c r="K49" s="51">
        <f t="shared" si="54"/>
        <v>0.68863044871794954</v>
      </c>
      <c r="L49" s="51">
        <v>48</v>
      </c>
      <c r="M49" s="51">
        <f t="shared" si="55"/>
        <v>0.16666666666666666</v>
      </c>
      <c r="N49" s="51">
        <v>162</v>
      </c>
      <c r="O49" s="51">
        <f t="shared" ref="O49:P49" si="71">D49/7</f>
        <v>1.1428571428571428</v>
      </c>
      <c r="P49" s="51">
        <f t="shared" si="71"/>
        <v>0</v>
      </c>
      <c r="Q49" s="51">
        <f t="shared" si="57"/>
        <v>141</v>
      </c>
      <c r="R49" s="55">
        <f ca="1">IFERROR(__xludf.DUMMYFUNCTION("IFERROR(VLOOKUP($B$2,IMPORTRANGE(""https://docs.google.com/spreadsheets/d/1iVgg6Mw12RULLujzHmfOFIY8Q_KaAD8anoZzgtVAQ74/edit#gid=1503384807"",""Second Star - Summary!A1:AD2000""),9,FALSE),"""")"),39)</f>
        <v>39</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58"/>
        <v>0</v>
      </c>
      <c r="W49" s="55">
        <f t="shared" si="59"/>
        <v>0</v>
      </c>
      <c r="X49" s="55">
        <v>0</v>
      </c>
      <c r="Y49" s="55" t="s">
        <v>35</v>
      </c>
      <c r="Z49" s="56">
        <f t="shared" si="65"/>
        <v>-2.4</v>
      </c>
      <c r="AA49" s="55">
        <v>9.2083333333333336E-2</v>
      </c>
      <c r="AB49" s="55">
        <f t="shared" si="61"/>
        <v>-5.3040000000000003</v>
      </c>
      <c r="AC49" s="55">
        <v>-3.48</v>
      </c>
      <c r="AD49" s="55">
        <v>-3.7140570512820501</v>
      </c>
      <c r="AE49" s="55">
        <v>0</v>
      </c>
      <c r="AF49" s="55">
        <v>1.2896174863387899</v>
      </c>
    </row>
    <row r="50" spans="1:32" s="57" customFormat="1" ht="15.75" customHeight="1">
      <c r="A50" s="2" t="s">
        <v>119</v>
      </c>
      <c r="B50" s="2" t="s">
        <v>411</v>
      </c>
      <c r="C50" s="51">
        <f t="shared" si="50"/>
        <v>10.038571428571428</v>
      </c>
      <c r="D50" s="51">
        <v>7</v>
      </c>
      <c r="E50" s="51">
        <v>0</v>
      </c>
      <c r="F50" s="51">
        <v>70.27</v>
      </c>
      <c r="G50" s="51">
        <v>-7.0000000000000007E-2</v>
      </c>
      <c r="H50" s="51">
        <f t="shared" si="51"/>
        <v>9.9615767752952913E-4</v>
      </c>
      <c r="I50" s="51">
        <f t="shared" si="52"/>
        <v>6.6317071880256748E-2</v>
      </c>
      <c r="J50" s="51">
        <f t="shared" si="70"/>
        <v>4.6601006410256414</v>
      </c>
      <c r="K50" s="51">
        <f t="shared" si="54"/>
        <v>0.66572866300366307</v>
      </c>
      <c r="L50" s="51">
        <v>68</v>
      </c>
      <c r="M50" s="51">
        <f t="shared" si="55"/>
        <v>0.10294117647058823</v>
      </c>
      <c r="N50" s="51">
        <v>157</v>
      </c>
      <c r="O50" s="51">
        <f t="shared" ref="O50:P50" si="72">D50/7</f>
        <v>1</v>
      </c>
      <c r="P50" s="51">
        <f t="shared" si="72"/>
        <v>0</v>
      </c>
      <c r="Q50" s="51">
        <f t="shared" si="57"/>
        <v>157</v>
      </c>
      <c r="R50" s="55">
        <f ca="1">IFERROR(__xludf.DUMMYFUNCTION("IFERROR(VLOOKUP($B$2,IMPORTRANGE(""https://docs.google.com/spreadsheets/d/1iVgg6Mw12RULLujzHmfOFIY8Q_KaAD8anoZzgtVAQ74/edit#gid=1503384807"",""Second Star - Summary!A1:AD2000""),9,FALSE),"""")"),39)</f>
        <v>39</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58"/>
        <v>0</v>
      </c>
      <c r="W50" s="55">
        <f t="shared" si="59"/>
        <v>0</v>
      </c>
      <c r="X50" s="55">
        <v>0</v>
      </c>
      <c r="Y50" s="55" t="s">
        <v>35</v>
      </c>
      <c r="Z50" s="56">
        <f t="shared" si="65"/>
        <v>-2.4</v>
      </c>
      <c r="AA50" s="55">
        <v>9.2083333333333336E-2</v>
      </c>
      <c r="AB50" s="55">
        <f t="shared" si="61"/>
        <v>-4.641</v>
      </c>
      <c r="AC50" s="55">
        <v>-3.48</v>
      </c>
      <c r="AD50" s="55">
        <v>-3.7140570512820501</v>
      </c>
      <c r="AE50" s="55">
        <v>0</v>
      </c>
      <c r="AF50" s="55">
        <v>0.95867768595041303</v>
      </c>
    </row>
    <row r="51" spans="1:32" s="57" customFormat="1" ht="15.75" customHeight="1">
      <c r="A51" s="2" t="s">
        <v>121</v>
      </c>
      <c r="B51" s="2" t="s">
        <v>45</v>
      </c>
      <c r="C51" s="51">
        <f t="shared" si="50"/>
        <v>10.050000000000001</v>
      </c>
      <c r="D51" s="51">
        <v>8</v>
      </c>
      <c r="E51" s="51">
        <v>0</v>
      </c>
      <c r="F51" s="51">
        <v>80.400000000000006</v>
      </c>
      <c r="G51" s="51">
        <v>0</v>
      </c>
      <c r="H51" s="51">
        <f t="shared" si="51"/>
        <v>0</v>
      </c>
      <c r="I51" s="51">
        <f t="shared" si="52"/>
        <v>6.8203278479398041E-2</v>
      </c>
      <c r="J51" s="51">
        <f t="shared" si="70"/>
        <v>5.4835435897436025</v>
      </c>
      <c r="K51" s="51">
        <f t="shared" si="54"/>
        <v>0.68544294871795031</v>
      </c>
      <c r="L51" s="51">
        <v>62</v>
      </c>
      <c r="M51" s="51">
        <f t="shared" si="55"/>
        <v>0.12903225806451613</v>
      </c>
      <c r="N51" s="51">
        <v>149</v>
      </c>
      <c r="O51" s="51">
        <f t="shared" ref="O51:P51" si="73">D51/7</f>
        <v>1.1428571428571428</v>
      </c>
      <c r="P51" s="51">
        <f t="shared" si="73"/>
        <v>0</v>
      </c>
      <c r="Q51" s="51">
        <f t="shared" si="57"/>
        <v>130</v>
      </c>
      <c r="R51" s="55">
        <f ca="1">IFERROR(__xludf.DUMMYFUNCTION("IFERROR(VLOOKUP($B$2,IMPORTRANGE(""https://docs.google.com/spreadsheets/d/1iVgg6Mw12RULLujzHmfOFIY8Q_KaAD8anoZzgtVAQ74/edit#gid=1503384807"",""Second Star - Summary!A1:AD2000""),9,FALSE),"""")"),39)</f>
        <v>39</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58"/>
        <v>0</v>
      </c>
      <c r="W51" s="55">
        <f t="shared" si="59"/>
        <v>0</v>
      </c>
      <c r="X51" s="55">
        <v>0</v>
      </c>
      <c r="Y51" s="55" t="s">
        <v>35</v>
      </c>
      <c r="Z51" s="56">
        <f t="shared" si="65"/>
        <v>-2.4</v>
      </c>
      <c r="AA51" s="55">
        <v>9.2083333333333336E-2</v>
      </c>
      <c r="AB51" s="55">
        <f t="shared" si="61"/>
        <v>-5.3040000000000003</v>
      </c>
      <c r="AC51" s="55">
        <v>-3.48</v>
      </c>
      <c r="AD51" s="55">
        <v>-3.7140570512820501</v>
      </c>
      <c r="AE51" s="55">
        <v>0</v>
      </c>
      <c r="AF51" s="55">
        <v>1.1698113207547101</v>
      </c>
    </row>
    <row r="52" spans="1:32" s="57" customFormat="1" ht="15.75" customHeight="1">
      <c r="A52" s="2" t="s">
        <v>123</v>
      </c>
      <c r="B52" s="2" t="s">
        <v>45</v>
      </c>
      <c r="C52" s="51">
        <f t="shared" si="50"/>
        <v>9.3514285714285705</v>
      </c>
      <c r="D52" s="51">
        <v>7</v>
      </c>
      <c r="E52" s="51">
        <v>0</v>
      </c>
      <c r="F52" s="51">
        <v>65.459999999999994</v>
      </c>
      <c r="G52" s="51">
        <v>0</v>
      </c>
      <c r="H52" s="51">
        <f t="shared" si="51"/>
        <v>0</v>
      </c>
      <c r="I52" s="51">
        <f t="shared" si="52"/>
        <v>9.8014152310669407E-3</v>
      </c>
      <c r="J52" s="51">
        <f t="shared" si="70"/>
        <v>0.64160064102564185</v>
      </c>
      <c r="K52" s="51">
        <f t="shared" si="54"/>
        <v>9.1657234432234544E-2</v>
      </c>
      <c r="L52" s="51">
        <v>34</v>
      </c>
      <c r="M52" s="51">
        <f t="shared" si="55"/>
        <v>0.20588235294117646</v>
      </c>
      <c r="N52" s="51">
        <v>163</v>
      </c>
      <c r="O52" s="51">
        <f t="shared" ref="O52:P52" si="74">D52/7</f>
        <v>1</v>
      </c>
      <c r="P52" s="51">
        <f t="shared" si="74"/>
        <v>0</v>
      </c>
      <c r="Q52" s="51">
        <f t="shared" si="57"/>
        <v>163</v>
      </c>
      <c r="R52" s="55">
        <f ca="1">IFERROR(__xludf.DUMMYFUNCTION("IFERROR(VLOOKUP($B$2,IMPORTRANGE(""https://docs.google.com/spreadsheets/d/1iVgg6Mw12RULLujzHmfOFIY8Q_KaAD8anoZzgtVAQ74/edit#gid=1503384807"",""Second Star - Summary!A1:AD2000""),9,FALSE),"""")"),39)</f>
        <v>39</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58"/>
        <v>0</v>
      </c>
      <c r="W52" s="55">
        <f t="shared" si="59"/>
        <v>0</v>
      </c>
      <c r="X52" s="55">
        <v>0</v>
      </c>
      <c r="Y52" s="55" t="s">
        <v>35</v>
      </c>
      <c r="Z52" s="56">
        <f t="shared" si="65"/>
        <v>-2.4</v>
      </c>
      <c r="AA52" s="55">
        <v>9.2083333333333336E-2</v>
      </c>
      <c r="AB52" s="55">
        <f t="shared" si="61"/>
        <v>-4.641</v>
      </c>
      <c r="AC52" s="55">
        <v>-3.48</v>
      </c>
      <c r="AD52" s="55">
        <v>-3.7140570512820501</v>
      </c>
      <c r="AE52" s="55">
        <v>0</v>
      </c>
      <c r="AF52" s="55">
        <v>0.70786516853932502</v>
      </c>
    </row>
    <row r="53" spans="1:32" s="57" customFormat="1">
      <c r="A53" s="2" t="s">
        <v>38</v>
      </c>
      <c r="B53" s="2" t="s">
        <v>412</v>
      </c>
      <c r="C53" s="51">
        <f t="shared" si="50"/>
        <v>9.0614285714285732</v>
      </c>
      <c r="D53" s="51">
        <v>7</v>
      </c>
      <c r="E53" s="51">
        <v>0</v>
      </c>
      <c r="F53" s="51">
        <v>63.430000000000007</v>
      </c>
      <c r="G53" s="51">
        <v>0</v>
      </c>
      <c r="H53" s="51">
        <f t="shared" si="51"/>
        <v>0</v>
      </c>
      <c r="I53" s="51">
        <f t="shared" si="52"/>
        <v>-1.567829668885936E-2</v>
      </c>
      <c r="J53" s="51">
        <f t="shared" si="70"/>
        <v>-0.99447435897434922</v>
      </c>
      <c r="K53" s="51">
        <f t="shared" si="54"/>
        <v>-0.14206776556776418</v>
      </c>
      <c r="L53" s="51">
        <v>39</v>
      </c>
      <c r="M53" s="51">
        <f t="shared" si="55"/>
        <v>0.17948717948717949</v>
      </c>
      <c r="N53" s="51">
        <v>157</v>
      </c>
      <c r="O53" s="51">
        <f t="shared" ref="O53:P53" si="75">D53/7</f>
        <v>1</v>
      </c>
      <c r="P53" s="51">
        <f t="shared" si="75"/>
        <v>0</v>
      </c>
      <c r="Q53" s="51">
        <f t="shared" si="57"/>
        <v>157</v>
      </c>
      <c r="R53" s="55">
        <f ca="1">IFERROR(__xludf.DUMMYFUNCTION("IFERROR(VLOOKUP($B$2,IMPORTRANGE(""https://docs.google.com/spreadsheets/d/1iVgg6Mw12RULLujzHmfOFIY8Q_KaAD8anoZzgtVAQ74/edit#gid=1503384807"",""Second Star - Summary!A1:AD2000""),9,FALSE),"""")"),39)</f>
        <v>39</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58"/>
        <v>0</v>
      </c>
      <c r="W53" s="55">
        <f t="shared" si="59"/>
        <v>0</v>
      </c>
      <c r="X53" s="55">
        <v>0</v>
      </c>
      <c r="Y53" s="55" t="s">
        <v>35</v>
      </c>
      <c r="Z53" s="56">
        <f t="shared" si="65"/>
        <v>-2.4</v>
      </c>
      <c r="AA53" s="55">
        <v>9.2083333333333336E-2</v>
      </c>
      <c r="AB53" s="55">
        <f t="shared" si="61"/>
        <v>-4.641</v>
      </c>
      <c r="AC53" s="55">
        <v>-3.48</v>
      </c>
      <c r="AD53" s="55">
        <v>-3.7012820512820501</v>
      </c>
      <c r="AE53" s="55">
        <v>0</v>
      </c>
      <c r="AF53" s="55">
        <v>0.82634730538922097</v>
      </c>
    </row>
    <row r="54" spans="1:32" s="57" customFormat="1">
      <c r="A54" s="2" t="s">
        <v>40</v>
      </c>
      <c r="B54" s="2" t="s">
        <v>413</v>
      </c>
      <c r="C54" s="51">
        <f t="shared" si="50"/>
        <v>9.7693750000000019</v>
      </c>
      <c r="D54" s="51">
        <v>16</v>
      </c>
      <c r="E54" s="51">
        <v>0</v>
      </c>
      <c r="F54" s="51">
        <v>156.31000000000003</v>
      </c>
      <c r="G54" s="51">
        <v>0</v>
      </c>
      <c r="H54" s="51">
        <f t="shared" si="51"/>
        <v>0</v>
      </c>
      <c r="I54" s="51">
        <f t="shared" si="52"/>
        <v>4.7053849270598296E-2</v>
      </c>
      <c r="J54" s="51">
        <f t="shared" si="70"/>
        <v>7.354987179487221</v>
      </c>
      <c r="K54" s="51">
        <f t="shared" si="54"/>
        <v>0.45968669871795131</v>
      </c>
      <c r="L54" s="51">
        <v>48</v>
      </c>
      <c r="M54" s="51">
        <f t="shared" si="55"/>
        <v>0.33333333333333331</v>
      </c>
      <c r="N54" s="51">
        <v>142</v>
      </c>
      <c r="O54" s="51">
        <f t="shared" ref="O54:P54" si="76">D54/7</f>
        <v>2.2857142857142856</v>
      </c>
      <c r="P54" s="51">
        <f t="shared" si="76"/>
        <v>0</v>
      </c>
      <c r="Q54" s="51">
        <f t="shared" si="57"/>
        <v>62</v>
      </c>
      <c r="R54" s="55">
        <f ca="1">IFERROR(__xludf.DUMMYFUNCTION("IFERROR(VLOOKUP($B$2,IMPORTRANGE(""https://docs.google.com/spreadsheets/d/1iVgg6Mw12RULLujzHmfOFIY8Q_KaAD8anoZzgtVAQ74/edit#gid=1503384807"",""Second Star - Summary!A1:AD2000""),9,FALSE),"""")"),39)</f>
        <v>39</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58"/>
        <v>0</v>
      </c>
      <c r="W54" s="55">
        <f t="shared" si="59"/>
        <v>0</v>
      </c>
      <c r="X54" s="55">
        <v>0</v>
      </c>
      <c r="Y54" s="55" t="s">
        <v>35</v>
      </c>
      <c r="Z54" s="56">
        <f t="shared" si="65"/>
        <v>-2.4</v>
      </c>
      <c r="AA54" s="55">
        <v>9.2083333333333336E-2</v>
      </c>
      <c r="AB54" s="55">
        <f t="shared" si="61"/>
        <v>-10.608000000000001</v>
      </c>
      <c r="AC54" s="55">
        <v>-3.48</v>
      </c>
      <c r="AD54" s="55">
        <v>-3.7012820512820501</v>
      </c>
      <c r="AE54" s="55">
        <v>0</v>
      </c>
      <c r="AF54" s="55">
        <v>0.89502762430939198</v>
      </c>
    </row>
    <row r="55" spans="1:32" s="57" customFormat="1" ht="15.75" customHeight="1">
      <c r="A55" s="2" t="s">
        <v>32</v>
      </c>
      <c r="B55" s="2" t="s">
        <v>414</v>
      </c>
      <c r="C55" s="51">
        <f t="shared" si="50"/>
        <v>10.026666666666666</v>
      </c>
      <c r="D55" s="51">
        <v>3</v>
      </c>
      <c r="E55" s="51">
        <v>0</v>
      </c>
      <c r="F55" s="51">
        <v>30.08</v>
      </c>
      <c r="G55" s="51">
        <v>0</v>
      </c>
      <c r="H55" s="51">
        <f t="shared" si="51"/>
        <v>0</v>
      </c>
      <c r="I55" s="51">
        <f t="shared" si="52"/>
        <v>6.7658040098199729E-2</v>
      </c>
      <c r="J55" s="51">
        <f t="shared" si="70"/>
        <v>2.0351538461538476</v>
      </c>
      <c r="K55" s="51">
        <f t="shared" si="54"/>
        <v>0.67838461538461592</v>
      </c>
      <c r="L55" s="51">
        <v>46</v>
      </c>
      <c r="M55" s="51">
        <f t="shared" si="55"/>
        <v>6.5217391304347824E-2</v>
      </c>
      <c r="N55" s="51">
        <v>142</v>
      </c>
      <c r="O55" s="51">
        <f t="shared" ref="O55:P55" si="77">D55/7</f>
        <v>0.42857142857142855</v>
      </c>
      <c r="P55" s="51">
        <f t="shared" si="77"/>
        <v>0</v>
      </c>
      <c r="Q55" s="51">
        <f t="shared" si="57"/>
        <v>331</v>
      </c>
      <c r="R55" s="55">
        <v>0</v>
      </c>
      <c r="S55" s="53" t="s">
        <v>34</v>
      </c>
      <c r="T55" s="54" t="s">
        <v>34</v>
      </c>
      <c r="U55" s="55">
        <v>0</v>
      </c>
      <c r="V55" s="55">
        <f t="shared" si="58"/>
        <v>0</v>
      </c>
      <c r="W55" s="55">
        <f t="shared" si="59"/>
        <v>0</v>
      </c>
      <c r="X55" s="55">
        <v>0</v>
      </c>
      <c r="Y55" s="55" t="s">
        <v>35</v>
      </c>
      <c r="Z55" s="56">
        <f t="shared" si="65"/>
        <v>-2.4</v>
      </c>
      <c r="AA55" s="55">
        <v>9.2083333333333336E-2</v>
      </c>
      <c r="AB55" s="55">
        <f t="shared" si="61"/>
        <v>-1.9890000000000001</v>
      </c>
      <c r="AC55" s="55">
        <v>-3.48</v>
      </c>
      <c r="AD55" s="55">
        <v>-3.7012820512820501</v>
      </c>
      <c r="AE55" s="55">
        <v>0</v>
      </c>
      <c r="AF55" s="55">
        <v>0.747899159663865</v>
      </c>
    </row>
    <row r="56" spans="1:32" s="57" customFormat="1" ht="15.75" customHeight="1">
      <c r="A56" s="2" t="s">
        <v>36</v>
      </c>
      <c r="B56" s="2"/>
      <c r="C56" s="51">
        <f t="shared" si="50"/>
        <v>8.9914285714285729</v>
      </c>
      <c r="D56" s="51">
        <v>7</v>
      </c>
      <c r="E56" s="51">
        <v>0</v>
      </c>
      <c r="F56" s="51">
        <v>62.940000000000005</v>
      </c>
      <c r="G56" s="51">
        <v>0</v>
      </c>
      <c r="H56" s="51">
        <f t="shared" si="51"/>
        <v>0</v>
      </c>
      <c r="I56" s="51">
        <f t="shared" si="52"/>
        <v>-2.2417768652277539E-2</v>
      </c>
      <c r="J56" s="51">
        <f t="shared" si="70"/>
        <v>-1.4109743589743484</v>
      </c>
      <c r="K56" s="51">
        <f t="shared" si="54"/>
        <v>-0.20156776556776407</v>
      </c>
      <c r="L56" s="51">
        <v>45</v>
      </c>
      <c r="M56" s="51">
        <f t="shared" si="55"/>
        <v>0.15555555555555556</v>
      </c>
      <c r="N56" s="51">
        <v>130</v>
      </c>
      <c r="O56" s="51">
        <f t="shared" ref="O56:P56" si="78">D56/7</f>
        <v>1</v>
      </c>
      <c r="P56" s="51">
        <f t="shared" si="78"/>
        <v>0</v>
      </c>
      <c r="Q56" s="51">
        <f t="shared" si="57"/>
        <v>130</v>
      </c>
      <c r="R56" s="55">
        <f ca="1">IFERROR(__xludf.DUMMYFUNCTION("IFERROR(VLOOKUP($B$2,IMPORTRANGE(""https://docs.google.com/spreadsheets/d/1iVgg6Mw12RULLujzHmfOFIY8Q_KaAD8anoZzgtVAQ74/edit#gid=1503384807"",""Second Star - Summary!A1:AD2000""),9,FALSE),"""")"),39)</f>
        <v>39</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58"/>
        <v>0</v>
      </c>
      <c r="W56" s="55">
        <f t="shared" si="59"/>
        <v>0</v>
      </c>
      <c r="X56" s="55">
        <v>0</v>
      </c>
      <c r="Y56" s="55" t="s">
        <v>35</v>
      </c>
      <c r="Z56" s="56">
        <f t="shared" si="65"/>
        <v>-2.4</v>
      </c>
      <c r="AA56" s="55">
        <v>9.2083333333333336E-2</v>
      </c>
      <c r="AB56" s="55">
        <f t="shared" si="61"/>
        <v>-4.641</v>
      </c>
      <c r="AC56" s="55">
        <v>-3.48</v>
      </c>
      <c r="AD56" s="55">
        <v>-3.7012820512820501</v>
      </c>
      <c r="AE56" s="55">
        <v>0</v>
      </c>
      <c r="AF56" s="55">
        <v>0.83083511777301899</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E185" s="2"/>
      <c r="P185" s="2"/>
      <c r="AF185" s="23"/>
    </row>
    <row r="186" spans="1:32" ht="15.75" customHeight="1">
      <c r="E186" s="2"/>
      <c r="P186" s="2"/>
      <c r="AF186" s="23"/>
    </row>
    <row r="187" spans="1:32" ht="15.75" customHeight="1">
      <c r="E187" s="2"/>
      <c r="P187" s="2"/>
      <c r="AF187" s="23"/>
    </row>
    <row r="188" spans="1:32" ht="15.75" customHeight="1">
      <c r="E188" s="2"/>
      <c r="P188" s="2"/>
      <c r="AF188" s="23"/>
    </row>
    <row r="189" spans="1:32" ht="15.75" customHeight="1">
      <c r="E189" s="2"/>
      <c r="P189" s="2"/>
      <c r="AF189" s="23"/>
    </row>
    <row r="190" spans="1:32" ht="15.75" customHeight="1">
      <c r="E190" s="2"/>
      <c r="P190" s="2"/>
      <c r="AF190" s="23"/>
    </row>
    <row r="191" spans="1:32" ht="15.75" customHeight="1">
      <c r="E191" s="2"/>
      <c r="P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457" priority="1" operator="lessThan">
      <formula>100</formula>
    </cfRule>
  </conditionalFormatting>
  <conditionalFormatting sqref="Q1:Q3 Q57:Q1000">
    <cfRule type="cellIs" dxfId="456" priority="2" operator="lessThan">
      <formula>100</formula>
    </cfRule>
  </conditionalFormatting>
  <conditionalFormatting sqref="I1:I3 I57:I1000">
    <cfRule type="cellIs" dxfId="455" priority="3" operator="lessThan">
      <formula>0.05</formula>
    </cfRule>
  </conditionalFormatting>
  <conditionalFormatting sqref="I4:I17">
    <cfRule type="cellIs" dxfId="454" priority="4" operator="lessThan">
      <formula>0.05</formula>
    </cfRule>
  </conditionalFormatting>
  <conditionalFormatting sqref="I18:I56">
    <cfRule type="cellIs" dxfId="453" priority="5" operator="lessThan">
      <formula>0.05</formula>
    </cfRule>
  </conditionalFormatting>
  <conditionalFormatting sqref="Q4:Q56">
    <cfRule type="cellIs" dxfId="452" priority="6" operator="lessThan">
      <formula>100</formula>
    </cfRule>
  </conditionalFormatting>
  <conditionalFormatting sqref="Q4:Q56">
    <cfRule type="cellIs" dxfId="451" priority="7" operator="lessThan">
      <formula>100</formula>
    </cfRule>
  </conditionalFormatting>
  <pageMargins left="0.7" right="0.7" top="0.75" bottom="0.75" header="0" footer="0"/>
  <pageSetup orientation="portrait"/>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000"/>
  <sheetViews>
    <sheetView tabSelected="1" workbookViewId="0">
      <pane ySplit="3" topLeftCell="A4" activePane="bottomLeft" state="frozen"/>
      <selection activeCell="XEV45" sqref="XEV45"/>
      <selection pane="bottomLeft" activeCell="XEV45" sqref="XEV45"/>
    </sheetView>
  </sheetViews>
  <sheetFormatPr baseColWidth="10" defaultColWidth="14.5" defaultRowHeight="15" customHeight="1"/>
  <cols>
    <col min="1" max="1" width="17.5" customWidth="1"/>
    <col min="2" max="2" width="27.33203125" customWidth="1"/>
    <col min="3" max="3" width="8" customWidth="1"/>
    <col min="4" max="4" width="5.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46"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Info!B1:BJ5000""),4,FALSE),"""")"),"Washable Waterproof Mattress Sheet Protector 4 Pack - Bed Underpads 34x36 inches")</f>
        <v>Washable Waterproof Mattress Sheet Protector 4 Pack - Bed Underpads 34x36 inches</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Info!B1:BJ5000""),3,FALSE),"""")"),"B07N1WNB4H")</f>
        <v>B07N1WNB4H</v>
      </c>
      <c r="B2" s="4" t="s">
        <v>415</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70.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27.091676721970824</v>
      </c>
      <c r="D3" s="8">
        <f>SUM(D4:D99819)</f>
        <v>7015</v>
      </c>
      <c r="E3" s="8"/>
      <c r="F3" s="9">
        <f t="shared" ref="F3:G3" si="0">SUM(F4:F99819)</f>
        <v>265179.71999999939</v>
      </c>
      <c r="G3" s="9">
        <f t="shared" si="0"/>
        <v>-3754.0899999999988</v>
      </c>
      <c r="H3" s="10">
        <f t="shared" ref="H3:H39" si="1">G3/F3*-1</f>
        <v>1.415677639300625E-2</v>
      </c>
      <c r="I3" s="11">
        <f t="shared" ref="I3:I39" si="2">J3/F3</f>
        <v>0.17541368898641138</v>
      </c>
      <c r="J3" s="9">
        <f>SUM(J4:J99819)</f>
        <v>46516.15292958355</v>
      </c>
      <c r="K3" s="9">
        <f t="shared" ref="K3:K39" si="3">J3/D3</f>
        <v>6.6309555138394227</v>
      </c>
      <c r="L3" s="8"/>
      <c r="M3" s="12"/>
      <c r="N3" s="13"/>
      <c r="O3" s="8" t="str">
        <f ca="1">IFERROR(__xludf.DUMMYFUNCTION("IFERROR(VLOOKUP(B2,IMPORTRANGE(""https://docs.google.com/spreadsheets/d/1owCo6kL_VFQ5nPTdNogErmCBLjNiktT1m3SzTrxu3R0/edit#gid=2146806407"",""Second Star - Compiled!b1:g5000""),2,FALSE),"""")"),"30 - March
32 - April
50 - May
50 - Jun
50 - Jul
50 - Aug
50 - Sept
50 - Oct
50 - Nov
32 - Dec
32 - Jan
30 - Feb")</f>
        <v>30 - March
32 - April
50 - May
50 - Jun
50 - Jul
50 - Aug
50 - Sept
50 - Oct
50 - Nov
32 - Dec
32 - Jan
30 - Feb</v>
      </c>
      <c r="P3" s="8"/>
      <c r="Q3" s="14"/>
      <c r="R3" s="13"/>
      <c r="S3" s="13"/>
      <c r="T3" s="13"/>
      <c r="U3" s="8">
        <f>SUM(U4:U99819)</f>
        <v>404</v>
      </c>
      <c r="V3" s="10">
        <f>AVERAGE(V4:V99819)</f>
        <v>6.5332610008095024E-2</v>
      </c>
      <c r="W3" s="9">
        <f>ROUND(AVERAGE(W4:W99819),2)</f>
        <v>6.14</v>
      </c>
      <c r="X3" s="8"/>
      <c r="Y3" s="8"/>
      <c r="Z3" s="8"/>
      <c r="AA3" s="8"/>
      <c r="AB3" s="8"/>
      <c r="AC3" s="15"/>
      <c r="AD3" s="9"/>
      <c r="AE3" s="9">
        <f>SUM(AE4:AE99819)</f>
        <v>-6.15</v>
      </c>
      <c r="AF3" s="16"/>
    </row>
    <row r="4" spans="1:32" s="57" customFormat="1">
      <c r="A4" s="17" t="s">
        <v>48</v>
      </c>
      <c r="B4" s="17"/>
      <c r="C4" s="50">
        <v>40.99</v>
      </c>
      <c r="D4" s="51">
        <v>157</v>
      </c>
      <c r="E4" s="51">
        <v>0</v>
      </c>
      <c r="F4" s="51">
        <v>6435.4299999999803</v>
      </c>
      <c r="G4" s="51">
        <v>-100.44999999999999</v>
      </c>
      <c r="H4" s="51">
        <f t="shared" si="1"/>
        <v>1.5608902590813713E-2</v>
      </c>
      <c r="I4" s="51">
        <f t="shared" si="2"/>
        <v>0.23499627491381384</v>
      </c>
      <c r="J4" s="51">
        <f t="shared" ref="J4:J38" si="4">F4*0.85+G4+AD4*D4+D4*AC4+AE4+AB4</f>
        <v>1512.3020774686004</v>
      </c>
      <c r="K4" s="51">
        <f t="shared" si="3"/>
        <v>9.6324973087172001</v>
      </c>
      <c r="L4" s="51">
        <v>625</v>
      </c>
      <c r="M4" s="51">
        <f t="shared" ref="M4:M39" si="5">IFERROR(D4/L4,"-")</f>
        <v>0.25119999999999998</v>
      </c>
      <c r="N4" s="51">
        <v>1017</v>
      </c>
      <c r="O4" s="51">
        <f t="shared" ref="O4:P4" si="6">D4/7</f>
        <v>22.428571428571427</v>
      </c>
      <c r="P4" s="51">
        <f t="shared" si="6"/>
        <v>0</v>
      </c>
      <c r="Q4" s="51">
        <f t="shared" ref="Q4:Q39" si="7">ROUNDDOWN(N4/(O4+P4),0)</f>
        <v>45</v>
      </c>
      <c r="R4" s="52">
        <v>720</v>
      </c>
      <c r="S4" s="53" t="s">
        <v>34</v>
      </c>
      <c r="T4" s="54" t="s">
        <v>34</v>
      </c>
      <c r="U4" s="52">
        <v>15</v>
      </c>
      <c r="V4" s="55">
        <f t="shared" ref="V4:V39" si="8">IFERROR(U4/D4,0)</f>
        <v>9.5541401273885357E-2</v>
      </c>
      <c r="W4" s="55">
        <f t="shared" ref="W4:W39" si="9">IFERROR(G4/(U4+X4)*-1,0)</f>
        <v>2.9544117647058821</v>
      </c>
      <c r="X4" s="52">
        <v>19</v>
      </c>
      <c r="Y4" s="56" t="s">
        <v>35</v>
      </c>
      <c r="Z4" s="56">
        <f t="shared" ref="Z4:Z10" si="10">IF(OR(Y4="UsLargeStandardSize",Y4="UsSmallStandardSize"),-0.69,-0.48)</f>
        <v>-0.69</v>
      </c>
      <c r="AA4" s="55">
        <v>0.26446874999999997</v>
      </c>
      <c r="AB4" s="55">
        <f t="shared" ref="AB4:AB17" si="11">IFERROR((Z4*AA4*N4)/4,0)</f>
        <v>-46.396413984374988</v>
      </c>
      <c r="AC4" s="55">
        <v>-6.02</v>
      </c>
      <c r="AD4" s="55">
        <v>-18.253675213675212</v>
      </c>
      <c r="AE4" s="55">
        <v>0</v>
      </c>
      <c r="AF4" s="55"/>
    </row>
    <row r="5" spans="1:32" s="57" customFormat="1" ht="15.75" customHeight="1">
      <c r="A5" s="2" t="s">
        <v>49</v>
      </c>
      <c r="B5" s="2" t="s">
        <v>416</v>
      </c>
      <c r="C5" s="51">
        <v>40.99</v>
      </c>
      <c r="D5" s="51">
        <v>152</v>
      </c>
      <c r="E5" s="51">
        <v>0</v>
      </c>
      <c r="F5" s="51">
        <v>6230.4799999999786</v>
      </c>
      <c r="G5" s="51">
        <v>-156.96</v>
      </c>
      <c r="H5" s="51">
        <f t="shared" si="1"/>
        <v>2.5192280530553109E-2</v>
      </c>
      <c r="I5" s="51">
        <f t="shared" si="2"/>
        <v>0.22578348455738625</v>
      </c>
      <c r="J5" s="51">
        <f t="shared" si="4"/>
        <v>1406.739484865099</v>
      </c>
      <c r="K5" s="51">
        <f t="shared" si="3"/>
        <v>9.2548650320072312</v>
      </c>
      <c r="L5" s="51">
        <v>599</v>
      </c>
      <c r="M5" s="51">
        <f t="shared" si="5"/>
        <v>0.25375626043405675</v>
      </c>
      <c r="N5" s="51">
        <v>934</v>
      </c>
      <c r="O5" s="51">
        <f t="shared" ref="O5:P5" si="12">D5/7</f>
        <v>21.714285714285715</v>
      </c>
      <c r="P5" s="51">
        <f t="shared" si="12"/>
        <v>0</v>
      </c>
      <c r="Q5" s="51">
        <f t="shared" si="7"/>
        <v>43</v>
      </c>
      <c r="R5" s="55">
        <v>720</v>
      </c>
      <c r="S5" s="53" t="s">
        <v>34</v>
      </c>
      <c r="T5" s="54" t="s">
        <v>34</v>
      </c>
      <c r="U5" s="55">
        <v>15</v>
      </c>
      <c r="V5" s="55">
        <f t="shared" si="8"/>
        <v>9.8684210526315791E-2</v>
      </c>
      <c r="W5" s="55">
        <f t="shared" si="9"/>
        <v>5.8133333333333335</v>
      </c>
      <c r="X5" s="55">
        <v>12</v>
      </c>
      <c r="Y5" s="55" t="s">
        <v>35</v>
      </c>
      <c r="Z5" s="56">
        <f t="shared" si="10"/>
        <v>-0.69</v>
      </c>
      <c r="AA5" s="55">
        <v>0.26446874999999997</v>
      </c>
      <c r="AB5" s="55">
        <f t="shared" si="11"/>
        <v>-42.609882656249987</v>
      </c>
      <c r="AC5" s="55">
        <v>-6.02</v>
      </c>
      <c r="AD5" s="55">
        <v>-18.253675213675212</v>
      </c>
      <c r="AE5" s="55">
        <v>0</v>
      </c>
      <c r="AF5" s="55"/>
    </row>
    <row r="6" spans="1:32" s="57" customFormat="1" ht="15.75" customHeight="1">
      <c r="A6" s="2" t="s">
        <v>51</v>
      </c>
      <c r="B6" s="2" t="s">
        <v>417</v>
      </c>
      <c r="C6" s="51">
        <v>40.99</v>
      </c>
      <c r="D6" s="51">
        <v>191</v>
      </c>
      <c r="E6" s="51">
        <v>0</v>
      </c>
      <c r="F6" s="51">
        <v>7829.089999999971</v>
      </c>
      <c r="G6" s="51">
        <v>-133.14000000000001</v>
      </c>
      <c r="H6" s="51">
        <f t="shared" si="1"/>
        <v>1.7005807826963353E-2</v>
      </c>
      <c r="I6" s="51">
        <f t="shared" si="2"/>
        <v>0.23676489321003669</v>
      </c>
      <c r="J6" s="51">
        <f t="shared" si="4"/>
        <v>1853.6536577817592</v>
      </c>
      <c r="K6" s="51">
        <f t="shared" si="3"/>
        <v>9.7049929726793671</v>
      </c>
      <c r="L6" s="51">
        <v>757</v>
      </c>
      <c r="M6" s="51">
        <f t="shared" si="5"/>
        <v>0.2523117569352708</v>
      </c>
      <c r="N6" s="51">
        <v>694</v>
      </c>
      <c r="O6" s="51">
        <f t="shared" ref="O6:P6" si="13">D6/7</f>
        <v>27.285714285714285</v>
      </c>
      <c r="P6" s="51">
        <f t="shared" si="13"/>
        <v>0</v>
      </c>
      <c r="Q6" s="51">
        <f t="shared" si="7"/>
        <v>25</v>
      </c>
      <c r="R6" s="55">
        <v>1218</v>
      </c>
      <c r="S6" s="53" t="s">
        <v>34</v>
      </c>
      <c r="T6" s="54" t="s">
        <v>34</v>
      </c>
      <c r="U6" s="55">
        <v>15</v>
      </c>
      <c r="V6" s="55">
        <f t="shared" si="8"/>
        <v>7.8534031413612565E-2</v>
      </c>
      <c r="W6" s="55">
        <f t="shared" si="9"/>
        <v>6.3400000000000007</v>
      </c>
      <c r="X6" s="55">
        <v>6</v>
      </c>
      <c r="Y6" s="55" t="s">
        <v>35</v>
      </c>
      <c r="Z6" s="56">
        <f t="shared" si="10"/>
        <v>-0.69</v>
      </c>
      <c r="AA6" s="55">
        <v>0.26446874999999997</v>
      </c>
      <c r="AB6" s="55">
        <f t="shared" si="11"/>
        <v>-31.660876406249994</v>
      </c>
      <c r="AC6" s="55">
        <v>-6.02</v>
      </c>
      <c r="AD6" s="55">
        <v>-18.253675213675212</v>
      </c>
      <c r="AE6" s="55">
        <v>0</v>
      </c>
      <c r="AF6" s="55"/>
    </row>
    <row r="7" spans="1:32" s="57" customFormat="1" ht="15.75" customHeight="1">
      <c r="A7" s="2" t="s">
        <v>53</v>
      </c>
      <c r="B7" s="2"/>
      <c r="C7" s="51">
        <v>40.99</v>
      </c>
      <c r="D7" s="51">
        <v>113</v>
      </c>
      <c r="E7" s="51">
        <v>0</v>
      </c>
      <c r="F7" s="51">
        <v>4631.8699999999881</v>
      </c>
      <c r="G7" s="51">
        <v>-0.02</v>
      </c>
      <c r="H7" s="51">
        <f t="shared" si="1"/>
        <v>4.3179104767620968E-6</v>
      </c>
      <c r="I7" s="51">
        <f t="shared" si="2"/>
        <v>0.25158560532348573</v>
      </c>
      <c r="J7" s="51">
        <f t="shared" si="4"/>
        <v>1165.3118177296908</v>
      </c>
      <c r="K7" s="51">
        <f t="shared" si="3"/>
        <v>10.312493962209652</v>
      </c>
      <c r="L7" s="51">
        <v>309</v>
      </c>
      <c r="M7" s="51">
        <f t="shared" si="5"/>
        <v>0.36569579288025889</v>
      </c>
      <c r="N7" s="51">
        <v>632</v>
      </c>
      <c r="O7" s="51">
        <f t="shared" ref="O7:P7" si="14">D7/7</f>
        <v>16.142857142857142</v>
      </c>
      <c r="P7" s="51">
        <f t="shared" si="14"/>
        <v>0</v>
      </c>
      <c r="Q7" s="51">
        <f t="shared" si="7"/>
        <v>39</v>
      </c>
      <c r="R7" s="55">
        <v>1218</v>
      </c>
      <c r="S7" s="53" t="s">
        <v>34</v>
      </c>
      <c r="T7" s="54" t="s">
        <v>34</v>
      </c>
      <c r="U7" s="55">
        <v>0</v>
      </c>
      <c r="V7" s="55">
        <f t="shared" si="8"/>
        <v>0</v>
      </c>
      <c r="W7" s="55">
        <f t="shared" si="9"/>
        <v>0</v>
      </c>
      <c r="X7" s="55">
        <v>0</v>
      </c>
      <c r="Y7" s="55" t="s">
        <v>35</v>
      </c>
      <c r="Z7" s="56">
        <f t="shared" si="10"/>
        <v>-0.69</v>
      </c>
      <c r="AA7" s="55">
        <v>0.26446874999999997</v>
      </c>
      <c r="AB7" s="55">
        <f t="shared" si="11"/>
        <v>-28.832383124999993</v>
      </c>
      <c r="AC7" s="55">
        <v>-6.02</v>
      </c>
      <c r="AD7" s="55">
        <v>-18.253675213675212</v>
      </c>
      <c r="AE7" s="55">
        <v>0</v>
      </c>
      <c r="AF7" s="55"/>
    </row>
    <row r="8" spans="1:32" s="57" customFormat="1" ht="15.75" customHeight="1">
      <c r="A8" s="2" t="s">
        <v>54</v>
      </c>
      <c r="B8" s="2" t="s">
        <v>418</v>
      </c>
      <c r="C8" s="51">
        <v>40.99</v>
      </c>
      <c r="D8" s="51">
        <v>80</v>
      </c>
      <c r="E8" s="51">
        <v>0</v>
      </c>
      <c r="F8" s="51">
        <v>3279.1999999999944</v>
      </c>
      <c r="G8" s="51">
        <v>-0.08</v>
      </c>
      <c r="H8" s="51">
        <f t="shared" si="1"/>
        <v>2.4396194193705826E-5</v>
      </c>
      <c r="I8" s="51">
        <f t="shared" si="2"/>
        <v>0.23704991997849467</v>
      </c>
      <c r="J8" s="51">
        <f t="shared" si="4"/>
        <v>777.33409759347842</v>
      </c>
      <c r="K8" s="51">
        <f t="shared" si="3"/>
        <v>9.7166762199184795</v>
      </c>
      <c r="L8" s="51">
        <v>275</v>
      </c>
      <c r="M8" s="51">
        <f t="shared" si="5"/>
        <v>0.29090909090909089</v>
      </c>
      <c r="N8" s="51">
        <v>1356</v>
      </c>
      <c r="O8" s="51">
        <f t="shared" ref="O8:P8" si="15">D8/7</f>
        <v>11.428571428571429</v>
      </c>
      <c r="P8" s="51">
        <f t="shared" si="15"/>
        <v>0</v>
      </c>
      <c r="Q8" s="51">
        <f t="shared" si="7"/>
        <v>118</v>
      </c>
      <c r="R8" s="55">
        <v>1218</v>
      </c>
      <c r="S8" s="53">
        <v>834</v>
      </c>
      <c r="T8" s="54">
        <v>43865</v>
      </c>
      <c r="U8" s="55">
        <v>0</v>
      </c>
      <c r="V8" s="55">
        <f t="shared" si="8"/>
        <v>0</v>
      </c>
      <c r="W8" s="55">
        <f t="shared" si="9"/>
        <v>0</v>
      </c>
      <c r="X8" s="55">
        <v>0</v>
      </c>
      <c r="Y8" s="55" t="s">
        <v>35</v>
      </c>
      <c r="Z8" s="56">
        <f t="shared" si="10"/>
        <v>-0.69</v>
      </c>
      <c r="AA8" s="55">
        <v>0.26446874999999997</v>
      </c>
      <c r="AB8" s="55">
        <f t="shared" si="11"/>
        <v>-61.861885312499986</v>
      </c>
      <c r="AC8" s="55">
        <v>-6.02</v>
      </c>
      <c r="AD8" s="55">
        <v>-18.253675213675212</v>
      </c>
      <c r="AE8" s="55">
        <v>-6.15</v>
      </c>
      <c r="AF8" s="55"/>
    </row>
    <row r="9" spans="1:32" s="57" customFormat="1" ht="15.75" customHeight="1">
      <c r="A9" s="2" t="s">
        <v>56</v>
      </c>
      <c r="B9" s="2" t="s">
        <v>419</v>
      </c>
      <c r="C9" s="51">
        <v>40.99</v>
      </c>
      <c r="D9" s="51">
        <v>73</v>
      </c>
      <c r="E9" s="51">
        <v>0</v>
      </c>
      <c r="F9" s="51">
        <v>2992.2699999999954</v>
      </c>
      <c r="G9" s="51">
        <v>0</v>
      </c>
      <c r="H9" s="51">
        <f t="shared" si="1"/>
        <v>0</v>
      </c>
      <c r="I9" s="51">
        <f t="shared" si="2"/>
        <v>0.23737022708569308</v>
      </c>
      <c r="J9" s="51">
        <f t="shared" si="4"/>
        <v>710.27580940170571</v>
      </c>
      <c r="K9" s="51">
        <f t="shared" si="3"/>
        <v>9.7298056082425433</v>
      </c>
      <c r="L9" s="51">
        <v>257</v>
      </c>
      <c r="M9" s="51">
        <f t="shared" si="5"/>
        <v>0.28404669260700388</v>
      </c>
      <c r="N9" s="51">
        <v>1320</v>
      </c>
      <c r="O9" s="51">
        <f t="shared" ref="O9:P9" si="16">D9/7</f>
        <v>10.428571428571429</v>
      </c>
      <c r="P9" s="51">
        <f t="shared" si="16"/>
        <v>0</v>
      </c>
      <c r="Q9" s="51">
        <f t="shared" si="7"/>
        <v>126</v>
      </c>
      <c r="R9" s="55">
        <v>1758</v>
      </c>
      <c r="S9" s="53" t="s">
        <v>34</v>
      </c>
      <c r="T9" s="54" t="s">
        <v>34</v>
      </c>
      <c r="U9" s="55">
        <v>0</v>
      </c>
      <c r="V9" s="55">
        <f t="shared" si="8"/>
        <v>0</v>
      </c>
      <c r="W9" s="55">
        <f t="shared" si="9"/>
        <v>0</v>
      </c>
      <c r="X9" s="55">
        <v>0</v>
      </c>
      <c r="Y9" s="55" t="s">
        <v>35</v>
      </c>
      <c r="Z9" s="56">
        <f t="shared" si="10"/>
        <v>-0.69</v>
      </c>
      <c r="AA9" s="55">
        <v>0.26866666666666666</v>
      </c>
      <c r="AB9" s="55">
        <f t="shared" si="11"/>
        <v>-61.175399999999996</v>
      </c>
      <c r="AC9" s="55">
        <v>-6.02</v>
      </c>
      <c r="AD9" s="55">
        <v>-18.253675213675212</v>
      </c>
      <c r="AE9" s="55">
        <v>0</v>
      </c>
      <c r="AF9" s="55"/>
    </row>
    <row r="10" spans="1:32" s="57" customFormat="1" ht="15.75" customHeight="1">
      <c r="A10" s="2" t="s">
        <v>58</v>
      </c>
      <c r="B10" s="2" t="s">
        <v>420</v>
      </c>
      <c r="C10" s="51">
        <v>37.99</v>
      </c>
      <c r="D10" s="51">
        <v>67</v>
      </c>
      <c r="E10" s="51">
        <v>0</v>
      </c>
      <c r="F10" s="51">
        <v>2742.3299999999972</v>
      </c>
      <c r="G10" s="51">
        <v>-27.590000000000003</v>
      </c>
      <c r="H10" s="51">
        <f t="shared" si="1"/>
        <v>1.0060787724307444E-2</v>
      </c>
      <c r="I10" s="51">
        <f t="shared" si="2"/>
        <v>0.22603571805135006</v>
      </c>
      <c r="J10" s="51">
        <f t="shared" si="4"/>
        <v>619.86453068375818</v>
      </c>
      <c r="K10" s="51">
        <f t="shared" si="3"/>
        <v>9.2517094131904205</v>
      </c>
      <c r="L10" s="51">
        <v>247</v>
      </c>
      <c r="M10" s="51">
        <f t="shared" si="5"/>
        <v>0.27125506072874495</v>
      </c>
      <c r="N10" s="51">
        <v>1234</v>
      </c>
      <c r="O10" s="51">
        <f t="shared" ref="O10:P10" si="17">D10/7</f>
        <v>9.5714285714285712</v>
      </c>
      <c r="P10" s="51">
        <f t="shared" si="17"/>
        <v>0</v>
      </c>
      <c r="Q10" s="51">
        <f t="shared" si="7"/>
        <v>128</v>
      </c>
      <c r="R10" s="55">
        <v>1758</v>
      </c>
      <c r="S10" s="53" t="s">
        <v>34</v>
      </c>
      <c r="T10" s="54" t="s">
        <v>34</v>
      </c>
      <c r="U10" s="55">
        <v>1</v>
      </c>
      <c r="V10" s="55">
        <f t="shared" si="8"/>
        <v>1.4925373134328358E-2</v>
      </c>
      <c r="W10" s="55">
        <f t="shared" si="9"/>
        <v>13.795000000000002</v>
      </c>
      <c r="X10" s="55">
        <v>1</v>
      </c>
      <c r="Y10" s="55" t="s">
        <v>35</v>
      </c>
      <c r="Z10" s="56">
        <f t="shared" si="10"/>
        <v>-0.69</v>
      </c>
      <c r="AA10" s="55">
        <v>0.26866666666666666</v>
      </c>
      <c r="AB10" s="55">
        <f t="shared" si="11"/>
        <v>-57.189729999999997</v>
      </c>
      <c r="AC10" s="55">
        <v>-6.02</v>
      </c>
      <c r="AD10" s="55">
        <v>-18.253675213675212</v>
      </c>
      <c r="AE10" s="55">
        <v>0</v>
      </c>
      <c r="AF10" s="55"/>
    </row>
    <row r="11" spans="1:32" s="57" customFormat="1" ht="15.75" customHeight="1">
      <c r="A11" s="2" t="s">
        <v>60</v>
      </c>
      <c r="B11" s="2" t="s">
        <v>421</v>
      </c>
      <c r="C11" s="51">
        <v>39.99</v>
      </c>
      <c r="D11" s="51">
        <v>69</v>
      </c>
      <c r="E11" s="51">
        <v>0</v>
      </c>
      <c r="F11" s="51">
        <v>2691.3099999999981</v>
      </c>
      <c r="G11" s="51">
        <v>-69.27000000000001</v>
      </c>
      <c r="H11" s="51">
        <f t="shared" si="1"/>
        <v>2.5738395056682455E-2</v>
      </c>
      <c r="I11" s="51">
        <f t="shared" si="2"/>
        <v>0.1754429665316925</v>
      </c>
      <c r="J11" s="51">
        <f t="shared" si="4"/>
        <v>472.17141025640899</v>
      </c>
      <c r="K11" s="51">
        <f t="shared" si="3"/>
        <v>6.8430639167595508</v>
      </c>
      <c r="L11" s="51">
        <v>303</v>
      </c>
      <c r="M11" s="51">
        <f t="shared" si="5"/>
        <v>0.22772277227722773</v>
      </c>
      <c r="N11" s="51">
        <v>1196</v>
      </c>
      <c r="O11" s="51">
        <f t="shared" ref="O11:P11" si="18">D11/7</f>
        <v>9.8571428571428577</v>
      </c>
      <c r="P11" s="51">
        <f t="shared" si="18"/>
        <v>0</v>
      </c>
      <c r="Q11" s="51">
        <f t="shared" si="7"/>
        <v>121</v>
      </c>
      <c r="R11" s="55">
        <v>3330</v>
      </c>
      <c r="S11" s="53">
        <v>354</v>
      </c>
      <c r="T11" s="54">
        <v>43892</v>
      </c>
      <c r="U11" s="55">
        <v>7</v>
      </c>
      <c r="V11" s="55">
        <f t="shared" si="8"/>
        <v>0.10144927536231885</v>
      </c>
      <c r="W11" s="55">
        <f t="shared" si="9"/>
        <v>5.3284615384615392</v>
      </c>
      <c r="X11" s="55">
        <v>6</v>
      </c>
      <c r="Y11" s="55" t="s">
        <v>35</v>
      </c>
      <c r="Z11" s="56">
        <f t="shared" ref="Z11:Z39" si="19">IF(OR(Y11="UsLargeStandardSize",Y11="UsSmallStandardSize"),-0.75,-0.48)</f>
        <v>-0.75</v>
      </c>
      <c r="AA11" s="55">
        <v>0.26866666666666666</v>
      </c>
      <c r="AB11" s="55">
        <f t="shared" si="11"/>
        <v>-60.248500000000007</v>
      </c>
      <c r="AC11" s="55">
        <v>-6.18</v>
      </c>
      <c r="AD11" s="55">
        <v>-18.253675213675212</v>
      </c>
      <c r="AE11" s="55">
        <v>0</v>
      </c>
      <c r="AF11" s="55"/>
    </row>
    <row r="12" spans="1:32" s="57" customFormat="1" ht="15.75" customHeight="1">
      <c r="A12" s="2" t="s">
        <v>62</v>
      </c>
      <c r="B12" s="2" t="s">
        <v>422</v>
      </c>
      <c r="C12" s="51">
        <v>39.99</v>
      </c>
      <c r="D12" s="51">
        <v>82</v>
      </c>
      <c r="E12" s="51">
        <v>0</v>
      </c>
      <c r="F12" s="51">
        <v>3246.1799999999939</v>
      </c>
      <c r="G12" s="51">
        <v>-161.59</v>
      </c>
      <c r="H12" s="51">
        <f t="shared" si="1"/>
        <v>4.9778508893530339E-2</v>
      </c>
      <c r="I12" s="51">
        <f t="shared" si="2"/>
        <v>0.16634902638751645</v>
      </c>
      <c r="J12" s="51">
        <f t="shared" si="4"/>
        <v>539.99888247862714</v>
      </c>
      <c r="K12" s="51">
        <f t="shared" si="3"/>
        <v>6.5853522253491112</v>
      </c>
      <c r="L12" s="51">
        <v>315</v>
      </c>
      <c r="M12" s="51">
        <f t="shared" si="5"/>
        <v>0.26031746031746034</v>
      </c>
      <c r="N12" s="51">
        <v>1074</v>
      </c>
      <c r="O12" s="51">
        <f t="shared" ref="O12:P12" si="20">D12/7</f>
        <v>11.714285714285714</v>
      </c>
      <c r="P12" s="51">
        <f t="shared" si="20"/>
        <v>0</v>
      </c>
      <c r="Q12" s="51">
        <f t="shared" si="7"/>
        <v>91</v>
      </c>
      <c r="R12" s="55">
        <v>2088</v>
      </c>
      <c r="S12" s="53">
        <v>870</v>
      </c>
      <c r="T12" s="54">
        <v>43896</v>
      </c>
      <c r="U12" s="55">
        <v>21</v>
      </c>
      <c r="V12" s="55">
        <f t="shared" si="8"/>
        <v>0.25609756097560976</v>
      </c>
      <c r="W12" s="55">
        <f t="shared" si="9"/>
        <v>5.2125806451612906</v>
      </c>
      <c r="X12" s="55">
        <v>10</v>
      </c>
      <c r="Y12" s="55" t="s">
        <v>35</v>
      </c>
      <c r="Z12" s="56">
        <f t="shared" si="19"/>
        <v>-0.75</v>
      </c>
      <c r="AA12" s="55">
        <v>0.26866666666666666</v>
      </c>
      <c r="AB12" s="55">
        <f t="shared" si="11"/>
        <v>-54.10275</v>
      </c>
      <c r="AC12" s="55">
        <v>-6.18</v>
      </c>
      <c r="AD12" s="55">
        <v>-18.253675213675212</v>
      </c>
      <c r="AE12" s="55">
        <v>0</v>
      </c>
      <c r="AF12" s="55"/>
    </row>
    <row r="13" spans="1:32" s="57" customFormat="1" ht="15.75" customHeight="1">
      <c r="A13" s="2" t="s">
        <v>63</v>
      </c>
      <c r="B13" s="2" t="s">
        <v>423</v>
      </c>
      <c r="C13" s="51">
        <v>45.99</v>
      </c>
      <c r="D13" s="51">
        <v>80</v>
      </c>
      <c r="E13" s="51">
        <v>0</v>
      </c>
      <c r="F13" s="51">
        <v>3284.1999999999944</v>
      </c>
      <c r="G13" s="51">
        <v>-219.18</v>
      </c>
      <c r="H13" s="51">
        <f t="shared" si="1"/>
        <v>6.6737713902929291E-2</v>
      </c>
      <c r="I13" s="51">
        <f t="shared" si="2"/>
        <v>0.17950021554898582</v>
      </c>
      <c r="J13" s="51">
        <f t="shared" si="4"/>
        <v>589.51460790597821</v>
      </c>
      <c r="K13" s="51">
        <f t="shared" si="3"/>
        <v>7.3689325988247276</v>
      </c>
      <c r="L13" s="51">
        <v>333</v>
      </c>
      <c r="M13" s="51">
        <f t="shared" si="5"/>
        <v>0.24024024024024024</v>
      </c>
      <c r="N13" s="51">
        <v>1417</v>
      </c>
      <c r="O13" s="51">
        <f t="shared" ref="O13:P13" si="21">D13/7</f>
        <v>11.428571428571429</v>
      </c>
      <c r="P13" s="51">
        <f t="shared" si="21"/>
        <v>0</v>
      </c>
      <c r="Q13" s="51">
        <f t="shared" si="7"/>
        <v>123</v>
      </c>
      <c r="R13" s="55">
        <v>1248</v>
      </c>
      <c r="S13" s="53" t="s">
        <v>34</v>
      </c>
      <c r="T13" s="54" t="s">
        <v>34</v>
      </c>
      <c r="U13" s="55">
        <v>22</v>
      </c>
      <c r="V13" s="55">
        <f t="shared" si="8"/>
        <v>0.27500000000000002</v>
      </c>
      <c r="W13" s="55">
        <f t="shared" si="9"/>
        <v>7.5579310344827588</v>
      </c>
      <c r="X13" s="55">
        <v>7</v>
      </c>
      <c r="Y13" s="55" t="s">
        <v>35</v>
      </c>
      <c r="Z13" s="56">
        <f t="shared" si="19"/>
        <v>-0.75</v>
      </c>
      <c r="AA13" s="55">
        <v>0.26866666666666666</v>
      </c>
      <c r="AB13" s="55">
        <f t="shared" si="11"/>
        <v>-71.381375000000006</v>
      </c>
      <c r="AC13" s="55">
        <v>-6.18</v>
      </c>
      <c r="AD13" s="55">
        <v>-17.713675213675213</v>
      </c>
      <c r="AE13" s="55">
        <v>0</v>
      </c>
      <c r="AF13" s="55"/>
    </row>
    <row r="14" spans="1:32" s="57" customFormat="1" ht="15.75" customHeight="1">
      <c r="A14" s="2" t="s">
        <v>64</v>
      </c>
      <c r="B14" s="2"/>
      <c r="C14" s="51">
        <v>40.99</v>
      </c>
      <c r="D14" s="51">
        <v>72</v>
      </c>
      <c r="E14" s="51">
        <v>0</v>
      </c>
      <c r="F14" s="51">
        <v>3038.2799999999952</v>
      </c>
      <c r="G14" s="51">
        <v>-172.44</v>
      </c>
      <c r="H14" s="51">
        <f t="shared" si="1"/>
        <v>5.6755796042497815E-2</v>
      </c>
      <c r="I14" s="51">
        <f t="shared" si="2"/>
        <v>0.19074373810688333</v>
      </c>
      <c r="J14" s="51">
        <f t="shared" si="4"/>
        <v>579.53288461538057</v>
      </c>
      <c r="K14" s="51">
        <f t="shared" si="3"/>
        <v>8.0490678418802855</v>
      </c>
      <c r="L14" s="51">
        <v>301</v>
      </c>
      <c r="M14" s="51">
        <f t="shared" si="5"/>
        <v>0.23920265780730898</v>
      </c>
      <c r="N14" s="51">
        <v>2188</v>
      </c>
      <c r="O14" s="51">
        <f t="shared" ref="O14:P14" si="22">D14/7</f>
        <v>10.285714285714286</v>
      </c>
      <c r="P14" s="51">
        <f t="shared" si="22"/>
        <v>0</v>
      </c>
      <c r="Q14" s="51">
        <f t="shared" si="7"/>
        <v>212</v>
      </c>
      <c r="R14" s="55">
        <v>1248</v>
      </c>
      <c r="S14" s="53" t="s">
        <v>34</v>
      </c>
      <c r="T14" s="54" t="s">
        <v>34</v>
      </c>
      <c r="U14" s="55">
        <v>14</v>
      </c>
      <c r="V14" s="55">
        <f t="shared" si="8"/>
        <v>0.19444444444444445</v>
      </c>
      <c r="W14" s="55">
        <f t="shared" si="9"/>
        <v>7.4973913043478264</v>
      </c>
      <c r="X14" s="55">
        <v>9</v>
      </c>
      <c r="Y14" s="55" t="s">
        <v>35</v>
      </c>
      <c r="Z14" s="56">
        <f t="shared" si="19"/>
        <v>-0.75</v>
      </c>
      <c r="AA14" s="55">
        <v>0.26866666666666666</v>
      </c>
      <c r="AB14" s="55">
        <f t="shared" si="11"/>
        <v>-110.2205</v>
      </c>
      <c r="AC14" s="55">
        <v>-6.18</v>
      </c>
      <c r="AD14" s="55">
        <v>-17.713675213675213</v>
      </c>
      <c r="AE14" s="55">
        <v>0</v>
      </c>
      <c r="AF14" s="55"/>
    </row>
    <row r="15" spans="1:32" s="57" customFormat="1" ht="15.75" customHeight="1">
      <c r="A15" s="2" t="s">
        <v>65</v>
      </c>
      <c r="B15" s="2" t="s">
        <v>424</v>
      </c>
      <c r="C15" s="51">
        <v>40.99</v>
      </c>
      <c r="D15" s="51">
        <v>58</v>
      </c>
      <c r="E15" s="51">
        <v>0</v>
      </c>
      <c r="F15" s="51">
        <v>2377.4199999999987</v>
      </c>
      <c r="G15" s="51">
        <v>-130.85000000000002</v>
      </c>
      <c r="H15" s="51">
        <f t="shared" si="1"/>
        <v>5.5038655349075927E-2</v>
      </c>
      <c r="I15" s="51">
        <f t="shared" si="2"/>
        <v>0.16623612470949048</v>
      </c>
      <c r="J15" s="51">
        <f t="shared" si="4"/>
        <v>395.21308760683661</v>
      </c>
      <c r="K15" s="51">
        <f t="shared" si="3"/>
        <v>6.8140187518420108</v>
      </c>
      <c r="L15" s="51">
        <v>243</v>
      </c>
      <c r="M15" s="51">
        <f t="shared" si="5"/>
        <v>0.23868312757201646</v>
      </c>
      <c r="N15" s="51">
        <v>2162</v>
      </c>
      <c r="O15" s="51">
        <f t="shared" ref="O15:P15" si="23">D15/7</f>
        <v>8.2857142857142865</v>
      </c>
      <c r="P15" s="51">
        <f t="shared" si="23"/>
        <v>0</v>
      </c>
      <c r="Q15" s="51">
        <f t="shared" si="7"/>
        <v>260</v>
      </c>
      <c r="R15" s="55">
        <v>60</v>
      </c>
      <c r="S15" s="53">
        <v>30</v>
      </c>
      <c r="T15" s="54">
        <v>43920</v>
      </c>
      <c r="U15" s="55">
        <v>21</v>
      </c>
      <c r="V15" s="55">
        <f t="shared" si="8"/>
        <v>0.36206896551724138</v>
      </c>
      <c r="W15" s="55">
        <f t="shared" si="9"/>
        <v>5.0326923076923089</v>
      </c>
      <c r="X15" s="55">
        <v>5</v>
      </c>
      <c r="Y15" s="55" t="s">
        <v>35</v>
      </c>
      <c r="Z15" s="56">
        <f t="shared" si="19"/>
        <v>-0.75</v>
      </c>
      <c r="AA15" s="55">
        <v>0.26866666666666666</v>
      </c>
      <c r="AB15" s="55">
        <f t="shared" si="11"/>
        <v>-108.91075000000001</v>
      </c>
      <c r="AC15" s="55">
        <v>-6.18</v>
      </c>
      <c r="AD15" s="55">
        <v>-17.713675213675213</v>
      </c>
      <c r="AE15" s="55">
        <v>0</v>
      </c>
      <c r="AF15" s="55"/>
    </row>
    <row r="16" spans="1:32" s="57" customFormat="1" ht="15.75" customHeight="1">
      <c r="A16" s="2" t="s">
        <v>66</v>
      </c>
      <c r="B16" s="2" t="s">
        <v>425</v>
      </c>
      <c r="C16" s="51">
        <v>37.99</v>
      </c>
      <c r="D16" s="51">
        <v>86</v>
      </c>
      <c r="E16" s="51">
        <v>0</v>
      </c>
      <c r="F16" s="51">
        <v>3441.1399999999944</v>
      </c>
      <c r="G16" s="51">
        <v>-132.38999999999999</v>
      </c>
      <c r="H16" s="51">
        <f t="shared" si="1"/>
        <v>3.8472715437326062E-2</v>
      </c>
      <c r="I16" s="51">
        <f t="shared" si="2"/>
        <v>0.18450500608052209</v>
      </c>
      <c r="J16" s="51">
        <f t="shared" si="4"/>
        <v>634.90755662392678</v>
      </c>
      <c r="K16" s="51">
        <f t="shared" si="3"/>
        <v>7.3826460072549622</v>
      </c>
      <c r="L16" s="51">
        <v>512</v>
      </c>
      <c r="M16" s="51">
        <f t="shared" si="5"/>
        <v>0.16796875</v>
      </c>
      <c r="N16" s="51">
        <v>2041</v>
      </c>
      <c r="O16" s="51">
        <f t="shared" ref="O16:P16" si="24">D16/7</f>
        <v>12.285714285714286</v>
      </c>
      <c r="P16" s="51">
        <f t="shared" si="24"/>
        <v>0</v>
      </c>
      <c r="Q16" s="51">
        <f t="shared" si="7"/>
        <v>166</v>
      </c>
      <c r="R16" s="55">
        <v>60</v>
      </c>
      <c r="S16" s="53">
        <v>30</v>
      </c>
      <c r="T16" s="54">
        <v>43920</v>
      </c>
      <c r="U16" s="55">
        <v>13</v>
      </c>
      <c r="V16" s="55">
        <f t="shared" si="8"/>
        <v>0.15116279069767441</v>
      </c>
      <c r="W16" s="55">
        <f t="shared" si="9"/>
        <v>8.2743749999999991</v>
      </c>
      <c r="X16" s="55">
        <v>3</v>
      </c>
      <c r="Y16" s="55" t="s">
        <v>35</v>
      </c>
      <c r="Z16" s="56">
        <f t="shared" si="19"/>
        <v>-0.75</v>
      </c>
      <c r="AA16" s="55">
        <v>0.26866666666666666</v>
      </c>
      <c r="AB16" s="55">
        <f t="shared" si="11"/>
        <v>-102.815375</v>
      </c>
      <c r="AC16" s="55">
        <v>-6.18</v>
      </c>
      <c r="AD16" s="55">
        <v>-17.713675213675213</v>
      </c>
      <c r="AE16" s="55">
        <v>0</v>
      </c>
      <c r="AF16" s="55"/>
    </row>
    <row r="17" spans="1:32" s="57" customFormat="1" ht="15.75" customHeight="1">
      <c r="A17" s="2" t="s">
        <v>67</v>
      </c>
      <c r="B17" s="2" t="s">
        <v>426</v>
      </c>
      <c r="C17" s="51">
        <v>37.99</v>
      </c>
      <c r="D17" s="51">
        <v>91</v>
      </c>
      <c r="E17" s="51">
        <v>0</v>
      </c>
      <c r="F17" s="51">
        <v>3460.0899999999933</v>
      </c>
      <c r="G17" s="51">
        <v>-120.14999999999998</v>
      </c>
      <c r="H17" s="51">
        <f t="shared" si="1"/>
        <v>3.4724530286784509E-2</v>
      </c>
      <c r="I17" s="51">
        <f t="shared" si="2"/>
        <v>0.15791675377101486</v>
      </c>
      <c r="J17" s="51">
        <f t="shared" si="4"/>
        <v>546.40618055554978</v>
      </c>
      <c r="K17" s="51">
        <f t="shared" si="3"/>
        <v>6.0044635225884591</v>
      </c>
      <c r="L17" s="51">
        <v>288</v>
      </c>
      <c r="M17" s="51">
        <f t="shared" si="5"/>
        <v>0.31597222222222221</v>
      </c>
      <c r="N17" s="51">
        <v>1989</v>
      </c>
      <c r="O17" s="51">
        <f t="shared" ref="O17:P17" si="25">D17/7</f>
        <v>13</v>
      </c>
      <c r="P17" s="51">
        <f t="shared" si="25"/>
        <v>0</v>
      </c>
      <c r="Q17" s="51">
        <f t="shared" si="7"/>
        <v>153</v>
      </c>
      <c r="R17" s="55">
        <v>30</v>
      </c>
      <c r="S17" s="53" t="s">
        <v>34</v>
      </c>
      <c r="T17" s="54" t="s">
        <v>34</v>
      </c>
      <c r="U17" s="55">
        <v>4</v>
      </c>
      <c r="V17" s="55">
        <f t="shared" si="8"/>
        <v>4.3956043956043959E-2</v>
      </c>
      <c r="W17" s="55">
        <f t="shared" si="9"/>
        <v>13.349999999999998</v>
      </c>
      <c r="X17" s="55">
        <v>5</v>
      </c>
      <c r="Y17" s="55" t="s">
        <v>35</v>
      </c>
      <c r="Z17" s="56">
        <f t="shared" si="19"/>
        <v>-0.75</v>
      </c>
      <c r="AA17" s="55">
        <v>0.26866666666666666</v>
      </c>
      <c r="AB17" s="55">
        <f t="shared" si="11"/>
        <v>-100.195875</v>
      </c>
      <c r="AC17" s="55">
        <v>-6.18</v>
      </c>
      <c r="AD17" s="55">
        <v>-17.713675213675213</v>
      </c>
      <c r="AE17" s="55">
        <v>0</v>
      </c>
      <c r="AF17" s="55"/>
    </row>
    <row r="18" spans="1:32" s="57" customFormat="1" ht="15.75" customHeight="1">
      <c r="A18" s="2" t="s">
        <v>69</v>
      </c>
      <c r="B18" s="2" t="s">
        <v>427</v>
      </c>
      <c r="C18" s="51">
        <v>36.99</v>
      </c>
      <c r="D18" s="51">
        <v>131</v>
      </c>
      <c r="E18" s="51">
        <v>0</v>
      </c>
      <c r="F18" s="51">
        <v>4925.689999999985</v>
      </c>
      <c r="G18" s="51">
        <v>-127.09</v>
      </c>
      <c r="H18" s="51">
        <f t="shared" si="1"/>
        <v>2.5801461318109824E-2</v>
      </c>
      <c r="I18" s="51">
        <f t="shared" si="2"/>
        <v>0.17266323033088501</v>
      </c>
      <c r="J18" s="51">
        <f t="shared" si="4"/>
        <v>850.48554700853447</v>
      </c>
      <c r="K18" s="51">
        <f t="shared" si="3"/>
        <v>6.4922560840346142</v>
      </c>
      <c r="L18" s="51">
        <v>351</v>
      </c>
      <c r="M18" s="51">
        <f t="shared" si="5"/>
        <v>0.37321937321937321</v>
      </c>
      <c r="N18" s="51">
        <v>1814</v>
      </c>
      <c r="O18" s="51">
        <f t="shared" ref="O18:P18" si="26">D18/7</f>
        <v>18.714285714285715</v>
      </c>
      <c r="P18" s="51">
        <f t="shared" si="26"/>
        <v>0</v>
      </c>
      <c r="Q18" s="51">
        <f t="shared" si="7"/>
        <v>96</v>
      </c>
      <c r="R18" s="55">
        <v>30</v>
      </c>
      <c r="S18" s="53" t="s">
        <v>34</v>
      </c>
      <c r="T18" s="54" t="s">
        <v>34</v>
      </c>
      <c r="U18" s="55">
        <v>24</v>
      </c>
      <c r="V18" s="55">
        <f t="shared" si="8"/>
        <v>0.18320610687022901</v>
      </c>
      <c r="W18" s="55">
        <f t="shared" si="9"/>
        <v>4.5389285714285714</v>
      </c>
      <c r="X18" s="55">
        <v>4</v>
      </c>
      <c r="Y18" s="55" t="s">
        <v>35</v>
      </c>
      <c r="Z18" s="56">
        <f t="shared" si="19"/>
        <v>-0.75</v>
      </c>
      <c r="AA18" s="55">
        <v>0.26866666666666666</v>
      </c>
      <c r="AB18" s="58">
        <f t="shared" ref="AB18:AB39" si="27">IFERROR(Z18*AA18*D18*3,0)</f>
        <v>-79.18950000000001</v>
      </c>
      <c r="AC18" s="55">
        <v>-6.18</v>
      </c>
      <c r="AD18" s="55">
        <v>-17.713675213675213</v>
      </c>
      <c r="AE18" s="55">
        <v>0</v>
      </c>
      <c r="AF18" s="55"/>
    </row>
    <row r="19" spans="1:32" s="57" customFormat="1" ht="15.75" customHeight="1">
      <c r="A19" s="2" t="s">
        <v>71</v>
      </c>
      <c r="B19" s="2" t="s">
        <v>428</v>
      </c>
      <c r="C19" s="51">
        <v>36.99</v>
      </c>
      <c r="D19" s="51">
        <v>181</v>
      </c>
      <c r="E19" s="51">
        <v>0</v>
      </c>
      <c r="F19" s="51">
        <v>6699.189999999976</v>
      </c>
      <c r="G19" s="51">
        <v>-127.12</v>
      </c>
      <c r="H19" s="51">
        <f t="shared" si="1"/>
        <v>1.8975428372683931E-2</v>
      </c>
      <c r="I19" s="51">
        <f t="shared" si="2"/>
        <v>0.16912817614140971</v>
      </c>
      <c r="J19" s="51">
        <f t="shared" si="4"/>
        <v>1133.0217863247665</v>
      </c>
      <c r="K19" s="51">
        <f t="shared" si="3"/>
        <v>6.2597888747224664</v>
      </c>
      <c r="L19" s="51">
        <v>441</v>
      </c>
      <c r="M19" s="51">
        <f t="shared" si="5"/>
        <v>0.41043083900226757</v>
      </c>
      <c r="N19" s="51">
        <v>1682</v>
      </c>
      <c r="O19" s="51">
        <f t="shared" ref="O19:P19" si="28">D19/7</f>
        <v>25.857142857142858</v>
      </c>
      <c r="P19" s="51">
        <f t="shared" si="28"/>
        <v>0</v>
      </c>
      <c r="Q19" s="51">
        <f t="shared" si="7"/>
        <v>65</v>
      </c>
      <c r="R19" s="55">
        <v>0</v>
      </c>
      <c r="S19" s="53" t="s">
        <v>34</v>
      </c>
      <c r="T19" s="54" t="s">
        <v>34</v>
      </c>
      <c r="U19" s="55">
        <v>31</v>
      </c>
      <c r="V19" s="55">
        <f t="shared" si="8"/>
        <v>0.17127071823204421</v>
      </c>
      <c r="W19" s="55">
        <f t="shared" si="9"/>
        <v>3.3452631578947369</v>
      </c>
      <c r="X19" s="55">
        <v>7</v>
      </c>
      <c r="Y19" s="55" t="s">
        <v>35</v>
      </c>
      <c r="Z19" s="56">
        <f t="shared" si="19"/>
        <v>-0.75</v>
      </c>
      <c r="AA19" s="55">
        <v>0.26866666666666666</v>
      </c>
      <c r="AB19" s="55">
        <f t="shared" si="27"/>
        <v>-109.4145</v>
      </c>
      <c r="AC19" s="55">
        <v>-6.18</v>
      </c>
      <c r="AD19" s="55">
        <v>-17.713675213675213</v>
      </c>
      <c r="AE19" s="55">
        <v>0</v>
      </c>
      <c r="AF19" s="55"/>
    </row>
    <row r="20" spans="1:32" s="57" customFormat="1" ht="15.75" customHeight="1">
      <c r="A20" s="2" t="s">
        <v>73</v>
      </c>
      <c r="B20" s="2" t="s">
        <v>429</v>
      </c>
      <c r="C20" s="51">
        <v>36.99</v>
      </c>
      <c r="D20" s="51">
        <v>237</v>
      </c>
      <c r="E20" s="51">
        <v>0</v>
      </c>
      <c r="F20" s="51">
        <v>8888.1399999999649</v>
      </c>
      <c r="G20" s="51">
        <v>-141.82</v>
      </c>
      <c r="H20" s="51">
        <f t="shared" si="1"/>
        <v>1.5956094300944915E-2</v>
      </c>
      <c r="I20" s="51">
        <f t="shared" si="2"/>
        <v>0.18080627379394917</v>
      </c>
      <c r="J20" s="51">
        <f t="shared" si="4"/>
        <v>1607.0314743589449</v>
      </c>
      <c r="K20" s="51">
        <f t="shared" si="3"/>
        <v>6.7807235205018772</v>
      </c>
      <c r="L20" s="51">
        <v>526</v>
      </c>
      <c r="M20" s="51">
        <f t="shared" si="5"/>
        <v>0.45057034220532322</v>
      </c>
      <c r="N20" s="51">
        <v>1298</v>
      </c>
      <c r="O20" s="51">
        <f t="shared" ref="O20:P20" si="29">D20/7</f>
        <v>33.857142857142854</v>
      </c>
      <c r="P20" s="51">
        <f t="shared" si="29"/>
        <v>0</v>
      </c>
      <c r="Q20" s="51">
        <f t="shared" si="7"/>
        <v>38</v>
      </c>
      <c r="R20" s="55">
        <v>912</v>
      </c>
      <c r="S20" s="53" t="s">
        <v>34</v>
      </c>
      <c r="T20" s="54" t="s">
        <v>34</v>
      </c>
      <c r="U20" s="55">
        <v>17</v>
      </c>
      <c r="V20" s="55">
        <f t="shared" si="8"/>
        <v>7.1729957805907171E-2</v>
      </c>
      <c r="W20" s="55">
        <f t="shared" si="9"/>
        <v>3.5454999999999997</v>
      </c>
      <c r="X20" s="55">
        <v>23</v>
      </c>
      <c r="Y20" s="55" t="s">
        <v>35</v>
      </c>
      <c r="Z20" s="56">
        <f t="shared" si="19"/>
        <v>-0.75</v>
      </c>
      <c r="AA20" s="55">
        <v>0.26866666666666666</v>
      </c>
      <c r="AB20" s="55">
        <f t="shared" si="27"/>
        <v>-143.26650000000001</v>
      </c>
      <c r="AC20" s="55">
        <v>-6.18</v>
      </c>
      <c r="AD20" s="55">
        <v>-17.713675213675213</v>
      </c>
      <c r="AE20" s="55">
        <v>0</v>
      </c>
      <c r="AF20" s="55"/>
    </row>
    <row r="21" spans="1:32" s="57" customFormat="1" ht="15.75" customHeight="1">
      <c r="A21" s="2" t="s">
        <v>75</v>
      </c>
      <c r="B21" s="2" t="s">
        <v>430</v>
      </c>
      <c r="C21" s="51">
        <v>37.99</v>
      </c>
      <c r="D21" s="51">
        <v>363</v>
      </c>
      <c r="E21" s="51">
        <v>0</v>
      </c>
      <c r="F21" s="51">
        <v>13766.289999999946</v>
      </c>
      <c r="G21" s="51">
        <v>-135.42999999999998</v>
      </c>
      <c r="H21" s="51">
        <f t="shared" si="1"/>
        <v>9.8377994361589435E-3</v>
      </c>
      <c r="I21" s="51">
        <f t="shared" si="2"/>
        <v>0.19417569275642615</v>
      </c>
      <c r="J21" s="51">
        <f t="shared" si="4"/>
        <v>2673.0788974358516</v>
      </c>
      <c r="K21" s="51">
        <f t="shared" si="3"/>
        <v>7.3638537119444942</v>
      </c>
      <c r="L21" s="51">
        <v>757</v>
      </c>
      <c r="M21" s="51">
        <f t="shared" si="5"/>
        <v>0.47952443857331573</v>
      </c>
      <c r="N21" s="51">
        <v>1041</v>
      </c>
      <c r="O21" s="51">
        <f t="shared" ref="O21:P21" si="30">D21/7</f>
        <v>51.857142857142854</v>
      </c>
      <c r="P21" s="51">
        <f t="shared" si="30"/>
        <v>0</v>
      </c>
      <c r="Q21" s="51">
        <f t="shared" si="7"/>
        <v>20</v>
      </c>
      <c r="R21" s="55">
        <v>0</v>
      </c>
      <c r="S21" s="53" t="s">
        <v>34</v>
      </c>
      <c r="T21" s="54" t="s">
        <v>34</v>
      </c>
      <c r="U21" s="55">
        <v>19</v>
      </c>
      <c r="V21" s="55">
        <f t="shared" si="8"/>
        <v>5.2341597796143252E-2</v>
      </c>
      <c r="W21" s="55">
        <f t="shared" si="9"/>
        <v>5.6429166666666655</v>
      </c>
      <c r="X21" s="55">
        <v>5</v>
      </c>
      <c r="Y21" s="55" t="s">
        <v>35</v>
      </c>
      <c r="Z21" s="56">
        <f t="shared" si="19"/>
        <v>-0.75</v>
      </c>
      <c r="AA21" s="55">
        <v>0.26866666666666666</v>
      </c>
      <c r="AB21" s="55">
        <f t="shared" si="27"/>
        <v>-219.43350000000004</v>
      </c>
      <c r="AC21" s="55">
        <v>-6.18</v>
      </c>
      <c r="AD21" s="55">
        <v>-17.713675213675213</v>
      </c>
      <c r="AE21" s="55">
        <v>0</v>
      </c>
      <c r="AF21" s="55"/>
    </row>
    <row r="22" spans="1:32" s="57" customFormat="1" ht="15.75" customHeight="1">
      <c r="A22" s="2" t="s">
        <v>77</v>
      </c>
      <c r="B22" s="2" t="s">
        <v>431</v>
      </c>
      <c r="C22" s="51">
        <v>43.07</v>
      </c>
      <c r="D22" s="51">
        <v>474</v>
      </c>
      <c r="E22" s="51">
        <v>0</v>
      </c>
      <c r="F22" s="51">
        <v>18261.620000000043</v>
      </c>
      <c r="G22" s="51">
        <v>-123.39</v>
      </c>
      <c r="H22" s="51">
        <f t="shared" si="1"/>
        <v>6.7567937565232283E-3</v>
      </c>
      <c r="I22" s="51">
        <f t="shared" si="2"/>
        <v>0.20736670397905424</v>
      </c>
      <c r="J22" s="51">
        <f t="shared" si="4"/>
        <v>3786.8519487179851</v>
      </c>
      <c r="K22" s="51">
        <f t="shared" si="3"/>
        <v>7.9891391323164243</v>
      </c>
      <c r="L22" s="51">
        <v>816</v>
      </c>
      <c r="M22" s="51">
        <f t="shared" si="5"/>
        <v>0.58088235294117652</v>
      </c>
      <c r="N22" s="51">
        <v>428</v>
      </c>
      <c r="O22" s="51">
        <f t="shared" ref="O22:P22" si="31">D22/7</f>
        <v>67.714285714285708</v>
      </c>
      <c r="P22" s="51">
        <f t="shared" si="31"/>
        <v>0</v>
      </c>
      <c r="Q22" s="51">
        <f t="shared" si="7"/>
        <v>6</v>
      </c>
      <c r="R22" s="55">
        <v>0</v>
      </c>
      <c r="S22" s="53" t="s">
        <v>34</v>
      </c>
      <c r="T22" s="54" t="s">
        <v>34</v>
      </c>
      <c r="U22" s="55">
        <v>6</v>
      </c>
      <c r="V22" s="55">
        <f t="shared" si="8"/>
        <v>1.2658227848101266E-2</v>
      </c>
      <c r="W22" s="55">
        <f t="shared" si="9"/>
        <v>10.282500000000001</v>
      </c>
      <c r="X22" s="55">
        <v>6</v>
      </c>
      <c r="Y22" s="55" t="s">
        <v>35</v>
      </c>
      <c r="Z22" s="56">
        <f t="shared" si="19"/>
        <v>-0.75</v>
      </c>
      <c r="AA22" s="55">
        <v>0.26866666666666666</v>
      </c>
      <c r="AB22" s="55">
        <f t="shared" si="27"/>
        <v>-286.53300000000002</v>
      </c>
      <c r="AC22" s="55">
        <v>-6.18</v>
      </c>
      <c r="AD22" s="55">
        <v>-17.713675213675213</v>
      </c>
      <c r="AE22" s="55">
        <v>0</v>
      </c>
      <c r="AF22" s="55"/>
    </row>
    <row r="23" spans="1:32" s="57" customFormat="1" ht="15.75" customHeight="1">
      <c r="A23" s="2" t="s">
        <v>79</v>
      </c>
      <c r="B23" s="2" t="s">
        <v>432</v>
      </c>
      <c r="C23" s="51">
        <v>40.78</v>
      </c>
      <c r="D23" s="51">
        <v>408</v>
      </c>
      <c r="E23" s="51">
        <v>0</v>
      </c>
      <c r="F23" s="51">
        <v>16336.979999999958</v>
      </c>
      <c r="G23" s="51">
        <v>-48.51</v>
      </c>
      <c r="H23" s="51">
        <f t="shared" si="1"/>
        <v>2.9693370500545463E-3</v>
      </c>
      <c r="I23" s="51">
        <f t="shared" si="2"/>
        <v>0.2352128430603751</v>
      </c>
      <c r="J23" s="51">
        <f t="shared" si="4"/>
        <v>3842.667512820477</v>
      </c>
      <c r="K23" s="51">
        <f t="shared" si="3"/>
        <v>9.4183027275011693</v>
      </c>
      <c r="L23" s="51">
        <v>713</v>
      </c>
      <c r="M23" s="51">
        <f t="shared" si="5"/>
        <v>0.57223001402524543</v>
      </c>
      <c r="N23" s="51">
        <v>166</v>
      </c>
      <c r="O23" s="51">
        <f t="shared" ref="O23:P23" si="32">D23/7</f>
        <v>58.285714285714285</v>
      </c>
      <c r="P23" s="51">
        <f t="shared" si="32"/>
        <v>0</v>
      </c>
      <c r="Q23" s="51">
        <f t="shared" si="7"/>
        <v>2</v>
      </c>
      <c r="R23" s="55">
        <v>888</v>
      </c>
      <c r="S23" s="53">
        <v>888</v>
      </c>
      <c r="T23" s="54">
        <v>43969</v>
      </c>
      <c r="U23" s="55">
        <v>7</v>
      </c>
      <c r="V23" s="55">
        <f t="shared" si="8"/>
        <v>1.7156862745098041E-2</v>
      </c>
      <c r="W23" s="55">
        <f t="shared" si="9"/>
        <v>6.0637499999999998</v>
      </c>
      <c r="X23" s="55">
        <v>1</v>
      </c>
      <c r="Y23" s="55" t="s">
        <v>35</v>
      </c>
      <c r="Z23" s="56">
        <f t="shared" si="19"/>
        <v>-0.75</v>
      </c>
      <c r="AA23" s="55">
        <v>0.26866666666666666</v>
      </c>
      <c r="AB23" s="55">
        <f t="shared" si="27"/>
        <v>-246.63600000000002</v>
      </c>
      <c r="AC23" s="55">
        <v>-6.18</v>
      </c>
      <c r="AD23" s="55">
        <v>-17.713675213675213</v>
      </c>
      <c r="AE23" s="55">
        <v>0</v>
      </c>
      <c r="AF23" s="55"/>
    </row>
    <row r="24" spans="1:32" s="57" customFormat="1" ht="15.75" customHeight="1">
      <c r="A24" s="2" t="s">
        <v>80</v>
      </c>
      <c r="B24" s="2" t="s">
        <v>433</v>
      </c>
      <c r="C24" s="51"/>
      <c r="D24" s="51">
        <v>155</v>
      </c>
      <c r="E24" s="51">
        <v>0</v>
      </c>
      <c r="F24" s="51">
        <v>6354.0899999999983</v>
      </c>
      <c r="G24" s="51">
        <v>-0.48</v>
      </c>
      <c r="H24" s="51">
        <f t="shared" si="1"/>
        <v>7.5541895062865039E-5</v>
      </c>
      <c r="I24" s="51">
        <f t="shared" si="2"/>
        <v>0.25232241625163343</v>
      </c>
      <c r="J24" s="51">
        <f t="shared" si="4"/>
        <v>1603.279341880341</v>
      </c>
      <c r="K24" s="51">
        <f t="shared" si="3"/>
        <v>10.343737689550586</v>
      </c>
      <c r="L24" s="51">
        <v>454</v>
      </c>
      <c r="M24" s="51">
        <f t="shared" si="5"/>
        <v>0.34140969162995594</v>
      </c>
      <c r="N24" s="51">
        <v>16</v>
      </c>
      <c r="O24" s="51">
        <f t="shared" ref="O24:P24" si="33">D24/7</f>
        <v>22.142857142857142</v>
      </c>
      <c r="P24" s="51">
        <f t="shared" si="33"/>
        <v>0</v>
      </c>
      <c r="Q24" s="51">
        <f t="shared" si="7"/>
        <v>0</v>
      </c>
      <c r="R24" s="55">
        <v>888</v>
      </c>
      <c r="S24" s="53">
        <v>888</v>
      </c>
      <c r="T24" s="54">
        <v>43969</v>
      </c>
      <c r="U24" s="55">
        <v>1</v>
      </c>
      <c r="V24" s="55">
        <f t="shared" si="8"/>
        <v>6.4516129032258064E-3</v>
      </c>
      <c r="W24" s="55">
        <f t="shared" si="9"/>
        <v>0.48</v>
      </c>
      <c r="X24" s="55">
        <v>0</v>
      </c>
      <c r="Y24" s="55" t="s">
        <v>35</v>
      </c>
      <c r="Z24" s="56">
        <f t="shared" si="19"/>
        <v>-0.75</v>
      </c>
      <c r="AA24" s="55">
        <v>0.26866666666666666</v>
      </c>
      <c r="AB24" s="55">
        <f t="shared" si="27"/>
        <v>-93.697500000000005</v>
      </c>
      <c r="AC24" s="55">
        <v>-6.18</v>
      </c>
      <c r="AD24" s="55">
        <v>-17.713675213675213</v>
      </c>
      <c r="AE24" s="55">
        <v>0</v>
      </c>
      <c r="AF24" s="55"/>
    </row>
    <row r="25" spans="1:32" s="57" customFormat="1" ht="15.75" customHeight="1">
      <c r="A25" s="2" t="s">
        <v>81</v>
      </c>
      <c r="B25" s="2" t="s">
        <v>434</v>
      </c>
      <c r="C25" s="51"/>
      <c r="D25" s="51">
        <v>56</v>
      </c>
      <c r="E25" s="51">
        <v>0</v>
      </c>
      <c r="F25" s="51">
        <v>2302.0200000000004</v>
      </c>
      <c r="G25" s="51">
        <v>0</v>
      </c>
      <c r="H25" s="51">
        <f t="shared" si="1"/>
        <v>0</v>
      </c>
      <c r="I25" s="51">
        <f t="shared" si="2"/>
        <v>0.25404609344583812</v>
      </c>
      <c r="J25" s="51">
        <f t="shared" si="4"/>
        <v>584.81918803418841</v>
      </c>
      <c r="K25" s="51">
        <f t="shared" si="3"/>
        <v>10.443199786324794</v>
      </c>
      <c r="L25" s="51">
        <v>21</v>
      </c>
      <c r="M25" s="51">
        <f t="shared" si="5"/>
        <v>2.6666666666666665</v>
      </c>
      <c r="N25" s="51">
        <v>21</v>
      </c>
      <c r="O25" s="51">
        <f t="shared" ref="O25:P25" si="34">D25/7</f>
        <v>8</v>
      </c>
      <c r="P25" s="51">
        <f t="shared" si="34"/>
        <v>0</v>
      </c>
      <c r="Q25" s="51">
        <f t="shared" si="7"/>
        <v>2</v>
      </c>
      <c r="R25" s="55">
        <v>984</v>
      </c>
      <c r="S25" s="53">
        <v>984</v>
      </c>
      <c r="T25" s="54">
        <v>43990</v>
      </c>
      <c r="U25" s="55">
        <v>0</v>
      </c>
      <c r="V25" s="55">
        <f t="shared" si="8"/>
        <v>0</v>
      </c>
      <c r="W25" s="55">
        <f t="shared" si="9"/>
        <v>0</v>
      </c>
      <c r="X25" s="55">
        <v>0</v>
      </c>
      <c r="Y25" s="55" t="s">
        <v>35</v>
      </c>
      <c r="Z25" s="56">
        <f t="shared" si="19"/>
        <v>-0.75</v>
      </c>
      <c r="AA25" s="55">
        <v>0.26866666666666666</v>
      </c>
      <c r="AB25" s="55">
        <f t="shared" si="27"/>
        <v>-33.852000000000004</v>
      </c>
      <c r="AC25" s="55">
        <v>-6.18</v>
      </c>
      <c r="AD25" s="55">
        <v>-17.713675213675213</v>
      </c>
      <c r="AE25" s="55">
        <v>0</v>
      </c>
      <c r="AF25" s="55"/>
    </row>
    <row r="26" spans="1:32" s="57" customFormat="1" ht="15.75" customHeight="1">
      <c r="A26" s="2" t="s">
        <v>83</v>
      </c>
      <c r="B26" s="2" t="s">
        <v>435</v>
      </c>
      <c r="C26" s="51">
        <f t="shared" ref="C26:C39" si="35">IFERROR(F26/D26," - ")</f>
        <v>39.99</v>
      </c>
      <c r="D26" s="51">
        <v>23</v>
      </c>
      <c r="E26" s="51">
        <v>0</v>
      </c>
      <c r="F26" s="51">
        <v>919.7700000000001</v>
      </c>
      <c r="G26" s="51">
        <v>-0.02</v>
      </c>
      <c r="H26" s="51">
        <f t="shared" si="1"/>
        <v>2.1744566576426712E-5</v>
      </c>
      <c r="I26" s="51">
        <f t="shared" si="2"/>
        <v>0.23737072320848709</v>
      </c>
      <c r="J26" s="51">
        <f t="shared" si="4"/>
        <v>218.32647008547019</v>
      </c>
      <c r="K26" s="51">
        <f t="shared" si="3"/>
        <v>9.4924552211074005</v>
      </c>
      <c r="L26" s="51">
        <v>24</v>
      </c>
      <c r="M26" s="51">
        <f t="shared" si="5"/>
        <v>0.95833333333333337</v>
      </c>
      <c r="N26" s="51">
        <v>2</v>
      </c>
      <c r="O26" s="51">
        <f t="shared" ref="O26:P26" si="36">D26/7</f>
        <v>3.2857142857142856</v>
      </c>
      <c r="P26" s="51">
        <f t="shared" si="36"/>
        <v>0</v>
      </c>
      <c r="Q26" s="51">
        <f t="shared" si="7"/>
        <v>0</v>
      </c>
      <c r="R26" s="55">
        <v>3342</v>
      </c>
      <c r="S26" s="53">
        <v>984</v>
      </c>
      <c r="T26" s="54">
        <v>43990</v>
      </c>
      <c r="U26" s="55">
        <v>0</v>
      </c>
      <c r="V26" s="55">
        <f t="shared" si="8"/>
        <v>0</v>
      </c>
      <c r="W26" s="55">
        <f t="shared" si="9"/>
        <v>0</v>
      </c>
      <c r="X26" s="55">
        <v>0</v>
      </c>
      <c r="Y26" s="55" t="s">
        <v>35</v>
      </c>
      <c r="Z26" s="56">
        <f t="shared" si="19"/>
        <v>-0.75</v>
      </c>
      <c r="AA26" s="55">
        <v>0.26866666666666666</v>
      </c>
      <c r="AB26" s="55">
        <f t="shared" si="27"/>
        <v>-13.903500000000001</v>
      </c>
      <c r="AC26" s="55">
        <v>-6.18</v>
      </c>
      <c r="AD26" s="55">
        <v>-17.713675213675213</v>
      </c>
      <c r="AE26" s="55">
        <v>0</v>
      </c>
      <c r="AF26" s="55"/>
    </row>
    <row r="27" spans="1:32" s="57" customFormat="1" ht="15.75" customHeight="1">
      <c r="A27" s="2" t="s">
        <v>84</v>
      </c>
      <c r="B27" s="2" t="s">
        <v>436</v>
      </c>
      <c r="C27" s="51">
        <f t="shared" si="35"/>
        <v>42.14</v>
      </c>
      <c r="D27" s="51">
        <v>4</v>
      </c>
      <c r="E27" s="51">
        <v>0</v>
      </c>
      <c r="F27" s="51">
        <v>168.56</v>
      </c>
      <c r="G27" s="51">
        <v>0</v>
      </c>
      <c r="H27" s="51">
        <f t="shared" si="1"/>
        <v>0</v>
      </c>
      <c r="I27" s="51">
        <f t="shared" si="2"/>
        <v>0.26864795411307046</v>
      </c>
      <c r="J27" s="51">
        <f t="shared" si="4"/>
        <v>45.283299145299161</v>
      </c>
      <c r="K27" s="51">
        <f t="shared" si="3"/>
        <v>11.32082478632479</v>
      </c>
      <c r="L27" s="51">
        <v>7</v>
      </c>
      <c r="M27" s="51">
        <f t="shared" si="5"/>
        <v>0.5714285714285714</v>
      </c>
      <c r="N27" s="51">
        <v>0</v>
      </c>
      <c r="O27" s="51">
        <f t="shared" ref="O27:P27" si="37">D27/7</f>
        <v>0.5714285714285714</v>
      </c>
      <c r="P27" s="51">
        <f t="shared" si="37"/>
        <v>0</v>
      </c>
      <c r="Q27" s="51">
        <f t="shared" si="7"/>
        <v>0</v>
      </c>
      <c r="R27" s="55">
        <v>3342</v>
      </c>
      <c r="S27" s="53">
        <v>984</v>
      </c>
      <c r="T27" s="54">
        <v>43992</v>
      </c>
      <c r="U27" s="55">
        <v>0</v>
      </c>
      <c r="V27" s="55">
        <f t="shared" si="8"/>
        <v>0</v>
      </c>
      <c r="W27" s="55">
        <f t="shared" si="9"/>
        <v>0</v>
      </c>
      <c r="X27" s="55">
        <v>0</v>
      </c>
      <c r="Y27" s="55" t="s">
        <v>35</v>
      </c>
      <c r="Z27" s="56">
        <f t="shared" si="19"/>
        <v>-0.75</v>
      </c>
      <c r="AA27" s="55">
        <v>0.26866666666666666</v>
      </c>
      <c r="AB27" s="55">
        <f t="shared" si="27"/>
        <v>-2.4180000000000001</v>
      </c>
      <c r="AC27" s="55">
        <v>-6.18</v>
      </c>
      <c r="AD27" s="55">
        <v>-17.713675213675213</v>
      </c>
      <c r="AE27" s="55">
        <v>0</v>
      </c>
      <c r="AF27" s="55"/>
    </row>
    <row r="28" spans="1:32" s="57" customFormat="1" ht="15.75" customHeight="1">
      <c r="A28" s="2" t="s">
        <v>86</v>
      </c>
      <c r="B28" s="2" t="s">
        <v>437</v>
      </c>
      <c r="C28" s="51">
        <f t="shared" si="35"/>
        <v>39.99</v>
      </c>
      <c r="D28" s="51">
        <v>6</v>
      </c>
      <c r="E28" s="51">
        <v>0</v>
      </c>
      <c r="F28" s="51">
        <v>239.94000000000003</v>
      </c>
      <c r="G28" s="51">
        <v>-0.02</v>
      </c>
      <c r="H28" s="51">
        <f t="shared" si="1"/>
        <v>8.3354171876302404E-5</v>
      </c>
      <c r="I28" s="51">
        <f t="shared" si="2"/>
        <v>0.23730911360318716</v>
      </c>
      <c r="J28" s="51">
        <f t="shared" si="4"/>
        <v>56.939948717948731</v>
      </c>
      <c r="K28" s="51">
        <f t="shared" si="3"/>
        <v>9.4899914529914557</v>
      </c>
      <c r="L28" s="51">
        <v>37</v>
      </c>
      <c r="M28" s="51">
        <f t="shared" si="5"/>
        <v>0.16216216216216217</v>
      </c>
      <c r="N28" s="51">
        <v>944</v>
      </c>
      <c r="O28" s="51">
        <f t="shared" ref="O28:P28" si="38">D28/7</f>
        <v>0.8571428571428571</v>
      </c>
      <c r="P28" s="51">
        <f t="shared" si="38"/>
        <v>0</v>
      </c>
      <c r="Q28" s="51">
        <f t="shared" si="7"/>
        <v>1101</v>
      </c>
      <c r="R28" s="55">
        <v>3592</v>
      </c>
      <c r="S28" s="53">
        <v>984</v>
      </c>
      <c r="T28" s="54">
        <v>43992</v>
      </c>
      <c r="U28" s="55">
        <v>0</v>
      </c>
      <c r="V28" s="55">
        <f t="shared" si="8"/>
        <v>0</v>
      </c>
      <c r="W28" s="55">
        <f t="shared" si="9"/>
        <v>0</v>
      </c>
      <c r="X28" s="55">
        <v>0</v>
      </c>
      <c r="Y28" s="55" t="s">
        <v>35</v>
      </c>
      <c r="Z28" s="56">
        <f t="shared" si="19"/>
        <v>-0.75</v>
      </c>
      <c r="AA28" s="55">
        <v>0.26866666666666666</v>
      </c>
      <c r="AB28" s="55">
        <f t="shared" si="27"/>
        <v>-3.6270000000000002</v>
      </c>
      <c r="AC28" s="55">
        <v>-6.18</v>
      </c>
      <c r="AD28" s="55">
        <v>-17.713675213675213</v>
      </c>
      <c r="AE28" s="55">
        <v>0</v>
      </c>
      <c r="AF28" s="55"/>
    </row>
    <row r="29" spans="1:32" s="57" customFormat="1" ht="15.75" customHeight="1">
      <c r="A29" s="2" t="s">
        <v>87</v>
      </c>
      <c r="B29" s="2" t="s">
        <v>438</v>
      </c>
      <c r="C29" s="51">
        <f t="shared" si="35"/>
        <v>41.014375000000008</v>
      </c>
      <c r="D29" s="51">
        <v>48</v>
      </c>
      <c r="E29" s="51">
        <v>0</v>
      </c>
      <c r="F29" s="51">
        <v>1968.6900000000005</v>
      </c>
      <c r="G29" s="51">
        <v>-28.23</v>
      </c>
      <c r="H29" s="51">
        <f t="shared" si="1"/>
        <v>1.4339484631912588E-2</v>
      </c>
      <c r="I29" s="51">
        <f t="shared" si="2"/>
        <v>0.23835346841990868</v>
      </c>
      <c r="J29" s="51">
        <f t="shared" si="4"/>
        <v>469.24408974359011</v>
      </c>
      <c r="K29" s="51">
        <f t="shared" si="3"/>
        <v>9.7759185363247934</v>
      </c>
      <c r="L29" s="51">
        <v>142</v>
      </c>
      <c r="M29" s="51">
        <f t="shared" si="5"/>
        <v>0.3380281690140845</v>
      </c>
      <c r="N29" s="51">
        <v>933</v>
      </c>
      <c r="O29" s="51">
        <f t="shared" ref="O29:P29" si="39">D29/7</f>
        <v>6.8571428571428568</v>
      </c>
      <c r="P29" s="51">
        <f t="shared" si="39"/>
        <v>0</v>
      </c>
      <c r="Q29" s="51">
        <f t="shared" si="7"/>
        <v>136</v>
      </c>
      <c r="R29" s="55">
        <v>2608</v>
      </c>
      <c r="S29" s="53">
        <v>250</v>
      </c>
      <c r="T29" s="54">
        <v>44018</v>
      </c>
      <c r="U29" s="55">
        <v>4</v>
      </c>
      <c r="V29" s="55">
        <f t="shared" si="8"/>
        <v>8.3333333333333329E-2</v>
      </c>
      <c r="W29" s="55">
        <f t="shared" si="9"/>
        <v>4.7050000000000001</v>
      </c>
      <c r="X29" s="55">
        <v>2</v>
      </c>
      <c r="Y29" s="55" t="s">
        <v>35</v>
      </c>
      <c r="Z29" s="56">
        <f t="shared" si="19"/>
        <v>-0.75</v>
      </c>
      <c r="AA29" s="55">
        <v>0.26866666666666666</v>
      </c>
      <c r="AB29" s="55">
        <f t="shared" si="27"/>
        <v>-29.016000000000002</v>
      </c>
      <c r="AC29" s="55">
        <v>-6.18</v>
      </c>
      <c r="AD29" s="55">
        <v>-17.713675213675213</v>
      </c>
      <c r="AE29" s="55">
        <v>0</v>
      </c>
      <c r="AF29" s="55"/>
    </row>
    <row r="30" spans="1:32" s="57" customFormat="1" ht="15.75" customHeight="1">
      <c r="A30" s="2" t="s">
        <v>89</v>
      </c>
      <c r="B30" s="2" t="s">
        <v>439</v>
      </c>
      <c r="C30" s="51">
        <f t="shared" si="35"/>
        <v>42.955199999999962</v>
      </c>
      <c r="D30" s="51">
        <v>75</v>
      </c>
      <c r="E30" s="51">
        <v>0</v>
      </c>
      <c r="F30" s="51">
        <v>3221.6399999999971</v>
      </c>
      <c r="G30" s="51">
        <v>-62.669999999999987</v>
      </c>
      <c r="H30" s="51">
        <f t="shared" si="1"/>
        <v>1.9452825269117607E-2</v>
      </c>
      <c r="I30" s="51">
        <f t="shared" si="2"/>
        <v>0.26022797673680403</v>
      </c>
      <c r="J30" s="51">
        <f t="shared" si="4"/>
        <v>838.36085897435657</v>
      </c>
      <c r="K30" s="51">
        <f t="shared" si="3"/>
        <v>11.178144786324754</v>
      </c>
      <c r="L30" s="51">
        <v>219</v>
      </c>
      <c r="M30" s="51">
        <f t="shared" si="5"/>
        <v>0.34246575342465752</v>
      </c>
      <c r="N30" s="51">
        <v>829</v>
      </c>
      <c r="O30" s="51">
        <f t="shared" ref="O30:P30" si="40">D30/7</f>
        <v>10.714285714285714</v>
      </c>
      <c r="P30" s="51">
        <f t="shared" si="40"/>
        <v>0</v>
      </c>
      <c r="Q30" s="51">
        <f t="shared" si="7"/>
        <v>77</v>
      </c>
      <c r="R30" s="55">
        <v>2608</v>
      </c>
      <c r="S30" s="53">
        <v>250</v>
      </c>
      <c r="T30" s="54">
        <v>44018</v>
      </c>
      <c r="U30" s="55">
        <v>6</v>
      </c>
      <c r="V30" s="55">
        <f t="shared" si="8"/>
        <v>0.08</v>
      </c>
      <c r="W30" s="55">
        <f t="shared" si="9"/>
        <v>8.9528571428571411</v>
      </c>
      <c r="X30" s="55">
        <v>1</v>
      </c>
      <c r="Y30" s="55" t="s">
        <v>35</v>
      </c>
      <c r="Z30" s="56">
        <f t="shared" si="19"/>
        <v>-0.75</v>
      </c>
      <c r="AA30" s="55">
        <v>0.26866666666666666</v>
      </c>
      <c r="AB30" s="55">
        <f t="shared" si="27"/>
        <v>-45.337500000000006</v>
      </c>
      <c r="AC30" s="55">
        <v>-6.18</v>
      </c>
      <c r="AD30" s="55">
        <v>-17.713675213675213</v>
      </c>
      <c r="AE30" s="55">
        <v>0</v>
      </c>
      <c r="AF30" s="55"/>
    </row>
    <row r="31" spans="1:32" s="57" customFormat="1" ht="15.75" customHeight="1">
      <c r="A31" s="2" t="s">
        <v>90</v>
      </c>
      <c r="B31" s="2" t="s">
        <v>440</v>
      </c>
      <c r="C31" s="51">
        <f t="shared" si="35"/>
        <v>40.409134615384545</v>
      </c>
      <c r="D31" s="51">
        <v>104</v>
      </c>
      <c r="E31" s="51">
        <v>0</v>
      </c>
      <c r="F31" s="51">
        <v>4202.5499999999929</v>
      </c>
      <c r="G31" s="51">
        <v>-79.050000000000011</v>
      </c>
      <c r="H31" s="51">
        <f t="shared" si="1"/>
        <v>1.8810008209301531E-2</v>
      </c>
      <c r="I31" s="51">
        <f t="shared" si="2"/>
        <v>0.22493659273007408</v>
      </c>
      <c r="J31" s="51">
        <f t="shared" si="4"/>
        <v>945.30727777777122</v>
      </c>
      <c r="K31" s="51">
        <f t="shared" si="3"/>
        <v>9.0894930555554918</v>
      </c>
      <c r="L31" s="51">
        <v>314</v>
      </c>
      <c r="M31" s="51">
        <f t="shared" si="5"/>
        <v>0.33121019108280253</v>
      </c>
      <c r="N31" s="51">
        <v>1614</v>
      </c>
      <c r="O31" s="51">
        <f t="shared" ref="O31:P31" si="41">D31/7</f>
        <v>14.857142857142858</v>
      </c>
      <c r="P31" s="51">
        <f t="shared" si="41"/>
        <v>0</v>
      </c>
      <c r="Q31" s="51">
        <f t="shared" si="7"/>
        <v>108</v>
      </c>
      <c r="R31" s="55">
        <v>2358</v>
      </c>
      <c r="S31" s="53">
        <v>2358</v>
      </c>
      <c r="T31" s="54">
        <v>44039</v>
      </c>
      <c r="U31" s="55">
        <v>8</v>
      </c>
      <c r="V31" s="55">
        <f t="shared" si="8"/>
        <v>7.6923076923076927E-2</v>
      </c>
      <c r="W31" s="55">
        <f t="shared" si="9"/>
        <v>6.0807692307692314</v>
      </c>
      <c r="X31" s="55">
        <v>5</v>
      </c>
      <c r="Y31" s="55" t="s">
        <v>35</v>
      </c>
      <c r="Z31" s="56">
        <f t="shared" si="19"/>
        <v>-0.75</v>
      </c>
      <c r="AA31" s="55">
        <v>0.26866666666666666</v>
      </c>
      <c r="AB31" s="55">
        <f t="shared" si="27"/>
        <v>-62.868000000000009</v>
      </c>
      <c r="AC31" s="55">
        <v>-6.18</v>
      </c>
      <c r="AD31" s="55">
        <v>-17.713675213675213</v>
      </c>
      <c r="AE31" s="55">
        <v>0</v>
      </c>
      <c r="AF31" s="55"/>
    </row>
    <row r="32" spans="1:32" s="57" customFormat="1" ht="15.75" customHeight="1">
      <c r="A32" s="2" t="s">
        <v>92</v>
      </c>
      <c r="B32" s="2" t="s">
        <v>441</v>
      </c>
      <c r="C32" s="51">
        <f t="shared" si="35"/>
        <v>40.934642857142762</v>
      </c>
      <c r="D32" s="51">
        <v>112</v>
      </c>
      <c r="E32" s="51">
        <v>0</v>
      </c>
      <c r="F32" s="51">
        <v>4584.6799999999894</v>
      </c>
      <c r="G32" s="51">
        <v>-81.52</v>
      </c>
      <c r="H32" s="51">
        <f t="shared" si="1"/>
        <v>1.7780957449593033E-2</v>
      </c>
      <c r="I32" s="51">
        <f t="shared" si="2"/>
        <v>0.23374856610894754</v>
      </c>
      <c r="J32" s="51">
        <f t="shared" si="4"/>
        <v>1071.6623760683672</v>
      </c>
      <c r="K32" s="51">
        <f t="shared" si="3"/>
        <v>9.5684140720389923</v>
      </c>
      <c r="L32" s="51">
        <v>344</v>
      </c>
      <c r="M32" s="51">
        <f t="shared" si="5"/>
        <v>0.32558139534883723</v>
      </c>
      <c r="N32" s="51">
        <v>1482</v>
      </c>
      <c r="O32" s="51">
        <f t="shared" ref="O32:P32" si="42">D32/7</f>
        <v>16</v>
      </c>
      <c r="P32" s="51">
        <f t="shared" si="42"/>
        <v>0</v>
      </c>
      <c r="Q32" s="51">
        <f t="shared" si="7"/>
        <v>92</v>
      </c>
      <c r="R32" s="55">
        <v>2358</v>
      </c>
      <c r="S32" s="53">
        <v>2358</v>
      </c>
      <c r="T32" s="54" t="s">
        <v>34</v>
      </c>
      <c r="U32" s="55">
        <v>13</v>
      </c>
      <c r="V32" s="55">
        <f t="shared" si="8"/>
        <v>0.11607142857142858</v>
      </c>
      <c r="W32" s="55">
        <f t="shared" si="9"/>
        <v>4.528888888888889</v>
      </c>
      <c r="X32" s="55">
        <v>5</v>
      </c>
      <c r="Y32" s="55" t="s">
        <v>35</v>
      </c>
      <c r="Z32" s="56">
        <f t="shared" si="19"/>
        <v>-0.75</v>
      </c>
      <c r="AA32" s="55">
        <v>0.26866666666666666</v>
      </c>
      <c r="AB32" s="55">
        <f t="shared" si="27"/>
        <v>-67.704000000000008</v>
      </c>
      <c r="AC32" s="55">
        <v>-6.18</v>
      </c>
      <c r="AD32" s="55">
        <v>-17.713675213675213</v>
      </c>
      <c r="AE32" s="55">
        <v>0</v>
      </c>
      <c r="AF32" s="52">
        <v>2.4009351256575102</v>
      </c>
    </row>
    <row r="33" spans="1:32" s="57" customFormat="1" ht="15.75" customHeight="1">
      <c r="A33" s="2" t="s">
        <v>94</v>
      </c>
      <c r="B33" s="2" t="s">
        <v>442</v>
      </c>
      <c r="C33" s="51">
        <f t="shared" si="35"/>
        <v>40.581574074073977</v>
      </c>
      <c r="D33" s="51">
        <v>108</v>
      </c>
      <c r="E33" s="51">
        <v>0</v>
      </c>
      <c r="F33" s="51">
        <v>4382.8099999999895</v>
      </c>
      <c r="G33" s="51">
        <v>-105.35</v>
      </c>
      <c r="H33" s="51">
        <f t="shared" si="1"/>
        <v>2.4037090359837695E-2</v>
      </c>
      <c r="I33" s="51">
        <f t="shared" si="2"/>
        <v>0.22228560602058278</v>
      </c>
      <c r="J33" s="51">
        <f t="shared" si="4"/>
        <v>974.23557692306804</v>
      </c>
      <c r="K33" s="51">
        <f t="shared" si="3"/>
        <v>9.0206997863247036</v>
      </c>
      <c r="L33" s="51">
        <v>299</v>
      </c>
      <c r="M33" s="51">
        <f t="shared" si="5"/>
        <v>0.3612040133779264</v>
      </c>
      <c r="N33" s="51">
        <v>1426</v>
      </c>
      <c r="O33" s="51">
        <f t="shared" ref="O33:P33" si="43">D33/7</f>
        <v>15.428571428571429</v>
      </c>
      <c r="P33" s="51">
        <f t="shared" si="43"/>
        <v>0</v>
      </c>
      <c r="Q33" s="51">
        <f t="shared" si="7"/>
        <v>92</v>
      </c>
      <c r="R33" s="55">
        <v>2608</v>
      </c>
      <c r="S33" s="53">
        <v>2358</v>
      </c>
      <c r="T33" s="54">
        <v>44047</v>
      </c>
      <c r="U33" s="55">
        <v>13</v>
      </c>
      <c r="V33" s="55">
        <f t="shared" si="8"/>
        <v>0.12037037037037036</v>
      </c>
      <c r="W33" s="55">
        <f t="shared" si="9"/>
        <v>5.0166666666666666</v>
      </c>
      <c r="X33" s="55">
        <v>8</v>
      </c>
      <c r="Y33" s="55" t="s">
        <v>35</v>
      </c>
      <c r="Z33" s="56">
        <f t="shared" si="19"/>
        <v>-0.75</v>
      </c>
      <c r="AA33" s="55">
        <v>0.26866666666666666</v>
      </c>
      <c r="AB33" s="55">
        <f t="shared" si="27"/>
        <v>-65.286000000000001</v>
      </c>
      <c r="AC33" s="55">
        <v>-6.18</v>
      </c>
      <c r="AD33" s="55">
        <v>-17.713675213675213</v>
      </c>
      <c r="AE33" s="55">
        <v>0</v>
      </c>
      <c r="AF33" s="55">
        <v>1.9294234592445301</v>
      </c>
    </row>
    <row r="34" spans="1:32" s="57" customFormat="1" ht="15.75" customHeight="1">
      <c r="A34" s="2" t="s">
        <v>95</v>
      </c>
      <c r="B34" s="2" t="s">
        <v>443</v>
      </c>
      <c r="C34" s="51">
        <f t="shared" si="35"/>
        <v>40.938275862068949</v>
      </c>
      <c r="D34" s="51">
        <v>58</v>
      </c>
      <c r="E34" s="51">
        <v>0</v>
      </c>
      <c r="F34" s="51">
        <v>2374.4199999999992</v>
      </c>
      <c r="G34" s="51">
        <v>-116.10000000000001</v>
      </c>
      <c r="H34" s="51">
        <f t="shared" si="1"/>
        <v>4.8896151481203853E-2</v>
      </c>
      <c r="I34" s="51">
        <f t="shared" si="2"/>
        <v>0.20268648242806114</v>
      </c>
      <c r="J34" s="51">
        <f t="shared" si="4"/>
        <v>481.2628376068368</v>
      </c>
      <c r="K34" s="51">
        <f t="shared" si="3"/>
        <v>8.297635131152358</v>
      </c>
      <c r="L34" s="51">
        <v>275</v>
      </c>
      <c r="M34" s="51">
        <f t="shared" si="5"/>
        <v>0.21090909090909091</v>
      </c>
      <c r="N34" s="51">
        <v>1325</v>
      </c>
      <c r="O34" s="51">
        <f t="shared" ref="O34:P34" si="44">D34/7</f>
        <v>8.2857142857142865</v>
      </c>
      <c r="P34" s="51">
        <f t="shared" si="44"/>
        <v>0</v>
      </c>
      <c r="Q34" s="51">
        <f t="shared" si="7"/>
        <v>159</v>
      </c>
      <c r="R34" s="55">
        <v>2608</v>
      </c>
      <c r="S34" s="53">
        <v>2358</v>
      </c>
      <c r="T34" s="54">
        <v>44047</v>
      </c>
      <c r="U34" s="55">
        <v>3</v>
      </c>
      <c r="V34" s="55">
        <f t="shared" si="8"/>
        <v>5.1724137931034482E-2</v>
      </c>
      <c r="W34" s="55">
        <f t="shared" si="9"/>
        <v>11.610000000000001</v>
      </c>
      <c r="X34" s="55">
        <v>7</v>
      </c>
      <c r="Y34" s="55" t="s">
        <v>35</v>
      </c>
      <c r="Z34" s="56">
        <f t="shared" si="19"/>
        <v>-0.75</v>
      </c>
      <c r="AA34" s="55">
        <v>0.26866666666666666</v>
      </c>
      <c r="AB34" s="55">
        <f t="shared" si="27"/>
        <v>-35.061000000000007</v>
      </c>
      <c r="AC34" s="55">
        <v>-6.18</v>
      </c>
      <c r="AD34" s="55">
        <v>-17.713675213675213</v>
      </c>
      <c r="AE34" s="55">
        <v>0</v>
      </c>
      <c r="AF34" s="55">
        <v>1.8651685393258399</v>
      </c>
    </row>
    <row r="35" spans="1:32" s="57" customFormat="1" ht="15.75" customHeight="1">
      <c r="A35" s="2" t="s">
        <v>96</v>
      </c>
      <c r="B35" s="2" t="s">
        <v>444</v>
      </c>
      <c r="C35" s="51">
        <f t="shared" si="35"/>
        <v>36.682773109243634</v>
      </c>
      <c r="D35" s="51">
        <v>119</v>
      </c>
      <c r="E35" s="51">
        <v>1</v>
      </c>
      <c r="F35" s="51">
        <v>4365.2499999999927</v>
      </c>
      <c r="G35" s="51">
        <v>-108.92999999999999</v>
      </c>
      <c r="H35" s="51">
        <f t="shared" si="1"/>
        <v>2.4953897256743639E-2</v>
      </c>
      <c r="I35" s="51">
        <f t="shared" si="2"/>
        <v>0.15720741070331479</v>
      </c>
      <c r="J35" s="51">
        <f t="shared" si="4"/>
        <v>686.24964957264376</v>
      </c>
      <c r="K35" s="51">
        <f t="shared" si="3"/>
        <v>5.7668037779213766</v>
      </c>
      <c r="L35" s="51">
        <v>288</v>
      </c>
      <c r="M35" s="51">
        <f t="shared" si="5"/>
        <v>0.41319444444444442</v>
      </c>
      <c r="N35" s="51">
        <v>1258</v>
      </c>
      <c r="O35" s="51">
        <f t="shared" ref="O35:P35" si="45">D35/7</f>
        <v>17</v>
      </c>
      <c r="P35" s="51">
        <f t="shared" si="45"/>
        <v>0.14285714285714285</v>
      </c>
      <c r="Q35" s="51">
        <f t="shared" si="7"/>
        <v>73</v>
      </c>
      <c r="R35" s="55">
        <v>2608</v>
      </c>
      <c r="S35" s="53">
        <v>2358</v>
      </c>
      <c r="T35" s="54">
        <v>44047</v>
      </c>
      <c r="U35" s="55">
        <v>12</v>
      </c>
      <c r="V35" s="55">
        <f t="shared" si="8"/>
        <v>0.10084033613445378</v>
      </c>
      <c r="W35" s="55">
        <f t="shared" si="9"/>
        <v>6.407647058823529</v>
      </c>
      <c r="X35" s="55">
        <v>5</v>
      </c>
      <c r="Y35" s="55" t="s">
        <v>35</v>
      </c>
      <c r="Z35" s="56">
        <f t="shared" si="19"/>
        <v>-0.75</v>
      </c>
      <c r="AA35" s="55">
        <v>0.26866666666666666</v>
      </c>
      <c r="AB35" s="55">
        <f t="shared" si="27"/>
        <v>-71.935500000000005</v>
      </c>
      <c r="AC35" s="55">
        <v>-6.18</v>
      </c>
      <c r="AD35" s="55">
        <v>-17.713675213675213</v>
      </c>
      <c r="AE35" s="55">
        <v>0</v>
      </c>
      <c r="AF35" s="55">
        <v>1.82222222222222</v>
      </c>
    </row>
    <row r="36" spans="1:32" s="57" customFormat="1" ht="15.75" customHeight="1">
      <c r="A36" s="2" t="s">
        <v>98</v>
      </c>
      <c r="B36" s="2" t="s">
        <v>445</v>
      </c>
      <c r="C36" s="51">
        <f t="shared" si="35"/>
        <v>32.587625899280539</v>
      </c>
      <c r="D36" s="51">
        <v>139</v>
      </c>
      <c r="E36" s="51">
        <v>0</v>
      </c>
      <c r="F36" s="51">
        <v>4529.6799999999948</v>
      </c>
      <c r="G36" s="51">
        <v>-101.24</v>
      </c>
      <c r="H36" s="51">
        <f t="shared" si="1"/>
        <v>2.2350364705674596E-2</v>
      </c>
      <c r="I36" s="51">
        <f t="shared" si="2"/>
        <v>7.5886518539751507E-2</v>
      </c>
      <c r="J36" s="51">
        <f t="shared" si="4"/>
        <v>343.74164529914123</v>
      </c>
      <c r="K36" s="51">
        <f t="shared" si="3"/>
        <v>2.4729614769722392</v>
      </c>
      <c r="L36" s="51">
        <v>387</v>
      </c>
      <c r="M36" s="51">
        <f t="shared" si="5"/>
        <v>0.35917312661498707</v>
      </c>
      <c r="N36" s="51">
        <v>1309</v>
      </c>
      <c r="O36" s="51">
        <f t="shared" ref="O36:P36" si="46">D36/7</f>
        <v>19.857142857142858</v>
      </c>
      <c r="P36" s="51">
        <f t="shared" si="46"/>
        <v>0</v>
      </c>
      <c r="Q36" s="51">
        <f t="shared" si="7"/>
        <v>65</v>
      </c>
      <c r="R36" s="55">
        <v>2358</v>
      </c>
      <c r="S36" s="53"/>
      <c r="T36" s="54">
        <v>44064</v>
      </c>
      <c r="U36" s="55"/>
      <c r="V36" s="55">
        <f t="shared" si="8"/>
        <v>0</v>
      </c>
      <c r="W36" s="55">
        <f t="shared" si="9"/>
        <v>0</v>
      </c>
      <c r="X36" s="55"/>
      <c r="Y36" s="55" t="s">
        <v>35</v>
      </c>
      <c r="Z36" s="56">
        <f t="shared" si="19"/>
        <v>-0.75</v>
      </c>
      <c r="AA36" s="55">
        <v>0.26866666666666666</v>
      </c>
      <c r="AB36" s="55">
        <f t="shared" si="27"/>
        <v>-84.025500000000008</v>
      </c>
      <c r="AC36" s="55">
        <v>-6.18</v>
      </c>
      <c r="AD36" s="55">
        <v>-17.713675213675213</v>
      </c>
      <c r="AE36" s="55">
        <v>0</v>
      </c>
      <c r="AF36" s="55">
        <v>1.2683883622098699</v>
      </c>
    </row>
    <row r="37" spans="1:32" s="57" customFormat="1" ht="15.75" customHeight="1">
      <c r="A37" s="2" t="s">
        <v>99</v>
      </c>
      <c r="B37" s="2" t="s">
        <v>446</v>
      </c>
      <c r="C37" s="51">
        <f t="shared" si="35"/>
        <v>31.657307692307583</v>
      </c>
      <c r="D37" s="51">
        <v>208</v>
      </c>
      <c r="E37" s="51">
        <v>0</v>
      </c>
      <c r="F37" s="51">
        <v>6584.7199999999775</v>
      </c>
      <c r="G37" s="51">
        <v>-94.21</v>
      </c>
      <c r="H37" s="51">
        <f t="shared" si="1"/>
        <v>1.4307366144650085E-2</v>
      </c>
      <c r="I37" s="51">
        <f t="shared" si="2"/>
        <v>6.0893637930775728E-2</v>
      </c>
      <c r="J37" s="51">
        <f t="shared" si="4"/>
        <v>400.96755555553619</v>
      </c>
      <c r="K37" s="51">
        <f t="shared" si="3"/>
        <v>1.9277286324785394</v>
      </c>
      <c r="L37" s="51">
        <v>400</v>
      </c>
      <c r="M37" s="51">
        <f t="shared" si="5"/>
        <v>0.52</v>
      </c>
      <c r="N37" s="51">
        <v>1159</v>
      </c>
      <c r="O37" s="51">
        <f t="shared" ref="O37:P37" si="47">D37/7</f>
        <v>29.714285714285715</v>
      </c>
      <c r="P37" s="51">
        <f t="shared" si="47"/>
        <v>0</v>
      </c>
      <c r="Q37" s="51">
        <f t="shared" si="7"/>
        <v>39</v>
      </c>
      <c r="R37" s="55">
        <v>366</v>
      </c>
      <c r="S37" s="53">
        <v>84</v>
      </c>
      <c r="T37" s="54">
        <v>44075</v>
      </c>
      <c r="U37" s="55">
        <v>13</v>
      </c>
      <c r="V37" s="55">
        <f t="shared" si="8"/>
        <v>6.25E-2</v>
      </c>
      <c r="W37" s="55">
        <f t="shared" si="9"/>
        <v>4.7104999999999997</v>
      </c>
      <c r="X37" s="55">
        <v>7</v>
      </c>
      <c r="Y37" s="55" t="s">
        <v>35</v>
      </c>
      <c r="Z37" s="56">
        <f t="shared" si="19"/>
        <v>-0.75</v>
      </c>
      <c r="AA37" s="55">
        <v>0.28194444444444439</v>
      </c>
      <c r="AB37" s="55">
        <f t="shared" si="27"/>
        <v>-131.94999999999999</v>
      </c>
      <c r="AC37" s="55">
        <v>-6.18</v>
      </c>
      <c r="AD37" s="55">
        <v>-17.713675213675213</v>
      </c>
      <c r="AE37" s="55">
        <v>0</v>
      </c>
      <c r="AF37" s="55">
        <v>1.1052347544522301</v>
      </c>
    </row>
    <row r="38" spans="1:32" s="57" customFormat="1" ht="15.75" customHeight="1">
      <c r="A38" s="2" t="s">
        <v>100</v>
      </c>
      <c r="B38" s="2" t="s">
        <v>447</v>
      </c>
      <c r="C38" s="51">
        <f t="shared" si="35"/>
        <v>32.989999999999881</v>
      </c>
      <c r="D38" s="51">
        <v>181</v>
      </c>
      <c r="E38" s="51">
        <v>0</v>
      </c>
      <c r="F38" s="51">
        <v>5971.1899999999787</v>
      </c>
      <c r="G38" s="51">
        <v>-87.239999999999981</v>
      </c>
      <c r="H38" s="51">
        <f t="shared" si="1"/>
        <v>1.4610153085063495E-2</v>
      </c>
      <c r="I38" s="51">
        <f t="shared" si="2"/>
        <v>9.1890295121202017E-2</v>
      </c>
      <c r="J38" s="51">
        <f t="shared" si="4"/>
        <v>548.69441132476834</v>
      </c>
      <c r="K38" s="51">
        <f t="shared" si="3"/>
        <v>3.0314608360484439</v>
      </c>
      <c r="L38" s="51">
        <v>378</v>
      </c>
      <c r="M38" s="51">
        <f t="shared" si="5"/>
        <v>0.47883597883597884</v>
      </c>
      <c r="N38" s="51">
        <v>918</v>
      </c>
      <c r="O38" s="51">
        <f t="shared" ref="O38:P38" si="48">D38/7</f>
        <v>25.857142857142858</v>
      </c>
      <c r="P38" s="51">
        <f t="shared" si="48"/>
        <v>0</v>
      </c>
      <c r="Q38" s="51">
        <f t="shared" si="7"/>
        <v>35</v>
      </c>
      <c r="R38" s="55">
        <v>366</v>
      </c>
      <c r="S38" s="53"/>
      <c r="T38" s="54">
        <v>44075</v>
      </c>
      <c r="U38" s="55">
        <v>12</v>
      </c>
      <c r="V38" s="55">
        <f t="shared" si="8"/>
        <v>6.6298342541436461E-2</v>
      </c>
      <c r="W38" s="55">
        <f t="shared" si="9"/>
        <v>5.8159999999999989</v>
      </c>
      <c r="X38" s="55">
        <v>3</v>
      </c>
      <c r="Y38" s="55" t="s">
        <v>35</v>
      </c>
      <c r="Z38" s="56">
        <f t="shared" si="19"/>
        <v>-0.75</v>
      </c>
      <c r="AA38" s="55">
        <v>0.28194444444444439</v>
      </c>
      <c r="AB38" s="55">
        <f t="shared" si="27"/>
        <v>-114.82187499999998</v>
      </c>
      <c r="AC38" s="55">
        <v>-6.18</v>
      </c>
      <c r="AD38" s="55">
        <v>-17.713675213675213</v>
      </c>
      <c r="AE38" s="55">
        <v>0</v>
      </c>
      <c r="AF38" s="55">
        <v>1.4761321909424701</v>
      </c>
    </row>
    <row r="39" spans="1:32" s="57" customFormat="1" ht="15.75" customHeight="1">
      <c r="A39" s="2" t="s">
        <v>101</v>
      </c>
      <c r="B39" s="2" t="s">
        <v>448</v>
      </c>
      <c r="C39" s="51">
        <f t="shared" si="35"/>
        <v>34.223112582781361</v>
      </c>
      <c r="D39" s="51">
        <v>151</v>
      </c>
      <c r="E39" s="51">
        <v>0</v>
      </c>
      <c r="F39" s="51">
        <v>5167.689999999985</v>
      </c>
      <c r="G39" s="51">
        <v>-46.33</v>
      </c>
      <c r="H39" s="51">
        <f t="shared" si="1"/>
        <v>8.9653210622154447E-3</v>
      </c>
      <c r="I39" s="51">
        <f t="shared" si="2"/>
        <v>0.12432458559531129</v>
      </c>
      <c r="J39" s="51">
        <f>F39*0.85+G39+AD39*D39+D39*AC39+AE40+AB39</f>
        <v>642.47091773503234</v>
      </c>
      <c r="K39" s="51">
        <f t="shared" si="3"/>
        <v>4.2547742896359759</v>
      </c>
      <c r="L39" s="51">
        <v>312</v>
      </c>
      <c r="M39" s="51">
        <f t="shared" si="5"/>
        <v>0.48397435897435898</v>
      </c>
      <c r="N39" s="51">
        <v>884</v>
      </c>
      <c r="O39" s="51">
        <f t="shared" ref="O39:P39" si="49">D39/7</f>
        <v>21.571428571428573</v>
      </c>
      <c r="P39" s="51">
        <f t="shared" si="49"/>
        <v>0</v>
      </c>
      <c r="Q39" s="51">
        <f t="shared" si="7"/>
        <v>40</v>
      </c>
      <c r="R39" s="55">
        <v>282</v>
      </c>
      <c r="S39" s="53">
        <v>282</v>
      </c>
      <c r="T39" s="54">
        <v>44078</v>
      </c>
      <c r="U39" s="55">
        <v>4</v>
      </c>
      <c r="V39" s="55">
        <f t="shared" si="8"/>
        <v>2.6490066225165563E-2</v>
      </c>
      <c r="W39" s="55">
        <f t="shared" si="9"/>
        <v>9.266</v>
      </c>
      <c r="X39" s="55">
        <v>1</v>
      </c>
      <c r="Y39" s="55" t="s">
        <v>35</v>
      </c>
      <c r="Z39" s="56">
        <f t="shared" si="19"/>
        <v>-0.75</v>
      </c>
      <c r="AA39" s="55">
        <v>0.28194444444444439</v>
      </c>
      <c r="AB39" s="55">
        <f t="shared" si="27"/>
        <v>-95.790624999999991</v>
      </c>
      <c r="AC39" s="55">
        <v>-6.18</v>
      </c>
      <c r="AD39" s="55">
        <v>-17.713675213675199</v>
      </c>
      <c r="AE39" s="55">
        <v>0</v>
      </c>
      <c r="AF39" s="55">
        <v>1.4294008973343799</v>
      </c>
    </row>
    <row r="40" spans="1:32" s="57" customFormat="1" ht="15.75" customHeight="1">
      <c r="A40" s="2" t="s">
        <v>102</v>
      </c>
      <c r="B40" s="2" t="s">
        <v>449</v>
      </c>
      <c r="C40" s="51">
        <v>38.569357798165115</v>
      </c>
      <c r="D40" s="51">
        <v>109</v>
      </c>
      <c r="E40" s="51">
        <v>0</v>
      </c>
      <c r="F40" s="51">
        <v>4204.0599999999977</v>
      </c>
      <c r="G40" s="51">
        <v>-52.370000000000005</v>
      </c>
      <c r="H40" s="51">
        <v>1.2457005846729123E-2</v>
      </c>
      <c r="I40" s="51">
        <v>0.20159643932517654</v>
      </c>
      <c r="J40" s="51">
        <v>847.52352670940127</v>
      </c>
      <c r="K40" s="51">
        <v>7.7754451991688187</v>
      </c>
      <c r="L40" s="51">
        <v>262</v>
      </c>
      <c r="M40" s="51">
        <v>0.41603053435114506</v>
      </c>
      <c r="N40" s="51">
        <v>765</v>
      </c>
      <c r="O40" s="51">
        <v>15.571428571428571</v>
      </c>
      <c r="P40" s="51">
        <v>0</v>
      </c>
      <c r="Q40" s="51">
        <v>49</v>
      </c>
      <c r="R40" s="55">
        <v>282</v>
      </c>
      <c r="S40" s="53">
        <v>282</v>
      </c>
      <c r="T40" s="54">
        <v>44078</v>
      </c>
      <c r="U40" s="55">
        <v>8</v>
      </c>
      <c r="V40" s="55">
        <v>7.3394495412844041E-2</v>
      </c>
      <c r="W40" s="55">
        <v>5.2370000000000001</v>
      </c>
      <c r="X40" s="55">
        <v>2</v>
      </c>
      <c r="Y40" s="55" t="s">
        <v>35</v>
      </c>
      <c r="Z40" s="56">
        <v>-0.75</v>
      </c>
      <c r="AA40" s="55">
        <v>0.28194444444444439</v>
      </c>
      <c r="AB40" s="55">
        <v>-69.146874999999994</v>
      </c>
      <c r="AC40" s="55">
        <v>-6.18</v>
      </c>
      <c r="AD40" s="55">
        <v>-17.713675213675199</v>
      </c>
      <c r="AE40" s="55">
        <v>0</v>
      </c>
      <c r="AF40" s="55">
        <v>1.5854545454545399</v>
      </c>
    </row>
    <row r="41" spans="1:32" s="57" customFormat="1" ht="15.75" customHeight="1">
      <c r="A41" s="2" t="s">
        <v>105</v>
      </c>
      <c r="B41" s="2" t="s">
        <v>450</v>
      </c>
      <c r="C41" s="51">
        <f t="shared" ref="C41:C56" si="50">IFERROR(F41/D41," - ")</f>
        <v>38.951709401709387</v>
      </c>
      <c r="D41" s="51">
        <v>117</v>
      </c>
      <c r="E41" s="51">
        <v>0</v>
      </c>
      <c r="F41" s="51">
        <v>4557.3499999999985</v>
      </c>
      <c r="G41" s="51">
        <v>-102.23</v>
      </c>
      <c r="H41" s="51">
        <f t="shared" ref="H41:H56" si="51">G41/F41*-1</f>
        <v>2.2431895728877535E-2</v>
      </c>
      <c r="I41" s="51">
        <f t="shared" ref="I41:I56" si="52">J41/F41</f>
        <v>0.19786402734045022</v>
      </c>
      <c r="J41" s="51">
        <f t="shared" ref="J41:J48" si="53">F41*0.85+G41+AD41*D41+D41*AC41+AE42+AB41</f>
        <v>901.73562500000048</v>
      </c>
      <c r="K41" s="51">
        <f t="shared" ref="K41:K56" si="54">J41/D41</f>
        <v>7.7071420940170983</v>
      </c>
      <c r="L41" s="51">
        <v>282</v>
      </c>
      <c r="M41" s="51">
        <f t="shared" ref="M41:M56" si="55">IFERROR(D41/L41,"-")</f>
        <v>0.41489361702127658</v>
      </c>
      <c r="N41" s="51">
        <v>672</v>
      </c>
      <c r="O41" s="51">
        <f t="shared" ref="O41:P41" si="56">D41/7</f>
        <v>16.714285714285715</v>
      </c>
      <c r="P41" s="51">
        <f t="shared" si="56"/>
        <v>0</v>
      </c>
      <c r="Q41" s="51">
        <f t="shared" ref="Q41:Q56" si="57">ROUNDDOWN(N41/(O41+P41),0)</f>
        <v>40</v>
      </c>
      <c r="R41" s="55">
        <v>282</v>
      </c>
      <c r="S41" s="53">
        <v>282</v>
      </c>
      <c r="T41" s="54">
        <v>44078</v>
      </c>
      <c r="U41" s="55">
        <v>7</v>
      </c>
      <c r="V41" s="55">
        <f t="shared" ref="V41:V56" si="58">IFERROR(U41/D41,0)</f>
        <v>5.9829059829059832E-2</v>
      </c>
      <c r="W41" s="55">
        <f t="shared" ref="W41:W56" si="59">IFERROR(G41/(U41+X41)*-1,0)</f>
        <v>9.2936363636363648</v>
      </c>
      <c r="X41" s="55">
        <v>4</v>
      </c>
      <c r="Y41" s="52" t="s">
        <v>35</v>
      </c>
      <c r="Z41" s="56">
        <f t="shared" ref="Z41:Z43" si="60">IF(OR(Y41="UsLargeStandardSize",Y41="UsSmallStandardSize"),-0.75,-0.48)</f>
        <v>-0.75</v>
      </c>
      <c r="AA41" s="55">
        <v>0.28194444444444439</v>
      </c>
      <c r="AB41" s="55">
        <f t="shared" ref="AB41:AB56" si="61">IFERROR(Z41*AA41*D41*3,0)</f>
        <v>-74.221874999999997</v>
      </c>
      <c r="AC41" s="55">
        <v>-6.18</v>
      </c>
      <c r="AD41" s="55">
        <v>-17.713675213675199</v>
      </c>
      <c r="AE41" s="55">
        <v>0</v>
      </c>
      <c r="AF41" s="55">
        <v>1.4148028591191999</v>
      </c>
    </row>
    <row r="42" spans="1:32" s="57" customFormat="1" ht="15.75" customHeight="1">
      <c r="A42" s="2" t="s">
        <v>106</v>
      </c>
      <c r="B42" s="27" t="s">
        <v>451</v>
      </c>
      <c r="C42" s="51">
        <f t="shared" si="50"/>
        <v>39.821758241758204</v>
      </c>
      <c r="D42" s="51">
        <v>91</v>
      </c>
      <c r="E42" s="51">
        <v>0</v>
      </c>
      <c r="F42" s="51">
        <v>3623.7799999999966</v>
      </c>
      <c r="G42" s="51">
        <v>-85.009999999999991</v>
      </c>
      <c r="H42" s="51">
        <f t="shared" si="51"/>
        <v>2.3458929625970692E-2</v>
      </c>
      <c r="I42" s="51">
        <f t="shared" si="52"/>
        <v>0.21059513286003967</v>
      </c>
      <c r="J42" s="51">
        <f t="shared" si="53"/>
        <v>763.15043055555384</v>
      </c>
      <c r="K42" s="51">
        <f t="shared" si="54"/>
        <v>8.3862684676434487</v>
      </c>
      <c r="L42" s="51">
        <v>253</v>
      </c>
      <c r="M42" s="51">
        <f t="shared" si="55"/>
        <v>0.35968379446640314</v>
      </c>
      <c r="N42" s="51">
        <v>580</v>
      </c>
      <c r="O42" s="51">
        <f t="shared" ref="O42:P42" si="62">D42/7</f>
        <v>13</v>
      </c>
      <c r="P42" s="51">
        <f t="shared" si="62"/>
        <v>0</v>
      </c>
      <c r="Q42" s="51">
        <f t="shared" si="57"/>
        <v>44</v>
      </c>
      <c r="R42" s="55">
        <f ca="1">IFERROR(__xludf.DUMMYFUNCTION("IFERROR(VLOOKUP($B$2,IMPORTRANGE(""https://docs.google.com/spreadsheets/d/1iVgg6Mw12RULLujzHmfOFIY8Q_KaAD8anoZzgtVAQ74/edit#gid=1503384807"",""Second Star - Summary!A1:AD2000""),9,FALSE),"""")"),10129)</f>
        <v>10129</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6</v>
      </c>
      <c r="V42" s="55">
        <f t="shared" si="58"/>
        <v>6.5934065934065936E-2</v>
      </c>
      <c r="W42" s="55">
        <f t="shared" si="59"/>
        <v>7.7281818181818176</v>
      </c>
      <c r="X42" s="55">
        <v>5</v>
      </c>
      <c r="Y42" s="55" t="s">
        <v>35</v>
      </c>
      <c r="Z42" s="56">
        <f t="shared" si="60"/>
        <v>-0.75</v>
      </c>
      <c r="AA42" s="55">
        <v>0.28194444444444439</v>
      </c>
      <c r="AB42" s="55">
        <f t="shared" si="61"/>
        <v>-57.728124999999991</v>
      </c>
      <c r="AC42" s="55">
        <v>-6.18</v>
      </c>
      <c r="AD42" s="55">
        <v>-17.713675213675199</v>
      </c>
      <c r="AE42" s="55">
        <v>0</v>
      </c>
      <c r="AF42" s="55">
        <v>1.61109684048291</v>
      </c>
    </row>
    <row r="43" spans="1:32" s="57" customFormat="1" ht="15.75" customHeight="1">
      <c r="A43" s="2" t="s">
        <v>107</v>
      </c>
      <c r="B43" s="2" t="s">
        <v>452</v>
      </c>
      <c r="C43" s="51">
        <f t="shared" si="50"/>
        <v>36.989999999999895</v>
      </c>
      <c r="D43" s="51">
        <v>111</v>
      </c>
      <c r="E43" s="51">
        <v>0</v>
      </c>
      <c r="F43" s="51">
        <v>4105.8899999999885</v>
      </c>
      <c r="G43" s="51">
        <v>-72.150000000000006</v>
      </c>
      <c r="H43" s="51">
        <f t="shared" si="51"/>
        <v>1.7572316842389885E-2</v>
      </c>
      <c r="I43" s="51">
        <f t="shared" si="52"/>
        <v>0.16932819103338001</v>
      </c>
      <c r="J43" s="51">
        <f t="shared" si="53"/>
        <v>695.24292628204273</v>
      </c>
      <c r="K43" s="51">
        <f t="shared" si="54"/>
        <v>6.2634497863247089</v>
      </c>
      <c r="L43" s="51">
        <v>256</v>
      </c>
      <c r="M43" s="51">
        <f t="shared" si="55"/>
        <v>0.43359375</v>
      </c>
      <c r="N43" s="51">
        <v>930</v>
      </c>
      <c r="O43" s="51">
        <f t="shared" ref="O43:P43" si="63">D43/7</f>
        <v>15.857142857142858</v>
      </c>
      <c r="P43" s="51">
        <f t="shared" si="63"/>
        <v>0</v>
      </c>
      <c r="Q43" s="51">
        <f t="shared" si="57"/>
        <v>58</v>
      </c>
      <c r="R43" s="55">
        <v>0</v>
      </c>
      <c r="S43" s="53" t="s">
        <v>34</v>
      </c>
      <c r="T43" s="54" t="s">
        <v>34</v>
      </c>
      <c r="U43" s="55">
        <v>7</v>
      </c>
      <c r="V43" s="55">
        <f t="shared" si="58"/>
        <v>6.3063063063063057E-2</v>
      </c>
      <c r="W43" s="55">
        <f t="shared" si="59"/>
        <v>10.307142857142859</v>
      </c>
      <c r="X43" s="55">
        <v>0</v>
      </c>
      <c r="Y43" s="55" t="s">
        <v>35</v>
      </c>
      <c r="Z43" s="56">
        <f t="shared" si="60"/>
        <v>-0.75</v>
      </c>
      <c r="AA43" s="55">
        <v>0.28194444444444439</v>
      </c>
      <c r="AB43" s="55">
        <f t="shared" si="61"/>
        <v>-70.415624999999991</v>
      </c>
      <c r="AC43" s="55">
        <v>-6.18</v>
      </c>
      <c r="AD43" s="55">
        <v>-17.713675213675199</v>
      </c>
      <c r="AE43" s="55">
        <v>0</v>
      </c>
      <c r="AF43" s="55">
        <v>1.6055431823805899</v>
      </c>
    </row>
    <row r="44" spans="1:32" s="57" customFormat="1" ht="15.75" customHeight="1">
      <c r="A44" s="2" t="s">
        <v>108</v>
      </c>
      <c r="B44" s="2" t="s">
        <v>453</v>
      </c>
      <c r="C44" s="51">
        <f t="shared" si="50"/>
        <v>36.878749999999876</v>
      </c>
      <c r="D44" s="51">
        <v>160</v>
      </c>
      <c r="E44" s="51">
        <v>0</v>
      </c>
      <c r="F44" s="51">
        <v>5900.5999999999804</v>
      </c>
      <c r="G44" s="51">
        <v>-87.449999999999989</v>
      </c>
      <c r="H44" s="51">
        <f t="shared" si="51"/>
        <v>1.4820526726095698E-2</v>
      </c>
      <c r="I44" s="51">
        <f t="shared" si="52"/>
        <v>0.13223603799816186</v>
      </c>
      <c r="J44" s="51">
        <f t="shared" si="53"/>
        <v>780.2719658119513</v>
      </c>
      <c r="K44" s="51">
        <f t="shared" si="54"/>
        <v>4.8766997863246955</v>
      </c>
      <c r="L44" s="51">
        <v>336</v>
      </c>
      <c r="M44" s="51">
        <f t="shared" si="55"/>
        <v>0.47619047619047616</v>
      </c>
      <c r="N44" s="51">
        <v>762</v>
      </c>
      <c r="O44" s="51">
        <f t="shared" ref="O44:P44" si="64">D44/7</f>
        <v>22.857142857142858</v>
      </c>
      <c r="P44" s="51">
        <f t="shared" si="64"/>
        <v>0</v>
      </c>
      <c r="Q44" s="51">
        <f t="shared" si="57"/>
        <v>33</v>
      </c>
      <c r="R44" s="55">
        <v>0</v>
      </c>
      <c r="S44" s="53" t="s">
        <v>34</v>
      </c>
      <c r="T44" s="54" t="s">
        <v>34</v>
      </c>
      <c r="U44" s="55">
        <v>6</v>
      </c>
      <c r="V44" s="55">
        <f t="shared" si="58"/>
        <v>3.7499999999999999E-2</v>
      </c>
      <c r="W44" s="55">
        <f t="shared" si="59"/>
        <v>9.716666666666665</v>
      </c>
      <c r="X44" s="55">
        <v>3</v>
      </c>
      <c r="Y44" s="55" t="s">
        <v>35</v>
      </c>
      <c r="Z44" s="56">
        <f t="shared" ref="Z44:Z56" si="65">IF(OR(Y44="UsLargeStandardSize",Y44="UsSmallStandardSize"),-2.4,-1.2)</f>
        <v>-2.4</v>
      </c>
      <c r="AA44" s="55">
        <v>0.28194444444444439</v>
      </c>
      <c r="AB44" s="55">
        <f t="shared" si="61"/>
        <v>-324.79999999999995</v>
      </c>
      <c r="AC44" s="55">
        <v>-6.18</v>
      </c>
      <c r="AD44" s="55">
        <v>-17.713675213675199</v>
      </c>
      <c r="AE44" s="55">
        <v>0</v>
      </c>
      <c r="AF44" s="55">
        <v>1.5162918770078</v>
      </c>
    </row>
    <row r="45" spans="1:32" s="57" customFormat="1" ht="15.75" customHeight="1">
      <c r="A45" s="2" t="s">
        <v>109</v>
      </c>
      <c r="B45" s="2" t="s">
        <v>454</v>
      </c>
      <c r="C45" s="51">
        <f t="shared" si="50"/>
        <v>35.989999999999867</v>
      </c>
      <c r="D45" s="51">
        <v>183</v>
      </c>
      <c r="E45" s="51">
        <v>0</v>
      </c>
      <c r="F45" s="51">
        <v>6586.1699999999755</v>
      </c>
      <c r="G45" s="51">
        <v>-49.139999999999993</v>
      </c>
      <c r="H45" s="51">
        <f t="shared" si="51"/>
        <v>7.4610889181421338E-3</v>
      </c>
      <c r="I45" s="51">
        <f t="shared" si="52"/>
        <v>0.122236737876098</v>
      </c>
      <c r="J45" s="51">
        <f t="shared" si="53"/>
        <v>805.07193589741735</v>
      </c>
      <c r="K45" s="51">
        <f t="shared" si="54"/>
        <v>4.399300196160751</v>
      </c>
      <c r="L45" s="51">
        <v>393</v>
      </c>
      <c r="M45" s="51">
        <f t="shared" si="55"/>
        <v>0.46564885496183206</v>
      </c>
      <c r="N45" s="51">
        <v>852</v>
      </c>
      <c r="O45" s="51">
        <f t="shared" ref="O45:P45" si="66">D45/7</f>
        <v>26.142857142857142</v>
      </c>
      <c r="P45" s="51">
        <f t="shared" si="66"/>
        <v>0</v>
      </c>
      <c r="Q45" s="51">
        <f t="shared" si="57"/>
        <v>32</v>
      </c>
      <c r="R45" s="55">
        <v>0</v>
      </c>
      <c r="S45" s="53" t="s">
        <v>34</v>
      </c>
      <c r="T45" s="54" t="s">
        <v>34</v>
      </c>
      <c r="U45" s="55">
        <v>5</v>
      </c>
      <c r="V45" s="55">
        <f t="shared" si="58"/>
        <v>2.7322404371584699E-2</v>
      </c>
      <c r="W45" s="55">
        <f t="shared" si="59"/>
        <v>8.19</v>
      </c>
      <c r="X45" s="55">
        <v>1</v>
      </c>
      <c r="Y45" s="55" t="s">
        <v>35</v>
      </c>
      <c r="Z45" s="56">
        <f t="shared" si="65"/>
        <v>-2.4</v>
      </c>
      <c r="AA45" s="55">
        <v>0.28194444444444439</v>
      </c>
      <c r="AB45" s="55">
        <f t="shared" si="61"/>
        <v>-371.4899999999999</v>
      </c>
      <c r="AC45" s="55">
        <v>-6.18</v>
      </c>
      <c r="AD45" s="55">
        <v>-17.713675213675199</v>
      </c>
      <c r="AE45" s="55">
        <v>0</v>
      </c>
      <c r="AF45" s="55">
        <v>1.55138920262028</v>
      </c>
    </row>
    <row r="46" spans="1:32" s="57" customFormat="1" ht="15.75" customHeight="1">
      <c r="A46" s="2" t="s">
        <v>111</v>
      </c>
      <c r="B46" s="2" t="s">
        <v>455</v>
      </c>
      <c r="C46" s="51">
        <f t="shared" si="50"/>
        <v>36.309277108433612</v>
      </c>
      <c r="D46" s="51">
        <v>166</v>
      </c>
      <c r="E46" s="51">
        <v>0</v>
      </c>
      <c r="F46" s="51">
        <v>6027.3399999999801</v>
      </c>
      <c r="G46" s="51">
        <v>-24.21</v>
      </c>
      <c r="H46" s="51">
        <f t="shared" si="51"/>
        <v>4.0166972495329746E-3</v>
      </c>
      <c r="I46" s="51">
        <f t="shared" si="52"/>
        <v>0.13201493768891465</v>
      </c>
      <c r="J46" s="51">
        <f t="shared" si="53"/>
        <v>795.69891452990021</v>
      </c>
      <c r="K46" s="51">
        <f t="shared" si="54"/>
        <v>4.7933669549993985</v>
      </c>
      <c r="L46" s="51">
        <v>426</v>
      </c>
      <c r="M46" s="51">
        <f t="shared" si="55"/>
        <v>0.38967136150234744</v>
      </c>
      <c r="N46" s="51">
        <v>665</v>
      </c>
      <c r="O46" s="51">
        <f t="shared" ref="O46:P46" si="67">D46/7</f>
        <v>23.714285714285715</v>
      </c>
      <c r="P46" s="51">
        <f t="shared" si="67"/>
        <v>0</v>
      </c>
      <c r="Q46" s="51">
        <f t="shared" si="57"/>
        <v>28</v>
      </c>
      <c r="R46" s="55">
        <v>0</v>
      </c>
      <c r="S46" s="53" t="s">
        <v>34</v>
      </c>
      <c r="T46" s="54" t="s">
        <v>34</v>
      </c>
      <c r="U46" s="55">
        <v>2</v>
      </c>
      <c r="V46" s="55">
        <f t="shared" si="58"/>
        <v>1.2048192771084338E-2</v>
      </c>
      <c r="W46" s="55">
        <f t="shared" si="59"/>
        <v>12.105</v>
      </c>
      <c r="X46" s="55">
        <v>0</v>
      </c>
      <c r="Y46" s="55" t="s">
        <v>35</v>
      </c>
      <c r="Z46" s="56">
        <f t="shared" si="65"/>
        <v>-2.4</v>
      </c>
      <c r="AA46" s="55">
        <v>0.28194444444444439</v>
      </c>
      <c r="AB46" s="55">
        <f t="shared" si="61"/>
        <v>-336.9799999999999</v>
      </c>
      <c r="AC46" s="55">
        <v>-6.18</v>
      </c>
      <c r="AD46" s="55">
        <v>-17.713675213675199</v>
      </c>
      <c r="AE46" s="55">
        <v>0</v>
      </c>
      <c r="AF46" s="55">
        <v>1.9449444150344</v>
      </c>
    </row>
    <row r="47" spans="1:32" s="57" customFormat="1" ht="15.75" customHeight="1">
      <c r="A47" s="2" t="s">
        <v>113</v>
      </c>
      <c r="B47" s="2" t="s">
        <v>456</v>
      </c>
      <c r="C47" s="51">
        <f t="shared" si="50"/>
        <v>36.798341968911771</v>
      </c>
      <c r="D47" s="51">
        <v>193</v>
      </c>
      <c r="E47" s="51">
        <v>0</v>
      </c>
      <c r="F47" s="51">
        <v>7102.0799999999717</v>
      </c>
      <c r="G47" s="51">
        <v>-29.680000000000003</v>
      </c>
      <c r="H47" s="51">
        <f t="shared" si="51"/>
        <v>4.1790574029017024E-3</v>
      </c>
      <c r="I47" s="51">
        <f t="shared" si="52"/>
        <v>0.14134150611661175</v>
      </c>
      <c r="J47" s="51">
        <f t="shared" si="53"/>
        <v>1003.818683760662</v>
      </c>
      <c r="K47" s="51">
        <f t="shared" si="54"/>
        <v>5.2011330764801142</v>
      </c>
      <c r="L47" s="51">
        <v>379</v>
      </c>
      <c r="M47" s="51">
        <f t="shared" si="55"/>
        <v>0.50923482849604218</v>
      </c>
      <c r="N47" s="51">
        <v>506</v>
      </c>
      <c r="O47" s="51">
        <f t="shared" ref="O47:P47" si="68">D47/7</f>
        <v>27.571428571428573</v>
      </c>
      <c r="P47" s="51">
        <f t="shared" si="68"/>
        <v>0</v>
      </c>
      <c r="Q47" s="51">
        <f t="shared" si="57"/>
        <v>18</v>
      </c>
      <c r="R47" s="55">
        <v>0</v>
      </c>
      <c r="S47" s="53" t="s">
        <v>34</v>
      </c>
      <c r="T47" s="54" t="s">
        <v>34</v>
      </c>
      <c r="U47" s="55">
        <v>3</v>
      </c>
      <c r="V47" s="55">
        <f t="shared" si="58"/>
        <v>1.5544041450777202E-2</v>
      </c>
      <c r="W47" s="55">
        <f t="shared" si="59"/>
        <v>7.4200000000000008</v>
      </c>
      <c r="X47" s="55">
        <v>1</v>
      </c>
      <c r="Y47" s="55" t="s">
        <v>35</v>
      </c>
      <c r="Z47" s="56">
        <f t="shared" si="65"/>
        <v>-2.4</v>
      </c>
      <c r="AA47" s="55">
        <v>0.28194444444444439</v>
      </c>
      <c r="AB47" s="55">
        <f t="shared" si="61"/>
        <v>-391.78999999999991</v>
      </c>
      <c r="AC47" s="55">
        <v>-6.18</v>
      </c>
      <c r="AD47" s="55">
        <v>-17.713675213675199</v>
      </c>
      <c r="AE47" s="55">
        <v>0</v>
      </c>
      <c r="AF47" s="55">
        <v>2.0472524555348999</v>
      </c>
    </row>
    <row r="48" spans="1:32" s="57" customFormat="1" ht="15.75" customHeight="1">
      <c r="A48" s="2" t="s">
        <v>115</v>
      </c>
      <c r="B48" s="2" t="s">
        <v>457</v>
      </c>
      <c r="C48" s="51">
        <f t="shared" si="50"/>
        <v>37.122013888888773</v>
      </c>
      <c r="D48" s="51">
        <v>144</v>
      </c>
      <c r="E48" s="51">
        <v>0</v>
      </c>
      <c r="F48" s="51">
        <v>5345.5699999999833</v>
      </c>
      <c r="G48" s="51">
        <v>-24.5</v>
      </c>
      <c r="H48" s="51">
        <f t="shared" si="51"/>
        <v>4.58323434170726E-3</v>
      </c>
      <c r="I48" s="51">
        <f t="shared" si="52"/>
        <v>0.14707978180638542</v>
      </c>
      <c r="J48" s="51">
        <f t="shared" si="53"/>
        <v>786.22526923075725</v>
      </c>
      <c r="K48" s="51">
        <f t="shared" si="54"/>
        <v>5.4598977029913698</v>
      </c>
      <c r="L48" s="51">
        <v>329</v>
      </c>
      <c r="M48" s="51">
        <f t="shared" si="55"/>
        <v>0.43768996960486323</v>
      </c>
      <c r="N48" s="51">
        <v>420</v>
      </c>
      <c r="O48" s="51">
        <f t="shared" ref="O48:P48" si="69">D48/7</f>
        <v>20.571428571428573</v>
      </c>
      <c r="P48" s="51">
        <f t="shared" si="69"/>
        <v>0</v>
      </c>
      <c r="Q48" s="51">
        <f t="shared" si="57"/>
        <v>20</v>
      </c>
      <c r="R48" s="55">
        <f ca="1">IFERROR(__xludf.DUMMYFUNCTION("IFERROR(VLOOKUP($B$2,IMPORTRANGE(""https://docs.google.com/spreadsheets/d/1iVgg6Mw12RULLujzHmfOFIY8Q_KaAD8anoZzgtVAQ74/edit#gid=1503384807"",""Second Star - Summary!A1:AD2000""),9,FALSE),"""")"),10129)</f>
        <v>10129</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4</v>
      </c>
      <c r="V48" s="55">
        <f t="shared" si="58"/>
        <v>2.7777777777777776E-2</v>
      </c>
      <c r="W48" s="55">
        <f t="shared" si="59"/>
        <v>4.083333333333333</v>
      </c>
      <c r="X48" s="55">
        <v>2</v>
      </c>
      <c r="Y48" s="55" t="s">
        <v>35</v>
      </c>
      <c r="Z48" s="56">
        <f t="shared" si="65"/>
        <v>-2.4</v>
      </c>
      <c r="AA48" s="55">
        <v>0.28194444444444439</v>
      </c>
      <c r="AB48" s="55">
        <f t="shared" si="61"/>
        <v>-292.31999999999994</v>
      </c>
      <c r="AC48" s="55">
        <v>-6.18</v>
      </c>
      <c r="AD48" s="55">
        <v>-17.713675213675199</v>
      </c>
      <c r="AE48" s="55">
        <v>0</v>
      </c>
      <c r="AF48" s="55">
        <v>2.1969439728353102</v>
      </c>
    </row>
    <row r="49" spans="1:32" s="57" customFormat="1" ht="15.75" customHeight="1">
      <c r="A49" s="2" t="s">
        <v>117</v>
      </c>
      <c r="B49" s="2" t="s">
        <v>458</v>
      </c>
      <c r="C49" s="51">
        <f t="shared" si="50"/>
        <v>38.743275862068863</v>
      </c>
      <c r="D49" s="51">
        <v>116</v>
      </c>
      <c r="E49" s="51">
        <v>0</v>
      </c>
      <c r="F49" s="51">
        <v>4494.2199999999884</v>
      </c>
      <c r="G49" s="51">
        <v>-8.57</v>
      </c>
      <c r="H49" s="51">
        <f t="shared" si="51"/>
        <v>1.9068937435194589E-3</v>
      </c>
      <c r="I49" s="51">
        <f t="shared" si="52"/>
        <v>0.17739800793322724</v>
      </c>
      <c r="J49" s="51">
        <f t="shared" ref="J49:J56" si="70">F49*0.85+G49+AD49*D49+D49*AC49+AE49+AB49</f>
        <v>797.26567521366644</v>
      </c>
      <c r="K49" s="51">
        <f t="shared" si="54"/>
        <v>6.8729799587385036</v>
      </c>
      <c r="L49" s="51">
        <v>270</v>
      </c>
      <c r="M49" s="51">
        <f t="shared" si="55"/>
        <v>0.42962962962962964</v>
      </c>
      <c r="N49" s="51">
        <v>299</v>
      </c>
      <c r="O49" s="51">
        <f t="shared" ref="O49:P49" si="71">D49/7</f>
        <v>16.571428571428573</v>
      </c>
      <c r="P49" s="51">
        <f t="shared" si="71"/>
        <v>0</v>
      </c>
      <c r="Q49" s="51">
        <f t="shared" si="57"/>
        <v>18</v>
      </c>
      <c r="R49" s="55">
        <f ca="1">IFERROR(__xludf.DUMMYFUNCTION("IFERROR(VLOOKUP($B$2,IMPORTRANGE(""https://docs.google.com/spreadsheets/d/1iVgg6Mw12RULLujzHmfOFIY8Q_KaAD8anoZzgtVAQ74/edit#gid=1503384807"",""Second Star - Summary!A1:AD2000""),9,FALSE),"""")"),10129)</f>
        <v>10129</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2</v>
      </c>
      <c r="V49" s="55">
        <f t="shared" si="58"/>
        <v>1.7241379310344827E-2</v>
      </c>
      <c r="W49" s="55">
        <f t="shared" si="59"/>
        <v>4.2850000000000001</v>
      </c>
      <c r="X49" s="55">
        <v>0</v>
      </c>
      <c r="Y49" s="55" t="s">
        <v>35</v>
      </c>
      <c r="Z49" s="56">
        <f t="shared" si="65"/>
        <v>-2.4</v>
      </c>
      <c r="AA49" s="55">
        <v>0.28194444444444439</v>
      </c>
      <c r="AB49" s="55">
        <f t="shared" si="61"/>
        <v>-235.47999999999993</v>
      </c>
      <c r="AC49" s="55">
        <v>-6.18</v>
      </c>
      <c r="AD49" s="55">
        <v>-17.7749252136752</v>
      </c>
      <c r="AE49" s="55">
        <v>0</v>
      </c>
      <c r="AF49" s="55">
        <v>2.3712871287128698</v>
      </c>
    </row>
    <row r="50" spans="1:32" s="57" customFormat="1" ht="15.75" customHeight="1">
      <c r="A50" s="2" t="s">
        <v>119</v>
      </c>
      <c r="B50" s="2" t="s">
        <v>459</v>
      </c>
      <c r="C50" s="51">
        <f t="shared" si="50"/>
        <v>35.416532663316445</v>
      </c>
      <c r="D50" s="51">
        <v>199</v>
      </c>
      <c r="E50" s="51">
        <v>0</v>
      </c>
      <c r="F50" s="51">
        <v>7047.889999999973</v>
      </c>
      <c r="G50" s="51">
        <v>-16.490000000000002</v>
      </c>
      <c r="H50" s="51">
        <f t="shared" si="51"/>
        <v>2.33970734503519E-3</v>
      </c>
      <c r="I50" s="51">
        <f t="shared" si="52"/>
        <v>0.11396551059659207</v>
      </c>
      <c r="J50" s="51">
        <f t="shared" si="70"/>
        <v>803.21638247861222</v>
      </c>
      <c r="K50" s="51">
        <f t="shared" si="54"/>
        <v>4.0362632285357396</v>
      </c>
      <c r="L50" s="51">
        <v>368</v>
      </c>
      <c r="M50" s="51">
        <f t="shared" si="55"/>
        <v>0.54076086956521741</v>
      </c>
      <c r="N50" s="51">
        <v>80</v>
      </c>
      <c r="O50" s="51">
        <f t="shared" ref="O50:P50" si="72">D50/7</f>
        <v>28.428571428571427</v>
      </c>
      <c r="P50" s="51">
        <f t="shared" si="72"/>
        <v>0</v>
      </c>
      <c r="Q50" s="51">
        <f t="shared" si="57"/>
        <v>2</v>
      </c>
      <c r="R50" s="55">
        <f ca="1">IFERROR(__xludf.DUMMYFUNCTION("IFERROR(VLOOKUP($B$2,IMPORTRANGE(""https://docs.google.com/spreadsheets/d/1iVgg6Mw12RULLujzHmfOFIY8Q_KaAD8anoZzgtVAQ74/edit#gid=1503384807"",""Second Star - Summary!A1:AD2000""),9,FALSE),"""")"),10129)</f>
        <v>10129</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3</v>
      </c>
      <c r="V50" s="55">
        <f t="shared" si="58"/>
        <v>1.507537688442211E-2</v>
      </c>
      <c r="W50" s="55">
        <f t="shared" si="59"/>
        <v>3.2980000000000005</v>
      </c>
      <c r="X50" s="55">
        <v>2</v>
      </c>
      <c r="Y50" s="55" t="s">
        <v>35</v>
      </c>
      <c r="Z50" s="56">
        <f t="shared" si="65"/>
        <v>-2.4</v>
      </c>
      <c r="AA50" s="55">
        <v>0.28194444444444439</v>
      </c>
      <c r="AB50" s="55">
        <f t="shared" si="61"/>
        <v>-403.96999999999991</v>
      </c>
      <c r="AC50" s="55">
        <v>-6.18</v>
      </c>
      <c r="AD50" s="55">
        <v>-17.7749252136752</v>
      </c>
      <c r="AE50" s="55">
        <v>0</v>
      </c>
      <c r="AF50" s="55">
        <v>2.47850344601247</v>
      </c>
    </row>
    <row r="51" spans="1:32" s="57" customFormat="1" ht="15.75" customHeight="1">
      <c r="A51" s="2" t="s">
        <v>121</v>
      </c>
      <c r="B51" s="2" t="s">
        <v>460</v>
      </c>
      <c r="C51" s="51">
        <f t="shared" si="50"/>
        <v>30.990000000000006</v>
      </c>
      <c r="D51" s="51">
        <v>67</v>
      </c>
      <c r="E51" s="51">
        <v>0</v>
      </c>
      <c r="F51" s="51">
        <v>2076.3300000000004</v>
      </c>
      <c r="G51" s="51">
        <v>0</v>
      </c>
      <c r="H51" s="51">
        <f t="shared" si="51"/>
        <v>0</v>
      </c>
      <c r="I51" s="51">
        <f t="shared" si="52"/>
        <v>1.1506124115030785E-2</v>
      </c>
      <c r="J51" s="51">
        <f t="shared" si="70"/>
        <v>23.890510683761875</v>
      </c>
      <c r="K51" s="51">
        <f t="shared" si="54"/>
        <v>0.3565747863248041</v>
      </c>
      <c r="L51" s="51">
        <v>205</v>
      </c>
      <c r="M51" s="51">
        <f t="shared" si="55"/>
        <v>0.32682926829268294</v>
      </c>
      <c r="N51" s="51">
        <v>12</v>
      </c>
      <c r="O51" s="51">
        <f t="shared" ref="O51:P51" si="73">D51/7</f>
        <v>9.5714285714285712</v>
      </c>
      <c r="P51" s="51">
        <f t="shared" si="73"/>
        <v>0</v>
      </c>
      <c r="Q51" s="51">
        <f t="shared" si="57"/>
        <v>1</v>
      </c>
      <c r="R51" s="55">
        <f ca="1">IFERROR(__xludf.DUMMYFUNCTION("IFERROR(VLOOKUP($B$2,IMPORTRANGE(""https://docs.google.com/spreadsheets/d/1iVgg6Mw12RULLujzHmfOFIY8Q_KaAD8anoZzgtVAQ74/edit#gid=1503384807"",""Second Star - Summary!A1:AD2000""),9,FALSE),"""")"),10129)</f>
        <v>10129</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2</v>
      </c>
      <c r="V51" s="55">
        <f t="shared" si="58"/>
        <v>2.9850746268656716E-2</v>
      </c>
      <c r="W51" s="55">
        <f t="shared" si="59"/>
        <v>0</v>
      </c>
      <c r="X51" s="55">
        <v>0</v>
      </c>
      <c r="Y51" s="55" t="s">
        <v>35</v>
      </c>
      <c r="Z51" s="56">
        <f t="shared" si="65"/>
        <v>-2.4</v>
      </c>
      <c r="AA51" s="55">
        <v>0.28194444444444439</v>
      </c>
      <c r="AB51" s="55">
        <f t="shared" si="61"/>
        <v>-136.01</v>
      </c>
      <c r="AC51" s="55">
        <v>-6.18</v>
      </c>
      <c r="AD51" s="55">
        <v>-17.7749252136752</v>
      </c>
      <c r="AE51" s="55">
        <v>0</v>
      </c>
      <c r="AF51" s="55">
        <v>3.0687655343827598</v>
      </c>
    </row>
    <row r="52" spans="1:32" s="57" customFormat="1" ht="15.75" customHeight="1">
      <c r="A52" s="2" t="s">
        <v>123</v>
      </c>
      <c r="B52" s="2" t="s">
        <v>461</v>
      </c>
      <c r="C52" s="51">
        <f t="shared" si="50"/>
        <v>30.990000000000006</v>
      </c>
      <c r="D52" s="51">
        <v>51</v>
      </c>
      <c r="E52" s="51">
        <v>0</v>
      </c>
      <c r="F52" s="51">
        <v>1580.4900000000002</v>
      </c>
      <c r="G52" s="51">
        <v>-34.299999999999997</v>
      </c>
      <c r="H52" s="51">
        <f t="shared" si="51"/>
        <v>2.1702130351979446E-2</v>
      </c>
      <c r="I52" s="51">
        <f t="shared" si="52"/>
        <v>-1.0196006236948583E-2</v>
      </c>
      <c r="J52" s="51">
        <f t="shared" si="70"/>
        <v>-16.114685897434867</v>
      </c>
      <c r="K52" s="51">
        <f t="shared" si="54"/>
        <v>-0.31597423328303664</v>
      </c>
      <c r="L52" s="51">
        <v>119</v>
      </c>
      <c r="M52" s="51">
        <f t="shared" si="55"/>
        <v>0.42857142857142855</v>
      </c>
      <c r="N52" s="51">
        <v>995</v>
      </c>
      <c r="O52" s="51">
        <f t="shared" ref="O52:P52" si="74">D52/7</f>
        <v>7.2857142857142856</v>
      </c>
      <c r="P52" s="51">
        <f t="shared" si="74"/>
        <v>0</v>
      </c>
      <c r="Q52" s="51">
        <f t="shared" si="57"/>
        <v>136</v>
      </c>
      <c r="R52" s="55">
        <f ca="1">IFERROR(__xludf.DUMMYFUNCTION("IFERROR(VLOOKUP($B$2,IMPORTRANGE(""https://docs.google.com/spreadsheets/d/1iVgg6Mw12RULLujzHmfOFIY8Q_KaAD8anoZzgtVAQ74/edit#gid=1503384807"",""Second Star - Summary!A1:AD2000""),9,FALSE),"""")"),10129)</f>
        <v>10129</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58"/>
        <v>0</v>
      </c>
      <c r="W52" s="55">
        <f t="shared" si="59"/>
        <v>34.299999999999997</v>
      </c>
      <c r="X52" s="55">
        <v>1</v>
      </c>
      <c r="Y52" s="55" t="s">
        <v>35</v>
      </c>
      <c r="Z52" s="56">
        <f t="shared" si="65"/>
        <v>-2.4</v>
      </c>
      <c r="AA52" s="55">
        <v>0.28194444444444439</v>
      </c>
      <c r="AB52" s="55">
        <f t="shared" si="61"/>
        <v>-103.52999999999997</v>
      </c>
      <c r="AC52" s="55">
        <v>-6.18</v>
      </c>
      <c r="AD52" s="55">
        <v>-17.7749252136752</v>
      </c>
      <c r="AE52" s="55">
        <v>0</v>
      </c>
      <c r="AF52" s="55">
        <v>1.9253937551809801</v>
      </c>
    </row>
    <row r="53" spans="1:32" s="57" customFormat="1">
      <c r="A53" s="2" t="s">
        <v>38</v>
      </c>
      <c r="B53" s="2" t="s">
        <v>462</v>
      </c>
      <c r="C53" s="51">
        <f t="shared" si="50"/>
        <v>31.403793103448194</v>
      </c>
      <c r="D53" s="51">
        <v>116</v>
      </c>
      <c r="E53" s="51">
        <v>0</v>
      </c>
      <c r="F53" s="51">
        <v>3642.8399999999906</v>
      </c>
      <c r="G53" s="51">
        <v>-42.41</v>
      </c>
      <c r="H53" s="51">
        <f t="shared" si="51"/>
        <v>1.1642015570269379E-2</v>
      </c>
      <c r="I53" s="51">
        <f t="shared" si="52"/>
        <v>1.0912550431440574E-2</v>
      </c>
      <c r="J53" s="51">
        <f t="shared" si="70"/>
        <v>39.75267521366888</v>
      </c>
      <c r="K53" s="51">
        <f t="shared" si="54"/>
        <v>0.34269547597990413</v>
      </c>
      <c r="L53" s="51">
        <v>251</v>
      </c>
      <c r="M53" s="51">
        <f t="shared" si="55"/>
        <v>0.46215139442231074</v>
      </c>
      <c r="N53" s="51">
        <v>844</v>
      </c>
      <c r="O53" s="51">
        <f t="shared" ref="O53:P53" si="75">D53/7</f>
        <v>16.571428571428573</v>
      </c>
      <c r="P53" s="51">
        <f t="shared" si="75"/>
        <v>0</v>
      </c>
      <c r="Q53" s="51">
        <f t="shared" si="57"/>
        <v>50</v>
      </c>
      <c r="R53" s="55">
        <f ca="1">IFERROR(__xludf.DUMMYFUNCTION("IFERROR(VLOOKUP($B$2,IMPORTRANGE(""https://docs.google.com/spreadsheets/d/1iVgg6Mw12RULLujzHmfOFIY8Q_KaAD8anoZzgtVAQ74/edit#gid=1503384807"",""Second Star - Summary!A1:AD2000""),9,FALSE),"""")"),10129)</f>
        <v>10129</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1</v>
      </c>
      <c r="V53" s="55">
        <f t="shared" si="58"/>
        <v>8.6206896551724137E-3</v>
      </c>
      <c r="W53" s="55">
        <f t="shared" si="59"/>
        <v>14.136666666666665</v>
      </c>
      <c r="X53" s="55">
        <v>2</v>
      </c>
      <c r="Y53" s="55" t="s">
        <v>35</v>
      </c>
      <c r="Z53" s="56">
        <f t="shared" si="65"/>
        <v>-2.4</v>
      </c>
      <c r="AA53" s="55">
        <v>0.28194444444444439</v>
      </c>
      <c r="AB53" s="55">
        <f t="shared" si="61"/>
        <v>-235.47999999999993</v>
      </c>
      <c r="AC53" s="55">
        <v>-6.18</v>
      </c>
      <c r="AD53" s="55">
        <v>-17.7749252136752</v>
      </c>
      <c r="AE53" s="55">
        <v>0</v>
      </c>
      <c r="AF53" s="55">
        <v>2.3467554076539101</v>
      </c>
    </row>
    <row r="54" spans="1:32" s="57" customFormat="1">
      <c r="A54" s="2" t="s">
        <v>40</v>
      </c>
      <c r="B54" s="2" t="s">
        <v>463</v>
      </c>
      <c r="C54" s="51">
        <f t="shared" si="50"/>
        <v>35.101111111111031</v>
      </c>
      <c r="D54" s="51">
        <v>108</v>
      </c>
      <c r="E54" s="51">
        <v>0</v>
      </c>
      <c r="F54" s="51">
        <v>3790.9199999999914</v>
      </c>
      <c r="G54" s="51">
        <v>-32.25</v>
      </c>
      <c r="H54" s="51">
        <f t="shared" si="51"/>
        <v>8.5071697635402677E-3</v>
      </c>
      <c r="I54" s="51">
        <f t="shared" si="52"/>
        <v>0.10120500483341033</v>
      </c>
      <c r="J54" s="51">
        <f t="shared" si="70"/>
        <v>383.66007692307102</v>
      </c>
      <c r="K54" s="51">
        <f t="shared" si="54"/>
        <v>3.552408119658065</v>
      </c>
      <c r="L54" s="51">
        <v>252</v>
      </c>
      <c r="M54" s="51">
        <f t="shared" si="55"/>
        <v>0.42857142857142855</v>
      </c>
      <c r="N54" s="51">
        <v>691</v>
      </c>
      <c r="O54" s="51">
        <f t="shared" ref="O54:P54" si="76">D54/7</f>
        <v>15.428571428571429</v>
      </c>
      <c r="P54" s="51">
        <f t="shared" si="76"/>
        <v>0</v>
      </c>
      <c r="Q54" s="51">
        <f t="shared" si="57"/>
        <v>44</v>
      </c>
      <c r="R54" s="55">
        <f ca="1">IFERROR(__xludf.DUMMYFUNCTION("IFERROR(VLOOKUP($B$2,IMPORTRANGE(""https://docs.google.com/spreadsheets/d/1iVgg6Mw12RULLujzHmfOFIY8Q_KaAD8anoZzgtVAQ74/edit#gid=1503384807"",""Second Star - Summary!A1:AD2000""),9,FALSE),"""")"),10129)</f>
        <v>10129</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58"/>
        <v>0</v>
      </c>
      <c r="W54" s="55">
        <f t="shared" si="59"/>
        <v>0</v>
      </c>
      <c r="X54" s="55">
        <v>0</v>
      </c>
      <c r="Y54" s="55" t="s">
        <v>35</v>
      </c>
      <c r="Z54" s="56">
        <f t="shared" si="65"/>
        <v>-2.4</v>
      </c>
      <c r="AA54" s="55">
        <v>0.28194444444444439</v>
      </c>
      <c r="AB54" s="55">
        <f t="shared" si="61"/>
        <v>-219.23999999999995</v>
      </c>
      <c r="AC54" s="55">
        <v>-6.18</v>
      </c>
      <c r="AD54" s="55">
        <v>-17.7749252136752</v>
      </c>
      <c r="AE54" s="55">
        <v>0</v>
      </c>
      <c r="AF54" s="55">
        <v>2.7708006279434798</v>
      </c>
    </row>
    <row r="55" spans="1:32" s="57" customFormat="1" ht="15.75" customHeight="1">
      <c r="A55" s="2" t="s">
        <v>32</v>
      </c>
      <c r="B55" s="2" t="s">
        <v>464</v>
      </c>
      <c r="C55" s="51">
        <f t="shared" si="50"/>
        <v>34.814170854271239</v>
      </c>
      <c r="D55" s="51">
        <v>199</v>
      </c>
      <c r="E55" s="51">
        <v>0</v>
      </c>
      <c r="F55" s="51">
        <v>6928.0199999999768</v>
      </c>
      <c r="G55" s="51">
        <v>-24.659999999999997</v>
      </c>
      <c r="H55" s="51">
        <f t="shared" si="51"/>
        <v>3.5594585465977407E-3</v>
      </c>
      <c r="I55" s="51">
        <f t="shared" si="52"/>
        <v>0.10005122422836797</v>
      </c>
      <c r="J55" s="51">
        <f t="shared" si="70"/>
        <v>693.15688247861556</v>
      </c>
      <c r="K55" s="51">
        <f t="shared" si="54"/>
        <v>3.4832004144654047</v>
      </c>
      <c r="L55" s="51">
        <v>287</v>
      </c>
      <c r="M55" s="51">
        <f t="shared" si="55"/>
        <v>0.69337979094076652</v>
      </c>
      <c r="N55" s="51">
        <v>572</v>
      </c>
      <c r="O55" s="51">
        <f t="shared" ref="O55:P55" si="77">D55/7</f>
        <v>28.428571428571427</v>
      </c>
      <c r="P55" s="51">
        <f t="shared" si="77"/>
        <v>0</v>
      </c>
      <c r="Q55" s="51">
        <f t="shared" si="57"/>
        <v>20</v>
      </c>
      <c r="R55" s="55">
        <v>102</v>
      </c>
      <c r="S55" s="53">
        <v>102</v>
      </c>
      <c r="T55" s="54">
        <v>44211</v>
      </c>
      <c r="U55" s="55">
        <v>3</v>
      </c>
      <c r="V55" s="55">
        <f t="shared" si="58"/>
        <v>1.507537688442211E-2</v>
      </c>
      <c r="W55" s="55">
        <f t="shared" si="59"/>
        <v>8.2199999999999989</v>
      </c>
      <c r="X55" s="55">
        <v>0</v>
      </c>
      <c r="Y55" s="55" t="s">
        <v>35</v>
      </c>
      <c r="Z55" s="56">
        <f t="shared" si="65"/>
        <v>-2.4</v>
      </c>
      <c r="AA55" s="55">
        <v>0.28194444444444439</v>
      </c>
      <c r="AB55" s="55">
        <f t="shared" si="61"/>
        <v>-403.96999999999991</v>
      </c>
      <c r="AC55" s="55">
        <v>-6.18</v>
      </c>
      <c r="AD55" s="55">
        <v>-17.7749252136752</v>
      </c>
      <c r="AE55" s="55">
        <v>0</v>
      </c>
      <c r="AF55" s="55">
        <v>4.02139037433155</v>
      </c>
    </row>
    <row r="56" spans="1:32" s="57" customFormat="1" ht="15.75" customHeight="1">
      <c r="A56" s="2" t="s">
        <v>36</v>
      </c>
      <c r="B56" s="2"/>
      <c r="C56" s="51">
        <f t="shared" si="50"/>
        <v>36.250115606936276</v>
      </c>
      <c r="D56" s="51">
        <v>173</v>
      </c>
      <c r="E56" s="51">
        <v>0</v>
      </c>
      <c r="F56" s="51">
        <v>6271.2699999999759</v>
      </c>
      <c r="G56" s="51">
        <v>-29.810000000000006</v>
      </c>
      <c r="H56" s="51">
        <f t="shared" si="51"/>
        <v>4.7534231503347998E-3</v>
      </c>
      <c r="I56" s="51">
        <f t="shared" si="52"/>
        <v>0.1284233397755434</v>
      </c>
      <c r="J56" s="51">
        <f t="shared" si="70"/>
        <v>805.3774380341689</v>
      </c>
      <c r="K56" s="51">
        <f t="shared" si="54"/>
        <v>4.6553609134923057</v>
      </c>
      <c r="L56" s="51">
        <v>351</v>
      </c>
      <c r="M56" s="51">
        <f t="shared" si="55"/>
        <v>0.49287749287749288</v>
      </c>
      <c r="N56" s="51">
        <v>380</v>
      </c>
      <c r="O56" s="51">
        <f t="shared" ref="O56:P56" si="78">D56/7</f>
        <v>24.714285714285715</v>
      </c>
      <c r="P56" s="51">
        <f t="shared" si="78"/>
        <v>0</v>
      </c>
      <c r="Q56" s="51">
        <f t="shared" si="57"/>
        <v>15</v>
      </c>
      <c r="R56" s="55">
        <f ca="1">IFERROR(__xludf.DUMMYFUNCTION("IFERROR(VLOOKUP($B$2,IMPORTRANGE(""https://docs.google.com/spreadsheets/d/1iVgg6Mw12RULLujzHmfOFIY8Q_KaAD8anoZzgtVAQ74/edit#gid=1503384807"",""Second Star - Summary!A1:AD2000""),9,FALSE),"""")"),10129)</f>
        <v>10129</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4</v>
      </c>
      <c r="V56" s="55">
        <f t="shared" si="58"/>
        <v>2.3121387283236993E-2</v>
      </c>
      <c r="W56" s="55">
        <f t="shared" si="59"/>
        <v>4.9683333333333346</v>
      </c>
      <c r="X56" s="55">
        <v>2</v>
      </c>
      <c r="Y56" s="55" t="s">
        <v>35</v>
      </c>
      <c r="Z56" s="56">
        <f t="shared" si="65"/>
        <v>-2.4</v>
      </c>
      <c r="AA56" s="55">
        <v>0.28194444444444439</v>
      </c>
      <c r="AB56" s="55">
        <f t="shared" si="61"/>
        <v>-351.18999999999994</v>
      </c>
      <c r="AC56" s="55">
        <v>-6.18</v>
      </c>
      <c r="AD56" s="55">
        <v>-17.7749252136752</v>
      </c>
      <c r="AE56" s="55">
        <v>0</v>
      </c>
      <c r="AF56" s="55">
        <v>2.6676016830294502</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E183" s="2"/>
      <c r="P183" s="2"/>
      <c r="AF183" s="23"/>
    </row>
    <row r="184" spans="1:32" ht="15.75" customHeight="1">
      <c r="E184" s="2"/>
      <c r="P184" s="2"/>
      <c r="AF184" s="23"/>
    </row>
    <row r="185" spans="1:32" ht="15.75" customHeight="1">
      <c r="E185" s="2"/>
      <c r="P185" s="2"/>
      <c r="AF185" s="23"/>
    </row>
    <row r="186" spans="1:32" ht="15.75" customHeight="1">
      <c r="E186" s="2"/>
      <c r="P186" s="2"/>
      <c r="AF186" s="23"/>
    </row>
    <row r="187" spans="1:32" ht="15.75" customHeight="1">
      <c r="E187" s="2"/>
      <c r="P187" s="2"/>
      <c r="AF187" s="23"/>
    </row>
    <row r="188" spans="1:32" ht="15.75" customHeight="1">
      <c r="E188" s="2"/>
      <c r="P188" s="2"/>
      <c r="AF188" s="23"/>
    </row>
    <row r="189" spans="1:32" ht="15.75" customHeight="1">
      <c r="E189" s="2"/>
      <c r="P189" s="2"/>
      <c r="AF189" s="23"/>
    </row>
    <row r="190" spans="1:32" ht="15.75" customHeight="1">
      <c r="E190" s="2"/>
      <c r="P190" s="2"/>
      <c r="AF190" s="23"/>
    </row>
    <row r="191" spans="1:32" ht="15.75" customHeight="1">
      <c r="E191" s="2"/>
      <c r="P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450" priority="1" operator="lessThan">
      <formula>100</formula>
    </cfRule>
  </conditionalFormatting>
  <conditionalFormatting sqref="Q1:Q3 Q57:Q1000">
    <cfRule type="cellIs" dxfId="449" priority="2" operator="lessThan">
      <formula>100</formula>
    </cfRule>
  </conditionalFormatting>
  <conditionalFormatting sqref="I1:I3 I57:I1000">
    <cfRule type="cellIs" dxfId="448" priority="3" operator="lessThan">
      <formula>0.05</formula>
    </cfRule>
  </conditionalFormatting>
  <conditionalFormatting sqref="I4:I17">
    <cfRule type="cellIs" dxfId="447" priority="4" operator="lessThan">
      <formula>0.05</formula>
    </cfRule>
  </conditionalFormatting>
  <conditionalFormatting sqref="I18:I56">
    <cfRule type="cellIs" dxfId="446" priority="5" operator="lessThan">
      <formula>0.05</formula>
    </cfRule>
  </conditionalFormatting>
  <conditionalFormatting sqref="Q4:Q56">
    <cfRule type="cellIs" dxfId="445" priority="6" operator="lessThan">
      <formula>100</formula>
    </cfRule>
  </conditionalFormatting>
  <conditionalFormatting sqref="Q4:Q56">
    <cfRule type="cellIs" dxfId="444" priority="7" operator="lessThan">
      <formula>100</formula>
    </cfRule>
  </conditionalFormatting>
  <pageMargins left="0.7" right="0.7" top="0.75" bottom="0.75" header="0" footer="0"/>
  <pageSetup orientation="portrait"/>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22.6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Info!B1:BJ5000""),4,FALSE),"""")"),"Washable Waterproof Mattress Sheet Protector Bed Underpad - 34 x 36 inches")</f>
        <v>Washable Waterproof Mattress Sheet Protector Bed Underpad - 34 x 36 inches</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Info!B1:BJ5000""),3,FALSE),"""")"),"B00070QHEG")</f>
        <v>B00070QHEG</v>
      </c>
      <c r="B2" s="4" t="s">
        <v>465</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5.5601224233283064</v>
      </c>
      <c r="D3" s="8">
        <f>SUM(D4:D99819)</f>
        <v>215</v>
      </c>
      <c r="E3" s="8"/>
      <c r="F3" s="9">
        <f t="shared" ref="F3:G3" si="0">SUM(F4:F99819)</f>
        <v>3160.91</v>
      </c>
      <c r="G3" s="9">
        <f t="shared" si="0"/>
        <v>-377.86999999999989</v>
      </c>
      <c r="H3" s="10">
        <f t="shared" ref="H3:H39" si="1">G3/F3*-1</f>
        <v>0.11954468808033127</v>
      </c>
      <c r="I3" s="11">
        <f t="shared" ref="I3:I39" si="2">J3/F3</f>
        <v>5.8027018470226725E-2</v>
      </c>
      <c r="J3" s="9">
        <f>SUM(J4:J99819)</f>
        <v>183.41818295272435</v>
      </c>
      <c r="K3" s="9">
        <f t="shared" ref="K3:K39" si="3">J3/D3</f>
        <v>0.85310782768709004</v>
      </c>
      <c r="L3" s="8"/>
      <c r="M3" s="12"/>
      <c r="N3" s="13"/>
      <c r="O3" s="8" t="str">
        <f ca="1">IFERROR(__xludf.DUMMYFUNCTION("IFERROR(VLOOKUP(B2,IMPORTRANGE(""https://docs.google.com/spreadsheets/d/1owCo6kL_VFQ5nPTdNogErmCBLjNiktT1m3SzTrxu3R0/edit#gid=2146806407"",""Second Star - Compiled!b1:g5000""),2,FALSE),"""")"),"- - March
- - April
- - May
- - Jun
- - Jul
- - Aug
- - Sept
- - Oct
- - Nov
- - Dec
- - Jan
- - Feb")</f>
        <v>- - March
- - April
- - May
- - Jun
- - Jul
- - Aug
- - Sept
- - Oct
- - Nov
- - Dec
- - Jan
- - Feb</v>
      </c>
      <c r="P3" s="8"/>
      <c r="Q3" s="14"/>
      <c r="R3" s="13"/>
      <c r="S3" s="13"/>
      <c r="T3" s="13"/>
      <c r="U3" s="8">
        <f>SUM(U4:U99819)</f>
        <v>29</v>
      </c>
      <c r="V3" s="10">
        <f>AVERAGE(V4:V99819)</f>
        <v>2.8262822766514317E-2</v>
      </c>
      <c r="W3" s="9">
        <f>ROUND(AVERAGE(W4:W99819),2)</f>
        <v>0.28000000000000003</v>
      </c>
      <c r="X3" s="8"/>
      <c r="Y3" s="8"/>
      <c r="Z3" s="8"/>
      <c r="AA3" s="8"/>
      <c r="AB3" s="8"/>
      <c r="AC3" s="15"/>
      <c r="AD3" s="9"/>
      <c r="AE3" s="9">
        <f>SUM(AE4:AE99819)</f>
        <v>-2.1</v>
      </c>
      <c r="AF3" s="16"/>
    </row>
    <row r="4" spans="1:32" s="57" customFormat="1">
      <c r="A4" s="17" t="s">
        <v>48</v>
      </c>
      <c r="B4" s="17"/>
      <c r="C4" s="50">
        <v>13.99</v>
      </c>
      <c r="D4" s="51">
        <v>21</v>
      </c>
      <c r="E4" s="51">
        <v>0</v>
      </c>
      <c r="F4" s="51">
        <v>293.79000000000002</v>
      </c>
      <c r="G4" s="51">
        <v>-146.43000000000004</v>
      </c>
      <c r="H4" s="51">
        <f t="shared" si="1"/>
        <v>0.49841723680179728</v>
      </c>
      <c r="I4" s="51">
        <f t="shared" si="2"/>
        <v>-0.37075159533649971</v>
      </c>
      <c r="J4" s="51">
        <f t="shared" ref="J4:J9" si="4">F4*0.85+G4+AD4*D4+D4*AC4+AE4+AB4</f>
        <v>-108.92311119391026</v>
      </c>
      <c r="K4" s="51">
        <f t="shared" si="3"/>
        <v>-5.1868148187576315</v>
      </c>
      <c r="L4" s="51">
        <v>140</v>
      </c>
      <c r="M4" s="51">
        <f t="shared" ref="M4:M39" si="5">IFERROR(D4/L4,"-")</f>
        <v>0.15</v>
      </c>
      <c r="N4" s="51">
        <v>676</v>
      </c>
      <c r="O4" s="51">
        <f t="shared" ref="O4:P4" si="6">D4/7</f>
        <v>3</v>
      </c>
      <c r="P4" s="51">
        <f t="shared" si="6"/>
        <v>0</v>
      </c>
      <c r="Q4" s="51">
        <f t="shared" ref="Q4:Q39" si="7">ROUNDDOWN(N4/(O4+P4),0)</f>
        <v>225</v>
      </c>
      <c r="R4" s="52">
        <v>0</v>
      </c>
      <c r="S4" s="53" t="s">
        <v>34</v>
      </c>
      <c r="T4" s="54" t="s">
        <v>34</v>
      </c>
      <c r="U4" s="52">
        <v>10</v>
      </c>
      <c r="V4" s="55">
        <f t="shared" ref="V4:V39" si="8">IFERROR(U4/D4,0)</f>
        <v>0.47619047619047616</v>
      </c>
      <c r="W4" s="55">
        <f t="shared" ref="W4:W39" si="9">IFERROR(G4/(U4+X4)*-1,0)</f>
        <v>5.0493103448275871</v>
      </c>
      <c r="X4" s="52">
        <v>19</v>
      </c>
      <c r="Y4" s="56" t="s">
        <v>35</v>
      </c>
      <c r="Z4" s="56">
        <f t="shared" ref="Z4:Z10" si="10">IF(OR(Y4="UsLargeStandardSize",Y4="UsSmallStandardSize"),-0.69,-0.48)</f>
        <v>-0.69</v>
      </c>
      <c r="AA4" s="55">
        <v>0.11446875000000001</v>
      </c>
      <c r="AB4" s="55">
        <f t="shared" ref="AB4:AB17" si="11">IFERROR((Z4*AA4*N4)/4,0)</f>
        <v>-13.3482009375</v>
      </c>
      <c r="AC4" s="55">
        <v>-4.76</v>
      </c>
      <c r="AD4" s="55">
        <v>-4.70982905982906</v>
      </c>
      <c r="AE4" s="55">
        <v>0</v>
      </c>
      <c r="AF4" s="55"/>
    </row>
    <row r="5" spans="1:32" s="57" customFormat="1" ht="15.75" customHeight="1">
      <c r="A5" s="2" t="s">
        <v>49</v>
      </c>
      <c r="B5" s="2" t="s">
        <v>466</v>
      </c>
      <c r="C5" s="51">
        <v>13.99</v>
      </c>
      <c r="D5" s="51">
        <v>23</v>
      </c>
      <c r="E5" s="51">
        <v>0</v>
      </c>
      <c r="F5" s="51">
        <v>321.77000000000004</v>
      </c>
      <c r="G5" s="51">
        <v>-144.19</v>
      </c>
      <c r="H5" s="51">
        <f t="shared" si="1"/>
        <v>0.44811511327967174</v>
      </c>
      <c r="I5" s="51">
        <f t="shared" si="2"/>
        <v>-0.31570088305837507</v>
      </c>
      <c r="J5" s="51">
        <f t="shared" si="4"/>
        <v>-101.58307314169336</v>
      </c>
      <c r="K5" s="51">
        <f t="shared" si="3"/>
        <v>-4.416655353986668</v>
      </c>
      <c r="L5" s="51">
        <v>168</v>
      </c>
      <c r="M5" s="51">
        <f t="shared" si="5"/>
        <v>0.13690476190476192</v>
      </c>
      <c r="N5" s="51">
        <v>663</v>
      </c>
      <c r="O5" s="51">
        <f t="shared" ref="O5:P5" si="12">D5/7</f>
        <v>3.2857142857142856</v>
      </c>
      <c r="P5" s="51">
        <f t="shared" si="12"/>
        <v>0</v>
      </c>
      <c r="Q5" s="51">
        <f t="shared" si="7"/>
        <v>201</v>
      </c>
      <c r="R5" s="55">
        <v>0</v>
      </c>
      <c r="S5" s="53" t="s">
        <v>34</v>
      </c>
      <c r="T5" s="54" t="s">
        <v>34</v>
      </c>
      <c r="U5" s="55">
        <v>12</v>
      </c>
      <c r="V5" s="55">
        <f t="shared" si="8"/>
        <v>0.52173913043478259</v>
      </c>
      <c r="W5" s="55">
        <f t="shared" si="9"/>
        <v>4.8063333333333329</v>
      </c>
      <c r="X5" s="55">
        <v>18</v>
      </c>
      <c r="Y5" s="55" t="s">
        <v>35</v>
      </c>
      <c r="Z5" s="56">
        <f t="shared" si="10"/>
        <v>-0.69</v>
      </c>
      <c r="AA5" s="55">
        <v>0.11446875000000001</v>
      </c>
      <c r="AB5" s="55">
        <f t="shared" si="11"/>
        <v>-13.091504765625</v>
      </c>
      <c r="AC5" s="55">
        <v>-4.76</v>
      </c>
      <c r="AD5" s="55">
        <v>-4.70982905982906</v>
      </c>
      <c r="AE5" s="55">
        <v>0</v>
      </c>
      <c r="AF5" s="55"/>
    </row>
    <row r="6" spans="1:32" s="57" customFormat="1" ht="15.75" customHeight="1">
      <c r="A6" s="2" t="s">
        <v>51</v>
      </c>
      <c r="B6" s="2" t="s">
        <v>467</v>
      </c>
      <c r="C6" s="51">
        <v>13.99</v>
      </c>
      <c r="D6" s="51">
        <v>14</v>
      </c>
      <c r="E6" s="51">
        <v>0</v>
      </c>
      <c r="F6" s="51">
        <v>195.86000000000004</v>
      </c>
      <c r="G6" s="51">
        <v>-83.26</v>
      </c>
      <c r="H6" s="51">
        <f t="shared" si="1"/>
        <v>0.4250995609108546</v>
      </c>
      <c r="I6" s="51">
        <f t="shared" si="2"/>
        <v>-0.28950304567092211</v>
      </c>
      <c r="J6" s="51">
        <f t="shared" si="4"/>
        <v>-56.702066525106815</v>
      </c>
      <c r="K6" s="51">
        <f t="shared" si="3"/>
        <v>-4.050147608936201</v>
      </c>
      <c r="L6" s="51">
        <v>137</v>
      </c>
      <c r="M6" s="51">
        <f t="shared" si="5"/>
        <v>0.10218978102189781</v>
      </c>
      <c r="N6" s="51">
        <v>372</v>
      </c>
      <c r="O6" s="51">
        <f t="shared" ref="O6:P6" si="13">D6/7</f>
        <v>2</v>
      </c>
      <c r="P6" s="51">
        <f t="shared" si="13"/>
        <v>0</v>
      </c>
      <c r="Q6" s="51">
        <f t="shared" si="7"/>
        <v>186</v>
      </c>
      <c r="R6" s="55">
        <v>0</v>
      </c>
      <c r="S6" s="53" t="s">
        <v>34</v>
      </c>
      <c r="T6" s="54" t="s">
        <v>34</v>
      </c>
      <c r="U6" s="55">
        <v>7</v>
      </c>
      <c r="V6" s="55">
        <f t="shared" si="8"/>
        <v>0.5</v>
      </c>
      <c r="W6" s="55">
        <f t="shared" si="9"/>
        <v>5.2037500000000003</v>
      </c>
      <c r="X6" s="55">
        <v>9</v>
      </c>
      <c r="Y6" s="55" t="s">
        <v>35</v>
      </c>
      <c r="Z6" s="56">
        <f t="shared" si="10"/>
        <v>-0.69</v>
      </c>
      <c r="AA6" s="55">
        <v>0.11446875000000001</v>
      </c>
      <c r="AB6" s="55">
        <f t="shared" si="11"/>
        <v>-7.3454596875</v>
      </c>
      <c r="AC6" s="55">
        <v>-4.76</v>
      </c>
      <c r="AD6" s="55">
        <v>-4.70982905982906</v>
      </c>
      <c r="AE6" s="55">
        <v>0</v>
      </c>
      <c r="AF6" s="55"/>
    </row>
    <row r="7" spans="1:32" s="57" customFormat="1" ht="15.75" customHeight="1">
      <c r="A7" s="2" t="s">
        <v>53</v>
      </c>
      <c r="B7" s="2"/>
      <c r="C7" s="51">
        <v>13.99</v>
      </c>
      <c r="D7" s="51">
        <v>15</v>
      </c>
      <c r="E7" s="51">
        <v>0</v>
      </c>
      <c r="F7" s="51">
        <v>209.85000000000005</v>
      </c>
      <c r="G7" s="51">
        <v>-0.02</v>
      </c>
      <c r="H7" s="51">
        <f t="shared" si="1"/>
        <v>9.5306171074577056E-5</v>
      </c>
      <c r="I7" s="51">
        <f t="shared" si="2"/>
        <v>0.15983151675036514</v>
      </c>
      <c r="J7" s="51">
        <f t="shared" si="4"/>
        <v>33.540643790064131</v>
      </c>
      <c r="K7" s="51">
        <f t="shared" si="3"/>
        <v>2.2360429193376086</v>
      </c>
      <c r="L7" s="51">
        <v>72</v>
      </c>
      <c r="M7" s="51">
        <f t="shared" si="5"/>
        <v>0.20833333333333334</v>
      </c>
      <c r="N7" s="51">
        <v>140</v>
      </c>
      <c r="O7" s="51">
        <f t="shared" ref="O7:P7" si="14">D7/7</f>
        <v>2.1428571428571428</v>
      </c>
      <c r="P7" s="51">
        <f t="shared" si="14"/>
        <v>0</v>
      </c>
      <c r="Q7" s="51">
        <f t="shared" si="7"/>
        <v>65</v>
      </c>
      <c r="R7" s="55">
        <v>0</v>
      </c>
      <c r="S7" s="53" t="s">
        <v>34</v>
      </c>
      <c r="T7" s="54" t="s">
        <v>34</v>
      </c>
      <c r="U7" s="55">
        <v>0</v>
      </c>
      <c r="V7" s="55">
        <f t="shared" si="8"/>
        <v>0</v>
      </c>
      <c r="W7" s="55">
        <f t="shared" si="9"/>
        <v>0</v>
      </c>
      <c r="X7" s="55">
        <v>0</v>
      </c>
      <c r="Y7" s="55" t="s">
        <v>35</v>
      </c>
      <c r="Z7" s="56">
        <f t="shared" si="10"/>
        <v>-0.69</v>
      </c>
      <c r="AA7" s="55">
        <v>0.11446875000000001</v>
      </c>
      <c r="AB7" s="55">
        <f t="shared" si="11"/>
        <v>-2.7644203125</v>
      </c>
      <c r="AC7" s="55">
        <v>-4.76</v>
      </c>
      <c r="AD7" s="55">
        <v>-4.70982905982906</v>
      </c>
      <c r="AE7" s="55">
        <v>0</v>
      </c>
      <c r="AF7" s="55"/>
    </row>
    <row r="8" spans="1:32" s="57" customFormat="1" ht="15.75" customHeight="1">
      <c r="A8" s="2" t="s">
        <v>54</v>
      </c>
      <c r="B8" s="2" t="s">
        <v>468</v>
      </c>
      <c r="C8" s="51">
        <v>13.99</v>
      </c>
      <c r="D8" s="51">
        <v>9</v>
      </c>
      <c r="E8" s="51">
        <v>0</v>
      </c>
      <c r="F8" s="51">
        <v>125.90999999999998</v>
      </c>
      <c r="G8" s="51">
        <v>0</v>
      </c>
      <c r="H8" s="51">
        <f t="shared" si="1"/>
        <v>0</v>
      </c>
      <c r="I8" s="51">
        <f t="shared" si="2"/>
        <v>0.15396746579134657</v>
      </c>
      <c r="J8" s="51">
        <f t="shared" si="4"/>
        <v>19.386043617788445</v>
      </c>
      <c r="K8" s="51">
        <f t="shared" si="3"/>
        <v>2.1540048464209383</v>
      </c>
      <c r="L8" s="51">
        <v>64</v>
      </c>
      <c r="M8" s="51">
        <f t="shared" si="5"/>
        <v>0.140625</v>
      </c>
      <c r="N8" s="51">
        <v>122</v>
      </c>
      <c r="O8" s="51">
        <f t="shared" ref="O8:P8" si="15">D8/7</f>
        <v>1.2857142857142858</v>
      </c>
      <c r="P8" s="51">
        <f t="shared" si="15"/>
        <v>0</v>
      </c>
      <c r="Q8" s="51">
        <f t="shared" si="7"/>
        <v>94</v>
      </c>
      <c r="R8" s="55">
        <v>0</v>
      </c>
      <c r="S8" s="53" t="s">
        <v>34</v>
      </c>
      <c r="T8" s="54" t="s">
        <v>34</v>
      </c>
      <c r="U8" s="55">
        <v>0</v>
      </c>
      <c r="V8" s="55">
        <f t="shared" si="8"/>
        <v>0</v>
      </c>
      <c r="W8" s="55">
        <f t="shared" si="9"/>
        <v>0</v>
      </c>
      <c r="X8" s="55">
        <v>0</v>
      </c>
      <c r="Y8" s="55" t="s">
        <v>35</v>
      </c>
      <c r="Z8" s="56">
        <f t="shared" si="10"/>
        <v>-0.69</v>
      </c>
      <c r="AA8" s="55">
        <v>0.11446875000000001</v>
      </c>
      <c r="AB8" s="55">
        <f t="shared" si="11"/>
        <v>-2.4089948437499999</v>
      </c>
      <c r="AC8" s="55">
        <v>-4.76</v>
      </c>
      <c r="AD8" s="55">
        <v>-4.70982905982906</v>
      </c>
      <c r="AE8" s="55">
        <v>0</v>
      </c>
      <c r="AF8" s="55"/>
    </row>
    <row r="9" spans="1:32" s="57" customFormat="1" ht="15.75" customHeight="1">
      <c r="A9" s="2" t="s">
        <v>56</v>
      </c>
      <c r="B9" s="2" t="s">
        <v>468</v>
      </c>
      <c r="C9" s="51">
        <v>13.99</v>
      </c>
      <c r="D9" s="51">
        <v>13</v>
      </c>
      <c r="E9" s="51">
        <v>0</v>
      </c>
      <c r="F9" s="51">
        <v>181.86999999999998</v>
      </c>
      <c r="G9" s="51">
        <v>0</v>
      </c>
      <c r="H9" s="51">
        <f t="shared" si="1"/>
        <v>0</v>
      </c>
      <c r="I9" s="51">
        <f t="shared" si="2"/>
        <v>0.16094015490307476</v>
      </c>
      <c r="J9" s="51">
        <f t="shared" si="4"/>
        <v>29.270185972222201</v>
      </c>
      <c r="K9" s="51">
        <f t="shared" si="3"/>
        <v>2.2515527670940156</v>
      </c>
      <c r="L9" s="51">
        <v>55</v>
      </c>
      <c r="M9" s="51">
        <f t="shared" si="5"/>
        <v>0.23636363636363636</v>
      </c>
      <c r="N9" s="51">
        <v>112</v>
      </c>
      <c r="O9" s="51">
        <f t="shared" ref="O9:P9" si="16">D9/7</f>
        <v>1.8571428571428572</v>
      </c>
      <c r="P9" s="51">
        <f t="shared" si="16"/>
        <v>0</v>
      </c>
      <c r="Q9" s="51">
        <f t="shared" si="7"/>
        <v>60</v>
      </c>
      <c r="R9" s="55">
        <v>0</v>
      </c>
      <c r="S9" s="53" t="s">
        <v>34</v>
      </c>
      <c r="T9" s="54" t="s">
        <v>34</v>
      </c>
      <c r="U9" s="55">
        <v>0</v>
      </c>
      <c r="V9" s="55">
        <f t="shared" si="8"/>
        <v>0</v>
      </c>
      <c r="W9" s="55">
        <f t="shared" si="9"/>
        <v>0</v>
      </c>
      <c r="X9" s="55">
        <v>0</v>
      </c>
      <c r="Y9" s="55" t="s">
        <v>35</v>
      </c>
      <c r="Z9" s="56">
        <f t="shared" si="10"/>
        <v>-0.69</v>
      </c>
      <c r="AA9" s="55">
        <v>0.11446875000000001</v>
      </c>
      <c r="AB9" s="55">
        <f t="shared" si="11"/>
        <v>-2.21153625</v>
      </c>
      <c r="AC9" s="55">
        <v>-4.76</v>
      </c>
      <c r="AD9" s="55">
        <v>-4.70982905982906</v>
      </c>
      <c r="AE9" s="55">
        <v>0</v>
      </c>
      <c r="AF9" s="55"/>
    </row>
    <row r="10" spans="1:32" s="57" customFormat="1" ht="15.75" customHeight="1">
      <c r="A10" s="2" t="s">
        <v>58</v>
      </c>
      <c r="B10" s="2" t="s">
        <v>469</v>
      </c>
      <c r="C10" s="51">
        <v>13.99</v>
      </c>
      <c r="D10" s="51">
        <v>7</v>
      </c>
      <c r="E10" s="51">
        <v>0</v>
      </c>
      <c r="F10" s="51">
        <v>97.929999999999993</v>
      </c>
      <c r="G10" s="51">
        <v>-0.02</v>
      </c>
      <c r="H10" s="51">
        <f t="shared" si="1"/>
        <v>2.0422750944552233E-4</v>
      </c>
      <c r="I10" s="51">
        <f t="shared" si="2"/>
        <v>0.15172451084265887</v>
      </c>
      <c r="J10" s="51">
        <v>14.858381346821583</v>
      </c>
      <c r="K10" s="51">
        <f t="shared" si="3"/>
        <v>2.1226259066887976</v>
      </c>
      <c r="L10" s="51">
        <v>55</v>
      </c>
      <c r="M10" s="51">
        <f t="shared" si="5"/>
        <v>0.12727272727272726</v>
      </c>
      <c r="N10" s="51">
        <v>105</v>
      </c>
      <c r="O10" s="51">
        <f t="shared" ref="O10:P10" si="17">D10/7</f>
        <v>1</v>
      </c>
      <c r="P10" s="51">
        <f t="shared" si="17"/>
        <v>0</v>
      </c>
      <c r="Q10" s="51">
        <f t="shared" si="7"/>
        <v>105</v>
      </c>
      <c r="R10" s="55">
        <v>0</v>
      </c>
      <c r="S10" s="53" t="s">
        <v>34</v>
      </c>
      <c r="T10" s="54" t="s">
        <v>34</v>
      </c>
      <c r="U10" s="55">
        <v>0</v>
      </c>
      <c r="V10" s="55">
        <f t="shared" si="8"/>
        <v>0</v>
      </c>
      <c r="W10" s="55">
        <f t="shared" si="9"/>
        <v>0</v>
      </c>
      <c r="X10" s="55">
        <v>0</v>
      </c>
      <c r="Y10" s="55" t="s">
        <v>35</v>
      </c>
      <c r="Z10" s="56">
        <f t="shared" si="10"/>
        <v>-0.69</v>
      </c>
      <c r="AA10" s="55">
        <v>0.11446875000000001</v>
      </c>
      <c r="AB10" s="55">
        <f t="shared" si="11"/>
        <v>-2.0733152343749999</v>
      </c>
      <c r="AC10" s="55">
        <v>-4.76</v>
      </c>
      <c r="AD10" s="55">
        <v>-4.70982905982906</v>
      </c>
      <c r="AE10" s="55">
        <v>0</v>
      </c>
      <c r="AF10" s="55"/>
    </row>
    <row r="11" spans="1:32" s="57" customFormat="1" ht="15.75" customHeight="1">
      <c r="A11" s="2" t="s">
        <v>60</v>
      </c>
      <c r="B11" s="2" t="s">
        <v>45</v>
      </c>
      <c r="C11" s="51">
        <v>13.99</v>
      </c>
      <c r="D11" s="51">
        <v>12</v>
      </c>
      <c r="E11" s="51">
        <v>0</v>
      </c>
      <c r="F11" s="51">
        <v>167.88000000000002</v>
      </c>
      <c r="G11" s="51">
        <v>0</v>
      </c>
      <c r="H11" s="51">
        <f t="shared" si="1"/>
        <v>0</v>
      </c>
      <c r="I11" s="51">
        <f t="shared" si="2"/>
        <v>0.15081971516589998</v>
      </c>
      <c r="J11" s="51">
        <v>25.319613782051292</v>
      </c>
      <c r="K11" s="51">
        <f t="shared" si="3"/>
        <v>2.1099678151709411</v>
      </c>
      <c r="L11" s="51">
        <v>59</v>
      </c>
      <c r="M11" s="51">
        <f t="shared" si="5"/>
        <v>0.20338983050847459</v>
      </c>
      <c r="N11" s="51">
        <v>96</v>
      </c>
      <c r="O11" s="51">
        <f t="shared" ref="O11:P11" si="18">D11/7</f>
        <v>1.7142857142857142</v>
      </c>
      <c r="P11" s="51">
        <f t="shared" si="18"/>
        <v>0</v>
      </c>
      <c r="Q11" s="51">
        <f t="shared" si="7"/>
        <v>56</v>
      </c>
      <c r="R11" s="55">
        <v>0</v>
      </c>
      <c r="S11" s="53" t="s">
        <v>34</v>
      </c>
      <c r="T11" s="54" t="s">
        <v>34</v>
      </c>
      <c r="U11" s="55">
        <v>0</v>
      </c>
      <c r="V11" s="55">
        <f t="shared" si="8"/>
        <v>0</v>
      </c>
      <c r="W11" s="55">
        <f t="shared" si="9"/>
        <v>0</v>
      </c>
      <c r="X11" s="55">
        <v>0</v>
      </c>
      <c r="Y11" s="55" t="s">
        <v>35</v>
      </c>
      <c r="Z11" s="56">
        <f t="shared" ref="Z11:Z39" si="19">IF(OR(Y11="UsLargeStandardSize",Y11="UsSmallStandardSize"),-0.75,-0.48)</f>
        <v>-0.75</v>
      </c>
      <c r="AA11" s="55">
        <v>0.11446875000000001</v>
      </c>
      <c r="AB11" s="55">
        <f t="shared" si="11"/>
        <v>-2.0604374999999999</v>
      </c>
      <c r="AC11" s="55">
        <v>-4.9000000000000004</v>
      </c>
      <c r="AD11" s="55">
        <v>-4.70982905982906</v>
      </c>
      <c r="AE11" s="55">
        <v>0</v>
      </c>
      <c r="AF11" s="55"/>
    </row>
    <row r="12" spans="1:32" s="57" customFormat="1" ht="15.75" customHeight="1">
      <c r="A12" s="2" t="s">
        <v>62</v>
      </c>
      <c r="B12" s="2" t="s">
        <v>45</v>
      </c>
      <c r="C12" s="51">
        <v>13.99</v>
      </c>
      <c r="D12" s="51">
        <v>14</v>
      </c>
      <c r="E12" s="51">
        <v>0</v>
      </c>
      <c r="F12" s="51">
        <v>196.86</v>
      </c>
      <c r="G12" s="51">
        <v>0</v>
      </c>
      <c r="H12" s="51">
        <f t="shared" si="1"/>
        <v>0</v>
      </c>
      <c r="I12" s="51">
        <f t="shared" si="2"/>
        <v>0.12861736148558006</v>
      </c>
      <c r="J12" s="51">
        <v>25.319613782051292</v>
      </c>
      <c r="K12" s="51">
        <f t="shared" si="3"/>
        <v>1.8085438415750923</v>
      </c>
      <c r="L12" s="51">
        <v>69</v>
      </c>
      <c r="M12" s="51">
        <f t="shared" si="5"/>
        <v>0.20289855072463769</v>
      </c>
      <c r="N12" s="51">
        <v>76</v>
      </c>
      <c r="O12" s="51">
        <f t="shared" ref="O12:P12" si="20">D12/7</f>
        <v>2</v>
      </c>
      <c r="P12" s="51">
        <f t="shared" si="20"/>
        <v>0</v>
      </c>
      <c r="Q12" s="51">
        <f t="shared" si="7"/>
        <v>38</v>
      </c>
      <c r="R12" s="55">
        <v>0</v>
      </c>
      <c r="S12" s="53" t="s">
        <v>34</v>
      </c>
      <c r="T12" s="54" t="s">
        <v>34</v>
      </c>
      <c r="U12" s="55">
        <v>0</v>
      </c>
      <c r="V12" s="55">
        <f t="shared" si="8"/>
        <v>0</v>
      </c>
      <c r="W12" s="55">
        <f t="shared" si="9"/>
        <v>0</v>
      </c>
      <c r="X12" s="55">
        <v>0</v>
      </c>
      <c r="Y12" s="55" t="s">
        <v>35</v>
      </c>
      <c r="Z12" s="56">
        <f t="shared" si="19"/>
        <v>-0.75</v>
      </c>
      <c r="AA12" s="55">
        <v>0.11446875000000001</v>
      </c>
      <c r="AB12" s="55">
        <f t="shared" si="11"/>
        <v>-1.6311796875000002</v>
      </c>
      <c r="AC12" s="55">
        <v>-4.9000000000000004</v>
      </c>
      <c r="AD12" s="55">
        <v>-4.70982905982906</v>
      </c>
      <c r="AE12" s="55">
        <v>0</v>
      </c>
      <c r="AF12" s="55"/>
    </row>
    <row r="13" spans="1:32" s="57" customFormat="1" ht="15.75" customHeight="1">
      <c r="A13" s="2" t="s">
        <v>63</v>
      </c>
      <c r="B13" s="2" t="s">
        <v>45</v>
      </c>
      <c r="C13" s="51">
        <v>13.99</v>
      </c>
      <c r="D13" s="51">
        <v>9</v>
      </c>
      <c r="E13" s="51">
        <v>0</v>
      </c>
      <c r="F13" s="51">
        <v>131.91</v>
      </c>
      <c r="G13" s="51">
        <v>-0.02</v>
      </c>
      <c r="H13" s="51">
        <f t="shared" si="1"/>
        <v>1.5161852778409522E-4</v>
      </c>
      <c r="I13" s="51">
        <f t="shared" si="2"/>
        <v>0.19194612828482521</v>
      </c>
      <c r="J13" s="51">
        <v>25.319613782051292</v>
      </c>
      <c r="K13" s="51">
        <f t="shared" si="3"/>
        <v>2.8132904202279212</v>
      </c>
      <c r="L13" s="51">
        <v>65</v>
      </c>
      <c r="M13" s="51">
        <f t="shared" si="5"/>
        <v>0.13846153846153847</v>
      </c>
      <c r="N13" s="51">
        <v>71</v>
      </c>
      <c r="O13" s="51">
        <f t="shared" ref="O13:P13" si="21">D13/7</f>
        <v>1.2857142857142858</v>
      </c>
      <c r="P13" s="51">
        <f t="shared" si="21"/>
        <v>0</v>
      </c>
      <c r="Q13" s="51">
        <f t="shared" si="7"/>
        <v>55</v>
      </c>
      <c r="R13" s="55">
        <v>0</v>
      </c>
      <c r="S13" s="53" t="s">
        <v>34</v>
      </c>
      <c r="T13" s="54" t="s">
        <v>34</v>
      </c>
      <c r="U13" s="55">
        <v>0</v>
      </c>
      <c r="V13" s="55">
        <f t="shared" si="8"/>
        <v>0</v>
      </c>
      <c r="W13" s="55">
        <f t="shared" si="9"/>
        <v>0</v>
      </c>
      <c r="X13" s="55">
        <v>0</v>
      </c>
      <c r="Y13" s="55" t="s">
        <v>35</v>
      </c>
      <c r="Z13" s="56">
        <f t="shared" si="19"/>
        <v>-0.75</v>
      </c>
      <c r="AA13" s="55">
        <v>0.11446875000000001</v>
      </c>
      <c r="AB13" s="55">
        <f t="shared" si="11"/>
        <v>-1.5238652343750001</v>
      </c>
      <c r="AC13" s="55">
        <v>-4.9000000000000004</v>
      </c>
      <c r="AD13" s="55">
        <v>-4.70982905982906</v>
      </c>
      <c r="AE13" s="55">
        <v>0</v>
      </c>
      <c r="AF13" s="55"/>
    </row>
    <row r="14" spans="1:32" s="57" customFormat="1" ht="15.75" customHeight="1">
      <c r="A14" s="2" t="s">
        <v>64</v>
      </c>
      <c r="B14" s="2"/>
      <c r="C14" s="51">
        <v>13.99</v>
      </c>
      <c r="D14" s="51">
        <v>7</v>
      </c>
      <c r="E14" s="51">
        <v>0</v>
      </c>
      <c r="F14" s="51">
        <v>100.92999999999999</v>
      </c>
      <c r="G14" s="51">
        <v>0</v>
      </c>
      <c r="H14" s="51">
        <f t="shared" si="1"/>
        <v>0</v>
      </c>
      <c r="I14" s="51">
        <f t="shared" si="2"/>
        <v>0.25086311088924296</v>
      </c>
      <c r="J14" s="51">
        <v>25.319613782051292</v>
      </c>
      <c r="K14" s="51">
        <f t="shared" si="3"/>
        <v>3.6170876831501846</v>
      </c>
      <c r="L14" s="51">
        <v>59</v>
      </c>
      <c r="M14" s="51">
        <f t="shared" si="5"/>
        <v>0.11864406779661017</v>
      </c>
      <c r="N14" s="51">
        <v>61</v>
      </c>
      <c r="O14" s="51">
        <f t="shared" ref="O14:P14" si="22">D14/7</f>
        <v>1</v>
      </c>
      <c r="P14" s="51">
        <f t="shared" si="22"/>
        <v>0</v>
      </c>
      <c r="Q14" s="51">
        <f t="shared" si="7"/>
        <v>61</v>
      </c>
      <c r="R14" s="55">
        <v>0</v>
      </c>
      <c r="S14" s="53" t="s">
        <v>34</v>
      </c>
      <c r="T14" s="54" t="s">
        <v>34</v>
      </c>
      <c r="U14" s="55">
        <v>0</v>
      </c>
      <c r="V14" s="55">
        <f t="shared" si="8"/>
        <v>0</v>
      </c>
      <c r="W14" s="55">
        <f t="shared" si="9"/>
        <v>0</v>
      </c>
      <c r="X14" s="55">
        <v>0</v>
      </c>
      <c r="Y14" s="55" t="s">
        <v>35</v>
      </c>
      <c r="Z14" s="56">
        <f t="shared" si="19"/>
        <v>-0.75</v>
      </c>
      <c r="AA14" s="55">
        <v>0.11446875000000001</v>
      </c>
      <c r="AB14" s="55">
        <f t="shared" si="11"/>
        <v>-1.3092363281250001</v>
      </c>
      <c r="AC14" s="55">
        <v>-4.9000000000000004</v>
      </c>
      <c r="AD14" s="55">
        <v>-4.70982905982906</v>
      </c>
      <c r="AE14" s="55">
        <v>-2.1</v>
      </c>
      <c r="AF14" s="55"/>
    </row>
    <row r="15" spans="1:32" s="57" customFormat="1" ht="15.75" customHeight="1">
      <c r="A15" s="2" t="s">
        <v>65</v>
      </c>
      <c r="B15" s="2" t="s">
        <v>470</v>
      </c>
      <c r="C15" s="51">
        <v>13.99</v>
      </c>
      <c r="D15" s="51">
        <v>10</v>
      </c>
      <c r="E15" s="51">
        <v>0</v>
      </c>
      <c r="F15" s="51">
        <v>144.9</v>
      </c>
      <c r="G15" s="51">
        <v>0</v>
      </c>
      <c r="H15" s="51">
        <f t="shared" si="1"/>
        <v>0</v>
      </c>
      <c r="I15" s="51">
        <f t="shared" si="2"/>
        <v>0.17473853541788331</v>
      </c>
      <c r="J15" s="51">
        <v>25.319613782051292</v>
      </c>
      <c r="K15" s="51">
        <f t="shared" si="3"/>
        <v>2.5319613782051293</v>
      </c>
      <c r="L15" s="51">
        <v>46</v>
      </c>
      <c r="M15" s="51">
        <f t="shared" si="5"/>
        <v>0.21739130434782608</v>
      </c>
      <c r="N15" s="51">
        <v>55</v>
      </c>
      <c r="O15" s="51">
        <f t="shared" ref="O15:P15" si="23">D15/7</f>
        <v>1.4285714285714286</v>
      </c>
      <c r="P15" s="51">
        <f t="shared" si="23"/>
        <v>0</v>
      </c>
      <c r="Q15" s="51">
        <f t="shared" si="7"/>
        <v>38</v>
      </c>
      <c r="R15" s="55">
        <v>0</v>
      </c>
      <c r="S15" s="53" t="s">
        <v>34</v>
      </c>
      <c r="T15" s="54" t="s">
        <v>34</v>
      </c>
      <c r="U15" s="55">
        <v>0</v>
      </c>
      <c r="V15" s="55">
        <f t="shared" si="8"/>
        <v>0</v>
      </c>
      <c r="W15" s="55">
        <f t="shared" si="9"/>
        <v>0</v>
      </c>
      <c r="X15" s="55">
        <v>0</v>
      </c>
      <c r="Y15" s="55" t="s">
        <v>35</v>
      </c>
      <c r="Z15" s="56">
        <f t="shared" si="19"/>
        <v>-0.75</v>
      </c>
      <c r="AA15" s="55">
        <v>0.11446875000000001</v>
      </c>
      <c r="AB15" s="55">
        <f t="shared" si="11"/>
        <v>-1.1804589843750002</v>
      </c>
      <c r="AC15" s="55">
        <v>-4.9000000000000004</v>
      </c>
      <c r="AD15" s="55">
        <v>-4.70982905982906</v>
      </c>
      <c r="AE15" s="55">
        <v>0</v>
      </c>
      <c r="AF15" s="55"/>
    </row>
    <row r="16" spans="1:32" s="57" customFormat="1" ht="15.75" customHeight="1">
      <c r="A16" s="2" t="s">
        <v>66</v>
      </c>
      <c r="B16" s="2" t="s">
        <v>471</v>
      </c>
      <c r="C16" s="51">
        <v>16.989999999999998</v>
      </c>
      <c r="D16" s="51">
        <v>10</v>
      </c>
      <c r="E16" s="51">
        <v>0</v>
      </c>
      <c r="F16" s="51">
        <v>143.89999999999998</v>
      </c>
      <c r="G16" s="51">
        <v>0</v>
      </c>
      <c r="H16" s="51">
        <f t="shared" si="1"/>
        <v>0</v>
      </c>
      <c r="I16" s="51">
        <f t="shared" si="2"/>
        <v>0.17595284073697912</v>
      </c>
      <c r="J16" s="51">
        <v>25.319613782051292</v>
      </c>
      <c r="K16" s="51">
        <f t="shared" si="3"/>
        <v>2.5319613782051293</v>
      </c>
      <c r="L16" s="51">
        <v>39</v>
      </c>
      <c r="M16" s="51">
        <f t="shared" si="5"/>
        <v>0.25641025641025639</v>
      </c>
      <c r="N16" s="51">
        <v>41</v>
      </c>
      <c r="O16" s="51">
        <f t="shared" ref="O16:P16" si="24">D16/7</f>
        <v>1.4285714285714286</v>
      </c>
      <c r="P16" s="51">
        <f t="shared" si="24"/>
        <v>0</v>
      </c>
      <c r="Q16" s="51">
        <f t="shared" si="7"/>
        <v>28</v>
      </c>
      <c r="R16" s="55">
        <v>0</v>
      </c>
      <c r="S16" s="53" t="s">
        <v>34</v>
      </c>
      <c r="T16" s="54" t="s">
        <v>34</v>
      </c>
      <c r="U16" s="55">
        <v>0</v>
      </c>
      <c r="V16" s="55">
        <f t="shared" si="8"/>
        <v>0</v>
      </c>
      <c r="W16" s="55">
        <f t="shared" si="9"/>
        <v>0</v>
      </c>
      <c r="X16" s="55">
        <v>0</v>
      </c>
      <c r="Y16" s="55" t="s">
        <v>35</v>
      </c>
      <c r="Z16" s="56">
        <f t="shared" si="19"/>
        <v>-0.75</v>
      </c>
      <c r="AA16" s="55">
        <v>0.11446875000000001</v>
      </c>
      <c r="AB16" s="55">
        <f t="shared" si="11"/>
        <v>-0.87997851562500007</v>
      </c>
      <c r="AC16" s="55">
        <v>-4.9000000000000004</v>
      </c>
      <c r="AD16" s="55">
        <v>-4.70982905982906</v>
      </c>
      <c r="AE16" s="55">
        <v>0</v>
      </c>
      <c r="AF16" s="55"/>
    </row>
    <row r="17" spans="1:32" s="57" customFormat="1" ht="15.75" customHeight="1">
      <c r="A17" s="2" t="s">
        <v>67</v>
      </c>
      <c r="B17" s="2" t="s">
        <v>45</v>
      </c>
      <c r="C17" s="51">
        <v>16.989999999999998</v>
      </c>
      <c r="D17" s="51">
        <v>9</v>
      </c>
      <c r="E17" s="51">
        <v>0</v>
      </c>
      <c r="F17" s="51">
        <v>147.91</v>
      </c>
      <c r="G17" s="51">
        <v>0</v>
      </c>
      <c r="H17" s="51">
        <f t="shared" si="1"/>
        <v>0</v>
      </c>
      <c r="I17" s="51">
        <f t="shared" si="2"/>
        <v>0.17118256900852744</v>
      </c>
      <c r="J17" s="51">
        <v>25.319613782051292</v>
      </c>
      <c r="K17" s="51">
        <f t="shared" si="3"/>
        <v>2.8132904202279212</v>
      </c>
      <c r="L17" s="51">
        <v>66</v>
      </c>
      <c r="M17" s="51">
        <f t="shared" si="5"/>
        <v>0.13636363636363635</v>
      </c>
      <c r="N17" s="51">
        <v>35</v>
      </c>
      <c r="O17" s="51">
        <f t="shared" ref="O17:P17" si="25">D17/7</f>
        <v>1.2857142857142858</v>
      </c>
      <c r="P17" s="51">
        <f t="shared" si="25"/>
        <v>0</v>
      </c>
      <c r="Q17" s="51">
        <f t="shared" si="7"/>
        <v>27</v>
      </c>
      <c r="R17" s="55">
        <v>0</v>
      </c>
      <c r="S17" s="53" t="s">
        <v>34</v>
      </c>
      <c r="T17" s="54" t="s">
        <v>34</v>
      </c>
      <c r="U17" s="55">
        <v>0</v>
      </c>
      <c r="V17" s="55">
        <f t="shared" si="8"/>
        <v>0</v>
      </c>
      <c r="W17" s="55">
        <f t="shared" si="9"/>
        <v>0</v>
      </c>
      <c r="X17" s="55">
        <v>0</v>
      </c>
      <c r="Y17" s="55" t="s">
        <v>35</v>
      </c>
      <c r="Z17" s="56">
        <f t="shared" si="19"/>
        <v>-0.75</v>
      </c>
      <c r="AA17" s="55">
        <v>0.11446875000000001</v>
      </c>
      <c r="AB17" s="55">
        <f t="shared" si="11"/>
        <v>-0.75120117187500002</v>
      </c>
      <c r="AC17" s="55">
        <v>-4.9000000000000004</v>
      </c>
      <c r="AD17" s="55">
        <v>-4.70982905982906</v>
      </c>
      <c r="AE17" s="55">
        <v>0</v>
      </c>
      <c r="AF17" s="55"/>
    </row>
    <row r="18" spans="1:32" s="57" customFormat="1" ht="15.75" customHeight="1">
      <c r="A18" s="2" t="s">
        <v>69</v>
      </c>
      <c r="B18" s="2" t="s">
        <v>472</v>
      </c>
      <c r="C18" s="51">
        <v>17.989999999999998</v>
      </c>
      <c r="D18" s="51">
        <v>2</v>
      </c>
      <c r="E18" s="51">
        <v>0</v>
      </c>
      <c r="F18" s="51">
        <v>34.979999999999997</v>
      </c>
      <c r="G18" s="51">
        <v>0</v>
      </c>
      <c r="H18" s="51">
        <f t="shared" si="1"/>
        <v>0</v>
      </c>
      <c r="I18" s="51">
        <f t="shared" si="2"/>
        <v>0.28582711564728064</v>
      </c>
      <c r="J18" s="51">
        <f t="shared" ref="J18:J38" si="26">F18*0.85+G18+AD18*D18+D18*AC18+AE18+AB18</f>
        <v>9.9982325053418766</v>
      </c>
      <c r="K18" s="51">
        <f t="shared" si="3"/>
        <v>4.9991162526709383</v>
      </c>
      <c r="L18" s="51">
        <v>69</v>
      </c>
      <c r="M18" s="51">
        <f t="shared" si="5"/>
        <v>2.8985507246376812E-2</v>
      </c>
      <c r="N18" s="51">
        <v>29</v>
      </c>
      <c r="O18" s="51">
        <f t="shared" ref="O18:P18" si="27">D18/7</f>
        <v>0.2857142857142857</v>
      </c>
      <c r="P18" s="51">
        <f t="shared" si="27"/>
        <v>0</v>
      </c>
      <c r="Q18" s="51">
        <f t="shared" si="7"/>
        <v>101</v>
      </c>
      <c r="R18" s="55">
        <v>0</v>
      </c>
      <c r="S18" s="53" t="s">
        <v>34</v>
      </c>
      <c r="T18" s="54" t="s">
        <v>34</v>
      </c>
      <c r="U18" s="55">
        <v>0</v>
      </c>
      <c r="V18" s="55">
        <f t="shared" si="8"/>
        <v>0</v>
      </c>
      <c r="W18" s="55">
        <f t="shared" si="9"/>
        <v>0</v>
      </c>
      <c r="X18" s="55">
        <v>0</v>
      </c>
      <c r="Y18" s="55" t="s">
        <v>35</v>
      </c>
      <c r="Z18" s="56">
        <f t="shared" si="19"/>
        <v>-0.75</v>
      </c>
      <c r="AA18" s="55">
        <v>0.11446875000000001</v>
      </c>
      <c r="AB18" s="58">
        <f t="shared" ref="AB18:AB39" si="28">IFERROR(Z18*AA18*D18*3,0)</f>
        <v>-0.51510937499999998</v>
      </c>
      <c r="AC18" s="55">
        <v>-4.9000000000000004</v>
      </c>
      <c r="AD18" s="55">
        <v>-4.70982905982906</v>
      </c>
      <c r="AE18" s="55">
        <v>0</v>
      </c>
      <c r="AF18" s="55"/>
    </row>
    <row r="19" spans="1:32" s="57" customFormat="1" ht="15.75" customHeight="1">
      <c r="A19" s="2" t="s">
        <v>71</v>
      </c>
      <c r="B19" s="2" t="s">
        <v>473</v>
      </c>
      <c r="C19" s="51">
        <v>14.99</v>
      </c>
      <c r="D19" s="51">
        <v>7</v>
      </c>
      <c r="E19" s="51">
        <v>0</v>
      </c>
      <c r="F19" s="51">
        <v>116.92999999999998</v>
      </c>
      <c r="G19" s="51">
        <v>0</v>
      </c>
      <c r="H19" s="51">
        <f t="shared" si="1"/>
        <v>0</v>
      </c>
      <c r="I19" s="51">
        <f t="shared" si="2"/>
        <v>0.25929029135975845</v>
      </c>
      <c r="J19" s="51">
        <f t="shared" si="26"/>
        <v>30.31881376869655</v>
      </c>
      <c r="K19" s="51">
        <f t="shared" si="3"/>
        <v>4.3312591098137929</v>
      </c>
      <c r="L19" s="51">
        <v>77</v>
      </c>
      <c r="M19" s="51">
        <f t="shared" si="5"/>
        <v>9.0909090909090912E-2</v>
      </c>
      <c r="N19" s="51">
        <v>24</v>
      </c>
      <c r="O19" s="51">
        <f t="shared" ref="O19:P19" si="29">D19/7</f>
        <v>1</v>
      </c>
      <c r="P19" s="51">
        <f t="shared" si="29"/>
        <v>0</v>
      </c>
      <c r="Q19" s="51">
        <f t="shared" si="7"/>
        <v>24</v>
      </c>
      <c r="R19" s="55">
        <v>0</v>
      </c>
      <c r="S19" s="53" t="s">
        <v>34</v>
      </c>
      <c r="T19" s="54" t="s">
        <v>34</v>
      </c>
      <c r="U19" s="55">
        <v>0</v>
      </c>
      <c r="V19" s="55">
        <f t="shared" si="8"/>
        <v>0</v>
      </c>
      <c r="W19" s="55">
        <f t="shared" si="9"/>
        <v>0</v>
      </c>
      <c r="X19" s="55">
        <v>0</v>
      </c>
      <c r="Y19" s="55" t="s">
        <v>35</v>
      </c>
      <c r="Z19" s="56">
        <f t="shared" si="19"/>
        <v>-0.75</v>
      </c>
      <c r="AA19" s="55">
        <v>0.11446875000000001</v>
      </c>
      <c r="AB19" s="55">
        <f t="shared" si="28"/>
        <v>-1.8028828125</v>
      </c>
      <c r="AC19" s="55">
        <v>-4.9000000000000004</v>
      </c>
      <c r="AD19" s="55">
        <v>-4.70982905982906</v>
      </c>
      <c r="AE19" s="55">
        <v>0</v>
      </c>
      <c r="AF19" s="55"/>
    </row>
    <row r="20" spans="1:32" s="57" customFormat="1" ht="15.75" customHeight="1">
      <c r="A20" s="2" t="s">
        <v>73</v>
      </c>
      <c r="B20" s="2" t="s">
        <v>46</v>
      </c>
      <c r="C20" s="51">
        <v>15.99</v>
      </c>
      <c r="D20" s="51">
        <v>16</v>
      </c>
      <c r="E20" s="51">
        <v>0</v>
      </c>
      <c r="F20" s="51">
        <v>267.85000000000002</v>
      </c>
      <c r="G20" s="51">
        <v>0</v>
      </c>
      <c r="H20" s="51">
        <f t="shared" si="1"/>
        <v>0</v>
      </c>
      <c r="I20" s="51">
        <f t="shared" si="2"/>
        <v>0.26057255942779556</v>
      </c>
      <c r="J20" s="51">
        <f t="shared" si="26"/>
        <v>69.79436004273505</v>
      </c>
      <c r="K20" s="51">
        <f t="shared" si="3"/>
        <v>4.3621475026709406</v>
      </c>
      <c r="L20" s="51">
        <v>92</v>
      </c>
      <c r="M20" s="51">
        <f t="shared" si="5"/>
        <v>0.17391304347826086</v>
      </c>
      <c r="N20" s="51">
        <v>3</v>
      </c>
      <c r="O20" s="51">
        <f t="shared" ref="O20:P20" si="30">D20/7</f>
        <v>2.2857142857142856</v>
      </c>
      <c r="P20" s="51">
        <f t="shared" si="30"/>
        <v>0</v>
      </c>
      <c r="Q20" s="51">
        <f t="shared" si="7"/>
        <v>1</v>
      </c>
      <c r="R20" s="55">
        <v>60</v>
      </c>
      <c r="S20" s="53" t="s">
        <v>34</v>
      </c>
      <c r="T20" s="54" t="s">
        <v>34</v>
      </c>
      <c r="U20" s="55">
        <v>0</v>
      </c>
      <c r="V20" s="55">
        <f t="shared" si="8"/>
        <v>0</v>
      </c>
      <c r="W20" s="55">
        <f t="shared" si="9"/>
        <v>0</v>
      </c>
      <c r="X20" s="55">
        <v>0</v>
      </c>
      <c r="Y20" s="55" t="s">
        <v>35</v>
      </c>
      <c r="Z20" s="56">
        <f t="shared" si="19"/>
        <v>-0.75</v>
      </c>
      <c r="AA20" s="55">
        <v>0.11446875000000001</v>
      </c>
      <c r="AB20" s="55">
        <f t="shared" si="28"/>
        <v>-4.1208749999999998</v>
      </c>
      <c r="AC20" s="55">
        <v>-4.9000000000000004</v>
      </c>
      <c r="AD20" s="55">
        <v>-4.70982905982906</v>
      </c>
      <c r="AE20" s="55">
        <v>0</v>
      </c>
      <c r="AF20" s="55"/>
    </row>
    <row r="21" spans="1:32" s="57" customFormat="1" ht="15.75" customHeight="1">
      <c r="A21" s="2" t="s">
        <v>75</v>
      </c>
      <c r="B21" s="2"/>
      <c r="C21" s="51">
        <v>17</v>
      </c>
      <c r="D21" s="51">
        <v>7</v>
      </c>
      <c r="E21" s="51">
        <v>0</v>
      </c>
      <c r="F21" s="51">
        <v>116.97</v>
      </c>
      <c r="G21" s="51">
        <v>-3.9</v>
      </c>
      <c r="H21" s="51">
        <f t="shared" si="1"/>
        <v>3.3341882533983069E-2</v>
      </c>
      <c r="I21" s="51">
        <f t="shared" si="2"/>
        <v>0.22615041265877203</v>
      </c>
      <c r="J21" s="51">
        <f t="shared" si="26"/>
        <v>26.452813768696565</v>
      </c>
      <c r="K21" s="51">
        <f t="shared" si="3"/>
        <v>3.7789733955280806</v>
      </c>
      <c r="L21" s="51">
        <v>104</v>
      </c>
      <c r="M21" s="51">
        <f t="shared" si="5"/>
        <v>6.7307692307692304E-2</v>
      </c>
      <c r="N21" s="51">
        <v>2</v>
      </c>
      <c r="O21" s="51">
        <f t="shared" ref="O21:P21" si="31">D21/7</f>
        <v>1</v>
      </c>
      <c r="P21" s="51">
        <f t="shared" si="31"/>
        <v>0</v>
      </c>
      <c r="Q21" s="51">
        <f t="shared" si="7"/>
        <v>2</v>
      </c>
      <c r="R21" s="55">
        <v>0</v>
      </c>
      <c r="S21" s="53" t="s">
        <v>34</v>
      </c>
      <c r="T21" s="54" t="s">
        <v>34</v>
      </c>
      <c r="U21" s="55">
        <v>0</v>
      </c>
      <c r="V21" s="55">
        <f t="shared" si="8"/>
        <v>0</v>
      </c>
      <c r="W21" s="55">
        <f t="shared" si="9"/>
        <v>0</v>
      </c>
      <c r="X21" s="55">
        <v>0</v>
      </c>
      <c r="Y21" s="55" t="s">
        <v>35</v>
      </c>
      <c r="Z21" s="56">
        <f t="shared" si="19"/>
        <v>-0.75</v>
      </c>
      <c r="AA21" s="55">
        <v>0.11446875000000001</v>
      </c>
      <c r="AB21" s="55">
        <f t="shared" si="28"/>
        <v>-1.8028828125</v>
      </c>
      <c r="AC21" s="55">
        <v>-4.9000000000000004</v>
      </c>
      <c r="AD21" s="55">
        <v>-4.70982905982906</v>
      </c>
      <c r="AE21" s="55">
        <v>0</v>
      </c>
      <c r="AF21" s="55"/>
    </row>
    <row r="22" spans="1:32" s="57" customFormat="1" ht="15.75" customHeight="1">
      <c r="A22" s="2" t="s">
        <v>77</v>
      </c>
      <c r="B22" s="2"/>
      <c r="C22" s="51">
        <v>17.989999999999998</v>
      </c>
      <c r="D22" s="51">
        <v>4</v>
      </c>
      <c r="E22" s="51">
        <v>0</v>
      </c>
      <c r="F22" s="51">
        <v>65.959999999999994</v>
      </c>
      <c r="G22" s="51">
        <v>0</v>
      </c>
      <c r="H22" s="51">
        <f t="shared" si="1"/>
        <v>0</v>
      </c>
      <c r="I22" s="51">
        <f t="shared" si="2"/>
        <v>0.2516140844554845</v>
      </c>
      <c r="J22" s="51">
        <f t="shared" si="26"/>
        <v>16.596465010683755</v>
      </c>
      <c r="K22" s="51">
        <f t="shared" si="3"/>
        <v>4.1491162526709386</v>
      </c>
      <c r="L22" s="51">
        <v>0</v>
      </c>
      <c r="M22" s="51" t="str">
        <f t="shared" si="5"/>
        <v>-</v>
      </c>
      <c r="N22" s="51">
        <v>0</v>
      </c>
      <c r="O22" s="51">
        <f t="shared" ref="O22:P22" si="32">D22/7</f>
        <v>0.5714285714285714</v>
      </c>
      <c r="P22" s="51">
        <f t="shared" si="32"/>
        <v>0</v>
      </c>
      <c r="Q22" s="51">
        <f t="shared" si="7"/>
        <v>0</v>
      </c>
      <c r="R22" s="55">
        <v>0</v>
      </c>
      <c r="S22" s="53" t="s">
        <v>34</v>
      </c>
      <c r="T22" s="54" t="s">
        <v>34</v>
      </c>
      <c r="U22" s="55">
        <v>0</v>
      </c>
      <c r="V22" s="55">
        <f t="shared" si="8"/>
        <v>0</v>
      </c>
      <c r="W22" s="55">
        <f t="shared" si="9"/>
        <v>0</v>
      </c>
      <c r="X22" s="55">
        <v>0</v>
      </c>
      <c r="Y22" s="55" t="s">
        <v>35</v>
      </c>
      <c r="Z22" s="56">
        <f t="shared" si="19"/>
        <v>-0.75</v>
      </c>
      <c r="AA22" s="55">
        <v>0.11446875000000001</v>
      </c>
      <c r="AB22" s="55">
        <f t="shared" si="28"/>
        <v>-1.03021875</v>
      </c>
      <c r="AC22" s="55">
        <v>-4.9000000000000004</v>
      </c>
      <c r="AD22" s="55">
        <v>-4.70982905982906</v>
      </c>
      <c r="AE22" s="55">
        <v>0</v>
      </c>
      <c r="AF22" s="55"/>
    </row>
    <row r="23" spans="1:32" s="57" customFormat="1" ht="15.75" customHeight="1">
      <c r="A23" s="2" t="s">
        <v>79</v>
      </c>
      <c r="B23" s="2"/>
      <c r="C23" s="51" t="s">
        <v>397</v>
      </c>
      <c r="D23" s="51">
        <v>0</v>
      </c>
      <c r="E23" s="51">
        <v>0</v>
      </c>
      <c r="F23" s="51">
        <v>0</v>
      </c>
      <c r="G23" s="51">
        <v>0</v>
      </c>
      <c r="H23" s="51" t="e">
        <f t="shared" si="1"/>
        <v>#DIV/0!</v>
      </c>
      <c r="I23" s="51" t="e">
        <f t="shared" si="2"/>
        <v>#DIV/0!</v>
      </c>
      <c r="J23" s="51">
        <f t="shared" si="26"/>
        <v>0</v>
      </c>
      <c r="K23" s="51" t="e">
        <f t="shared" si="3"/>
        <v>#DIV/0!</v>
      </c>
      <c r="L23" s="51">
        <v>0</v>
      </c>
      <c r="M23" s="51" t="str">
        <f t="shared" si="5"/>
        <v>-</v>
      </c>
      <c r="N23" s="51">
        <v>0</v>
      </c>
      <c r="O23" s="51">
        <f t="shared" ref="O23:P23" si="33">D23/7</f>
        <v>0</v>
      </c>
      <c r="P23" s="51">
        <f t="shared" si="33"/>
        <v>0</v>
      </c>
      <c r="Q23" s="51" t="e">
        <f t="shared" si="7"/>
        <v>#DIV/0!</v>
      </c>
      <c r="R23" s="55">
        <v>60</v>
      </c>
      <c r="S23" s="53">
        <v>60</v>
      </c>
      <c r="T23" s="54">
        <v>43969</v>
      </c>
      <c r="U23" s="55">
        <v>0</v>
      </c>
      <c r="V23" s="55">
        <f t="shared" si="8"/>
        <v>0</v>
      </c>
      <c r="W23" s="55">
        <f t="shared" si="9"/>
        <v>0</v>
      </c>
      <c r="X23" s="55">
        <v>0</v>
      </c>
      <c r="Y23" s="55" t="e">
        <v>#N/A</v>
      </c>
      <c r="Z23" s="56" t="e">
        <f t="shared" si="19"/>
        <v>#N/A</v>
      </c>
      <c r="AA23" s="55" t="e">
        <v>#N/A</v>
      </c>
      <c r="AB23" s="55">
        <f t="shared" si="28"/>
        <v>0</v>
      </c>
      <c r="AC23" s="55">
        <v>0</v>
      </c>
      <c r="AD23" s="55">
        <v>-4.70982905982906</v>
      </c>
      <c r="AE23" s="55">
        <v>0</v>
      </c>
      <c r="AF23" s="55"/>
    </row>
    <row r="24" spans="1:32" s="57" customFormat="1" ht="15.75" customHeight="1">
      <c r="A24" s="2" t="s">
        <v>80</v>
      </c>
      <c r="B24" s="26" t="s">
        <v>276</v>
      </c>
      <c r="C24" s="51"/>
      <c r="D24" s="51">
        <v>0</v>
      </c>
      <c r="E24" s="51">
        <v>0</v>
      </c>
      <c r="F24" s="51">
        <v>0</v>
      </c>
      <c r="G24" s="51">
        <v>0</v>
      </c>
      <c r="H24" s="51" t="e">
        <f t="shared" si="1"/>
        <v>#DIV/0!</v>
      </c>
      <c r="I24" s="51" t="e">
        <f t="shared" si="2"/>
        <v>#DIV/0!</v>
      </c>
      <c r="J24" s="51">
        <f t="shared" si="26"/>
        <v>0</v>
      </c>
      <c r="K24" s="51" t="e">
        <f t="shared" si="3"/>
        <v>#DIV/0!</v>
      </c>
      <c r="L24" s="51">
        <v>0</v>
      </c>
      <c r="M24" s="51" t="str">
        <f t="shared" si="5"/>
        <v>-</v>
      </c>
      <c r="N24" s="51">
        <v>0</v>
      </c>
      <c r="O24" s="51">
        <f t="shared" ref="O24:P24" si="34">D24/7</f>
        <v>0</v>
      </c>
      <c r="P24" s="51">
        <f t="shared" si="34"/>
        <v>0</v>
      </c>
      <c r="Q24" s="51" t="e">
        <f t="shared" si="7"/>
        <v>#DIV/0!</v>
      </c>
      <c r="R24" s="55">
        <v>60</v>
      </c>
      <c r="S24" s="53">
        <v>60</v>
      </c>
      <c r="T24" s="54">
        <v>43969</v>
      </c>
      <c r="U24" s="55">
        <v>0</v>
      </c>
      <c r="V24" s="55">
        <f t="shared" si="8"/>
        <v>0</v>
      </c>
      <c r="W24" s="55">
        <f t="shared" si="9"/>
        <v>0</v>
      </c>
      <c r="X24" s="55">
        <v>0</v>
      </c>
      <c r="Y24" s="55" t="e">
        <v>#N/A</v>
      </c>
      <c r="Z24" s="56" t="e">
        <f t="shared" si="19"/>
        <v>#N/A</v>
      </c>
      <c r="AA24" s="55" t="e">
        <v>#N/A</v>
      </c>
      <c r="AB24" s="55">
        <f t="shared" si="28"/>
        <v>0</v>
      </c>
      <c r="AC24" s="55">
        <v>0</v>
      </c>
      <c r="AD24" s="55">
        <v>-4.70982905982906</v>
      </c>
      <c r="AE24" s="55">
        <v>0</v>
      </c>
      <c r="AF24" s="55"/>
    </row>
    <row r="25" spans="1:32" s="57" customFormat="1" ht="15.75" customHeight="1">
      <c r="A25" s="2" t="s">
        <v>81</v>
      </c>
      <c r="B25" s="2" t="s">
        <v>474</v>
      </c>
      <c r="C25" s="51"/>
      <c r="D25" s="51">
        <v>0</v>
      </c>
      <c r="E25" s="51">
        <v>0</v>
      </c>
      <c r="F25" s="51">
        <v>0</v>
      </c>
      <c r="G25" s="51">
        <v>0</v>
      </c>
      <c r="H25" s="51" t="e">
        <f t="shared" si="1"/>
        <v>#DIV/0!</v>
      </c>
      <c r="I25" s="51" t="e">
        <f t="shared" si="2"/>
        <v>#DIV/0!</v>
      </c>
      <c r="J25" s="51">
        <f t="shared" si="26"/>
        <v>0</v>
      </c>
      <c r="K25" s="51" t="e">
        <f t="shared" si="3"/>
        <v>#DIV/0!</v>
      </c>
      <c r="L25" s="51">
        <v>0</v>
      </c>
      <c r="M25" s="51" t="str">
        <f t="shared" si="5"/>
        <v>-</v>
      </c>
      <c r="N25" s="51">
        <v>0</v>
      </c>
      <c r="O25" s="51">
        <f t="shared" ref="O25:P25" si="35">D25/7</f>
        <v>0</v>
      </c>
      <c r="P25" s="51">
        <f t="shared" si="35"/>
        <v>0</v>
      </c>
      <c r="Q25" s="51" t="e">
        <f t="shared" si="7"/>
        <v>#DIV/0!</v>
      </c>
      <c r="R25" s="55">
        <v>0</v>
      </c>
      <c r="S25" s="53" t="s">
        <v>34</v>
      </c>
      <c r="T25" s="54" t="s">
        <v>34</v>
      </c>
      <c r="U25" s="55">
        <v>0</v>
      </c>
      <c r="V25" s="55">
        <f t="shared" si="8"/>
        <v>0</v>
      </c>
      <c r="W25" s="55">
        <f t="shared" si="9"/>
        <v>0</v>
      </c>
      <c r="X25" s="55">
        <v>0</v>
      </c>
      <c r="Y25" s="55" t="e">
        <v>#N/A</v>
      </c>
      <c r="Z25" s="56" t="e">
        <f t="shared" si="19"/>
        <v>#N/A</v>
      </c>
      <c r="AA25" s="55" t="e">
        <v>#N/A</v>
      </c>
      <c r="AB25" s="55">
        <f t="shared" si="28"/>
        <v>0</v>
      </c>
      <c r="AC25" s="55">
        <v>0</v>
      </c>
      <c r="AD25" s="55">
        <v>-4.70982905982906</v>
      </c>
      <c r="AE25" s="55">
        <v>0</v>
      </c>
      <c r="AF25" s="55"/>
    </row>
    <row r="26" spans="1:32" s="57" customFormat="1" ht="15.75" customHeight="1">
      <c r="A26" s="2" t="s">
        <v>83</v>
      </c>
      <c r="B26" s="2" t="s">
        <v>475</v>
      </c>
      <c r="C26" s="51" t="str">
        <f t="shared" ref="C26:C39" si="36">IFERROR(F26/D26," - ")</f>
        <v xml:space="preserve"> - </v>
      </c>
      <c r="D26" s="51">
        <v>0</v>
      </c>
      <c r="E26" s="51">
        <v>0</v>
      </c>
      <c r="F26" s="51">
        <v>0</v>
      </c>
      <c r="G26" s="51">
        <v>0</v>
      </c>
      <c r="H26" s="51" t="e">
        <f t="shared" si="1"/>
        <v>#DIV/0!</v>
      </c>
      <c r="I26" s="51" t="e">
        <f t="shared" si="2"/>
        <v>#DIV/0!</v>
      </c>
      <c r="J26" s="51">
        <f t="shared" si="26"/>
        <v>0</v>
      </c>
      <c r="K26" s="51" t="e">
        <f t="shared" si="3"/>
        <v>#DIV/0!</v>
      </c>
      <c r="L26" s="51">
        <v>0</v>
      </c>
      <c r="M26" s="51" t="str">
        <f t="shared" si="5"/>
        <v>-</v>
      </c>
      <c r="N26" s="51">
        <v>0</v>
      </c>
      <c r="O26" s="51">
        <f t="shared" ref="O26:P26" si="37">D26/7</f>
        <v>0</v>
      </c>
      <c r="P26" s="51">
        <f t="shared" si="37"/>
        <v>0</v>
      </c>
      <c r="Q26" s="51" t="e">
        <f t="shared" si="7"/>
        <v>#DIV/0!</v>
      </c>
      <c r="R26" s="55">
        <v>0</v>
      </c>
      <c r="S26" s="53" t="s">
        <v>34</v>
      </c>
      <c r="T26" s="54" t="s">
        <v>34</v>
      </c>
      <c r="U26" s="55">
        <v>0</v>
      </c>
      <c r="V26" s="55">
        <f t="shared" si="8"/>
        <v>0</v>
      </c>
      <c r="W26" s="55">
        <f t="shared" si="9"/>
        <v>0</v>
      </c>
      <c r="X26" s="55">
        <v>0</v>
      </c>
      <c r="Y26" s="55" t="e">
        <v>#N/A</v>
      </c>
      <c r="Z26" s="56" t="e">
        <f t="shared" si="19"/>
        <v>#N/A</v>
      </c>
      <c r="AA26" s="55" t="e">
        <v>#N/A</v>
      </c>
      <c r="AB26" s="55">
        <f t="shared" si="28"/>
        <v>0</v>
      </c>
      <c r="AC26" s="55">
        <v>0</v>
      </c>
      <c r="AD26" s="55">
        <v>-4.70982905982906</v>
      </c>
      <c r="AE26" s="55">
        <v>0</v>
      </c>
      <c r="AF26" s="55"/>
    </row>
    <row r="27" spans="1:32" s="57" customFormat="1" ht="15.75" customHeight="1">
      <c r="A27" s="2" t="s">
        <v>84</v>
      </c>
      <c r="B27" s="2" t="s">
        <v>476</v>
      </c>
      <c r="C27" s="51" t="str">
        <f t="shared" si="36"/>
        <v xml:space="preserve"> - </v>
      </c>
      <c r="D27" s="51">
        <v>0</v>
      </c>
      <c r="E27" s="51">
        <v>0</v>
      </c>
      <c r="F27" s="51">
        <v>0</v>
      </c>
      <c r="G27" s="51">
        <v>0</v>
      </c>
      <c r="H27" s="51" t="e">
        <f t="shared" si="1"/>
        <v>#DIV/0!</v>
      </c>
      <c r="I27" s="51" t="e">
        <f t="shared" si="2"/>
        <v>#DIV/0!</v>
      </c>
      <c r="J27" s="51">
        <f t="shared" si="26"/>
        <v>0</v>
      </c>
      <c r="K27" s="51" t="e">
        <f t="shared" si="3"/>
        <v>#DIV/0!</v>
      </c>
      <c r="L27" s="51">
        <v>0</v>
      </c>
      <c r="M27" s="51" t="str">
        <f t="shared" si="5"/>
        <v>-</v>
      </c>
      <c r="N27" s="51">
        <v>0</v>
      </c>
      <c r="O27" s="51">
        <f t="shared" ref="O27:P27" si="38">D27/7</f>
        <v>0</v>
      </c>
      <c r="P27" s="51">
        <f t="shared" si="38"/>
        <v>0</v>
      </c>
      <c r="Q27" s="51" t="e">
        <f t="shared" si="7"/>
        <v>#DIV/0!</v>
      </c>
      <c r="R27" s="55">
        <v>0</v>
      </c>
      <c r="S27" s="53" t="s">
        <v>34</v>
      </c>
      <c r="T27" s="54" t="s">
        <v>34</v>
      </c>
      <c r="U27" s="55">
        <v>0</v>
      </c>
      <c r="V27" s="55">
        <f t="shared" si="8"/>
        <v>0</v>
      </c>
      <c r="W27" s="55">
        <f t="shared" si="9"/>
        <v>0</v>
      </c>
      <c r="X27" s="55">
        <v>0</v>
      </c>
      <c r="Y27" s="55" t="e">
        <v>#N/A</v>
      </c>
      <c r="Z27" s="56" t="e">
        <f t="shared" si="19"/>
        <v>#N/A</v>
      </c>
      <c r="AA27" s="55" t="e">
        <v>#N/A</v>
      </c>
      <c r="AB27" s="55">
        <f t="shared" si="28"/>
        <v>0</v>
      </c>
      <c r="AC27" s="55">
        <v>0</v>
      </c>
      <c r="AD27" s="55">
        <v>-4.70982905982906</v>
      </c>
      <c r="AE27" s="55">
        <v>0</v>
      </c>
      <c r="AF27" s="55"/>
    </row>
    <row r="28" spans="1:32" s="57" customFormat="1" ht="15.75" customHeight="1">
      <c r="A28" s="2" t="s">
        <v>86</v>
      </c>
      <c r="B28" s="2"/>
      <c r="C28" s="51" t="str">
        <f t="shared" si="36"/>
        <v xml:space="preserve"> - </v>
      </c>
      <c r="D28" s="51">
        <v>0</v>
      </c>
      <c r="E28" s="51">
        <v>0</v>
      </c>
      <c r="F28" s="51">
        <v>0</v>
      </c>
      <c r="G28" s="51">
        <v>0</v>
      </c>
      <c r="H28" s="51" t="e">
        <f t="shared" si="1"/>
        <v>#DIV/0!</v>
      </c>
      <c r="I28" s="51" t="e">
        <f t="shared" si="2"/>
        <v>#DIV/0!</v>
      </c>
      <c r="J28" s="51">
        <f t="shared" si="26"/>
        <v>0</v>
      </c>
      <c r="K28" s="51" t="e">
        <f t="shared" si="3"/>
        <v>#DIV/0!</v>
      </c>
      <c r="L28" s="51">
        <v>0</v>
      </c>
      <c r="M28" s="51" t="str">
        <f t="shared" si="5"/>
        <v>-</v>
      </c>
      <c r="N28" s="51">
        <v>0</v>
      </c>
      <c r="O28" s="51">
        <f t="shared" ref="O28:P28" si="39">D28/7</f>
        <v>0</v>
      </c>
      <c r="P28" s="51">
        <f t="shared" si="39"/>
        <v>0</v>
      </c>
      <c r="Q28" s="51" t="e">
        <f t="shared" si="7"/>
        <v>#DIV/0!</v>
      </c>
      <c r="R28" s="55">
        <v>0</v>
      </c>
      <c r="S28" s="53" t="s">
        <v>34</v>
      </c>
      <c r="T28" s="54" t="s">
        <v>34</v>
      </c>
      <c r="U28" s="55">
        <v>0</v>
      </c>
      <c r="V28" s="55">
        <f t="shared" si="8"/>
        <v>0</v>
      </c>
      <c r="W28" s="55">
        <f t="shared" si="9"/>
        <v>0</v>
      </c>
      <c r="X28" s="55">
        <v>0</v>
      </c>
      <c r="Y28" s="55" t="e">
        <v>#N/A</v>
      </c>
      <c r="Z28" s="56" t="e">
        <f t="shared" si="19"/>
        <v>#N/A</v>
      </c>
      <c r="AA28" s="55" t="e">
        <v>#N/A</v>
      </c>
      <c r="AB28" s="55">
        <f t="shared" si="28"/>
        <v>0</v>
      </c>
      <c r="AC28" s="55">
        <v>0</v>
      </c>
      <c r="AD28" s="55">
        <v>-4.70982905982906</v>
      </c>
      <c r="AE28" s="55">
        <v>0</v>
      </c>
      <c r="AF28" s="55"/>
    </row>
    <row r="29" spans="1:32" s="57" customFormat="1" ht="15.75" customHeight="1">
      <c r="A29" s="2" t="s">
        <v>87</v>
      </c>
      <c r="B29" s="2" t="s">
        <v>477</v>
      </c>
      <c r="C29" s="51">
        <f t="shared" si="36"/>
        <v>15.99</v>
      </c>
      <c r="D29" s="51">
        <v>3</v>
      </c>
      <c r="E29" s="51">
        <v>0</v>
      </c>
      <c r="F29" s="51">
        <v>47.97</v>
      </c>
      <c r="G29" s="51">
        <v>0</v>
      </c>
      <c r="H29" s="51">
        <f t="shared" si="1"/>
        <v>0</v>
      </c>
      <c r="I29" s="51">
        <f t="shared" si="2"/>
        <v>0.23290283006072163</v>
      </c>
      <c r="J29" s="51">
        <f t="shared" si="26"/>
        <v>11.172348758012816</v>
      </c>
      <c r="K29" s="51">
        <f t="shared" si="3"/>
        <v>3.7241162526709388</v>
      </c>
      <c r="L29" s="51">
        <v>14</v>
      </c>
      <c r="M29" s="51">
        <f t="shared" si="5"/>
        <v>0.21428571428571427</v>
      </c>
      <c r="N29" s="51">
        <v>3</v>
      </c>
      <c r="O29" s="51">
        <f t="shared" ref="O29:P29" si="40">D29/7</f>
        <v>0.42857142857142855</v>
      </c>
      <c r="P29" s="51">
        <f t="shared" si="40"/>
        <v>0</v>
      </c>
      <c r="Q29" s="51">
        <f t="shared" si="7"/>
        <v>7</v>
      </c>
      <c r="R29" s="55">
        <v>0</v>
      </c>
      <c r="S29" s="53" t="s">
        <v>34</v>
      </c>
      <c r="T29" s="54" t="s">
        <v>34</v>
      </c>
      <c r="U29" s="55">
        <v>0</v>
      </c>
      <c r="V29" s="55">
        <f t="shared" si="8"/>
        <v>0</v>
      </c>
      <c r="W29" s="55">
        <f t="shared" si="9"/>
        <v>0</v>
      </c>
      <c r="X29" s="55">
        <v>0</v>
      </c>
      <c r="Y29" s="55" t="s">
        <v>35</v>
      </c>
      <c r="Z29" s="56">
        <f t="shared" si="19"/>
        <v>-0.75</v>
      </c>
      <c r="AA29" s="55">
        <v>0.11446875000000001</v>
      </c>
      <c r="AB29" s="55">
        <f t="shared" si="28"/>
        <v>-0.77266406249999997</v>
      </c>
      <c r="AC29" s="55">
        <v>-4.9000000000000004</v>
      </c>
      <c r="AD29" s="55">
        <v>-4.70982905982906</v>
      </c>
      <c r="AE29" s="55">
        <v>0</v>
      </c>
      <c r="AF29" s="55"/>
    </row>
    <row r="30" spans="1:32" s="57" customFormat="1" ht="15.75" customHeight="1">
      <c r="A30" s="2" t="s">
        <v>89</v>
      </c>
      <c r="B30" s="2"/>
      <c r="C30" s="51">
        <f t="shared" si="36"/>
        <v>16.326666666666668</v>
      </c>
      <c r="D30" s="51">
        <v>3</v>
      </c>
      <c r="E30" s="51">
        <v>0</v>
      </c>
      <c r="F30" s="51">
        <v>48.980000000000004</v>
      </c>
      <c r="G30" s="51">
        <v>-0.03</v>
      </c>
      <c r="H30" s="51">
        <f t="shared" si="1"/>
        <v>6.1249489587586763E-4</v>
      </c>
      <c r="I30" s="51">
        <f t="shared" si="2"/>
        <v>0.24501528701536995</v>
      </c>
      <c r="J30" s="51">
        <f t="shared" si="26"/>
        <v>12.000848758012822</v>
      </c>
      <c r="K30" s="51">
        <f t="shared" si="3"/>
        <v>4.0002829193376073</v>
      </c>
      <c r="L30" s="51">
        <v>13</v>
      </c>
      <c r="M30" s="51">
        <f t="shared" si="5"/>
        <v>0.23076923076923078</v>
      </c>
      <c r="N30" s="51">
        <v>0</v>
      </c>
      <c r="O30" s="51">
        <f t="shared" ref="O30:P30" si="41">D30/7</f>
        <v>0.42857142857142855</v>
      </c>
      <c r="P30" s="51">
        <f t="shared" si="41"/>
        <v>0</v>
      </c>
      <c r="Q30" s="51">
        <f t="shared" si="7"/>
        <v>0</v>
      </c>
      <c r="R30" s="55">
        <v>0</v>
      </c>
      <c r="S30" s="53" t="s">
        <v>34</v>
      </c>
      <c r="T30" s="54" t="s">
        <v>34</v>
      </c>
      <c r="U30" s="55">
        <v>0</v>
      </c>
      <c r="V30" s="55">
        <f t="shared" si="8"/>
        <v>0</v>
      </c>
      <c r="W30" s="55">
        <f t="shared" si="9"/>
        <v>0</v>
      </c>
      <c r="X30" s="55">
        <v>0</v>
      </c>
      <c r="Y30" s="55" t="s">
        <v>35</v>
      </c>
      <c r="Z30" s="56">
        <f t="shared" si="19"/>
        <v>-0.75</v>
      </c>
      <c r="AA30" s="55">
        <v>0.11446875000000001</v>
      </c>
      <c r="AB30" s="55">
        <f t="shared" si="28"/>
        <v>-0.77266406249999997</v>
      </c>
      <c r="AC30" s="55">
        <v>-4.9000000000000004</v>
      </c>
      <c r="AD30" s="55">
        <v>-4.70982905982906</v>
      </c>
      <c r="AE30" s="55">
        <v>0</v>
      </c>
      <c r="AF30" s="55"/>
    </row>
    <row r="31" spans="1:32" s="57" customFormat="1" ht="15.75" customHeight="1">
      <c r="A31" s="2" t="s">
        <v>90</v>
      </c>
      <c r="B31" s="2"/>
      <c r="C31" s="51" t="str">
        <f t="shared" si="36"/>
        <v xml:space="preserve"> - </v>
      </c>
      <c r="D31" s="51">
        <v>0</v>
      </c>
      <c r="E31" s="51">
        <v>0</v>
      </c>
      <c r="F31" s="51">
        <v>0</v>
      </c>
      <c r="G31" s="51">
        <v>0</v>
      </c>
      <c r="H31" s="51" t="e">
        <f t="shared" si="1"/>
        <v>#DIV/0!</v>
      </c>
      <c r="I31" s="51" t="e">
        <f t="shared" si="2"/>
        <v>#DIV/0!</v>
      </c>
      <c r="J31" s="51">
        <f t="shared" si="26"/>
        <v>0</v>
      </c>
      <c r="K31" s="51" t="e">
        <f t="shared" si="3"/>
        <v>#DIV/0!</v>
      </c>
      <c r="L31" s="51">
        <v>0</v>
      </c>
      <c r="M31" s="51" t="str">
        <f t="shared" si="5"/>
        <v>-</v>
      </c>
      <c r="N31" s="51">
        <v>0</v>
      </c>
      <c r="O31" s="51">
        <f t="shared" ref="O31:P31" si="42">D31/7</f>
        <v>0</v>
      </c>
      <c r="P31" s="51">
        <f t="shared" si="42"/>
        <v>0</v>
      </c>
      <c r="Q31" s="51" t="e">
        <f t="shared" si="7"/>
        <v>#DIV/0!</v>
      </c>
      <c r="R31" s="55">
        <v>0</v>
      </c>
      <c r="S31" s="53" t="s">
        <v>34</v>
      </c>
      <c r="T31" s="54" t="s">
        <v>34</v>
      </c>
      <c r="U31" s="55">
        <v>0</v>
      </c>
      <c r="V31" s="55">
        <f t="shared" si="8"/>
        <v>0</v>
      </c>
      <c r="W31" s="55">
        <f t="shared" si="9"/>
        <v>0</v>
      </c>
      <c r="X31" s="55">
        <v>0</v>
      </c>
      <c r="Y31" s="55" t="e">
        <v>#N/A</v>
      </c>
      <c r="Z31" s="56" t="e">
        <f t="shared" si="19"/>
        <v>#N/A</v>
      </c>
      <c r="AA31" s="55" t="e">
        <v>#N/A</v>
      </c>
      <c r="AB31" s="55">
        <f t="shared" si="28"/>
        <v>0</v>
      </c>
      <c r="AC31" s="55">
        <v>0</v>
      </c>
      <c r="AD31" s="55">
        <v>-4.70982905982906</v>
      </c>
      <c r="AE31" s="55">
        <v>0</v>
      </c>
      <c r="AF31" s="55"/>
    </row>
    <row r="32" spans="1:32" s="57" customFormat="1" ht="15.75" customHeight="1">
      <c r="A32" s="2" t="s">
        <v>92</v>
      </c>
      <c r="B32" s="2"/>
      <c r="C32" s="51" t="str">
        <f t="shared" si="36"/>
        <v xml:space="preserve"> - </v>
      </c>
      <c r="D32" s="51">
        <v>0</v>
      </c>
      <c r="E32" s="51">
        <v>0</v>
      </c>
      <c r="F32" s="51">
        <v>0</v>
      </c>
      <c r="G32" s="51">
        <v>0</v>
      </c>
      <c r="H32" s="51" t="e">
        <f t="shared" si="1"/>
        <v>#DIV/0!</v>
      </c>
      <c r="I32" s="51" t="e">
        <f t="shared" si="2"/>
        <v>#DIV/0!</v>
      </c>
      <c r="J32" s="51">
        <f t="shared" si="26"/>
        <v>0</v>
      </c>
      <c r="K32" s="51" t="e">
        <f t="shared" si="3"/>
        <v>#DIV/0!</v>
      </c>
      <c r="L32" s="51">
        <v>0</v>
      </c>
      <c r="M32" s="51" t="str">
        <f t="shared" si="5"/>
        <v>-</v>
      </c>
      <c r="N32" s="51">
        <v>0</v>
      </c>
      <c r="O32" s="51">
        <f t="shared" ref="O32:P32" si="43">D32/7</f>
        <v>0</v>
      </c>
      <c r="P32" s="51">
        <f t="shared" si="43"/>
        <v>0</v>
      </c>
      <c r="Q32" s="51" t="e">
        <f t="shared" si="7"/>
        <v>#DIV/0!</v>
      </c>
      <c r="R32" s="55">
        <v>0</v>
      </c>
      <c r="S32" s="53" t="s">
        <v>34</v>
      </c>
      <c r="T32" s="54" t="s">
        <v>34</v>
      </c>
      <c r="U32" s="55">
        <v>0</v>
      </c>
      <c r="V32" s="55">
        <f t="shared" si="8"/>
        <v>0</v>
      </c>
      <c r="W32" s="55">
        <f t="shared" si="9"/>
        <v>0</v>
      </c>
      <c r="X32" s="55">
        <v>0</v>
      </c>
      <c r="Y32" s="55" t="e">
        <v>#N/A</v>
      </c>
      <c r="Z32" s="56" t="e">
        <f t="shared" si="19"/>
        <v>#N/A</v>
      </c>
      <c r="AA32" s="55" t="e">
        <v>#N/A</v>
      </c>
      <c r="AB32" s="55">
        <f t="shared" si="28"/>
        <v>0</v>
      </c>
      <c r="AC32" s="55">
        <v>0</v>
      </c>
      <c r="AD32" s="55">
        <v>-4.70982905982906</v>
      </c>
      <c r="AE32" s="55">
        <v>0</v>
      </c>
      <c r="AF32" s="52" t="e">
        <v>#N/A</v>
      </c>
    </row>
    <row r="33" spans="1:32" s="57" customFormat="1" ht="15.75" customHeight="1">
      <c r="A33" s="2" t="s">
        <v>94</v>
      </c>
      <c r="B33" s="2"/>
      <c r="C33" s="51" t="str">
        <f t="shared" si="36"/>
        <v xml:space="preserve"> - </v>
      </c>
      <c r="D33" s="51">
        <v>0</v>
      </c>
      <c r="E33" s="51">
        <v>0</v>
      </c>
      <c r="F33" s="51">
        <v>0</v>
      </c>
      <c r="G33" s="51">
        <v>0</v>
      </c>
      <c r="H33" s="51" t="e">
        <f t="shared" si="1"/>
        <v>#DIV/0!</v>
      </c>
      <c r="I33" s="51" t="e">
        <f t="shared" si="2"/>
        <v>#DIV/0!</v>
      </c>
      <c r="J33" s="51">
        <f t="shared" si="26"/>
        <v>0</v>
      </c>
      <c r="K33" s="51" t="e">
        <f t="shared" si="3"/>
        <v>#DIV/0!</v>
      </c>
      <c r="L33" s="51">
        <v>0</v>
      </c>
      <c r="M33" s="51" t="str">
        <f t="shared" si="5"/>
        <v>-</v>
      </c>
      <c r="N33" s="51">
        <v>0</v>
      </c>
      <c r="O33" s="51">
        <f t="shared" ref="O33:P33" si="44">D33/7</f>
        <v>0</v>
      </c>
      <c r="P33" s="51">
        <f t="shared" si="44"/>
        <v>0</v>
      </c>
      <c r="Q33" s="51" t="e">
        <f t="shared" si="7"/>
        <v>#DIV/0!</v>
      </c>
      <c r="R33" s="55">
        <v>0</v>
      </c>
      <c r="S33" s="53" t="s">
        <v>34</v>
      </c>
      <c r="T33" s="54" t="s">
        <v>34</v>
      </c>
      <c r="U33" s="55">
        <v>0</v>
      </c>
      <c r="V33" s="55">
        <f t="shared" si="8"/>
        <v>0</v>
      </c>
      <c r="W33" s="55">
        <f t="shared" si="9"/>
        <v>0</v>
      </c>
      <c r="X33" s="55">
        <v>0</v>
      </c>
      <c r="Y33" s="55" t="e">
        <v>#N/A</v>
      </c>
      <c r="Z33" s="56" t="e">
        <f t="shared" si="19"/>
        <v>#N/A</v>
      </c>
      <c r="AA33" s="55" t="e">
        <v>#N/A</v>
      </c>
      <c r="AB33" s="55">
        <f t="shared" si="28"/>
        <v>0</v>
      </c>
      <c r="AC33" s="55">
        <v>0</v>
      </c>
      <c r="AD33" s="55">
        <v>-4.70982905982906</v>
      </c>
      <c r="AE33" s="55">
        <v>0</v>
      </c>
      <c r="AF33" s="55" t="e">
        <v>#N/A</v>
      </c>
    </row>
    <row r="34" spans="1:32" s="57" customFormat="1" ht="15.75" customHeight="1">
      <c r="A34" s="2" t="s">
        <v>95</v>
      </c>
      <c r="B34" s="2"/>
      <c r="C34" s="51" t="str">
        <f t="shared" si="36"/>
        <v xml:space="preserve"> - </v>
      </c>
      <c r="D34" s="51">
        <v>0</v>
      </c>
      <c r="E34" s="51">
        <v>0</v>
      </c>
      <c r="F34" s="51">
        <v>0</v>
      </c>
      <c r="G34" s="51">
        <v>0</v>
      </c>
      <c r="H34" s="51" t="e">
        <f t="shared" si="1"/>
        <v>#DIV/0!</v>
      </c>
      <c r="I34" s="51" t="e">
        <f t="shared" si="2"/>
        <v>#DIV/0!</v>
      </c>
      <c r="J34" s="51">
        <f t="shared" si="26"/>
        <v>0</v>
      </c>
      <c r="K34" s="51" t="e">
        <f t="shared" si="3"/>
        <v>#DIV/0!</v>
      </c>
      <c r="L34" s="51">
        <v>0</v>
      </c>
      <c r="M34" s="51" t="str">
        <f t="shared" si="5"/>
        <v>-</v>
      </c>
      <c r="N34" s="51">
        <v>0</v>
      </c>
      <c r="O34" s="51">
        <f t="shared" ref="O34:P34" si="45">D34/7</f>
        <v>0</v>
      </c>
      <c r="P34" s="51">
        <f t="shared" si="45"/>
        <v>0</v>
      </c>
      <c r="Q34" s="51" t="e">
        <f t="shared" si="7"/>
        <v>#DIV/0!</v>
      </c>
      <c r="R34" s="55">
        <v>0</v>
      </c>
      <c r="S34" s="53" t="s">
        <v>34</v>
      </c>
      <c r="T34" s="54" t="s">
        <v>34</v>
      </c>
      <c r="U34" s="55">
        <v>0</v>
      </c>
      <c r="V34" s="55">
        <f t="shared" si="8"/>
        <v>0</v>
      </c>
      <c r="W34" s="55">
        <f t="shared" si="9"/>
        <v>0</v>
      </c>
      <c r="X34" s="55">
        <v>0</v>
      </c>
      <c r="Y34" s="55" t="e">
        <v>#N/A</v>
      </c>
      <c r="Z34" s="56" t="e">
        <f t="shared" si="19"/>
        <v>#N/A</v>
      </c>
      <c r="AA34" s="55" t="e">
        <v>#N/A</v>
      </c>
      <c r="AB34" s="55">
        <f t="shared" si="28"/>
        <v>0</v>
      </c>
      <c r="AC34" s="55">
        <v>0</v>
      </c>
      <c r="AD34" s="55">
        <v>-4.70982905982906</v>
      </c>
      <c r="AE34" s="55">
        <v>0</v>
      </c>
      <c r="AF34" s="55" t="e">
        <v>#N/A</v>
      </c>
    </row>
    <row r="35" spans="1:32" s="57" customFormat="1" ht="15.75" customHeight="1">
      <c r="A35" s="2" t="s">
        <v>96</v>
      </c>
      <c r="B35" s="2"/>
      <c r="C35" s="51" t="str">
        <f t="shared" si="36"/>
        <v xml:space="preserve"> - </v>
      </c>
      <c r="D35" s="51">
        <v>0</v>
      </c>
      <c r="E35" s="51">
        <v>0</v>
      </c>
      <c r="F35" s="51">
        <v>0</v>
      </c>
      <c r="G35" s="51">
        <v>0</v>
      </c>
      <c r="H35" s="51" t="e">
        <f t="shared" si="1"/>
        <v>#DIV/0!</v>
      </c>
      <c r="I35" s="51" t="e">
        <f t="shared" si="2"/>
        <v>#DIV/0!</v>
      </c>
      <c r="J35" s="51">
        <f t="shared" si="26"/>
        <v>0</v>
      </c>
      <c r="K35" s="51" t="e">
        <f t="shared" si="3"/>
        <v>#DIV/0!</v>
      </c>
      <c r="L35" s="51">
        <v>0</v>
      </c>
      <c r="M35" s="51" t="str">
        <f t="shared" si="5"/>
        <v>-</v>
      </c>
      <c r="N35" s="51">
        <v>0</v>
      </c>
      <c r="O35" s="51">
        <f t="shared" ref="O35:P35" si="46">D35/7</f>
        <v>0</v>
      </c>
      <c r="P35" s="51">
        <f t="shared" si="46"/>
        <v>0</v>
      </c>
      <c r="Q35" s="51" t="e">
        <f t="shared" si="7"/>
        <v>#DIV/0!</v>
      </c>
      <c r="R35" s="55">
        <v>0</v>
      </c>
      <c r="S35" s="53" t="s">
        <v>34</v>
      </c>
      <c r="T35" s="54" t="s">
        <v>34</v>
      </c>
      <c r="U35" s="55">
        <v>0</v>
      </c>
      <c r="V35" s="55">
        <f t="shared" si="8"/>
        <v>0</v>
      </c>
      <c r="W35" s="55">
        <f t="shared" si="9"/>
        <v>0</v>
      </c>
      <c r="X35" s="55">
        <v>0</v>
      </c>
      <c r="Y35" s="55" t="e">
        <v>#N/A</v>
      </c>
      <c r="Z35" s="56" t="e">
        <f t="shared" si="19"/>
        <v>#N/A</v>
      </c>
      <c r="AA35" s="55" t="e">
        <v>#N/A</v>
      </c>
      <c r="AB35" s="55">
        <f t="shared" si="28"/>
        <v>0</v>
      </c>
      <c r="AC35" s="55">
        <v>0</v>
      </c>
      <c r="AD35" s="55">
        <v>-4.70982905982906</v>
      </c>
      <c r="AE35" s="55">
        <v>0</v>
      </c>
      <c r="AF35" s="55" t="e">
        <v>#N/A</v>
      </c>
    </row>
    <row r="36" spans="1:32" s="57" customFormat="1" ht="15.75" customHeight="1">
      <c r="A36" s="2" t="s">
        <v>98</v>
      </c>
      <c r="B36" s="2"/>
      <c r="C36" s="51" t="str">
        <f t="shared" si="36"/>
        <v xml:space="preserve"> - </v>
      </c>
      <c r="D36" s="51">
        <v>0</v>
      </c>
      <c r="E36" s="51">
        <v>0</v>
      </c>
      <c r="F36" s="51">
        <v>0</v>
      </c>
      <c r="G36" s="51">
        <v>0</v>
      </c>
      <c r="H36" s="51" t="e">
        <f t="shared" si="1"/>
        <v>#DIV/0!</v>
      </c>
      <c r="I36" s="51" t="e">
        <f t="shared" si="2"/>
        <v>#DIV/0!</v>
      </c>
      <c r="J36" s="51">
        <f t="shared" si="26"/>
        <v>0</v>
      </c>
      <c r="K36" s="51" t="e">
        <f t="shared" si="3"/>
        <v>#DIV/0!</v>
      </c>
      <c r="L36" s="51">
        <v>0</v>
      </c>
      <c r="M36" s="51" t="str">
        <f t="shared" si="5"/>
        <v>-</v>
      </c>
      <c r="N36" s="51">
        <v>0</v>
      </c>
      <c r="O36" s="51">
        <f t="shared" ref="O36:P36" si="47">D36/7</f>
        <v>0</v>
      </c>
      <c r="P36" s="51">
        <f t="shared" si="47"/>
        <v>0</v>
      </c>
      <c r="Q36" s="51" t="e">
        <f t="shared" si="7"/>
        <v>#DIV/0!</v>
      </c>
      <c r="R36" s="55">
        <v>0</v>
      </c>
      <c r="S36" s="53"/>
      <c r="T36" s="54" t="s">
        <v>34</v>
      </c>
      <c r="U36" s="55"/>
      <c r="V36" s="55">
        <f t="shared" si="8"/>
        <v>0</v>
      </c>
      <c r="W36" s="55">
        <f t="shared" si="9"/>
        <v>0</v>
      </c>
      <c r="X36" s="55"/>
      <c r="Y36" s="55" t="e">
        <v>#N/A</v>
      </c>
      <c r="Z36" s="56" t="e">
        <f t="shared" si="19"/>
        <v>#N/A</v>
      </c>
      <c r="AA36" s="55" t="e">
        <v>#N/A</v>
      </c>
      <c r="AB36" s="55">
        <f t="shared" si="28"/>
        <v>0</v>
      </c>
      <c r="AC36" s="55">
        <v>0</v>
      </c>
      <c r="AD36" s="55">
        <v>-4.70982905982906</v>
      </c>
      <c r="AE36" s="55">
        <v>0</v>
      </c>
      <c r="AF36" s="55" t="e">
        <v>#N/A</v>
      </c>
    </row>
    <row r="37" spans="1:32" s="57" customFormat="1" ht="15.75" customHeight="1">
      <c r="A37" s="2" t="s">
        <v>99</v>
      </c>
      <c r="B37" s="2"/>
      <c r="C37" s="51" t="str">
        <f t="shared" si="36"/>
        <v xml:space="preserve"> - </v>
      </c>
      <c r="D37" s="51">
        <v>0</v>
      </c>
      <c r="E37" s="51">
        <v>0</v>
      </c>
      <c r="F37" s="51">
        <v>0</v>
      </c>
      <c r="G37" s="51">
        <v>0</v>
      </c>
      <c r="H37" s="51" t="e">
        <f t="shared" si="1"/>
        <v>#DIV/0!</v>
      </c>
      <c r="I37" s="51" t="e">
        <f t="shared" si="2"/>
        <v>#DIV/0!</v>
      </c>
      <c r="J37" s="51">
        <f t="shared" si="26"/>
        <v>0</v>
      </c>
      <c r="K37" s="51" t="e">
        <f t="shared" si="3"/>
        <v>#DIV/0!</v>
      </c>
      <c r="L37" s="51">
        <v>0</v>
      </c>
      <c r="M37" s="51" t="str">
        <f t="shared" si="5"/>
        <v>-</v>
      </c>
      <c r="N37" s="51">
        <v>0</v>
      </c>
      <c r="O37" s="51">
        <f t="shared" ref="O37:P37" si="48">D37/7</f>
        <v>0</v>
      </c>
      <c r="P37" s="51">
        <f t="shared" si="48"/>
        <v>0</v>
      </c>
      <c r="Q37" s="51" t="e">
        <f t="shared" si="7"/>
        <v>#DIV/0!</v>
      </c>
      <c r="R37" s="55">
        <v>0</v>
      </c>
      <c r="S37" s="53" t="s">
        <v>34</v>
      </c>
      <c r="T37" s="54" t="s">
        <v>34</v>
      </c>
      <c r="U37" s="55">
        <v>0</v>
      </c>
      <c r="V37" s="55">
        <f t="shared" si="8"/>
        <v>0</v>
      </c>
      <c r="W37" s="55">
        <f t="shared" si="9"/>
        <v>0</v>
      </c>
      <c r="X37" s="55">
        <v>0</v>
      </c>
      <c r="Y37" s="55" t="e">
        <v>#N/A</v>
      </c>
      <c r="Z37" s="56" t="e">
        <f t="shared" si="19"/>
        <v>#N/A</v>
      </c>
      <c r="AA37" s="55" t="e">
        <v>#N/A</v>
      </c>
      <c r="AB37" s="55">
        <f t="shared" si="28"/>
        <v>0</v>
      </c>
      <c r="AC37" s="55">
        <v>0</v>
      </c>
      <c r="AD37" s="55">
        <v>-4.70982905982906</v>
      </c>
      <c r="AE37" s="55">
        <v>0</v>
      </c>
      <c r="AF37" s="55" t="e">
        <v>#N/A</v>
      </c>
    </row>
    <row r="38" spans="1:32" s="57" customFormat="1" ht="15.75" customHeight="1">
      <c r="A38" s="2" t="s">
        <v>100</v>
      </c>
      <c r="B38" s="2"/>
      <c r="C38" s="51" t="str">
        <f t="shared" si="36"/>
        <v xml:space="preserve"> - </v>
      </c>
      <c r="D38" s="51">
        <v>0</v>
      </c>
      <c r="E38" s="51">
        <v>0</v>
      </c>
      <c r="F38" s="51">
        <v>0</v>
      </c>
      <c r="G38" s="51">
        <v>0</v>
      </c>
      <c r="H38" s="51" t="e">
        <f t="shared" si="1"/>
        <v>#DIV/0!</v>
      </c>
      <c r="I38" s="51" t="e">
        <f t="shared" si="2"/>
        <v>#DIV/0!</v>
      </c>
      <c r="J38" s="51">
        <f t="shared" si="26"/>
        <v>0</v>
      </c>
      <c r="K38" s="51" t="e">
        <f t="shared" si="3"/>
        <v>#DIV/0!</v>
      </c>
      <c r="L38" s="51">
        <v>0</v>
      </c>
      <c r="M38" s="51" t="str">
        <f t="shared" si="5"/>
        <v>-</v>
      </c>
      <c r="N38" s="51">
        <v>0</v>
      </c>
      <c r="O38" s="51">
        <f t="shared" ref="O38:P38" si="49">D38/7</f>
        <v>0</v>
      </c>
      <c r="P38" s="51">
        <f t="shared" si="49"/>
        <v>0</v>
      </c>
      <c r="Q38" s="51" t="e">
        <f t="shared" si="7"/>
        <v>#DIV/0!</v>
      </c>
      <c r="R38" s="55">
        <v>0</v>
      </c>
      <c r="S38" s="53"/>
      <c r="T38" s="54" t="s">
        <v>34</v>
      </c>
      <c r="U38" s="55">
        <v>0</v>
      </c>
      <c r="V38" s="55">
        <f t="shared" si="8"/>
        <v>0</v>
      </c>
      <c r="W38" s="55">
        <f t="shared" si="9"/>
        <v>0</v>
      </c>
      <c r="X38" s="55">
        <v>0</v>
      </c>
      <c r="Y38" s="55" t="e">
        <v>#N/A</v>
      </c>
      <c r="Z38" s="56" t="e">
        <f t="shared" si="19"/>
        <v>#N/A</v>
      </c>
      <c r="AA38" s="55" t="e">
        <v>#N/A</v>
      </c>
      <c r="AB38" s="55">
        <f t="shared" si="28"/>
        <v>0</v>
      </c>
      <c r="AC38" s="55">
        <v>0</v>
      </c>
      <c r="AD38" s="55">
        <v>-4.70982905982906</v>
      </c>
      <c r="AE38" s="55">
        <v>0</v>
      </c>
      <c r="AF38" s="55" t="e">
        <v>#N/A</v>
      </c>
    </row>
    <row r="39" spans="1:32" s="57" customFormat="1" ht="15.75" customHeight="1">
      <c r="A39" s="2" t="s">
        <v>101</v>
      </c>
      <c r="B39" s="2"/>
      <c r="C39" s="51" t="str">
        <f t="shared" si="36"/>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0</v>
      </c>
      <c r="O39" s="51">
        <f t="shared" ref="O39:P39" si="50">D39/7</f>
        <v>0</v>
      </c>
      <c r="P39" s="51">
        <f t="shared" si="50"/>
        <v>0</v>
      </c>
      <c r="Q39" s="51" t="e">
        <f t="shared" si="7"/>
        <v>#DIV/0!</v>
      </c>
      <c r="R39" s="55">
        <v>0</v>
      </c>
      <c r="S39" s="53" t="s">
        <v>34</v>
      </c>
      <c r="T39" s="54" t="s">
        <v>34</v>
      </c>
      <c r="U39" s="55">
        <v>0</v>
      </c>
      <c r="V39" s="55">
        <f t="shared" si="8"/>
        <v>0</v>
      </c>
      <c r="W39" s="55">
        <f t="shared" si="9"/>
        <v>0</v>
      </c>
      <c r="X39" s="55">
        <v>0</v>
      </c>
      <c r="Y39" s="55" t="e">
        <v>#N/A</v>
      </c>
      <c r="Z39" s="56" t="e">
        <f t="shared" si="19"/>
        <v>#N/A</v>
      </c>
      <c r="AA39" s="55" t="e">
        <v>#N/A</v>
      </c>
      <c r="AB39" s="55">
        <f t="shared" si="28"/>
        <v>0</v>
      </c>
      <c r="AC39" s="55">
        <v>0</v>
      </c>
      <c r="AD39" s="55">
        <v>-4.70982905982906</v>
      </c>
      <c r="AE39" s="55">
        <v>0</v>
      </c>
      <c r="AF39" s="55" t="e">
        <v>#N/A</v>
      </c>
    </row>
    <row r="40" spans="1:32" s="57" customFormat="1" ht="15.75" customHeight="1">
      <c r="A40" s="2" t="s">
        <v>102</v>
      </c>
      <c r="B40" s="2"/>
      <c r="C40" s="51" t="s">
        <v>103</v>
      </c>
      <c r="D40" s="51">
        <v>0</v>
      </c>
      <c r="E40" s="51">
        <v>0</v>
      </c>
      <c r="F40" s="51">
        <v>0</v>
      </c>
      <c r="G40" s="51">
        <v>0</v>
      </c>
      <c r="H40" s="51" t="e">
        <v>#DIV/0!</v>
      </c>
      <c r="I40" s="51" t="e">
        <v>#DIV/0!</v>
      </c>
      <c r="J40" s="51">
        <v>0</v>
      </c>
      <c r="K40" s="51" t="e">
        <v>#DIV/0!</v>
      </c>
      <c r="L40" s="51">
        <v>0</v>
      </c>
      <c r="M40" s="51" t="s">
        <v>104</v>
      </c>
      <c r="N40" s="51">
        <v>0</v>
      </c>
      <c r="O40" s="51">
        <v>0</v>
      </c>
      <c r="P40" s="51">
        <v>0</v>
      </c>
      <c r="Q40" s="51" t="e">
        <v>#DIV/0!</v>
      </c>
      <c r="R40" s="55">
        <v>0</v>
      </c>
      <c r="S40" s="53" t="s">
        <v>34</v>
      </c>
      <c r="T40" s="54" t="s">
        <v>34</v>
      </c>
      <c r="U40" s="55">
        <v>0</v>
      </c>
      <c r="V40" s="55">
        <v>0</v>
      </c>
      <c r="W40" s="55">
        <v>0</v>
      </c>
      <c r="X40" s="55">
        <v>0</v>
      </c>
      <c r="Y40" s="55" t="e">
        <v>#N/A</v>
      </c>
      <c r="Z40" s="56" t="e">
        <v>#N/A</v>
      </c>
      <c r="AA40" s="55" t="e">
        <v>#N/A</v>
      </c>
      <c r="AB40" s="55">
        <v>0</v>
      </c>
      <c r="AC40" s="55">
        <v>0</v>
      </c>
      <c r="AD40" s="55">
        <v>-4.70982905982906</v>
      </c>
      <c r="AE40" s="55">
        <v>0</v>
      </c>
      <c r="AF40" s="55" t="e">
        <v>#N/A</v>
      </c>
    </row>
    <row r="41" spans="1:32" s="57" customFormat="1" ht="15.75" customHeight="1">
      <c r="A41" s="2" t="s">
        <v>105</v>
      </c>
      <c r="B41" s="2"/>
      <c r="C41" s="51" t="str">
        <f t="shared" ref="C41:C56" si="51">IFERROR(F41/D41," - ")</f>
        <v xml:space="preserve"> - </v>
      </c>
      <c r="D41" s="51">
        <v>0</v>
      </c>
      <c r="E41" s="51">
        <v>0</v>
      </c>
      <c r="F41" s="51">
        <v>0</v>
      </c>
      <c r="G41" s="51">
        <v>0</v>
      </c>
      <c r="H41" s="51" t="e">
        <f t="shared" ref="H41:H56" si="52">G41/F41*-1</f>
        <v>#DIV/0!</v>
      </c>
      <c r="I41" s="51" t="e">
        <f t="shared" ref="I41:I56" si="53">J41/F41</f>
        <v>#DIV/0!</v>
      </c>
      <c r="J41" s="51">
        <f t="shared" ref="J41:J48" si="54">F41*0.85+G41+AD41*D41+D41*AC41+AE42+AB41</f>
        <v>0</v>
      </c>
      <c r="K41" s="51" t="e">
        <f t="shared" ref="K41:K56" si="55">J41/D41</f>
        <v>#DIV/0!</v>
      </c>
      <c r="L41" s="51">
        <v>0</v>
      </c>
      <c r="M41" s="51" t="str">
        <f t="shared" ref="M41:M56" si="56">IFERROR(D41/L41,"-")</f>
        <v>-</v>
      </c>
      <c r="N41" s="51">
        <v>0</v>
      </c>
      <c r="O41" s="51">
        <f t="shared" ref="O41:P41" si="57">D41/7</f>
        <v>0</v>
      </c>
      <c r="P41" s="51">
        <f t="shared" si="57"/>
        <v>0</v>
      </c>
      <c r="Q41" s="51" t="e">
        <f t="shared" ref="Q41:Q56" si="58">ROUNDDOWN(N41/(O41+P41),0)</f>
        <v>#DIV/0!</v>
      </c>
      <c r="R41" s="55">
        <v>0</v>
      </c>
      <c r="S41" s="53" t="s">
        <v>34</v>
      </c>
      <c r="T41" s="54" t="s">
        <v>34</v>
      </c>
      <c r="U41" s="55">
        <v>0</v>
      </c>
      <c r="V41" s="55">
        <f t="shared" ref="V41:V56" si="59">IFERROR(U41/D41,0)</f>
        <v>0</v>
      </c>
      <c r="W41" s="55">
        <f t="shared" ref="W41:W56" si="60">IFERROR(G41/(U41+X41)*-1,0)</f>
        <v>0</v>
      </c>
      <c r="X41" s="55">
        <v>0</v>
      </c>
      <c r="Y41" s="52" t="e">
        <v>#N/A</v>
      </c>
      <c r="Z41" s="56" t="e">
        <f t="shared" ref="Z41:Z43" si="61">IF(OR(Y41="UsLargeStandardSize",Y41="UsSmallStandardSize"),-0.75,-0.48)</f>
        <v>#N/A</v>
      </c>
      <c r="AA41" s="55" t="e">
        <v>#N/A</v>
      </c>
      <c r="AB41" s="55">
        <f t="shared" ref="AB41:AB56" si="62">IFERROR(Z41*AA41*D41*3,0)</f>
        <v>0</v>
      </c>
      <c r="AC41" s="55">
        <v>0</v>
      </c>
      <c r="AD41" s="55">
        <v>-4.70982905982906</v>
      </c>
      <c r="AE41" s="55">
        <v>0</v>
      </c>
      <c r="AF41" s="55" t="e">
        <v>#N/A</v>
      </c>
    </row>
    <row r="42" spans="1:32" s="57" customFormat="1" ht="15.75" customHeight="1">
      <c r="A42" s="2" t="s">
        <v>106</v>
      </c>
      <c r="B42" s="2"/>
      <c r="C42" s="51" t="str">
        <f t="shared" si="51"/>
        <v xml:space="preserve"> - </v>
      </c>
      <c r="D42" s="51">
        <v>0</v>
      </c>
      <c r="E42" s="51">
        <v>0</v>
      </c>
      <c r="F42" s="51">
        <v>0</v>
      </c>
      <c r="G42" s="51">
        <v>0</v>
      </c>
      <c r="H42" s="51" t="e">
        <f t="shared" si="52"/>
        <v>#DIV/0!</v>
      </c>
      <c r="I42" s="51" t="e">
        <f t="shared" si="53"/>
        <v>#DIV/0!</v>
      </c>
      <c r="J42" s="51">
        <f t="shared" si="54"/>
        <v>0</v>
      </c>
      <c r="K42" s="51" t="e">
        <f t="shared" si="55"/>
        <v>#DIV/0!</v>
      </c>
      <c r="L42" s="51">
        <v>0</v>
      </c>
      <c r="M42" s="51" t="str">
        <f t="shared" si="56"/>
        <v>-</v>
      </c>
      <c r="N42" s="51">
        <v>0</v>
      </c>
      <c r="O42" s="51">
        <f t="shared" ref="O42:P42" si="63">D42/7</f>
        <v>0</v>
      </c>
      <c r="P42" s="51">
        <f t="shared" si="63"/>
        <v>0</v>
      </c>
      <c r="Q42" s="51" t="e">
        <f t="shared" si="58"/>
        <v>#DIV/0!</v>
      </c>
      <c r="R42" s="55">
        <f ca="1">IFERROR(__xludf.DUMMYFUNCTION("IFERROR(VLOOKUP($B$2,IMPORTRANGE(""https://docs.google.com/spreadsheets/d/1iVgg6Mw12RULLujzHmfOFIY8Q_KaAD8anoZzgtVAQ74/edit#gid=1503384807"",""Second Star - Summary!A1:AD2000""),9,FALSE),"""")"),198)</f>
        <v>198</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0</v>
      </c>
      <c r="V42" s="55">
        <f t="shared" si="59"/>
        <v>0</v>
      </c>
      <c r="W42" s="55">
        <f t="shared" si="60"/>
        <v>0</v>
      </c>
      <c r="X42" s="55">
        <v>0</v>
      </c>
      <c r="Y42" s="55" t="e">
        <v>#N/A</v>
      </c>
      <c r="Z42" s="56" t="e">
        <f t="shared" si="61"/>
        <v>#N/A</v>
      </c>
      <c r="AA42" s="55" t="e">
        <v>#N/A</v>
      </c>
      <c r="AB42" s="55">
        <f t="shared" si="62"/>
        <v>0</v>
      </c>
      <c r="AC42" s="55">
        <v>0</v>
      </c>
      <c r="AD42" s="55">
        <v>-4.70982905982906</v>
      </c>
      <c r="AE42" s="55">
        <v>0</v>
      </c>
      <c r="AF42" s="55" t="e">
        <v>#N/A</v>
      </c>
    </row>
    <row r="43" spans="1:32" s="57" customFormat="1" ht="15.75" customHeight="1">
      <c r="A43" s="2" t="s">
        <v>107</v>
      </c>
      <c r="B43" s="2"/>
      <c r="C43" s="51" t="str">
        <f t="shared" si="51"/>
        <v xml:space="preserve"> - </v>
      </c>
      <c r="D43" s="51">
        <v>0</v>
      </c>
      <c r="E43" s="51">
        <v>0</v>
      </c>
      <c r="F43" s="51">
        <v>0</v>
      </c>
      <c r="G43" s="51">
        <v>0</v>
      </c>
      <c r="H43" s="51" t="e">
        <f t="shared" si="52"/>
        <v>#DIV/0!</v>
      </c>
      <c r="I43" s="51" t="e">
        <f t="shared" si="53"/>
        <v>#DIV/0!</v>
      </c>
      <c r="J43" s="51">
        <f t="shared" si="54"/>
        <v>0</v>
      </c>
      <c r="K43" s="51" t="e">
        <f t="shared" si="55"/>
        <v>#DIV/0!</v>
      </c>
      <c r="L43" s="51">
        <v>0</v>
      </c>
      <c r="M43" s="51" t="str">
        <f t="shared" si="56"/>
        <v>-</v>
      </c>
      <c r="N43" s="51">
        <v>0</v>
      </c>
      <c r="O43" s="51">
        <f t="shared" ref="O43:P43" si="64">D43/7</f>
        <v>0</v>
      </c>
      <c r="P43" s="51">
        <f t="shared" si="64"/>
        <v>0</v>
      </c>
      <c r="Q43" s="51" t="e">
        <f t="shared" si="58"/>
        <v>#DIV/0!</v>
      </c>
      <c r="R43" s="55">
        <v>0</v>
      </c>
      <c r="S43" s="53" t="s">
        <v>34</v>
      </c>
      <c r="T43" s="54" t="s">
        <v>34</v>
      </c>
      <c r="U43" s="55">
        <v>0</v>
      </c>
      <c r="V43" s="55">
        <f t="shared" si="59"/>
        <v>0</v>
      </c>
      <c r="W43" s="55">
        <f t="shared" si="60"/>
        <v>0</v>
      </c>
      <c r="X43" s="55">
        <v>0</v>
      </c>
      <c r="Y43" s="55" t="e">
        <v>#N/A</v>
      </c>
      <c r="Z43" s="56" t="e">
        <f t="shared" si="61"/>
        <v>#N/A</v>
      </c>
      <c r="AA43" s="55" t="e">
        <v>#N/A</v>
      </c>
      <c r="AB43" s="55">
        <f t="shared" si="62"/>
        <v>0</v>
      </c>
      <c r="AC43" s="55">
        <v>0</v>
      </c>
      <c r="AD43" s="55">
        <v>-4.70982905982906</v>
      </c>
      <c r="AE43" s="55">
        <v>0</v>
      </c>
      <c r="AF43" s="55" t="e">
        <v>#N/A</v>
      </c>
    </row>
    <row r="44" spans="1:32" s="57" customFormat="1" ht="15.75" customHeight="1">
      <c r="A44" s="2" t="s">
        <v>108</v>
      </c>
      <c r="B44" s="2"/>
      <c r="C44" s="51" t="str">
        <f t="shared" si="51"/>
        <v xml:space="preserve"> - </v>
      </c>
      <c r="D44" s="51">
        <v>0</v>
      </c>
      <c r="E44" s="51">
        <v>0</v>
      </c>
      <c r="F44" s="51">
        <v>0</v>
      </c>
      <c r="G44" s="51">
        <v>0</v>
      </c>
      <c r="H44" s="51" t="e">
        <f t="shared" si="52"/>
        <v>#DIV/0!</v>
      </c>
      <c r="I44" s="51" t="e">
        <f t="shared" si="53"/>
        <v>#DIV/0!</v>
      </c>
      <c r="J44" s="51">
        <f t="shared" si="54"/>
        <v>0</v>
      </c>
      <c r="K44" s="51" t="e">
        <f t="shared" si="55"/>
        <v>#DIV/0!</v>
      </c>
      <c r="L44" s="51">
        <v>0</v>
      </c>
      <c r="M44" s="51" t="str">
        <f t="shared" si="56"/>
        <v>-</v>
      </c>
      <c r="N44" s="51">
        <v>0</v>
      </c>
      <c r="O44" s="51">
        <f t="shared" ref="O44:P44" si="65">D44/7</f>
        <v>0</v>
      </c>
      <c r="P44" s="51">
        <f t="shared" si="65"/>
        <v>0</v>
      </c>
      <c r="Q44" s="51" t="e">
        <f t="shared" si="58"/>
        <v>#DIV/0!</v>
      </c>
      <c r="R44" s="55">
        <v>0</v>
      </c>
      <c r="S44" s="53" t="s">
        <v>34</v>
      </c>
      <c r="T44" s="54" t="s">
        <v>34</v>
      </c>
      <c r="U44" s="55">
        <v>0</v>
      </c>
      <c r="V44" s="55">
        <f t="shared" si="59"/>
        <v>0</v>
      </c>
      <c r="W44" s="55">
        <f t="shared" si="60"/>
        <v>0</v>
      </c>
      <c r="X44" s="55">
        <v>0</v>
      </c>
      <c r="Y44" s="55" t="e">
        <v>#N/A</v>
      </c>
      <c r="Z44" s="56" t="e">
        <f t="shared" ref="Z44:Z56" si="66">IF(OR(Y44="UsLargeStandardSize",Y44="UsSmallStandardSize"),-2.4,-1.2)</f>
        <v>#N/A</v>
      </c>
      <c r="AA44" s="55" t="e">
        <v>#N/A</v>
      </c>
      <c r="AB44" s="55">
        <f t="shared" si="62"/>
        <v>0</v>
      </c>
      <c r="AC44" s="55">
        <v>0</v>
      </c>
      <c r="AD44" s="55">
        <v>-4.70982905982906</v>
      </c>
      <c r="AE44" s="55">
        <v>0</v>
      </c>
      <c r="AF44" s="55" t="e">
        <v>#N/A</v>
      </c>
    </row>
    <row r="45" spans="1:32" s="57" customFormat="1" ht="15.75" customHeight="1">
      <c r="A45" s="2" t="s">
        <v>109</v>
      </c>
      <c r="B45" s="2"/>
      <c r="C45" s="51" t="str">
        <f t="shared" si="51"/>
        <v xml:space="preserve"> - </v>
      </c>
      <c r="D45" s="51">
        <v>0</v>
      </c>
      <c r="E45" s="51">
        <v>0</v>
      </c>
      <c r="F45" s="51">
        <v>0</v>
      </c>
      <c r="G45" s="51">
        <v>0</v>
      </c>
      <c r="H45" s="51" t="e">
        <f t="shared" si="52"/>
        <v>#DIV/0!</v>
      </c>
      <c r="I45" s="51" t="e">
        <f t="shared" si="53"/>
        <v>#DIV/0!</v>
      </c>
      <c r="J45" s="51">
        <f t="shared" si="54"/>
        <v>0</v>
      </c>
      <c r="K45" s="51" t="e">
        <f t="shared" si="55"/>
        <v>#DIV/0!</v>
      </c>
      <c r="L45" s="51">
        <v>0</v>
      </c>
      <c r="M45" s="51" t="str">
        <f t="shared" si="56"/>
        <v>-</v>
      </c>
      <c r="N45" s="51">
        <v>0</v>
      </c>
      <c r="O45" s="51">
        <f t="shared" ref="O45:P45" si="67">D45/7</f>
        <v>0</v>
      </c>
      <c r="P45" s="51">
        <f t="shared" si="67"/>
        <v>0</v>
      </c>
      <c r="Q45" s="51" t="e">
        <f t="shared" si="58"/>
        <v>#DIV/0!</v>
      </c>
      <c r="R45" s="55">
        <v>0</v>
      </c>
      <c r="S45" s="53" t="s">
        <v>34</v>
      </c>
      <c r="T45" s="54" t="s">
        <v>34</v>
      </c>
      <c r="U45" s="55">
        <v>0</v>
      </c>
      <c r="V45" s="55">
        <f t="shared" si="59"/>
        <v>0</v>
      </c>
      <c r="W45" s="55">
        <f t="shared" si="60"/>
        <v>0</v>
      </c>
      <c r="X45" s="55">
        <v>0</v>
      </c>
      <c r="Y45" s="55" t="e">
        <v>#N/A</v>
      </c>
      <c r="Z45" s="56" t="e">
        <f t="shared" si="66"/>
        <v>#N/A</v>
      </c>
      <c r="AA45" s="55" t="e">
        <v>#N/A</v>
      </c>
      <c r="AB45" s="55">
        <f t="shared" si="62"/>
        <v>0</v>
      </c>
      <c r="AC45" s="55">
        <v>0</v>
      </c>
      <c r="AD45" s="55">
        <v>-4.70982905982906</v>
      </c>
      <c r="AE45" s="55">
        <v>0</v>
      </c>
      <c r="AF45" s="55" t="e">
        <v>#N/A</v>
      </c>
    </row>
    <row r="46" spans="1:32" s="57" customFormat="1" ht="15.75" customHeight="1">
      <c r="A46" s="2" t="s">
        <v>111</v>
      </c>
      <c r="B46" s="2"/>
      <c r="C46" s="51" t="str">
        <f t="shared" si="51"/>
        <v xml:space="preserve"> - </v>
      </c>
      <c r="D46" s="51">
        <v>0</v>
      </c>
      <c r="E46" s="51">
        <v>0</v>
      </c>
      <c r="F46" s="51">
        <v>0</v>
      </c>
      <c r="G46" s="51">
        <v>0</v>
      </c>
      <c r="H46" s="51" t="e">
        <f t="shared" si="52"/>
        <v>#DIV/0!</v>
      </c>
      <c r="I46" s="51" t="e">
        <f t="shared" si="53"/>
        <v>#DIV/0!</v>
      </c>
      <c r="J46" s="51">
        <f t="shared" si="54"/>
        <v>0</v>
      </c>
      <c r="K46" s="51" t="e">
        <f t="shared" si="55"/>
        <v>#DIV/0!</v>
      </c>
      <c r="L46" s="51">
        <v>0</v>
      </c>
      <c r="M46" s="51" t="str">
        <f t="shared" si="56"/>
        <v>-</v>
      </c>
      <c r="N46" s="51">
        <v>0</v>
      </c>
      <c r="O46" s="51">
        <f t="shared" ref="O46:P46" si="68">D46/7</f>
        <v>0</v>
      </c>
      <c r="P46" s="51">
        <f t="shared" si="68"/>
        <v>0</v>
      </c>
      <c r="Q46" s="51" t="e">
        <f t="shared" si="58"/>
        <v>#DIV/0!</v>
      </c>
      <c r="R46" s="55">
        <v>0</v>
      </c>
      <c r="S46" s="53" t="s">
        <v>34</v>
      </c>
      <c r="T46" s="54" t="s">
        <v>34</v>
      </c>
      <c r="U46" s="55">
        <v>0</v>
      </c>
      <c r="V46" s="55">
        <f t="shared" si="59"/>
        <v>0</v>
      </c>
      <c r="W46" s="55">
        <f t="shared" si="60"/>
        <v>0</v>
      </c>
      <c r="X46" s="55">
        <v>0</v>
      </c>
      <c r="Y46" s="55" t="e">
        <v>#N/A</v>
      </c>
      <c r="Z46" s="56" t="e">
        <f t="shared" si="66"/>
        <v>#N/A</v>
      </c>
      <c r="AA46" s="55" t="e">
        <v>#N/A</v>
      </c>
      <c r="AB46" s="55">
        <f t="shared" si="62"/>
        <v>0</v>
      </c>
      <c r="AC46" s="55">
        <v>0</v>
      </c>
      <c r="AD46" s="55">
        <v>-4.70982905982906</v>
      </c>
      <c r="AE46" s="55">
        <v>0</v>
      </c>
      <c r="AF46" s="55" t="e">
        <v>#N/A</v>
      </c>
    </row>
    <row r="47" spans="1:32" s="57" customFormat="1" ht="15.75" customHeight="1">
      <c r="A47" s="2" t="s">
        <v>113</v>
      </c>
      <c r="B47" s="2"/>
      <c r="C47" s="51" t="str">
        <f t="shared" si="51"/>
        <v xml:space="preserve"> - </v>
      </c>
      <c r="D47" s="51">
        <v>0</v>
      </c>
      <c r="E47" s="51">
        <v>0</v>
      </c>
      <c r="F47" s="51">
        <v>0</v>
      </c>
      <c r="G47" s="51">
        <v>0</v>
      </c>
      <c r="H47" s="51" t="e">
        <f t="shared" si="52"/>
        <v>#DIV/0!</v>
      </c>
      <c r="I47" s="51" t="e">
        <f t="shared" si="53"/>
        <v>#DIV/0!</v>
      </c>
      <c r="J47" s="51">
        <f t="shared" si="54"/>
        <v>0</v>
      </c>
      <c r="K47" s="51" t="e">
        <f t="shared" si="55"/>
        <v>#DIV/0!</v>
      </c>
      <c r="L47" s="51">
        <v>0</v>
      </c>
      <c r="M47" s="51" t="str">
        <f t="shared" si="56"/>
        <v>-</v>
      </c>
      <c r="N47" s="51">
        <v>0</v>
      </c>
      <c r="O47" s="51">
        <f t="shared" ref="O47:P47" si="69">D47/7</f>
        <v>0</v>
      </c>
      <c r="P47" s="51">
        <f t="shared" si="69"/>
        <v>0</v>
      </c>
      <c r="Q47" s="51" t="e">
        <f t="shared" si="58"/>
        <v>#DIV/0!</v>
      </c>
      <c r="R47" s="55">
        <v>0</v>
      </c>
      <c r="S47" s="53" t="s">
        <v>34</v>
      </c>
      <c r="T47" s="54" t="s">
        <v>34</v>
      </c>
      <c r="U47" s="55">
        <v>0</v>
      </c>
      <c r="V47" s="55">
        <f t="shared" si="59"/>
        <v>0</v>
      </c>
      <c r="W47" s="55">
        <f t="shared" si="60"/>
        <v>0</v>
      </c>
      <c r="X47" s="55">
        <v>0</v>
      </c>
      <c r="Y47" s="55" t="e">
        <v>#N/A</v>
      </c>
      <c r="Z47" s="56" t="e">
        <f t="shared" si="66"/>
        <v>#N/A</v>
      </c>
      <c r="AA47" s="55" t="e">
        <v>#N/A</v>
      </c>
      <c r="AB47" s="55">
        <f t="shared" si="62"/>
        <v>0</v>
      </c>
      <c r="AC47" s="55">
        <v>0</v>
      </c>
      <c r="AD47" s="55">
        <v>-4.70982905982906</v>
      </c>
      <c r="AE47" s="55">
        <v>0</v>
      </c>
      <c r="AF47" s="55" t="e">
        <v>#N/A</v>
      </c>
    </row>
    <row r="48" spans="1:32" s="57" customFormat="1" ht="15.75" customHeight="1">
      <c r="A48" s="2" t="s">
        <v>115</v>
      </c>
      <c r="B48" s="2"/>
      <c r="C48" s="51" t="str">
        <f t="shared" si="51"/>
        <v xml:space="preserve"> - </v>
      </c>
      <c r="D48" s="51">
        <v>0</v>
      </c>
      <c r="E48" s="51">
        <v>0</v>
      </c>
      <c r="F48" s="51">
        <v>0</v>
      </c>
      <c r="G48" s="51">
        <v>0</v>
      </c>
      <c r="H48" s="51" t="e">
        <f t="shared" si="52"/>
        <v>#DIV/0!</v>
      </c>
      <c r="I48" s="51" t="e">
        <f t="shared" si="53"/>
        <v>#DIV/0!</v>
      </c>
      <c r="J48" s="51">
        <f t="shared" si="54"/>
        <v>0</v>
      </c>
      <c r="K48" s="51" t="e">
        <f t="shared" si="55"/>
        <v>#DIV/0!</v>
      </c>
      <c r="L48" s="51">
        <v>0</v>
      </c>
      <c r="M48" s="51" t="str">
        <f t="shared" si="56"/>
        <v>-</v>
      </c>
      <c r="N48" s="51">
        <v>0</v>
      </c>
      <c r="O48" s="51">
        <f t="shared" ref="O48:P48" si="70">D48/7</f>
        <v>0</v>
      </c>
      <c r="P48" s="51">
        <f t="shared" si="70"/>
        <v>0</v>
      </c>
      <c r="Q48" s="51" t="e">
        <f t="shared" si="58"/>
        <v>#DIV/0!</v>
      </c>
      <c r="R48" s="55">
        <f ca="1">IFERROR(__xludf.DUMMYFUNCTION("IFERROR(VLOOKUP($B$2,IMPORTRANGE(""https://docs.google.com/spreadsheets/d/1iVgg6Mw12RULLujzHmfOFIY8Q_KaAD8anoZzgtVAQ74/edit#gid=1503384807"",""Second Star - Summary!A1:AD2000""),9,FALSE),"""")"),198)</f>
        <v>198</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si="59"/>
        <v>0</v>
      </c>
      <c r="W48" s="55">
        <f t="shared" si="60"/>
        <v>0</v>
      </c>
      <c r="X48" s="55">
        <v>0</v>
      </c>
      <c r="Y48" s="55" t="e">
        <v>#N/A</v>
      </c>
      <c r="Z48" s="56" t="e">
        <f t="shared" si="66"/>
        <v>#N/A</v>
      </c>
      <c r="AA48" s="55" t="e">
        <v>#N/A</v>
      </c>
      <c r="AB48" s="55">
        <f t="shared" si="62"/>
        <v>0</v>
      </c>
      <c r="AC48" s="55">
        <v>0</v>
      </c>
      <c r="AD48" s="55">
        <v>-4.70982905982906</v>
      </c>
      <c r="AE48" s="55">
        <v>0</v>
      </c>
      <c r="AF48" s="55" t="e">
        <v>#N/A</v>
      </c>
    </row>
    <row r="49" spans="1:32" s="57" customFormat="1" ht="15.75" customHeight="1">
      <c r="A49" s="2" t="s">
        <v>117</v>
      </c>
      <c r="B49" s="2"/>
      <c r="C49" s="51" t="str">
        <f t="shared" si="51"/>
        <v xml:space="preserve"> - </v>
      </c>
      <c r="D49" s="51">
        <v>0</v>
      </c>
      <c r="E49" s="51">
        <v>0</v>
      </c>
      <c r="F49" s="51">
        <v>0</v>
      </c>
      <c r="G49" s="51">
        <v>0</v>
      </c>
      <c r="H49" s="51" t="e">
        <f t="shared" si="52"/>
        <v>#DIV/0!</v>
      </c>
      <c r="I49" s="51" t="e">
        <f t="shared" si="53"/>
        <v>#DIV/0!</v>
      </c>
      <c r="J49" s="51">
        <f t="shared" ref="J49:J56" si="71">F49*0.85+G49+AD49*D49+D49*AC49+AE49+AB49</f>
        <v>0</v>
      </c>
      <c r="K49" s="51" t="e">
        <f t="shared" si="55"/>
        <v>#DIV/0!</v>
      </c>
      <c r="L49" s="51">
        <v>0</v>
      </c>
      <c r="M49" s="51" t="str">
        <f t="shared" si="56"/>
        <v>-</v>
      </c>
      <c r="N49" s="51">
        <v>0</v>
      </c>
      <c r="O49" s="51">
        <f t="shared" ref="O49:P49" si="72">D49/7</f>
        <v>0</v>
      </c>
      <c r="P49" s="51">
        <f t="shared" si="72"/>
        <v>0</v>
      </c>
      <c r="Q49" s="51" t="e">
        <f t="shared" si="58"/>
        <v>#DIV/0!</v>
      </c>
      <c r="R49" s="55">
        <f ca="1">IFERROR(__xludf.DUMMYFUNCTION("IFERROR(VLOOKUP($B$2,IMPORTRANGE(""https://docs.google.com/spreadsheets/d/1iVgg6Mw12RULLujzHmfOFIY8Q_KaAD8anoZzgtVAQ74/edit#gid=1503384807"",""Second Star - Summary!A1:AD2000""),9,FALSE),"""")"),198)</f>
        <v>198</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59"/>
        <v>0</v>
      </c>
      <c r="W49" s="55">
        <f t="shared" si="60"/>
        <v>0</v>
      </c>
      <c r="X49" s="55">
        <v>0</v>
      </c>
      <c r="Y49" s="55" t="e">
        <v>#N/A</v>
      </c>
      <c r="Z49" s="56" t="e">
        <f t="shared" si="66"/>
        <v>#N/A</v>
      </c>
      <c r="AA49" s="55" t="e">
        <v>#N/A</v>
      </c>
      <c r="AB49" s="55">
        <f t="shared" si="62"/>
        <v>0</v>
      </c>
      <c r="AC49" s="55">
        <v>0</v>
      </c>
      <c r="AD49" s="55">
        <v>-4.7261040598290602</v>
      </c>
      <c r="AE49" s="55">
        <v>0</v>
      </c>
      <c r="AF49" s="55" t="e">
        <v>#N/A</v>
      </c>
    </row>
    <row r="50" spans="1:32" s="57" customFormat="1" ht="15.75" customHeight="1">
      <c r="A50" s="2" t="s">
        <v>119</v>
      </c>
      <c r="B50" s="2"/>
      <c r="C50" s="51" t="str">
        <f t="shared" si="51"/>
        <v xml:space="preserve"> - </v>
      </c>
      <c r="D50" s="51">
        <v>0</v>
      </c>
      <c r="E50" s="51">
        <v>0</v>
      </c>
      <c r="F50" s="51">
        <v>0</v>
      </c>
      <c r="G50" s="51">
        <v>0</v>
      </c>
      <c r="H50" s="51" t="e">
        <f t="shared" si="52"/>
        <v>#DIV/0!</v>
      </c>
      <c r="I50" s="51" t="e">
        <f t="shared" si="53"/>
        <v>#DIV/0!</v>
      </c>
      <c r="J50" s="51">
        <f t="shared" si="71"/>
        <v>0</v>
      </c>
      <c r="K50" s="51" t="e">
        <f t="shared" si="55"/>
        <v>#DIV/0!</v>
      </c>
      <c r="L50" s="51">
        <v>0</v>
      </c>
      <c r="M50" s="51" t="str">
        <f t="shared" si="56"/>
        <v>-</v>
      </c>
      <c r="N50" s="51">
        <v>0</v>
      </c>
      <c r="O50" s="51">
        <f t="shared" ref="O50:P50" si="73">D50/7</f>
        <v>0</v>
      </c>
      <c r="P50" s="51">
        <f t="shared" si="73"/>
        <v>0</v>
      </c>
      <c r="Q50" s="51" t="e">
        <f t="shared" si="58"/>
        <v>#DIV/0!</v>
      </c>
      <c r="R50" s="55">
        <f ca="1">IFERROR(__xludf.DUMMYFUNCTION("IFERROR(VLOOKUP($B$2,IMPORTRANGE(""https://docs.google.com/spreadsheets/d/1iVgg6Mw12RULLujzHmfOFIY8Q_KaAD8anoZzgtVAQ74/edit#gid=1503384807"",""Second Star - Summary!A1:AD2000""),9,FALSE),"""")"),198)</f>
        <v>198</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59"/>
        <v>0</v>
      </c>
      <c r="W50" s="55">
        <f t="shared" si="60"/>
        <v>0</v>
      </c>
      <c r="X50" s="55">
        <v>0</v>
      </c>
      <c r="Y50" s="55" t="e">
        <v>#N/A</v>
      </c>
      <c r="Z50" s="56" t="e">
        <f t="shared" si="66"/>
        <v>#N/A</v>
      </c>
      <c r="AA50" s="55" t="e">
        <v>#N/A</v>
      </c>
      <c r="AB50" s="55">
        <f t="shared" si="62"/>
        <v>0</v>
      </c>
      <c r="AC50" s="55">
        <v>0</v>
      </c>
      <c r="AD50" s="55">
        <v>-4.7261040598290602</v>
      </c>
      <c r="AE50" s="55">
        <v>0</v>
      </c>
      <c r="AF50" s="55" t="e">
        <v>#N/A</v>
      </c>
    </row>
    <row r="51" spans="1:32" s="57" customFormat="1" ht="15.75" customHeight="1">
      <c r="A51" s="2" t="s">
        <v>121</v>
      </c>
      <c r="B51" s="2"/>
      <c r="C51" s="51" t="str">
        <f t="shared" si="51"/>
        <v xml:space="preserve"> - </v>
      </c>
      <c r="D51" s="51">
        <v>0</v>
      </c>
      <c r="E51" s="51">
        <v>0</v>
      </c>
      <c r="F51" s="51">
        <v>0</v>
      </c>
      <c r="G51" s="51">
        <v>0</v>
      </c>
      <c r="H51" s="51" t="e">
        <f t="shared" si="52"/>
        <v>#DIV/0!</v>
      </c>
      <c r="I51" s="51" t="e">
        <f t="shared" si="53"/>
        <v>#DIV/0!</v>
      </c>
      <c r="J51" s="51">
        <f t="shared" si="71"/>
        <v>0</v>
      </c>
      <c r="K51" s="51" t="e">
        <f t="shared" si="55"/>
        <v>#DIV/0!</v>
      </c>
      <c r="L51" s="51">
        <v>0</v>
      </c>
      <c r="M51" s="51" t="str">
        <f t="shared" si="56"/>
        <v>-</v>
      </c>
      <c r="N51" s="51">
        <v>0</v>
      </c>
      <c r="O51" s="51">
        <f t="shared" ref="O51:P51" si="74">D51/7</f>
        <v>0</v>
      </c>
      <c r="P51" s="51">
        <f t="shared" si="74"/>
        <v>0</v>
      </c>
      <c r="Q51" s="51" t="e">
        <f t="shared" si="58"/>
        <v>#DIV/0!</v>
      </c>
      <c r="R51" s="55">
        <f ca="1">IFERROR(__xludf.DUMMYFUNCTION("IFERROR(VLOOKUP($B$2,IMPORTRANGE(""https://docs.google.com/spreadsheets/d/1iVgg6Mw12RULLujzHmfOFIY8Q_KaAD8anoZzgtVAQ74/edit#gid=1503384807"",""Second Star - Summary!A1:AD2000""),9,FALSE),"""")"),198)</f>
        <v>198</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59"/>
        <v>0</v>
      </c>
      <c r="W51" s="55">
        <f t="shared" si="60"/>
        <v>0</v>
      </c>
      <c r="X51" s="55">
        <v>0</v>
      </c>
      <c r="Y51" s="55" t="e">
        <v>#N/A</v>
      </c>
      <c r="Z51" s="56" t="e">
        <f t="shared" si="66"/>
        <v>#N/A</v>
      </c>
      <c r="AA51" s="55" t="e">
        <v>#N/A</v>
      </c>
      <c r="AB51" s="55">
        <f t="shared" si="62"/>
        <v>0</v>
      </c>
      <c r="AC51" s="55">
        <v>0</v>
      </c>
      <c r="AD51" s="55">
        <v>-4.7261040598290602</v>
      </c>
      <c r="AE51" s="55">
        <v>0</v>
      </c>
      <c r="AF51" s="55" t="e">
        <v>#N/A</v>
      </c>
    </row>
    <row r="52" spans="1:32" s="57" customFormat="1" ht="15.75" customHeight="1">
      <c r="A52" s="2" t="s">
        <v>123</v>
      </c>
      <c r="B52" s="2"/>
      <c r="C52" s="51" t="str">
        <f t="shared" si="51"/>
        <v xml:space="preserve"> - </v>
      </c>
      <c r="D52" s="51">
        <v>0</v>
      </c>
      <c r="E52" s="51">
        <v>0</v>
      </c>
      <c r="F52" s="51">
        <v>0</v>
      </c>
      <c r="G52" s="51">
        <v>0</v>
      </c>
      <c r="H52" s="51" t="e">
        <f t="shared" si="52"/>
        <v>#DIV/0!</v>
      </c>
      <c r="I52" s="51" t="e">
        <f t="shared" si="53"/>
        <v>#DIV/0!</v>
      </c>
      <c r="J52" s="51">
        <f t="shared" si="71"/>
        <v>0</v>
      </c>
      <c r="K52" s="51" t="e">
        <f t="shared" si="55"/>
        <v>#DIV/0!</v>
      </c>
      <c r="L52" s="51">
        <v>0</v>
      </c>
      <c r="M52" s="51" t="str">
        <f t="shared" si="56"/>
        <v>-</v>
      </c>
      <c r="N52" s="51">
        <v>0</v>
      </c>
      <c r="O52" s="51">
        <f t="shared" ref="O52:P52" si="75">D52/7</f>
        <v>0</v>
      </c>
      <c r="P52" s="51">
        <f t="shared" si="75"/>
        <v>0</v>
      </c>
      <c r="Q52" s="51" t="e">
        <f t="shared" si="58"/>
        <v>#DIV/0!</v>
      </c>
      <c r="R52" s="55">
        <f ca="1">IFERROR(__xludf.DUMMYFUNCTION("IFERROR(VLOOKUP($B$2,IMPORTRANGE(""https://docs.google.com/spreadsheets/d/1iVgg6Mw12RULLujzHmfOFIY8Q_KaAD8anoZzgtVAQ74/edit#gid=1503384807"",""Second Star - Summary!A1:AD2000""),9,FALSE),"""")"),198)</f>
        <v>198</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59"/>
        <v>0</v>
      </c>
      <c r="W52" s="55">
        <f t="shared" si="60"/>
        <v>0</v>
      </c>
      <c r="X52" s="55">
        <v>0</v>
      </c>
      <c r="Y52" s="55" t="e">
        <v>#N/A</v>
      </c>
      <c r="Z52" s="56" t="e">
        <f t="shared" si="66"/>
        <v>#N/A</v>
      </c>
      <c r="AA52" s="55" t="e">
        <v>#N/A</v>
      </c>
      <c r="AB52" s="55">
        <f t="shared" si="62"/>
        <v>0</v>
      </c>
      <c r="AC52" s="55">
        <v>0</v>
      </c>
      <c r="AD52" s="55">
        <v>-4.7261040598290602</v>
      </c>
      <c r="AE52" s="55">
        <v>0</v>
      </c>
      <c r="AF52" s="55">
        <v>0</v>
      </c>
    </row>
    <row r="53" spans="1:32" s="57" customFormat="1">
      <c r="A53" s="2" t="s">
        <v>38</v>
      </c>
      <c r="B53" s="2"/>
      <c r="C53" s="51" t="str">
        <f t="shared" si="51"/>
        <v xml:space="preserve"> - </v>
      </c>
      <c r="D53" s="51">
        <v>0</v>
      </c>
      <c r="E53" s="51">
        <v>0</v>
      </c>
      <c r="F53" s="51">
        <v>0</v>
      </c>
      <c r="G53" s="51">
        <v>0</v>
      </c>
      <c r="H53" s="51" t="e">
        <f t="shared" si="52"/>
        <v>#DIV/0!</v>
      </c>
      <c r="I53" s="51" t="e">
        <f t="shared" si="53"/>
        <v>#DIV/0!</v>
      </c>
      <c r="J53" s="51">
        <f t="shared" si="71"/>
        <v>0</v>
      </c>
      <c r="K53" s="51" t="e">
        <f t="shared" si="55"/>
        <v>#DIV/0!</v>
      </c>
      <c r="L53" s="51">
        <v>0</v>
      </c>
      <c r="M53" s="51" t="str">
        <f t="shared" si="56"/>
        <v>-</v>
      </c>
      <c r="N53" s="51">
        <v>0</v>
      </c>
      <c r="O53" s="51">
        <f t="shared" ref="O53:P53" si="76">D53/7</f>
        <v>0</v>
      </c>
      <c r="P53" s="51">
        <f t="shared" si="76"/>
        <v>0</v>
      </c>
      <c r="Q53" s="51" t="e">
        <f t="shared" si="58"/>
        <v>#DIV/0!</v>
      </c>
      <c r="R53" s="55">
        <f ca="1">IFERROR(__xludf.DUMMYFUNCTION("IFERROR(VLOOKUP($B$2,IMPORTRANGE(""https://docs.google.com/spreadsheets/d/1iVgg6Mw12RULLujzHmfOFIY8Q_KaAD8anoZzgtVAQ74/edit#gid=1503384807"",""Second Star - Summary!A1:AD2000""),9,FALSE),"""")"),198)</f>
        <v>198</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59"/>
        <v>0</v>
      </c>
      <c r="W53" s="55">
        <f t="shared" si="60"/>
        <v>0</v>
      </c>
      <c r="X53" s="55">
        <v>0</v>
      </c>
      <c r="Y53" s="55" t="e">
        <v>#N/A</v>
      </c>
      <c r="Z53" s="56" t="e">
        <f t="shared" si="66"/>
        <v>#N/A</v>
      </c>
      <c r="AA53" s="55" t="e">
        <v>#N/A</v>
      </c>
      <c r="AB53" s="55">
        <f t="shared" si="62"/>
        <v>0</v>
      </c>
      <c r="AC53" s="55">
        <v>0</v>
      </c>
      <c r="AD53" s="55">
        <v>-4.7261040598290602</v>
      </c>
      <c r="AE53" s="55">
        <v>0</v>
      </c>
      <c r="AF53" s="55">
        <v>0</v>
      </c>
    </row>
    <row r="54" spans="1:32" s="57" customFormat="1">
      <c r="A54" s="2" t="s">
        <v>40</v>
      </c>
      <c r="B54" s="2"/>
      <c r="C54" s="51" t="str">
        <f t="shared" si="51"/>
        <v xml:space="preserve"> - </v>
      </c>
      <c r="D54" s="51">
        <v>0</v>
      </c>
      <c r="E54" s="51">
        <v>0</v>
      </c>
      <c r="F54" s="51">
        <v>0</v>
      </c>
      <c r="G54" s="51">
        <v>0</v>
      </c>
      <c r="H54" s="51" t="e">
        <f t="shared" si="52"/>
        <v>#DIV/0!</v>
      </c>
      <c r="I54" s="51" t="e">
        <f t="shared" si="53"/>
        <v>#DIV/0!</v>
      </c>
      <c r="J54" s="51">
        <f t="shared" si="71"/>
        <v>0</v>
      </c>
      <c r="K54" s="51" t="e">
        <f t="shared" si="55"/>
        <v>#DIV/0!</v>
      </c>
      <c r="L54" s="51">
        <v>0</v>
      </c>
      <c r="M54" s="51" t="str">
        <f t="shared" si="56"/>
        <v>-</v>
      </c>
      <c r="N54" s="51">
        <v>0</v>
      </c>
      <c r="O54" s="51">
        <f t="shared" ref="O54:P54" si="77">D54/7</f>
        <v>0</v>
      </c>
      <c r="P54" s="51">
        <f t="shared" si="77"/>
        <v>0</v>
      </c>
      <c r="Q54" s="51" t="e">
        <f t="shared" si="58"/>
        <v>#DIV/0!</v>
      </c>
      <c r="R54" s="55">
        <f ca="1">IFERROR(__xludf.DUMMYFUNCTION("IFERROR(VLOOKUP($B$2,IMPORTRANGE(""https://docs.google.com/spreadsheets/d/1iVgg6Mw12RULLujzHmfOFIY8Q_KaAD8anoZzgtVAQ74/edit#gid=1503384807"",""Second Star - Summary!A1:AD2000""),9,FALSE),"""")"),198)</f>
        <v>198</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59"/>
        <v>0</v>
      </c>
      <c r="W54" s="55">
        <f t="shared" si="60"/>
        <v>0</v>
      </c>
      <c r="X54" s="55">
        <v>0</v>
      </c>
      <c r="Y54" s="55" t="e">
        <v>#N/A</v>
      </c>
      <c r="Z54" s="56" t="e">
        <f t="shared" si="66"/>
        <v>#N/A</v>
      </c>
      <c r="AA54" s="55" t="e">
        <v>#N/A</v>
      </c>
      <c r="AB54" s="55">
        <f t="shared" si="62"/>
        <v>0</v>
      </c>
      <c r="AC54" s="55">
        <v>0</v>
      </c>
      <c r="AD54" s="55">
        <v>-4.7261040598290602</v>
      </c>
      <c r="AE54" s="55">
        <v>0</v>
      </c>
      <c r="AF54" s="55">
        <v>0</v>
      </c>
    </row>
    <row r="55" spans="1:32" s="57" customFormat="1" ht="15.75" customHeight="1">
      <c r="A55" s="2" t="s">
        <v>32</v>
      </c>
      <c r="B55" s="2"/>
      <c r="C55" s="51" t="str">
        <f t="shared" si="51"/>
        <v xml:space="preserve"> - </v>
      </c>
      <c r="D55" s="51">
        <v>0</v>
      </c>
      <c r="E55" s="51">
        <v>0</v>
      </c>
      <c r="F55" s="51">
        <v>0</v>
      </c>
      <c r="G55" s="51">
        <v>0</v>
      </c>
      <c r="H55" s="51" t="e">
        <f t="shared" si="52"/>
        <v>#DIV/0!</v>
      </c>
      <c r="I55" s="51" t="e">
        <f t="shared" si="53"/>
        <v>#DIV/0!</v>
      </c>
      <c r="J55" s="51">
        <f t="shared" si="71"/>
        <v>0</v>
      </c>
      <c r="K55" s="51" t="e">
        <f t="shared" si="55"/>
        <v>#DIV/0!</v>
      </c>
      <c r="L55" s="51">
        <v>0</v>
      </c>
      <c r="M55" s="51" t="str">
        <f t="shared" si="56"/>
        <v>-</v>
      </c>
      <c r="N55" s="51">
        <v>0</v>
      </c>
      <c r="O55" s="51">
        <f t="shared" ref="O55:P55" si="78">D55/7</f>
        <v>0</v>
      </c>
      <c r="P55" s="51">
        <f t="shared" si="78"/>
        <v>0</v>
      </c>
      <c r="Q55" s="51" t="e">
        <f t="shared" si="58"/>
        <v>#DIV/0!</v>
      </c>
      <c r="R55" s="55">
        <v>0</v>
      </c>
      <c r="S55" s="53" t="s">
        <v>34</v>
      </c>
      <c r="T55" s="54" t="s">
        <v>34</v>
      </c>
      <c r="U55" s="55">
        <v>0</v>
      </c>
      <c r="V55" s="55">
        <f t="shared" si="59"/>
        <v>0</v>
      </c>
      <c r="W55" s="55">
        <f t="shared" si="60"/>
        <v>0</v>
      </c>
      <c r="X55" s="55">
        <v>0</v>
      </c>
      <c r="Y55" s="55" t="e">
        <v>#N/A</v>
      </c>
      <c r="Z55" s="56" t="e">
        <f t="shared" si="66"/>
        <v>#N/A</v>
      </c>
      <c r="AA55" s="55" t="e">
        <v>#N/A</v>
      </c>
      <c r="AB55" s="55">
        <f t="shared" si="62"/>
        <v>0</v>
      </c>
      <c r="AC55" s="55">
        <v>0</v>
      </c>
      <c r="AD55" s="55">
        <v>-4.7261040598290602</v>
      </c>
      <c r="AE55" s="55">
        <v>0</v>
      </c>
      <c r="AF55" s="55" t="e">
        <v>#N/A</v>
      </c>
    </row>
    <row r="56" spans="1:32" s="57" customFormat="1" ht="15.75" customHeight="1">
      <c r="A56" s="2" t="s">
        <v>36</v>
      </c>
      <c r="B56" s="2"/>
      <c r="C56" s="51" t="str">
        <f t="shared" si="51"/>
        <v xml:space="preserve"> - </v>
      </c>
      <c r="D56" s="51">
        <v>0</v>
      </c>
      <c r="E56" s="51">
        <v>0</v>
      </c>
      <c r="F56" s="51">
        <v>0</v>
      </c>
      <c r="G56" s="51">
        <v>0</v>
      </c>
      <c r="H56" s="51" t="e">
        <f t="shared" si="52"/>
        <v>#DIV/0!</v>
      </c>
      <c r="I56" s="51" t="e">
        <f t="shared" si="53"/>
        <v>#DIV/0!</v>
      </c>
      <c r="J56" s="51">
        <f t="shared" si="71"/>
        <v>0</v>
      </c>
      <c r="K56" s="51" t="e">
        <f t="shared" si="55"/>
        <v>#DIV/0!</v>
      </c>
      <c r="L56" s="51">
        <v>0</v>
      </c>
      <c r="M56" s="51" t="str">
        <f t="shared" si="56"/>
        <v>-</v>
      </c>
      <c r="N56" s="51">
        <v>0</v>
      </c>
      <c r="O56" s="51">
        <f t="shared" ref="O56:P56" si="79">D56/7</f>
        <v>0</v>
      </c>
      <c r="P56" s="51">
        <f t="shared" si="79"/>
        <v>0</v>
      </c>
      <c r="Q56" s="51" t="e">
        <f t="shared" si="58"/>
        <v>#DIV/0!</v>
      </c>
      <c r="R56" s="55">
        <f ca="1">IFERROR(__xludf.DUMMYFUNCTION("IFERROR(VLOOKUP($B$2,IMPORTRANGE(""https://docs.google.com/spreadsheets/d/1iVgg6Mw12RULLujzHmfOFIY8Q_KaAD8anoZzgtVAQ74/edit#gid=1503384807"",""Second Star - Summary!A1:AD2000""),9,FALSE),"""")"),198)</f>
        <v>198</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59"/>
        <v>0</v>
      </c>
      <c r="W56" s="55">
        <f t="shared" si="60"/>
        <v>0</v>
      </c>
      <c r="X56" s="55">
        <v>0</v>
      </c>
      <c r="Y56" s="55" t="e">
        <v>#N/A</v>
      </c>
      <c r="Z56" s="56" t="e">
        <f t="shared" si="66"/>
        <v>#N/A</v>
      </c>
      <c r="AA56" s="55" t="e">
        <v>#N/A</v>
      </c>
      <c r="AB56" s="55">
        <f t="shared" si="62"/>
        <v>0</v>
      </c>
      <c r="AC56" s="55">
        <v>0</v>
      </c>
      <c r="AD56" s="55">
        <v>-4.7261040598290602</v>
      </c>
      <c r="AE56" s="55">
        <v>0</v>
      </c>
      <c r="AF56" s="55" t="e">
        <v>#N/A</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E187" s="2"/>
      <c r="P187" s="2"/>
      <c r="AF187" s="23"/>
    </row>
    <row r="188" spans="1:32" ht="15.75" customHeight="1">
      <c r="E188" s="2"/>
      <c r="P188" s="2"/>
      <c r="AF188" s="23"/>
    </row>
    <row r="189" spans="1:32" ht="15.75" customHeight="1">
      <c r="E189" s="2"/>
      <c r="P189" s="2"/>
      <c r="AF189" s="23"/>
    </row>
    <row r="190" spans="1:32" ht="15.75" customHeight="1">
      <c r="E190" s="2"/>
      <c r="P190" s="2"/>
      <c r="AF190" s="23"/>
    </row>
    <row r="191" spans="1:32" ht="15.75" customHeight="1">
      <c r="E191" s="2"/>
      <c r="P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443" priority="1" operator="lessThan">
      <formula>100</formula>
    </cfRule>
  </conditionalFormatting>
  <conditionalFormatting sqref="Q1:Q3 Q57:Q1000">
    <cfRule type="cellIs" dxfId="442" priority="2" operator="lessThan">
      <formula>100</formula>
    </cfRule>
  </conditionalFormatting>
  <conditionalFormatting sqref="I1:I3 I57:I1000">
    <cfRule type="cellIs" dxfId="441" priority="3" operator="lessThan">
      <formula>0.05</formula>
    </cfRule>
  </conditionalFormatting>
  <conditionalFormatting sqref="I4:I17">
    <cfRule type="cellIs" dxfId="440" priority="4" operator="lessThan">
      <formula>0.05</formula>
    </cfRule>
  </conditionalFormatting>
  <conditionalFormatting sqref="I18:I56">
    <cfRule type="cellIs" dxfId="439" priority="5" operator="lessThan">
      <formula>0.05</formula>
    </cfRule>
  </conditionalFormatting>
  <conditionalFormatting sqref="Q4:Q56">
    <cfRule type="cellIs" dxfId="438" priority="6" operator="lessThan">
      <formula>100</formula>
    </cfRule>
  </conditionalFormatting>
  <conditionalFormatting sqref="Q4:Q56">
    <cfRule type="cellIs" dxfId="437" priority="7" operator="lessThan">
      <formula>100</formula>
    </cfRule>
  </conditionalFormatting>
  <pageMargins left="0.7" right="0.7" top="0.75" bottom="0.75" header="0" footer="0"/>
  <pageSetup orientation="portrait"/>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25.6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Info!B1:BJ5000""),4,FALSE),"""")"),"Washable Waterproof Mattress Sheet Protector 2 Pack - Large Bed Underpads 36x54 inches")</f>
        <v>Washable Waterproof Mattress Sheet Protector 2 Pack - Large Bed Underpads 36x54 inches</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Info!B1:BJ5000""),3,FALSE),"""")"),"B07N1XK288")</f>
        <v>B07N1XK288</v>
      </c>
      <c r="B2" s="4" t="s">
        <v>478</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41.7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18.918491955756586</v>
      </c>
      <c r="D3" s="8">
        <f>SUM(D4:D99819)</f>
        <v>3918</v>
      </c>
      <c r="E3" s="8"/>
      <c r="F3" s="9">
        <f t="shared" ref="F3:G3" si="0">SUM(F4:F99819)</f>
        <v>124535.7399999999</v>
      </c>
      <c r="G3" s="9">
        <f t="shared" si="0"/>
        <v>-568.70999999999981</v>
      </c>
      <c r="H3" s="10">
        <f t="shared" ref="H3:H39" si="1">G3/F3*-1</f>
        <v>4.566640869520671E-3</v>
      </c>
      <c r="I3" s="11">
        <f t="shared" ref="I3:I39" si="2">J3/F3</f>
        <v>0.28441009287780888</v>
      </c>
      <c r="J3" s="9">
        <f>SUM(J4:J99819)</f>
        <v>35419.221380006631</v>
      </c>
      <c r="K3" s="9">
        <f t="shared" ref="K3:K39" si="3">J3/D3</f>
        <v>9.0401279683528912</v>
      </c>
      <c r="L3" s="8"/>
      <c r="M3" s="12"/>
      <c r="N3" s="13"/>
      <c r="O3" s="8" t="str">
        <f ca="1">IFERROR(__xludf.DUMMYFUNCTION("IFERROR(VLOOKUP(B2,IMPORTRANGE(""https://docs.google.com/spreadsheets/d/1owCo6kL_VFQ5nPTdNogErmCBLjNiktT1m3SzTrxu3R0/edit#gid=2146806407"",""Second Star - Compiled!b1:g5000""),2,FALSE),"""")"),"20 - March
20 - April
20 - May
20 - Jun
20 - Jul
20 - Aug
20 - Sept
20 - Oct
20 - Nov
20 - Dec
20 - Jan
20 - Feb")</f>
        <v>20 - March
20 - April
20 - May
20 - Jun
20 - Jul
20 - Aug
20 - Sept
20 - Oct
20 - Nov
20 - Dec
20 - Jan
20 - Feb</v>
      </c>
      <c r="P3" s="8"/>
      <c r="Q3" s="14"/>
      <c r="R3" s="13"/>
      <c r="S3" s="13"/>
      <c r="T3" s="13"/>
      <c r="U3" s="8">
        <f>SUM(U4:U99819)</f>
        <v>55</v>
      </c>
      <c r="V3" s="10">
        <f>AVERAGE(V4:V99819)</f>
        <v>1.5602743370656726E-2</v>
      </c>
      <c r="W3" s="9">
        <f>ROUND(AVERAGE(W4:W99819),2)</f>
        <v>1.62</v>
      </c>
      <c r="X3" s="8"/>
      <c r="Y3" s="8"/>
      <c r="Z3" s="8"/>
      <c r="AA3" s="8"/>
      <c r="AB3" s="8"/>
      <c r="AC3" s="15"/>
      <c r="AD3" s="9"/>
      <c r="AE3" s="9">
        <f>SUM(AE4:AE99819)</f>
        <v>-9.4699999999999989</v>
      </c>
      <c r="AF3" s="16"/>
    </row>
    <row r="4" spans="1:32" s="57" customFormat="1">
      <c r="A4" s="17" t="s">
        <v>48</v>
      </c>
      <c r="B4" s="17"/>
      <c r="C4" s="50">
        <v>38.99</v>
      </c>
      <c r="D4" s="51">
        <v>58</v>
      </c>
      <c r="E4" s="51">
        <v>0</v>
      </c>
      <c r="F4" s="51">
        <v>2177.4199999999996</v>
      </c>
      <c r="G4" s="51">
        <v>0</v>
      </c>
      <c r="H4" s="51">
        <f t="shared" si="1"/>
        <v>0</v>
      </c>
      <c r="I4" s="51">
        <f t="shared" si="2"/>
        <v>0.36333372165053163</v>
      </c>
      <c r="J4" s="51">
        <f t="shared" ref="J4:J38" si="4">F4*0.85+G4+AD4*D4+D4*AC4+AE4+AB4</f>
        <v>791.13011219630039</v>
      </c>
      <c r="K4" s="51">
        <f t="shared" si="3"/>
        <v>13.640174348212076</v>
      </c>
      <c r="L4" s="51">
        <v>217</v>
      </c>
      <c r="M4" s="51">
        <f t="shared" ref="M4:M39" si="5">IFERROR(D4/L4,"-")</f>
        <v>0.26728110599078342</v>
      </c>
      <c r="N4" s="51">
        <v>770</v>
      </c>
      <c r="O4" s="51">
        <f t="shared" ref="O4:P4" si="6">D4/7</f>
        <v>8.2857142857142865</v>
      </c>
      <c r="P4" s="51">
        <f t="shared" si="6"/>
        <v>0</v>
      </c>
      <c r="Q4" s="51">
        <f t="shared" ref="Q4:Q39" si="7">ROUNDDOWN(N4/(O4+P4),0)</f>
        <v>92</v>
      </c>
      <c r="R4" s="52">
        <v>504</v>
      </c>
      <c r="S4" s="53" t="s">
        <v>34</v>
      </c>
      <c r="T4" s="54" t="s">
        <v>34</v>
      </c>
      <c r="U4" s="52">
        <v>0</v>
      </c>
      <c r="V4" s="55">
        <f t="shared" ref="V4:V39" si="8">IFERROR(U4/D4,0)</f>
        <v>0</v>
      </c>
      <c r="W4" s="55">
        <f t="shared" ref="W4:W39" si="9">IFERROR(G4/(U4+X4)*-1,0)</f>
        <v>0</v>
      </c>
      <c r="X4" s="52">
        <v>0</v>
      </c>
      <c r="Y4" s="56" t="s">
        <v>35</v>
      </c>
      <c r="Z4" s="56">
        <f t="shared" ref="Z4:Z10" si="10">IF(OR(Y4="UsLargeStandardSize",Y4="UsSmallStandardSize"),-0.69,-0.48)</f>
        <v>-0.69</v>
      </c>
      <c r="AA4" s="55">
        <v>0.22178117361111113</v>
      </c>
      <c r="AB4" s="55">
        <f t="shared" ref="AB4:AB17" si="11">IFERROR((Z4*AA4*N4)/4,0)</f>
        <v>-29.458084384895834</v>
      </c>
      <c r="AC4" s="55">
        <v>-5.64</v>
      </c>
      <c r="AD4" s="55">
        <v>-12.122393162393163</v>
      </c>
      <c r="AE4" s="55">
        <v>0</v>
      </c>
      <c r="AF4" s="55"/>
    </row>
    <row r="5" spans="1:32" s="57" customFormat="1" ht="15.75" customHeight="1">
      <c r="A5" s="2" t="s">
        <v>49</v>
      </c>
      <c r="B5" s="2" t="s">
        <v>479</v>
      </c>
      <c r="C5" s="51">
        <v>37.99</v>
      </c>
      <c r="D5" s="51">
        <v>76</v>
      </c>
      <c r="E5" s="51">
        <v>0</v>
      </c>
      <c r="F5" s="51">
        <v>2841.2399999999971</v>
      </c>
      <c r="G5" s="51">
        <v>0</v>
      </c>
      <c r="H5" s="51">
        <f t="shared" si="1"/>
        <v>0</v>
      </c>
      <c r="I5" s="51">
        <f t="shared" si="2"/>
        <v>0.36503289694594299</v>
      </c>
      <c r="J5" s="51">
        <f t="shared" si="4"/>
        <v>1037.14606811869</v>
      </c>
      <c r="K5" s="51">
        <f t="shared" si="3"/>
        <v>13.646658791035394</v>
      </c>
      <c r="L5" s="51">
        <v>239</v>
      </c>
      <c r="M5" s="51">
        <f t="shared" si="5"/>
        <v>0.31799163179916318</v>
      </c>
      <c r="N5" s="51">
        <v>731</v>
      </c>
      <c r="O5" s="51">
        <f t="shared" ref="O5:P5" si="12">D5/7</f>
        <v>10.857142857142858</v>
      </c>
      <c r="P5" s="51">
        <f t="shared" si="12"/>
        <v>0</v>
      </c>
      <c r="Q5" s="51">
        <f t="shared" si="7"/>
        <v>67</v>
      </c>
      <c r="R5" s="55">
        <v>504</v>
      </c>
      <c r="S5" s="53" t="s">
        <v>34</v>
      </c>
      <c r="T5" s="54" t="s">
        <v>34</v>
      </c>
      <c r="U5" s="55">
        <v>0</v>
      </c>
      <c r="V5" s="55">
        <f t="shared" si="8"/>
        <v>0</v>
      </c>
      <c r="W5" s="55">
        <f t="shared" si="9"/>
        <v>0</v>
      </c>
      <c r="X5" s="55">
        <v>0</v>
      </c>
      <c r="Y5" s="55" t="s">
        <v>35</v>
      </c>
      <c r="Z5" s="56">
        <f t="shared" si="10"/>
        <v>-0.69</v>
      </c>
      <c r="AA5" s="55">
        <v>0.22178117361111113</v>
      </c>
      <c r="AB5" s="55">
        <f t="shared" si="11"/>
        <v>-27.966051539427085</v>
      </c>
      <c r="AC5" s="55">
        <v>-5.64</v>
      </c>
      <c r="AD5" s="55">
        <v>-12.122393162393163</v>
      </c>
      <c r="AE5" s="55">
        <v>0</v>
      </c>
      <c r="AF5" s="55"/>
    </row>
    <row r="6" spans="1:32" s="57" customFormat="1" ht="15.75" customHeight="1">
      <c r="A6" s="2" t="s">
        <v>51</v>
      </c>
      <c r="B6" s="26" t="s">
        <v>480</v>
      </c>
      <c r="C6" s="51">
        <v>34.99</v>
      </c>
      <c r="D6" s="51">
        <v>68</v>
      </c>
      <c r="E6" s="51">
        <v>0</v>
      </c>
      <c r="F6" s="51">
        <v>2472.3199999999979</v>
      </c>
      <c r="G6" s="51">
        <v>-2.35</v>
      </c>
      <c r="H6" s="51">
        <f t="shared" si="1"/>
        <v>9.505242039865398E-4</v>
      </c>
      <c r="I6" s="51">
        <f t="shared" si="2"/>
        <v>0.35059968911411021</v>
      </c>
      <c r="J6" s="51">
        <f t="shared" si="4"/>
        <v>866.79462339059626</v>
      </c>
      <c r="K6" s="51">
        <f t="shared" si="3"/>
        <v>12.746979755744063</v>
      </c>
      <c r="L6" s="51">
        <v>242</v>
      </c>
      <c r="M6" s="51">
        <f t="shared" si="5"/>
        <v>0.28099173553719009</v>
      </c>
      <c r="N6" s="51">
        <v>640</v>
      </c>
      <c r="O6" s="51">
        <f t="shared" ref="O6:P6" si="13">D6/7</f>
        <v>9.7142857142857135</v>
      </c>
      <c r="P6" s="51">
        <f t="shared" si="13"/>
        <v>0</v>
      </c>
      <c r="Q6" s="51">
        <f t="shared" si="7"/>
        <v>65</v>
      </c>
      <c r="R6" s="55">
        <v>264</v>
      </c>
      <c r="S6" s="53" t="s">
        <v>34</v>
      </c>
      <c r="T6" s="54" t="s">
        <v>34</v>
      </c>
      <c r="U6" s="55">
        <v>0</v>
      </c>
      <c r="V6" s="55">
        <f t="shared" si="8"/>
        <v>0</v>
      </c>
      <c r="W6" s="55">
        <f t="shared" si="9"/>
        <v>0</v>
      </c>
      <c r="X6" s="55">
        <v>0</v>
      </c>
      <c r="Y6" s="55" t="s">
        <v>35</v>
      </c>
      <c r="Z6" s="56">
        <f t="shared" si="10"/>
        <v>-0.69</v>
      </c>
      <c r="AA6" s="55">
        <v>0.22178117361111113</v>
      </c>
      <c r="AB6" s="55">
        <f t="shared" si="11"/>
        <v>-24.484641566666667</v>
      </c>
      <c r="AC6" s="55">
        <v>-5.64</v>
      </c>
      <c r="AD6" s="55">
        <v>-12.122393162393163</v>
      </c>
      <c r="AE6" s="55">
        <v>0</v>
      </c>
      <c r="AF6" s="55"/>
    </row>
    <row r="7" spans="1:32" s="57" customFormat="1" ht="15.75" customHeight="1">
      <c r="A7" s="2" t="s">
        <v>53</v>
      </c>
      <c r="B7" s="2"/>
      <c r="C7" s="51">
        <v>32.99</v>
      </c>
      <c r="D7" s="51">
        <v>62</v>
      </c>
      <c r="E7" s="51">
        <v>0</v>
      </c>
      <c r="F7" s="51">
        <v>2153.3799999999997</v>
      </c>
      <c r="G7" s="51">
        <v>-36.06</v>
      </c>
      <c r="H7" s="51">
        <f t="shared" si="1"/>
        <v>1.6745767119598031E-2</v>
      </c>
      <c r="I7" s="51">
        <f t="shared" si="2"/>
        <v>0.31109185847394982</v>
      </c>
      <c r="J7" s="51">
        <f t="shared" si="4"/>
        <v>669.898986200634</v>
      </c>
      <c r="K7" s="51">
        <f t="shared" si="3"/>
        <v>10.804822358074741</v>
      </c>
      <c r="L7" s="51">
        <v>201</v>
      </c>
      <c r="M7" s="51">
        <f t="shared" si="5"/>
        <v>0.30845771144278605</v>
      </c>
      <c r="N7" s="51">
        <v>605</v>
      </c>
      <c r="O7" s="51">
        <f t="shared" ref="O7:P7" si="14">D7/7</f>
        <v>8.8571428571428577</v>
      </c>
      <c r="P7" s="51">
        <f t="shared" si="14"/>
        <v>0</v>
      </c>
      <c r="Q7" s="51">
        <f t="shared" si="7"/>
        <v>68</v>
      </c>
      <c r="R7" s="55">
        <v>264</v>
      </c>
      <c r="S7" s="53" t="s">
        <v>34</v>
      </c>
      <c r="T7" s="54" t="s">
        <v>34</v>
      </c>
      <c r="U7" s="55">
        <v>6</v>
      </c>
      <c r="V7" s="55">
        <f t="shared" si="8"/>
        <v>9.6774193548387094E-2</v>
      </c>
      <c r="W7" s="55">
        <f t="shared" si="9"/>
        <v>6.0100000000000007</v>
      </c>
      <c r="X7" s="55">
        <v>0</v>
      </c>
      <c r="Y7" s="55" t="s">
        <v>35</v>
      </c>
      <c r="Z7" s="56">
        <f t="shared" si="10"/>
        <v>-0.69</v>
      </c>
      <c r="AA7" s="55">
        <v>0.22178117361111113</v>
      </c>
      <c r="AB7" s="55">
        <f t="shared" si="11"/>
        <v>-23.145637730989584</v>
      </c>
      <c r="AC7" s="55">
        <v>-5.64</v>
      </c>
      <c r="AD7" s="55">
        <v>-12.122393162393163</v>
      </c>
      <c r="AE7" s="55">
        <v>0</v>
      </c>
      <c r="AF7" s="55"/>
    </row>
    <row r="8" spans="1:32" s="57" customFormat="1" ht="15.75" customHeight="1">
      <c r="A8" s="2" t="s">
        <v>54</v>
      </c>
      <c r="B8" s="2" t="s">
        <v>481</v>
      </c>
      <c r="C8" s="51">
        <v>34.99</v>
      </c>
      <c r="D8" s="51">
        <v>54</v>
      </c>
      <c r="E8" s="51">
        <v>0</v>
      </c>
      <c r="F8" s="51">
        <v>1769.4700000000003</v>
      </c>
      <c r="G8" s="51">
        <v>-53.169999999999995</v>
      </c>
      <c r="H8" s="51">
        <f t="shared" si="1"/>
        <v>3.0048545609702333E-2</v>
      </c>
      <c r="I8" s="51">
        <f t="shared" si="2"/>
        <v>0.25973273103156619</v>
      </c>
      <c r="J8" s="51">
        <f t="shared" si="4"/>
        <v>459.58927557842549</v>
      </c>
      <c r="K8" s="51">
        <f t="shared" si="3"/>
        <v>8.5109125107115826</v>
      </c>
      <c r="L8" s="51">
        <v>180</v>
      </c>
      <c r="M8" s="51">
        <f t="shared" si="5"/>
        <v>0.3</v>
      </c>
      <c r="N8" s="51">
        <v>798</v>
      </c>
      <c r="O8" s="51">
        <f t="shared" ref="O8:P8" si="15">D8/7</f>
        <v>7.7142857142857144</v>
      </c>
      <c r="P8" s="51">
        <f t="shared" si="15"/>
        <v>0</v>
      </c>
      <c r="Q8" s="51">
        <f t="shared" si="7"/>
        <v>103</v>
      </c>
      <c r="R8" s="55">
        <v>264</v>
      </c>
      <c r="S8" s="53">
        <v>264</v>
      </c>
      <c r="T8" s="54">
        <v>43865</v>
      </c>
      <c r="U8" s="55">
        <v>5</v>
      </c>
      <c r="V8" s="55">
        <f t="shared" si="8"/>
        <v>9.2592592592592587E-2</v>
      </c>
      <c r="W8" s="55">
        <f t="shared" si="9"/>
        <v>6.6462499999999993</v>
      </c>
      <c r="X8" s="55">
        <v>3</v>
      </c>
      <c r="Y8" s="55" t="s">
        <v>35</v>
      </c>
      <c r="Z8" s="56">
        <f t="shared" si="10"/>
        <v>-0.69</v>
      </c>
      <c r="AA8" s="55">
        <v>0.23334418402777779</v>
      </c>
      <c r="AB8" s="55">
        <f t="shared" si="11"/>
        <v>-32.120993652343749</v>
      </c>
      <c r="AC8" s="55">
        <v>-5.64</v>
      </c>
      <c r="AD8" s="55">
        <v>-12.122393162393163</v>
      </c>
      <c r="AE8" s="55">
        <v>0</v>
      </c>
      <c r="AF8" s="55"/>
    </row>
    <row r="9" spans="1:32" s="57" customFormat="1" ht="15.75" customHeight="1">
      <c r="A9" s="2" t="s">
        <v>56</v>
      </c>
      <c r="B9" s="2" t="s">
        <v>482</v>
      </c>
      <c r="C9" s="51">
        <v>34.99</v>
      </c>
      <c r="D9" s="51">
        <v>42</v>
      </c>
      <c r="E9" s="51">
        <v>0</v>
      </c>
      <c r="F9" s="51">
        <v>1450.5800000000002</v>
      </c>
      <c r="G9" s="51">
        <v>-78.900000000000006</v>
      </c>
      <c r="H9" s="51">
        <f t="shared" si="1"/>
        <v>5.4392036288932702E-2</v>
      </c>
      <c r="I9" s="51">
        <f t="shared" si="2"/>
        <v>0.25995018953521876</v>
      </c>
      <c r="J9" s="51">
        <f t="shared" si="4"/>
        <v>377.07854593599762</v>
      </c>
      <c r="K9" s="51">
        <f t="shared" si="3"/>
        <v>8.9780606175237523</v>
      </c>
      <c r="L9" s="51">
        <v>185</v>
      </c>
      <c r="M9" s="51">
        <f t="shared" si="5"/>
        <v>0.22702702702702704</v>
      </c>
      <c r="N9" s="51">
        <v>770</v>
      </c>
      <c r="O9" s="51">
        <f t="shared" ref="O9:P9" si="16">D9/7</f>
        <v>6</v>
      </c>
      <c r="P9" s="51">
        <f t="shared" si="16"/>
        <v>0</v>
      </c>
      <c r="Q9" s="51">
        <f t="shared" si="7"/>
        <v>128</v>
      </c>
      <c r="R9" s="55">
        <v>600</v>
      </c>
      <c r="S9" s="53" t="s">
        <v>34</v>
      </c>
      <c r="T9" s="54" t="s">
        <v>34</v>
      </c>
      <c r="U9" s="55">
        <v>7</v>
      </c>
      <c r="V9" s="55">
        <f t="shared" si="8"/>
        <v>0.16666666666666666</v>
      </c>
      <c r="W9" s="55">
        <f t="shared" si="9"/>
        <v>6.5750000000000002</v>
      </c>
      <c r="X9" s="55">
        <v>5</v>
      </c>
      <c r="Y9" s="55" t="s">
        <v>35</v>
      </c>
      <c r="Z9" s="56">
        <f t="shared" si="10"/>
        <v>-0.69</v>
      </c>
      <c r="AA9" s="55">
        <v>0.23334418402777779</v>
      </c>
      <c r="AB9" s="55">
        <f t="shared" si="11"/>
        <v>-30.993941243489584</v>
      </c>
      <c r="AC9" s="55">
        <v>-5.64</v>
      </c>
      <c r="AD9" s="55">
        <v>-12.122393162393163</v>
      </c>
      <c r="AE9" s="55">
        <v>0</v>
      </c>
      <c r="AF9" s="55"/>
    </row>
    <row r="10" spans="1:32" s="57" customFormat="1" ht="15.75" customHeight="1">
      <c r="A10" s="2" t="s">
        <v>58</v>
      </c>
      <c r="B10" s="2" t="s">
        <v>483</v>
      </c>
      <c r="C10" s="51">
        <v>30.99</v>
      </c>
      <c r="D10" s="51">
        <v>57</v>
      </c>
      <c r="E10" s="51">
        <v>0</v>
      </c>
      <c r="F10" s="51">
        <v>1962.4300000000003</v>
      </c>
      <c r="G10" s="51">
        <v>-82.78</v>
      </c>
      <c r="H10" s="51">
        <f t="shared" si="1"/>
        <v>4.2182396314773003E-2</v>
      </c>
      <c r="I10" s="51">
        <f t="shared" si="2"/>
        <v>0.27758100073160585</v>
      </c>
      <c r="J10" s="51">
        <f t="shared" si="4"/>
        <v>544.73328326572539</v>
      </c>
      <c r="K10" s="51">
        <f t="shared" si="3"/>
        <v>9.5567242678197442</v>
      </c>
      <c r="L10" s="51">
        <v>186</v>
      </c>
      <c r="M10" s="51">
        <f t="shared" si="5"/>
        <v>0.30645161290322581</v>
      </c>
      <c r="N10" s="51">
        <v>698</v>
      </c>
      <c r="O10" s="51">
        <f t="shared" ref="O10:P10" si="17">D10/7</f>
        <v>8.1428571428571423</v>
      </c>
      <c r="P10" s="51">
        <f t="shared" si="17"/>
        <v>0</v>
      </c>
      <c r="Q10" s="51">
        <f t="shared" si="7"/>
        <v>85</v>
      </c>
      <c r="R10" s="55">
        <v>600</v>
      </c>
      <c r="S10" s="53" t="s">
        <v>34</v>
      </c>
      <c r="T10" s="54" t="s">
        <v>34</v>
      </c>
      <c r="U10" s="55">
        <v>1</v>
      </c>
      <c r="V10" s="55">
        <f t="shared" si="8"/>
        <v>1.7543859649122806E-2</v>
      </c>
      <c r="W10" s="55">
        <f t="shared" si="9"/>
        <v>16.556000000000001</v>
      </c>
      <c r="X10" s="55">
        <v>4</v>
      </c>
      <c r="Y10" s="55" t="s">
        <v>35</v>
      </c>
      <c r="Z10" s="56">
        <f t="shared" si="10"/>
        <v>-0.69</v>
      </c>
      <c r="AA10" s="55">
        <v>0.23334418402777779</v>
      </c>
      <c r="AB10" s="55">
        <f t="shared" si="11"/>
        <v>-28.095806477864585</v>
      </c>
      <c r="AC10" s="55">
        <v>-5.64</v>
      </c>
      <c r="AD10" s="55">
        <v>-12.122393162393163</v>
      </c>
      <c r="AE10" s="55">
        <v>0</v>
      </c>
      <c r="AF10" s="55"/>
    </row>
    <row r="11" spans="1:32" s="57" customFormat="1" ht="15.75" customHeight="1">
      <c r="A11" s="2" t="s">
        <v>60</v>
      </c>
      <c r="B11" s="2" t="s">
        <v>484</v>
      </c>
      <c r="C11" s="51">
        <v>32.99</v>
      </c>
      <c r="D11" s="51">
        <v>45</v>
      </c>
      <c r="E11" s="51">
        <v>0</v>
      </c>
      <c r="F11" s="51">
        <v>1455.5500000000002</v>
      </c>
      <c r="G11" s="51">
        <v>-38.49</v>
      </c>
      <c r="H11" s="51">
        <f t="shared" si="1"/>
        <v>2.6443612380199922E-2</v>
      </c>
      <c r="I11" s="51">
        <f t="shared" si="2"/>
        <v>0.24929558760558759</v>
      </c>
      <c r="J11" s="51">
        <f t="shared" si="4"/>
        <v>362.86219253931307</v>
      </c>
      <c r="K11" s="51">
        <f t="shared" si="3"/>
        <v>8.0636042786514022</v>
      </c>
      <c r="L11" s="51">
        <v>157</v>
      </c>
      <c r="M11" s="51">
        <f t="shared" si="5"/>
        <v>0.28662420382165604</v>
      </c>
      <c r="N11" s="51">
        <v>671</v>
      </c>
      <c r="O11" s="51">
        <f t="shared" ref="O11:P11" si="18">D11/7</f>
        <v>6.4285714285714288</v>
      </c>
      <c r="P11" s="51">
        <f t="shared" si="18"/>
        <v>0</v>
      </c>
      <c r="Q11" s="51">
        <f t="shared" si="7"/>
        <v>104</v>
      </c>
      <c r="R11" s="55">
        <v>864</v>
      </c>
      <c r="S11" s="53" t="s">
        <v>34</v>
      </c>
      <c r="T11" s="54" t="s">
        <v>34</v>
      </c>
      <c r="U11" s="55">
        <v>2</v>
      </c>
      <c r="V11" s="55">
        <f t="shared" si="8"/>
        <v>4.4444444444444446E-2</v>
      </c>
      <c r="W11" s="55">
        <f t="shared" si="9"/>
        <v>9.6225000000000005</v>
      </c>
      <c r="X11" s="55">
        <v>2</v>
      </c>
      <c r="Y11" s="55" t="s">
        <v>35</v>
      </c>
      <c r="Z11" s="56">
        <f t="shared" ref="Z11:Z39" si="19">IF(OR(Y11="UsLargeStandardSize",Y11="UsSmallStandardSize"),-0.75,-0.48)</f>
        <v>-0.75</v>
      </c>
      <c r="AA11" s="55">
        <v>0.23334418402777779</v>
      </c>
      <c r="AB11" s="55">
        <f t="shared" si="11"/>
        <v>-29.357615152994793</v>
      </c>
      <c r="AC11" s="55">
        <v>-5.8</v>
      </c>
      <c r="AD11" s="55">
        <v>-12.122393162393163</v>
      </c>
      <c r="AE11" s="55">
        <v>0</v>
      </c>
      <c r="AF11" s="55"/>
    </row>
    <row r="12" spans="1:32" s="57" customFormat="1" ht="15.75" customHeight="1">
      <c r="A12" s="2" t="s">
        <v>62</v>
      </c>
      <c r="B12" s="2" t="s">
        <v>485</v>
      </c>
      <c r="C12" s="51">
        <v>32.99</v>
      </c>
      <c r="D12" s="51">
        <v>47</v>
      </c>
      <c r="E12" s="51">
        <v>0</v>
      </c>
      <c r="F12" s="51">
        <v>1635.5300000000002</v>
      </c>
      <c r="G12" s="51">
        <v>-2.65</v>
      </c>
      <c r="H12" s="51">
        <f t="shared" si="1"/>
        <v>1.6202698819342963E-3</v>
      </c>
      <c r="I12" s="51">
        <f t="shared" si="2"/>
        <v>0.31423868755962681</v>
      </c>
      <c r="J12" s="51">
        <f t="shared" si="4"/>
        <v>513.94680066439651</v>
      </c>
      <c r="K12" s="51">
        <f t="shared" si="3"/>
        <v>10.935038312008436</v>
      </c>
      <c r="L12" s="51">
        <v>176</v>
      </c>
      <c r="M12" s="51">
        <f t="shared" si="5"/>
        <v>0.26704545454545453</v>
      </c>
      <c r="N12" s="51">
        <v>600</v>
      </c>
      <c r="O12" s="51">
        <f t="shared" ref="O12:P12" si="20">D12/7</f>
        <v>6.7142857142857144</v>
      </c>
      <c r="P12" s="51">
        <f t="shared" si="20"/>
        <v>0</v>
      </c>
      <c r="Q12" s="51">
        <f t="shared" si="7"/>
        <v>89</v>
      </c>
      <c r="R12" s="55">
        <v>864</v>
      </c>
      <c r="S12" s="53">
        <v>600</v>
      </c>
      <c r="T12" s="54">
        <v>43896</v>
      </c>
      <c r="U12" s="55">
        <v>0</v>
      </c>
      <c r="V12" s="55">
        <f t="shared" si="8"/>
        <v>0</v>
      </c>
      <c r="W12" s="55">
        <f t="shared" si="9"/>
        <v>0</v>
      </c>
      <c r="X12" s="55">
        <v>0</v>
      </c>
      <c r="Y12" s="55" t="s">
        <v>35</v>
      </c>
      <c r="Z12" s="56">
        <f t="shared" si="19"/>
        <v>-0.75</v>
      </c>
      <c r="AA12" s="55">
        <v>0.23334418402777779</v>
      </c>
      <c r="AB12" s="55">
        <f t="shared" si="11"/>
        <v>-26.251220703125</v>
      </c>
      <c r="AC12" s="55">
        <v>-5.8</v>
      </c>
      <c r="AD12" s="55">
        <v>-12.122393162393163</v>
      </c>
      <c r="AE12" s="55">
        <v>-5</v>
      </c>
      <c r="AF12" s="55"/>
    </row>
    <row r="13" spans="1:32" s="57" customFormat="1" ht="15.75" customHeight="1">
      <c r="A13" s="2" t="s">
        <v>63</v>
      </c>
      <c r="B13" s="2" t="s">
        <v>486</v>
      </c>
      <c r="C13" s="51">
        <v>34.99</v>
      </c>
      <c r="D13" s="51">
        <v>43</v>
      </c>
      <c r="E13" s="51">
        <v>0</v>
      </c>
      <c r="F13" s="51">
        <v>1452.5700000000002</v>
      </c>
      <c r="G13" s="51">
        <v>0</v>
      </c>
      <c r="H13" s="51">
        <f t="shared" si="1"/>
        <v>0</v>
      </c>
      <c r="I13" s="51">
        <f t="shared" si="2"/>
        <v>0.3321185418121777</v>
      </c>
      <c r="J13" s="51">
        <f t="shared" si="4"/>
        <v>482.42543028011499</v>
      </c>
      <c r="K13" s="51">
        <f t="shared" si="3"/>
        <v>11.21919605302593</v>
      </c>
      <c r="L13" s="51">
        <v>163</v>
      </c>
      <c r="M13" s="51">
        <f t="shared" si="5"/>
        <v>0.26380368098159507</v>
      </c>
      <c r="N13" s="51">
        <v>572</v>
      </c>
      <c r="O13" s="51">
        <f t="shared" ref="O13:P13" si="21">D13/7</f>
        <v>6.1428571428571432</v>
      </c>
      <c r="P13" s="51">
        <f t="shared" si="21"/>
        <v>0</v>
      </c>
      <c r="Q13" s="51">
        <f t="shared" si="7"/>
        <v>93</v>
      </c>
      <c r="R13" s="55">
        <v>421</v>
      </c>
      <c r="S13" s="53" t="s">
        <v>34</v>
      </c>
      <c r="T13" s="54" t="s">
        <v>34</v>
      </c>
      <c r="U13" s="55">
        <v>0</v>
      </c>
      <c r="V13" s="55">
        <f t="shared" si="8"/>
        <v>0</v>
      </c>
      <c r="W13" s="55">
        <f t="shared" si="9"/>
        <v>0</v>
      </c>
      <c r="X13" s="55">
        <v>0</v>
      </c>
      <c r="Y13" s="55" t="s">
        <v>35</v>
      </c>
      <c r="Z13" s="56">
        <f t="shared" si="19"/>
        <v>-0.75</v>
      </c>
      <c r="AA13" s="55">
        <v>0.23334418402777779</v>
      </c>
      <c r="AB13" s="55">
        <f t="shared" si="11"/>
        <v>-25.026163736979168</v>
      </c>
      <c r="AC13" s="55">
        <v>-5.8</v>
      </c>
      <c r="AD13" s="55">
        <v>-11.112393162393161</v>
      </c>
      <c r="AE13" s="55">
        <v>0</v>
      </c>
      <c r="AF13" s="55"/>
    </row>
    <row r="14" spans="1:32" s="57" customFormat="1" ht="15.75" customHeight="1">
      <c r="A14" s="2" t="s">
        <v>64</v>
      </c>
      <c r="B14" s="2"/>
      <c r="C14" s="51">
        <v>27.99</v>
      </c>
      <c r="D14" s="51">
        <v>55</v>
      </c>
      <c r="E14" s="51">
        <v>0</v>
      </c>
      <c r="F14" s="51">
        <v>1770.4500000000003</v>
      </c>
      <c r="G14" s="51">
        <v>0</v>
      </c>
      <c r="H14" s="51">
        <f t="shared" si="1"/>
        <v>0</v>
      </c>
      <c r="I14" s="51">
        <f t="shared" si="2"/>
        <v>0.2975471763027327</v>
      </c>
      <c r="J14" s="51">
        <f t="shared" si="4"/>
        <v>526.79239828517314</v>
      </c>
      <c r="K14" s="51">
        <f t="shared" si="3"/>
        <v>9.5780436051849662</v>
      </c>
      <c r="L14" s="51">
        <v>166</v>
      </c>
      <c r="M14" s="51">
        <f t="shared" si="5"/>
        <v>0.33132530120481929</v>
      </c>
      <c r="N14" s="51">
        <v>1095</v>
      </c>
      <c r="O14" s="51">
        <f t="shared" ref="O14:P14" si="22">D14/7</f>
        <v>7.8571428571428568</v>
      </c>
      <c r="P14" s="51">
        <f t="shared" si="22"/>
        <v>0</v>
      </c>
      <c r="Q14" s="51">
        <f t="shared" si="7"/>
        <v>139</v>
      </c>
      <c r="R14" s="55">
        <v>421</v>
      </c>
      <c r="S14" s="53" t="s">
        <v>34</v>
      </c>
      <c r="T14" s="54" t="s">
        <v>34</v>
      </c>
      <c r="U14" s="55">
        <v>0</v>
      </c>
      <c r="V14" s="55">
        <f t="shared" si="8"/>
        <v>0</v>
      </c>
      <c r="W14" s="55">
        <f t="shared" si="9"/>
        <v>0</v>
      </c>
      <c r="X14" s="55">
        <v>0</v>
      </c>
      <c r="Y14" s="55" t="s">
        <v>35</v>
      </c>
      <c r="Z14" s="56">
        <f t="shared" si="19"/>
        <v>-0.75</v>
      </c>
      <c r="AA14" s="55">
        <v>0.23334418402777779</v>
      </c>
      <c r="AB14" s="55">
        <f t="shared" si="11"/>
        <v>-47.908477783203125</v>
      </c>
      <c r="AC14" s="55">
        <v>-5.8</v>
      </c>
      <c r="AD14" s="55">
        <v>-11.112393162393161</v>
      </c>
      <c r="AE14" s="55">
        <v>0</v>
      </c>
      <c r="AF14" s="55"/>
    </row>
    <row r="15" spans="1:32" s="57" customFormat="1" ht="15.75" customHeight="1">
      <c r="A15" s="2" t="s">
        <v>65</v>
      </c>
      <c r="B15" s="2" t="s">
        <v>487</v>
      </c>
      <c r="C15" s="51">
        <v>28.99</v>
      </c>
      <c r="D15" s="51">
        <v>44</v>
      </c>
      <c r="E15" s="51">
        <v>0</v>
      </c>
      <c r="F15" s="51">
        <v>1261.5600000000002</v>
      </c>
      <c r="G15" s="51">
        <v>0</v>
      </c>
      <c r="H15" s="51">
        <f t="shared" si="1"/>
        <v>0</v>
      </c>
      <c r="I15" s="51">
        <f t="shared" si="2"/>
        <v>0.22254470294798118</v>
      </c>
      <c r="J15" s="51">
        <f t="shared" si="4"/>
        <v>280.75349545105519</v>
      </c>
      <c r="K15" s="51">
        <f t="shared" si="3"/>
        <v>6.380761260251254</v>
      </c>
      <c r="L15" s="51">
        <v>116</v>
      </c>
      <c r="M15" s="51">
        <f t="shared" si="5"/>
        <v>0.37931034482758619</v>
      </c>
      <c r="N15" s="51">
        <v>1084</v>
      </c>
      <c r="O15" s="51">
        <f t="shared" ref="O15:P15" si="23">D15/7</f>
        <v>6.2857142857142856</v>
      </c>
      <c r="P15" s="51">
        <f t="shared" si="23"/>
        <v>0</v>
      </c>
      <c r="Q15" s="51">
        <f t="shared" si="7"/>
        <v>172</v>
      </c>
      <c r="R15" s="55">
        <v>314</v>
      </c>
      <c r="S15" s="53">
        <v>157</v>
      </c>
      <c r="T15" s="54">
        <v>43920</v>
      </c>
      <c r="U15" s="55">
        <v>0</v>
      </c>
      <c r="V15" s="55">
        <f t="shared" si="8"/>
        <v>0</v>
      </c>
      <c r="W15" s="55">
        <f t="shared" si="9"/>
        <v>0</v>
      </c>
      <c r="X15" s="55">
        <v>0</v>
      </c>
      <c r="Y15" s="55" t="s">
        <v>35</v>
      </c>
      <c r="Z15" s="56">
        <f t="shared" si="19"/>
        <v>-0.75</v>
      </c>
      <c r="AA15" s="55">
        <v>0.23334418402777779</v>
      </c>
      <c r="AB15" s="55">
        <f t="shared" si="11"/>
        <v>-47.427205403645836</v>
      </c>
      <c r="AC15" s="55">
        <v>-5.8</v>
      </c>
      <c r="AD15" s="55">
        <v>-11.112393162393161</v>
      </c>
      <c r="AE15" s="55">
        <v>0</v>
      </c>
      <c r="AF15" s="55"/>
    </row>
    <row r="16" spans="1:32" s="57" customFormat="1" ht="15.75" customHeight="1">
      <c r="A16" s="2" t="s">
        <v>66</v>
      </c>
      <c r="B16" s="2" t="s">
        <v>488</v>
      </c>
      <c r="C16" s="51">
        <v>29.99</v>
      </c>
      <c r="D16" s="51">
        <v>70</v>
      </c>
      <c r="E16" s="51">
        <v>0</v>
      </c>
      <c r="F16" s="51">
        <v>2039.3000000000004</v>
      </c>
      <c r="G16" s="51">
        <v>0</v>
      </c>
      <c r="H16" s="51">
        <f t="shared" si="1"/>
        <v>0</v>
      </c>
      <c r="I16" s="51">
        <f t="shared" si="2"/>
        <v>0.245977398307658</v>
      </c>
      <c r="J16" s="51">
        <f t="shared" si="4"/>
        <v>501.62170836880705</v>
      </c>
      <c r="K16" s="51">
        <f t="shared" si="3"/>
        <v>7.1660244052686721</v>
      </c>
      <c r="L16" s="51">
        <v>162</v>
      </c>
      <c r="M16" s="51">
        <f t="shared" si="5"/>
        <v>0.43209876543209874</v>
      </c>
      <c r="N16" s="51">
        <v>993</v>
      </c>
      <c r="O16" s="51">
        <f t="shared" ref="O16:P16" si="24">D16/7</f>
        <v>10</v>
      </c>
      <c r="P16" s="51">
        <f t="shared" si="24"/>
        <v>0</v>
      </c>
      <c r="Q16" s="51">
        <f t="shared" si="7"/>
        <v>99</v>
      </c>
      <c r="R16" s="55">
        <v>314</v>
      </c>
      <c r="S16" s="53">
        <v>157</v>
      </c>
      <c r="T16" s="54">
        <v>43920</v>
      </c>
      <c r="U16" s="55">
        <v>0</v>
      </c>
      <c r="V16" s="55">
        <f t="shared" si="8"/>
        <v>0</v>
      </c>
      <c r="W16" s="55">
        <f t="shared" si="9"/>
        <v>0</v>
      </c>
      <c r="X16" s="55">
        <v>0</v>
      </c>
      <c r="Y16" s="55" t="s">
        <v>35</v>
      </c>
      <c r="Z16" s="56">
        <f t="shared" si="19"/>
        <v>-0.75</v>
      </c>
      <c r="AA16" s="55">
        <v>0.23334418402777779</v>
      </c>
      <c r="AB16" s="55">
        <f t="shared" si="11"/>
        <v>-43.445770263671875</v>
      </c>
      <c r="AC16" s="55">
        <v>-5.8</v>
      </c>
      <c r="AD16" s="55">
        <v>-11.112393162393161</v>
      </c>
      <c r="AE16" s="55">
        <v>-4.47</v>
      </c>
      <c r="AF16" s="55"/>
    </row>
    <row r="17" spans="1:32" s="57" customFormat="1" ht="15.75" customHeight="1">
      <c r="A17" s="2" t="s">
        <v>67</v>
      </c>
      <c r="B17" s="2" t="s">
        <v>489</v>
      </c>
      <c r="C17" s="51">
        <v>31.99</v>
      </c>
      <c r="D17" s="51">
        <v>56</v>
      </c>
      <c r="E17" s="51">
        <v>0</v>
      </c>
      <c r="F17" s="51">
        <v>1733.4400000000003</v>
      </c>
      <c r="G17" s="51">
        <v>0</v>
      </c>
      <c r="H17" s="51">
        <f t="shared" si="1"/>
        <v>0</v>
      </c>
      <c r="I17" s="51">
        <f t="shared" si="2"/>
        <v>0.27955426319227333</v>
      </c>
      <c r="J17" s="51">
        <f t="shared" si="4"/>
        <v>484.59054198801437</v>
      </c>
      <c r="K17" s="51">
        <f t="shared" si="3"/>
        <v>8.6534025355002573</v>
      </c>
      <c r="L17" s="51">
        <v>156</v>
      </c>
      <c r="M17" s="51">
        <f t="shared" si="5"/>
        <v>0.35897435897435898</v>
      </c>
      <c r="N17" s="51">
        <v>954</v>
      </c>
      <c r="O17" s="51">
        <f t="shared" ref="O17:P17" si="25">D17/7</f>
        <v>8</v>
      </c>
      <c r="P17" s="51">
        <f t="shared" si="25"/>
        <v>0</v>
      </c>
      <c r="Q17" s="51">
        <f t="shared" si="7"/>
        <v>119</v>
      </c>
      <c r="R17" s="55">
        <v>157</v>
      </c>
      <c r="S17" s="53" t="s">
        <v>34</v>
      </c>
      <c r="T17" s="54" t="s">
        <v>34</v>
      </c>
      <c r="U17" s="55">
        <v>0</v>
      </c>
      <c r="V17" s="55">
        <f t="shared" si="8"/>
        <v>0</v>
      </c>
      <c r="W17" s="55">
        <f t="shared" si="9"/>
        <v>0</v>
      </c>
      <c r="X17" s="55">
        <v>0</v>
      </c>
      <c r="Y17" s="55" t="s">
        <v>35</v>
      </c>
      <c r="Z17" s="56">
        <f t="shared" si="19"/>
        <v>-0.75</v>
      </c>
      <c r="AA17" s="55">
        <v>0.23334418402777779</v>
      </c>
      <c r="AB17" s="55">
        <f t="shared" si="11"/>
        <v>-41.73944091796875</v>
      </c>
      <c r="AC17" s="55">
        <v>-5.8</v>
      </c>
      <c r="AD17" s="55">
        <v>-11.112393162393161</v>
      </c>
      <c r="AE17" s="55">
        <v>0</v>
      </c>
      <c r="AF17" s="55"/>
    </row>
    <row r="18" spans="1:32" s="57" customFormat="1" ht="15.75" customHeight="1">
      <c r="A18" s="2" t="s">
        <v>69</v>
      </c>
      <c r="B18" s="2" t="s">
        <v>490</v>
      </c>
      <c r="C18" s="51">
        <v>26.99</v>
      </c>
      <c r="D18" s="51">
        <v>49</v>
      </c>
      <c r="E18" s="51">
        <v>0</v>
      </c>
      <c r="F18" s="51">
        <v>1540.5100000000002</v>
      </c>
      <c r="G18" s="51">
        <v>-0.16</v>
      </c>
      <c r="H18" s="51">
        <f t="shared" si="1"/>
        <v>1.0386170813561742E-4</v>
      </c>
      <c r="I18" s="51">
        <f t="shared" si="2"/>
        <v>0.2952528959589179</v>
      </c>
      <c r="J18" s="51">
        <f t="shared" si="4"/>
        <v>454.84003875367267</v>
      </c>
      <c r="K18" s="51">
        <f t="shared" si="3"/>
        <v>9.2824497704831153</v>
      </c>
      <c r="L18" s="51">
        <v>166</v>
      </c>
      <c r="M18" s="51">
        <f t="shared" si="5"/>
        <v>0.29518072289156627</v>
      </c>
      <c r="N18" s="51">
        <v>1012</v>
      </c>
      <c r="O18" s="51">
        <f t="shared" ref="O18:P18" si="26">D18/7</f>
        <v>7</v>
      </c>
      <c r="P18" s="51">
        <f t="shared" si="26"/>
        <v>0</v>
      </c>
      <c r="Q18" s="51">
        <f t="shared" si="7"/>
        <v>144</v>
      </c>
      <c r="R18" s="55">
        <v>157</v>
      </c>
      <c r="S18" s="53" t="s">
        <v>34</v>
      </c>
      <c r="T18" s="54" t="s">
        <v>34</v>
      </c>
      <c r="U18" s="55">
        <v>0</v>
      </c>
      <c r="V18" s="55">
        <f t="shared" si="8"/>
        <v>0</v>
      </c>
      <c r="W18" s="55">
        <f t="shared" si="9"/>
        <v>0</v>
      </c>
      <c r="X18" s="55">
        <v>0</v>
      </c>
      <c r="Y18" s="55" t="s">
        <v>35</v>
      </c>
      <c r="Z18" s="56">
        <f t="shared" si="19"/>
        <v>-0.75</v>
      </c>
      <c r="AA18" s="55">
        <v>0.23334418402777779</v>
      </c>
      <c r="AB18" s="58">
        <f t="shared" ref="AB18:AB39" si="27">IFERROR(Z18*AA18*D18*3,0)</f>
        <v>-25.7261962890625</v>
      </c>
      <c r="AC18" s="55">
        <v>-5.8</v>
      </c>
      <c r="AD18" s="55">
        <v>-11.112393162393161</v>
      </c>
      <c r="AE18" s="55">
        <v>0</v>
      </c>
      <c r="AF18" s="55"/>
    </row>
    <row r="19" spans="1:32" s="57" customFormat="1" ht="15.75" customHeight="1">
      <c r="A19" s="2" t="s">
        <v>71</v>
      </c>
      <c r="B19" s="2" t="s">
        <v>491</v>
      </c>
      <c r="C19" s="51">
        <v>27.99</v>
      </c>
      <c r="D19" s="51">
        <v>94</v>
      </c>
      <c r="E19" s="51">
        <v>0</v>
      </c>
      <c r="F19" s="51">
        <v>2681.0699999999961</v>
      </c>
      <c r="G19" s="51">
        <v>0</v>
      </c>
      <c r="H19" s="51">
        <f t="shared" si="1"/>
        <v>0</v>
      </c>
      <c r="I19" s="51">
        <f t="shared" si="2"/>
        <v>0.23863317549081722</v>
      </c>
      <c r="J19" s="51">
        <f t="shared" si="4"/>
        <v>639.79224781316441</v>
      </c>
      <c r="K19" s="51">
        <f t="shared" si="3"/>
        <v>6.8063005086506854</v>
      </c>
      <c r="L19" s="51">
        <v>190</v>
      </c>
      <c r="M19" s="51">
        <f t="shared" si="5"/>
        <v>0.49473684210526314</v>
      </c>
      <c r="N19" s="51">
        <v>965</v>
      </c>
      <c r="O19" s="51">
        <f t="shared" ref="O19:P19" si="28">D19/7</f>
        <v>13.428571428571429</v>
      </c>
      <c r="P19" s="51">
        <f t="shared" si="28"/>
        <v>0</v>
      </c>
      <c r="Q19" s="51">
        <f t="shared" si="7"/>
        <v>71</v>
      </c>
      <c r="R19" s="55">
        <v>0</v>
      </c>
      <c r="S19" s="53" t="s">
        <v>34</v>
      </c>
      <c r="T19" s="54" t="s">
        <v>34</v>
      </c>
      <c r="U19" s="55">
        <v>0</v>
      </c>
      <c r="V19" s="55">
        <f t="shared" si="8"/>
        <v>0</v>
      </c>
      <c r="W19" s="55">
        <f t="shared" si="9"/>
        <v>0</v>
      </c>
      <c r="X19" s="55">
        <v>0</v>
      </c>
      <c r="Y19" s="55" t="s">
        <v>35</v>
      </c>
      <c r="Z19" s="56">
        <f t="shared" si="19"/>
        <v>-0.75</v>
      </c>
      <c r="AA19" s="55">
        <v>0.23334418402777779</v>
      </c>
      <c r="AB19" s="55">
        <f t="shared" si="27"/>
        <v>-49.352294921875007</v>
      </c>
      <c r="AC19" s="55">
        <v>-5.8</v>
      </c>
      <c r="AD19" s="55">
        <v>-11.112393162393161</v>
      </c>
      <c r="AE19" s="55">
        <v>0</v>
      </c>
      <c r="AF19" s="55"/>
    </row>
    <row r="20" spans="1:32" s="57" customFormat="1" ht="15.75" customHeight="1">
      <c r="A20" s="2" t="s">
        <v>73</v>
      </c>
      <c r="B20" s="2" t="s">
        <v>492</v>
      </c>
      <c r="C20" s="51">
        <v>26</v>
      </c>
      <c r="D20" s="51">
        <v>136</v>
      </c>
      <c r="E20" s="51">
        <v>0</v>
      </c>
      <c r="F20" s="51">
        <v>3594.889999999989</v>
      </c>
      <c r="G20" s="51">
        <v>0</v>
      </c>
      <c r="H20" s="51">
        <f t="shared" si="1"/>
        <v>0</v>
      </c>
      <c r="I20" s="51">
        <f t="shared" si="2"/>
        <v>0.19031673002568164</v>
      </c>
      <c r="J20" s="51">
        <f t="shared" si="4"/>
        <v>684.16770960202052</v>
      </c>
      <c r="K20" s="51">
        <f t="shared" si="3"/>
        <v>5.0306449235442683</v>
      </c>
      <c r="L20" s="51">
        <v>271</v>
      </c>
      <c r="M20" s="51">
        <f t="shared" si="5"/>
        <v>0.50184501845018448</v>
      </c>
      <c r="N20" s="51">
        <v>780</v>
      </c>
      <c r="O20" s="51">
        <f t="shared" ref="O20:P20" si="29">D20/7</f>
        <v>19.428571428571427</v>
      </c>
      <c r="P20" s="51">
        <f t="shared" si="29"/>
        <v>0</v>
      </c>
      <c r="Q20" s="51">
        <f t="shared" si="7"/>
        <v>40</v>
      </c>
      <c r="R20" s="55">
        <v>756</v>
      </c>
      <c r="S20" s="53" t="s">
        <v>34</v>
      </c>
      <c r="T20" s="54" t="s">
        <v>34</v>
      </c>
      <c r="U20" s="55">
        <v>0</v>
      </c>
      <c r="V20" s="55">
        <f t="shared" si="8"/>
        <v>0</v>
      </c>
      <c r="W20" s="55">
        <f t="shared" si="9"/>
        <v>0</v>
      </c>
      <c r="X20" s="55">
        <v>0</v>
      </c>
      <c r="Y20" s="55" t="s">
        <v>35</v>
      </c>
      <c r="Z20" s="56">
        <f t="shared" si="19"/>
        <v>-0.75</v>
      </c>
      <c r="AA20" s="55">
        <v>0.23334418402777779</v>
      </c>
      <c r="AB20" s="55">
        <f t="shared" si="27"/>
        <v>-71.4033203125</v>
      </c>
      <c r="AC20" s="55">
        <v>-5.8</v>
      </c>
      <c r="AD20" s="55">
        <v>-11.112393162393161</v>
      </c>
      <c r="AE20" s="55">
        <v>0</v>
      </c>
      <c r="AF20" s="55"/>
    </row>
    <row r="21" spans="1:32" s="57" customFormat="1" ht="15.75" customHeight="1">
      <c r="A21" s="2" t="s">
        <v>75</v>
      </c>
      <c r="B21" s="2" t="s">
        <v>493</v>
      </c>
      <c r="C21" s="51">
        <v>27</v>
      </c>
      <c r="D21" s="51">
        <v>137</v>
      </c>
      <c r="E21" s="51">
        <v>0</v>
      </c>
      <c r="F21" s="51">
        <v>3609.9399999999991</v>
      </c>
      <c r="G21" s="51">
        <v>0</v>
      </c>
      <c r="H21" s="51">
        <f t="shared" si="1"/>
        <v>0</v>
      </c>
      <c r="I21" s="51">
        <f t="shared" si="2"/>
        <v>0.18823658898086218</v>
      </c>
      <c r="J21" s="51">
        <f t="shared" si="4"/>
        <v>679.52279202557349</v>
      </c>
      <c r="K21" s="51">
        <f t="shared" si="3"/>
        <v>4.9600203797487117</v>
      </c>
      <c r="L21" s="51">
        <v>332</v>
      </c>
      <c r="M21" s="51">
        <f t="shared" si="5"/>
        <v>0.41265060240963858</v>
      </c>
      <c r="N21" s="51">
        <v>688</v>
      </c>
      <c r="O21" s="51">
        <f t="shared" ref="O21:P21" si="30">D21/7</f>
        <v>19.571428571428573</v>
      </c>
      <c r="P21" s="51">
        <f t="shared" si="30"/>
        <v>0</v>
      </c>
      <c r="Q21" s="51">
        <f t="shared" si="7"/>
        <v>35</v>
      </c>
      <c r="R21" s="55">
        <v>756</v>
      </c>
      <c r="S21" s="53">
        <v>756</v>
      </c>
      <c r="T21" s="54">
        <v>43969</v>
      </c>
      <c r="U21" s="55">
        <v>0</v>
      </c>
      <c r="V21" s="55">
        <f t="shared" si="8"/>
        <v>0</v>
      </c>
      <c r="W21" s="55">
        <f t="shared" si="9"/>
        <v>0</v>
      </c>
      <c r="X21" s="55">
        <v>0</v>
      </c>
      <c r="Y21" s="55" t="s">
        <v>35</v>
      </c>
      <c r="Z21" s="56">
        <f t="shared" si="19"/>
        <v>-0.75</v>
      </c>
      <c r="AA21" s="55">
        <v>0.23334418402777779</v>
      </c>
      <c r="AB21" s="55">
        <f t="shared" si="27"/>
        <v>-71.9283447265625</v>
      </c>
      <c r="AC21" s="55">
        <v>-5.8</v>
      </c>
      <c r="AD21" s="55">
        <v>-11.112393162393161</v>
      </c>
      <c r="AE21" s="55">
        <v>0</v>
      </c>
      <c r="AF21" s="55"/>
    </row>
    <row r="22" spans="1:32" s="57" customFormat="1" ht="15.75" customHeight="1">
      <c r="A22" s="2" t="s">
        <v>77</v>
      </c>
      <c r="B22" s="2" t="s">
        <v>494</v>
      </c>
      <c r="C22" s="51">
        <v>29.65</v>
      </c>
      <c r="D22" s="51">
        <v>187</v>
      </c>
      <c r="E22" s="51">
        <v>0</v>
      </c>
      <c r="F22" s="51">
        <v>5138.489999999998</v>
      </c>
      <c r="G22" s="51">
        <v>0</v>
      </c>
      <c r="H22" s="51">
        <f t="shared" si="1"/>
        <v>0</v>
      </c>
      <c r="I22" s="51">
        <f t="shared" si="2"/>
        <v>0.2154172554977804</v>
      </c>
      <c r="J22" s="51">
        <f t="shared" si="4"/>
        <v>1106.9194132027892</v>
      </c>
      <c r="K22" s="51">
        <f t="shared" si="3"/>
        <v>5.9193551508170543</v>
      </c>
      <c r="L22" s="51">
        <v>344</v>
      </c>
      <c r="M22" s="51">
        <f t="shared" si="5"/>
        <v>0.54360465116279066</v>
      </c>
      <c r="N22" s="51">
        <v>466</v>
      </c>
      <c r="O22" s="51">
        <f t="shared" ref="O22:P22" si="31">D22/7</f>
        <v>26.714285714285715</v>
      </c>
      <c r="P22" s="51">
        <f t="shared" si="31"/>
        <v>0</v>
      </c>
      <c r="Q22" s="51">
        <f t="shared" si="7"/>
        <v>17</v>
      </c>
      <c r="R22" s="55">
        <v>756</v>
      </c>
      <c r="S22" s="53">
        <v>756</v>
      </c>
      <c r="T22" s="54">
        <v>43969</v>
      </c>
      <c r="U22" s="55">
        <v>0</v>
      </c>
      <c r="V22" s="55">
        <f t="shared" si="8"/>
        <v>0</v>
      </c>
      <c r="W22" s="55">
        <f t="shared" si="9"/>
        <v>0</v>
      </c>
      <c r="X22" s="55">
        <v>0</v>
      </c>
      <c r="Y22" s="55" t="s">
        <v>35</v>
      </c>
      <c r="Z22" s="56">
        <f t="shared" si="19"/>
        <v>-0.75</v>
      </c>
      <c r="AA22" s="55">
        <v>0.23334418402777779</v>
      </c>
      <c r="AB22" s="55">
        <f t="shared" si="27"/>
        <v>-98.1795654296875</v>
      </c>
      <c r="AC22" s="55">
        <v>-5.8</v>
      </c>
      <c r="AD22" s="55">
        <v>-11.112393162393161</v>
      </c>
      <c r="AE22" s="55">
        <v>0</v>
      </c>
      <c r="AF22" s="55"/>
    </row>
    <row r="23" spans="1:32" s="57" customFormat="1" ht="15.75" customHeight="1">
      <c r="A23" s="2" t="s">
        <v>79</v>
      </c>
      <c r="B23" s="2" t="s">
        <v>495</v>
      </c>
      <c r="C23" s="51">
        <v>28.87</v>
      </c>
      <c r="D23" s="51">
        <v>112</v>
      </c>
      <c r="E23" s="51">
        <v>0</v>
      </c>
      <c r="F23" s="51">
        <v>3212.370000000004</v>
      </c>
      <c r="G23" s="51">
        <v>-0.02</v>
      </c>
      <c r="H23" s="51">
        <f t="shared" si="1"/>
        <v>6.2259328782176324E-6</v>
      </c>
      <c r="I23" s="51">
        <f t="shared" si="2"/>
        <v>0.24203430222451597</v>
      </c>
      <c r="J23" s="51">
        <f t="shared" si="4"/>
        <v>777.50373143696936</v>
      </c>
      <c r="K23" s="51">
        <f t="shared" si="3"/>
        <v>6.9419976021157979</v>
      </c>
      <c r="L23" s="51">
        <v>277</v>
      </c>
      <c r="M23" s="51">
        <f t="shared" si="5"/>
        <v>0.40433212996389889</v>
      </c>
      <c r="N23" s="51">
        <v>390</v>
      </c>
      <c r="O23" s="51">
        <f t="shared" ref="O23:P23" si="32">D23/7</f>
        <v>16</v>
      </c>
      <c r="P23" s="51">
        <f t="shared" si="32"/>
        <v>0</v>
      </c>
      <c r="Q23" s="51">
        <f t="shared" si="7"/>
        <v>24</v>
      </c>
      <c r="R23" s="55">
        <v>756</v>
      </c>
      <c r="S23" s="53">
        <v>756</v>
      </c>
      <c r="T23" s="54">
        <v>43969</v>
      </c>
      <c r="U23" s="55">
        <v>0</v>
      </c>
      <c r="V23" s="55">
        <f t="shared" si="8"/>
        <v>0</v>
      </c>
      <c r="W23" s="55">
        <f t="shared" si="9"/>
        <v>0</v>
      </c>
      <c r="X23" s="55">
        <v>0</v>
      </c>
      <c r="Y23" s="55" t="s">
        <v>35</v>
      </c>
      <c r="Z23" s="56">
        <f t="shared" si="19"/>
        <v>-0.75</v>
      </c>
      <c r="AA23" s="55">
        <v>0.23334418402777779</v>
      </c>
      <c r="AB23" s="55">
        <f t="shared" si="27"/>
        <v>-58.802734375000007</v>
      </c>
      <c r="AC23" s="55">
        <v>-5.8</v>
      </c>
      <c r="AD23" s="55">
        <v>-11.112393162393161</v>
      </c>
      <c r="AE23" s="55">
        <v>0</v>
      </c>
      <c r="AF23" s="55"/>
    </row>
    <row r="24" spans="1:32" s="57" customFormat="1" ht="15.75" customHeight="1">
      <c r="A24" s="2" t="s">
        <v>80</v>
      </c>
      <c r="B24" s="2" t="s">
        <v>496</v>
      </c>
      <c r="C24" s="51">
        <v>31.17</v>
      </c>
      <c r="D24" s="51">
        <v>142</v>
      </c>
      <c r="E24" s="51">
        <v>0</v>
      </c>
      <c r="F24" s="51">
        <v>4141.4799999999959</v>
      </c>
      <c r="G24" s="51">
        <v>0</v>
      </c>
      <c r="H24" s="51">
        <f t="shared" si="1"/>
        <v>0</v>
      </c>
      <c r="I24" s="51">
        <f t="shared" si="2"/>
        <v>0.25258834455078105</v>
      </c>
      <c r="J24" s="51">
        <f t="shared" si="4"/>
        <v>1046.0895771901676</v>
      </c>
      <c r="K24" s="51">
        <f t="shared" si="3"/>
        <v>7.3668280083814617</v>
      </c>
      <c r="L24" s="51">
        <v>289</v>
      </c>
      <c r="M24" s="51">
        <f t="shared" si="5"/>
        <v>0.49134948096885811</v>
      </c>
      <c r="N24" s="51">
        <v>166</v>
      </c>
      <c r="O24" s="51">
        <f t="shared" ref="O24:P24" si="33">D24/7</f>
        <v>20.285714285714285</v>
      </c>
      <c r="P24" s="51">
        <f t="shared" si="33"/>
        <v>0</v>
      </c>
      <c r="Q24" s="51">
        <f t="shared" si="7"/>
        <v>8</v>
      </c>
      <c r="R24" s="55">
        <v>756</v>
      </c>
      <c r="S24" s="53">
        <v>756</v>
      </c>
      <c r="T24" s="54">
        <v>43969</v>
      </c>
      <c r="U24" s="55">
        <v>0</v>
      </c>
      <c r="V24" s="55">
        <f t="shared" si="8"/>
        <v>0</v>
      </c>
      <c r="W24" s="55">
        <f t="shared" si="9"/>
        <v>0</v>
      </c>
      <c r="X24" s="55">
        <v>0</v>
      </c>
      <c r="Y24" s="55" t="s">
        <v>35</v>
      </c>
      <c r="Z24" s="56">
        <f t="shared" si="19"/>
        <v>-0.75</v>
      </c>
      <c r="AA24" s="55">
        <v>0.22725694444444441</v>
      </c>
      <c r="AB24" s="55">
        <f t="shared" si="27"/>
        <v>-72.608593749999983</v>
      </c>
      <c r="AC24" s="55">
        <v>-5.8</v>
      </c>
      <c r="AD24" s="55">
        <v>-11.112393162393161</v>
      </c>
      <c r="AE24" s="55">
        <v>0</v>
      </c>
      <c r="AF24" s="55"/>
    </row>
    <row r="25" spans="1:32" s="57" customFormat="1" ht="15.75" customHeight="1">
      <c r="A25" s="2" t="s">
        <v>81</v>
      </c>
      <c r="B25" s="2" t="s">
        <v>497</v>
      </c>
      <c r="C25" s="51">
        <v>32.31</v>
      </c>
      <c r="D25" s="51">
        <v>143</v>
      </c>
      <c r="E25" s="51">
        <v>0</v>
      </c>
      <c r="F25" s="51">
        <v>4311.3799999999965</v>
      </c>
      <c r="G25" s="51">
        <v>-0.03</v>
      </c>
      <c r="H25" s="51">
        <f t="shared" si="1"/>
        <v>6.958328887734327E-6</v>
      </c>
      <c r="I25" s="51">
        <f t="shared" si="2"/>
        <v>0.27208245524699182</v>
      </c>
      <c r="J25" s="51">
        <f t="shared" si="4"/>
        <v>1173.0508559027746</v>
      </c>
      <c r="K25" s="51">
        <f t="shared" si="3"/>
        <v>8.2031528384809409</v>
      </c>
      <c r="L25" s="51">
        <v>239</v>
      </c>
      <c r="M25" s="51">
        <f t="shared" si="5"/>
        <v>0.59832635983263593</v>
      </c>
      <c r="N25" s="51">
        <v>870</v>
      </c>
      <c r="O25" s="51">
        <f t="shared" ref="O25:P25" si="34">D25/7</f>
        <v>20.428571428571427</v>
      </c>
      <c r="P25" s="51">
        <f t="shared" si="34"/>
        <v>0</v>
      </c>
      <c r="Q25" s="51">
        <f t="shared" si="7"/>
        <v>42</v>
      </c>
      <c r="R25" s="55">
        <v>0</v>
      </c>
      <c r="S25" s="53" t="s">
        <v>34</v>
      </c>
      <c r="T25" s="54" t="s">
        <v>34</v>
      </c>
      <c r="U25" s="55">
        <v>0</v>
      </c>
      <c r="V25" s="55">
        <f t="shared" si="8"/>
        <v>0</v>
      </c>
      <c r="W25" s="55">
        <f t="shared" si="9"/>
        <v>0</v>
      </c>
      <c r="X25" s="55">
        <v>0</v>
      </c>
      <c r="Y25" s="55" t="s">
        <v>35</v>
      </c>
      <c r="Z25" s="56">
        <f t="shared" si="19"/>
        <v>-0.75</v>
      </c>
      <c r="AA25" s="55">
        <v>0.22725694444444441</v>
      </c>
      <c r="AB25" s="55">
        <f t="shared" si="27"/>
        <v>-73.119921874999989</v>
      </c>
      <c r="AC25" s="55">
        <v>-5.8</v>
      </c>
      <c r="AD25" s="55">
        <v>-11.112393162393161</v>
      </c>
      <c r="AE25" s="55">
        <v>0</v>
      </c>
      <c r="AF25" s="55"/>
    </row>
    <row r="26" spans="1:32" s="57" customFormat="1" ht="15.75" customHeight="1">
      <c r="A26" s="2" t="s">
        <v>83</v>
      </c>
      <c r="B26" s="2" t="s">
        <v>498</v>
      </c>
      <c r="C26" s="51">
        <f t="shared" ref="C26:C39" si="35">IFERROR(F26/D26," - ")</f>
        <v>31.341456953642339</v>
      </c>
      <c r="D26" s="51">
        <v>151</v>
      </c>
      <c r="E26" s="51">
        <v>0</v>
      </c>
      <c r="F26" s="51">
        <v>4732.5599999999931</v>
      </c>
      <c r="G26" s="51">
        <v>0</v>
      </c>
      <c r="H26" s="51">
        <f t="shared" si="1"/>
        <v>0</v>
      </c>
      <c r="I26" s="51">
        <f t="shared" si="2"/>
        <v>0.29406792214015859</v>
      </c>
      <c r="J26" s="51">
        <f t="shared" si="4"/>
        <v>1391.6940856036269</v>
      </c>
      <c r="K26" s="51">
        <f t="shared" si="3"/>
        <v>9.2165171232028271</v>
      </c>
      <c r="L26" s="51">
        <v>300</v>
      </c>
      <c r="M26" s="51">
        <f t="shared" si="5"/>
        <v>0.5033333333333333</v>
      </c>
      <c r="N26" s="51">
        <v>657</v>
      </c>
      <c r="O26" s="51">
        <f t="shared" ref="O26:P26" si="36">D26/7</f>
        <v>21.571428571428573</v>
      </c>
      <c r="P26" s="51">
        <f t="shared" si="36"/>
        <v>0</v>
      </c>
      <c r="Q26" s="51">
        <f t="shared" si="7"/>
        <v>30</v>
      </c>
      <c r="R26" s="55">
        <v>1044</v>
      </c>
      <c r="S26" s="53">
        <v>1044</v>
      </c>
      <c r="T26" s="54">
        <v>44040</v>
      </c>
      <c r="U26" s="55">
        <v>0</v>
      </c>
      <c r="V26" s="55">
        <f t="shared" si="8"/>
        <v>0</v>
      </c>
      <c r="W26" s="55">
        <f t="shared" si="9"/>
        <v>0</v>
      </c>
      <c r="X26" s="55">
        <v>0</v>
      </c>
      <c r="Y26" s="55" t="s">
        <v>35</v>
      </c>
      <c r="Z26" s="56">
        <f t="shared" si="19"/>
        <v>-0.75</v>
      </c>
      <c r="AA26" s="55">
        <v>0.22725694444444441</v>
      </c>
      <c r="AB26" s="55">
        <f t="shared" si="27"/>
        <v>-77.210546874999991</v>
      </c>
      <c r="AC26" s="55">
        <v>-5.8</v>
      </c>
      <c r="AD26" s="55">
        <v>-11.112393162393161</v>
      </c>
      <c r="AE26" s="55">
        <v>0</v>
      </c>
      <c r="AF26" s="55"/>
    </row>
    <row r="27" spans="1:32" s="57" customFormat="1" ht="15.75" customHeight="1">
      <c r="A27" s="2" t="s">
        <v>84</v>
      </c>
      <c r="B27" s="2" t="s">
        <v>499</v>
      </c>
      <c r="C27" s="51">
        <f t="shared" si="35"/>
        <v>33.055107913668991</v>
      </c>
      <c r="D27" s="51">
        <v>139</v>
      </c>
      <c r="E27" s="51">
        <v>0</v>
      </c>
      <c r="F27" s="51">
        <v>4594.6599999999899</v>
      </c>
      <c r="G27" s="51">
        <v>-0.08</v>
      </c>
      <c r="H27" s="51">
        <f t="shared" si="1"/>
        <v>1.7411516847819029E-5</v>
      </c>
      <c r="I27" s="51">
        <f t="shared" si="2"/>
        <v>0.32287127688498063</v>
      </c>
      <c r="J27" s="51">
        <f t="shared" si="4"/>
        <v>1483.4837410523419</v>
      </c>
      <c r="K27" s="51">
        <f t="shared" si="3"/>
        <v>10.672544899657137</v>
      </c>
      <c r="L27" s="51">
        <v>272</v>
      </c>
      <c r="M27" s="51">
        <f t="shared" si="5"/>
        <v>0.51102941176470584</v>
      </c>
      <c r="N27" s="51">
        <v>586</v>
      </c>
      <c r="O27" s="51">
        <f t="shared" ref="O27:P27" si="37">D27/7</f>
        <v>19.857142857142858</v>
      </c>
      <c r="P27" s="51">
        <f t="shared" si="37"/>
        <v>0</v>
      </c>
      <c r="Q27" s="51">
        <f t="shared" si="7"/>
        <v>29</v>
      </c>
      <c r="R27" s="55">
        <v>1044</v>
      </c>
      <c r="S27" s="53">
        <v>1044</v>
      </c>
      <c r="T27" s="54">
        <v>44039</v>
      </c>
      <c r="U27" s="55">
        <v>0</v>
      </c>
      <c r="V27" s="55">
        <f t="shared" si="8"/>
        <v>0</v>
      </c>
      <c r="W27" s="55">
        <f t="shared" si="9"/>
        <v>0</v>
      </c>
      <c r="X27" s="55">
        <v>0</v>
      </c>
      <c r="Y27" s="55" t="s">
        <v>35</v>
      </c>
      <c r="Z27" s="56">
        <f t="shared" si="19"/>
        <v>-0.75</v>
      </c>
      <c r="AA27" s="55">
        <v>0.22725694444444441</v>
      </c>
      <c r="AB27" s="55">
        <f t="shared" si="27"/>
        <v>-71.07460937499998</v>
      </c>
      <c r="AC27" s="55">
        <v>-5.8</v>
      </c>
      <c r="AD27" s="55">
        <v>-11.112393162393161</v>
      </c>
      <c r="AE27" s="55">
        <v>0</v>
      </c>
      <c r="AF27" s="55"/>
    </row>
    <row r="28" spans="1:32" s="57" customFormat="1" ht="15.75" customHeight="1">
      <c r="A28" s="2" t="s">
        <v>86</v>
      </c>
      <c r="B28" s="2" t="s">
        <v>500</v>
      </c>
      <c r="C28" s="51">
        <f t="shared" si="35"/>
        <v>37.640506329113904</v>
      </c>
      <c r="D28" s="51">
        <v>79</v>
      </c>
      <c r="E28" s="51">
        <v>1</v>
      </c>
      <c r="F28" s="51">
        <v>2973.5999999999985</v>
      </c>
      <c r="G28" s="51">
        <v>-0.02</v>
      </c>
      <c r="H28" s="51">
        <f t="shared" si="1"/>
        <v>6.7258541834813059E-6</v>
      </c>
      <c r="I28" s="51">
        <f t="shared" si="2"/>
        <v>0.38709510973094546</v>
      </c>
      <c r="J28" s="51">
        <f t="shared" si="4"/>
        <v>1151.0660182959389</v>
      </c>
      <c r="K28" s="51">
        <f t="shared" si="3"/>
        <v>14.570455927796695</v>
      </c>
      <c r="L28" s="51">
        <v>251</v>
      </c>
      <c r="M28" s="51">
        <f t="shared" si="5"/>
        <v>0.3147410358565737</v>
      </c>
      <c r="N28" s="51">
        <v>495</v>
      </c>
      <c r="O28" s="51">
        <f t="shared" ref="O28:P28" si="38">D28/7</f>
        <v>11.285714285714286</v>
      </c>
      <c r="P28" s="51">
        <f t="shared" si="38"/>
        <v>0.14285714285714285</v>
      </c>
      <c r="Q28" s="51">
        <f t="shared" si="7"/>
        <v>43</v>
      </c>
      <c r="R28" s="55">
        <v>1044</v>
      </c>
      <c r="S28" s="53">
        <v>1044</v>
      </c>
      <c r="T28" s="54">
        <v>44039</v>
      </c>
      <c r="U28" s="55">
        <v>0</v>
      </c>
      <c r="V28" s="55">
        <f t="shared" si="8"/>
        <v>0</v>
      </c>
      <c r="W28" s="55">
        <f t="shared" si="9"/>
        <v>0</v>
      </c>
      <c r="X28" s="55">
        <v>0</v>
      </c>
      <c r="Y28" s="55" t="s">
        <v>35</v>
      </c>
      <c r="Z28" s="56">
        <f t="shared" si="19"/>
        <v>-0.75</v>
      </c>
      <c r="AA28" s="55">
        <v>0.22725694444444441</v>
      </c>
      <c r="AB28" s="55">
        <f t="shared" si="27"/>
        <v>-40.394921874999994</v>
      </c>
      <c r="AC28" s="55">
        <v>-5.8</v>
      </c>
      <c r="AD28" s="55">
        <v>-11.112393162393161</v>
      </c>
      <c r="AE28" s="55">
        <v>0</v>
      </c>
      <c r="AF28" s="55"/>
    </row>
    <row r="29" spans="1:32" s="57" customFormat="1" ht="15.75" customHeight="1">
      <c r="A29" s="2" t="s">
        <v>87</v>
      </c>
      <c r="B29" s="2" t="s">
        <v>501</v>
      </c>
      <c r="C29" s="51">
        <f t="shared" si="35"/>
        <v>40.255312499999981</v>
      </c>
      <c r="D29" s="51">
        <v>64</v>
      </c>
      <c r="E29" s="51">
        <v>1</v>
      </c>
      <c r="F29" s="51">
        <v>2576.3399999999988</v>
      </c>
      <c r="G29" s="51">
        <v>0</v>
      </c>
      <c r="H29" s="51">
        <f t="shared" si="1"/>
        <v>0</v>
      </c>
      <c r="I29" s="51">
        <f t="shared" si="2"/>
        <v>0.4171696428292993</v>
      </c>
      <c r="J29" s="51">
        <f t="shared" si="4"/>
        <v>1074.7708376068365</v>
      </c>
      <c r="K29" s="51">
        <f t="shared" si="3"/>
        <v>16.79329433760682</v>
      </c>
      <c r="L29" s="51">
        <v>189</v>
      </c>
      <c r="M29" s="51">
        <f t="shared" si="5"/>
        <v>0.33862433862433861</v>
      </c>
      <c r="N29" s="51">
        <v>460</v>
      </c>
      <c r="O29" s="51">
        <f t="shared" ref="O29:P29" si="39">D29/7</f>
        <v>9.1428571428571423</v>
      </c>
      <c r="P29" s="51">
        <f t="shared" si="39"/>
        <v>0.14285714285714285</v>
      </c>
      <c r="Q29" s="51">
        <f t="shared" si="7"/>
        <v>49</v>
      </c>
      <c r="R29" s="55">
        <v>1044</v>
      </c>
      <c r="S29" s="53">
        <v>1044</v>
      </c>
      <c r="T29" s="54">
        <v>44039</v>
      </c>
      <c r="U29" s="55">
        <v>0</v>
      </c>
      <c r="V29" s="55">
        <f t="shared" si="8"/>
        <v>0</v>
      </c>
      <c r="W29" s="55">
        <f t="shared" si="9"/>
        <v>0</v>
      </c>
      <c r="X29" s="55">
        <v>0</v>
      </c>
      <c r="Y29" s="55" t="s">
        <v>35</v>
      </c>
      <c r="Z29" s="56">
        <f t="shared" si="19"/>
        <v>-0.75</v>
      </c>
      <c r="AA29" s="55">
        <v>0.22725694444444441</v>
      </c>
      <c r="AB29" s="55">
        <f t="shared" si="27"/>
        <v>-32.724999999999994</v>
      </c>
      <c r="AC29" s="55">
        <v>-5.8</v>
      </c>
      <c r="AD29" s="55">
        <v>-11.112393162393161</v>
      </c>
      <c r="AE29" s="55">
        <v>0</v>
      </c>
      <c r="AF29" s="55"/>
    </row>
    <row r="30" spans="1:32" s="57" customFormat="1" ht="15.75" customHeight="1">
      <c r="A30" s="2" t="s">
        <v>89</v>
      </c>
      <c r="B30" s="2" t="s">
        <v>502</v>
      </c>
      <c r="C30" s="51">
        <f t="shared" si="35"/>
        <v>37.836421052631529</v>
      </c>
      <c r="D30" s="51">
        <v>95</v>
      </c>
      <c r="E30" s="51">
        <v>0</v>
      </c>
      <c r="F30" s="51">
        <v>3594.459999999995</v>
      </c>
      <c r="G30" s="51">
        <v>-0.02</v>
      </c>
      <c r="H30" s="51">
        <f t="shared" si="1"/>
        <v>5.5641181150993548E-6</v>
      </c>
      <c r="I30" s="51">
        <f t="shared" si="2"/>
        <v>0.38949313045565875</v>
      </c>
      <c r="J30" s="51">
        <f t="shared" si="4"/>
        <v>1400.0174776976453</v>
      </c>
      <c r="K30" s="51">
        <f t="shared" si="3"/>
        <v>14.737026081027846</v>
      </c>
      <c r="L30" s="51">
        <v>200</v>
      </c>
      <c r="M30" s="51">
        <f t="shared" si="5"/>
        <v>0.47499999999999998</v>
      </c>
      <c r="N30" s="51">
        <v>337</v>
      </c>
      <c r="O30" s="51">
        <f t="shared" ref="O30:P30" si="40">D30/7</f>
        <v>13.571428571428571</v>
      </c>
      <c r="P30" s="51">
        <f t="shared" si="40"/>
        <v>0</v>
      </c>
      <c r="Q30" s="51">
        <f t="shared" si="7"/>
        <v>24</v>
      </c>
      <c r="R30" s="55">
        <v>1044</v>
      </c>
      <c r="S30" s="53">
        <v>1044</v>
      </c>
      <c r="T30" s="54">
        <v>44039</v>
      </c>
      <c r="U30" s="55">
        <v>0</v>
      </c>
      <c r="V30" s="55">
        <f t="shared" si="8"/>
        <v>0</v>
      </c>
      <c r="W30" s="55">
        <f t="shared" si="9"/>
        <v>0</v>
      </c>
      <c r="X30" s="55">
        <v>0</v>
      </c>
      <c r="Y30" s="55" t="s">
        <v>35</v>
      </c>
      <c r="Z30" s="56">
        <f t="shared" si="19"/>
        <v>-0.75</v>
      </c>
      <c r="AA30" s="55">
        <v>0.22725694444444441</v>
      </c>
      <c r="AB30" s="55">
        <f t="shared" si="27"/>
        <v>-48.576171874999993</v>
      </c>
      <c r="AC30" s="55">
        <v>-5.8</v>
      </c>
      <c r="AD30" s="55">
        <v>-11.112393162393161</v>
      </c>
      <c r="AE30" s="55">
        <v>0</v>
      </c>
      <c r="AF30" s="55"/>
    </row>
    <row r="31" spans="1:32" s="57" customFormat="1" ht="15.75" customHeight="1">
      <c r="A31" s="2" t="s">
        <v>90</v>
      </c>
      <c r="B31" s="2" t="s">
        <v>503</v>
      </c>
      <c r="C31" s="51">
        <f t="shared" si="35"/>
        <v>35.505624999999952</v>
      </c>
      <c r="D31" s="51">
        <v>96</v>
      </c>
      <c r="E31" s="51">
        <v>0</v>
      </c>
      <c r="F31" s="51">
        <v>3408.5399999999954</v>
      </c>
      <c r="G31" s="51">
        <v>0</v>
      </c>
      <c r="H31" s="51">
        <f t="shared" si="1"/>
        <v>0</v>
      </c>
      <c r="I31" s="51">
        <f t="shared" si="2"/>
        <v>0.35926870636995722</v>
      </c>
      <c r="J31" s="51">
        <f t="shared" si="4"/>
        <v>1224.5817564102524</v>
      </c>
      <c r="K31" s="51">
        <f t="shared" si="3"/>
        <v>12.756059962606797</v>
      </c>
      <c r="L31" s="51">
        <v>232</v>
      </c>
      <c r="M31" s="51">
        <f t="shared" si="5"/>
        <v>0.41379310344827586</v>
      </c>
      <c r="N31" s="51">
        <v>279</v>
      </c>
      <c r="O31" s="51">
        <f t="shared" ref="O31:P31" si="41">D31/7</f>
        <v>13.714285714285714</v>
      </c>
      <c r="P31" s="51">
        <f t="shared" si="41"/>
        <v>0</v>
      </c>
      <c r="Q31" s="51">
        <f t="shared" si="7"/>
        <v>20</v>
      </c>
      <c r="R31" s="55">
        <v>1044</v>
      </c>
      <c r="S31" s="53">
        <v>1044</v>
      </c>
      <c r="T31" s="54">
        <v>44039</v>
      </c>
      <c r="U31" s="55">
        <v>0</v>
      </c>
      <c r="V31" s="55">
        <f t="shared" si="8"/>
        <v>0</v>
      </c>
      <c r="W31" s="55">
        <f t="shared" si="9"/>
        <v>0</v>
      </c>
      <c r="X31" s="55">
        <v>0</v>
      </c>
      <c r="Y31" s="55" t="s">
        <v>35</v>
      </c>
      <c r="Z31" s="56">
        <f t="shared" si="19"/>
        <v>-0.75</v>
      </c>
      <c r="AA31" s="55">
        <v>0.22725694444444441</v>
      </c>
      <c r="AB31" s="55">
        <f t="shared" si="27"/>
        <v>-49.087499999999991</v>
      </c>
      <c r="AC31" s="55">
        <v>-5.8</v>
      </c>
      <c r="AD31" s="55">
        <v>-11.112393162393161</v>
      </c>
      <c r="AE31" s="55">
        <v>0</v>
      </c>
      <c r="AF31" s="55"/>
    </row>
    <row r="32" spans="1:32" s="57" customFormat="1" ht="15.75" customHeight="1">
      <c r="A32" s="2" t="s">
        <v>92</v>
      </c>
      <c r="B32" s="2" t="s">
        <v>504</v>
      </c>
      <c r="C32" s="51">
        <f t="shared" si="35"/>
        <v>33.896666666666675</v>
      </c>
      <c r="D32" s="51">
        <v>90</v>
      </c>
      <c r="E32" s="51">
        <v>0</v>
      </c>
      <c r="F32" s="51">
        <v>3050.7000000000007</v>
      </c>
      <c r="G32" s="51">
        <v>0</v>
      </c>
      <c r="H32" s="51">
        <f t="shared" si="1"/>
        <v>0</v>
      </c>
      <c r="I32" s="51">
        <f t="shared" si="2"/>
        <v>0.335975377498481</v>
      </c>
      <c r="J32" s="51">
        <f t="shared" si="4"/>
        <v>1024.9600841346162</v>
      </c>
      <c r="K32" s="51">
        <f t="shared" si="3"/>
        <v>11.388445379273513</v>
      </c>
      <c r="L32" s="51">
        <v>242</v>
      </c>
      <c r="M32" s="51">
        <f t="shared" si="5"/>
        <v>0.37190082644628097</v>
      </c>
      <c r="N32" s="51">
        <v>155</v>
      </c>
      <c r="O32" s="51">
        <f t="shared" ref="O32:P32" si="42">D32/7</f>
        <v>12.857142857142858</v>
      </c>
      <c r="P32" s="51">
        <f t="shared" si="42"/>
        <v>0</v>
      </c>
      <c r="Q32" s="51">
        <f t="shared" si="7"/>
        <v>12</v>
      </c>
      <c r="R32" s="55">
        <v>1044</v>
      </c>
      <c r="S32" s="53">
        <v>1044</v>
      </c>
      <c r="T32" s="54" t="s">
        <v>34</v>
      </c>
      <c r="U32" s="55">
        <v>0</v>
      </c>
      <c r="V32" s="55">
        <f t="shared" si="8"/>
        <v>0</v>
      </c>
      <c r="W32" s="55">
        <f t="shared" si="9"/>
        <v>0</v>
      </c>
      <c r="X32" s="55">
        <v>0</v>
      </c>
      <c r="Y32" s="55" t="s">
        <v>35</v>
      </c>
      <c r="Z32" s="56">
        <f t="shared" si="19"/>
        <v>-0.75</v>
      </c>
      <c r="AA32" s="55">
        <v>0.22725694444444441</v>
      </c>
      <c r="AB32" s="55">
        <f t="shared" si="27"/>
        <v>-46.019531249999986</v>
      </c>
      <c r="AC32" s="55">
        <v>-5.8</v>
      </c>
      <c r="AD32" s="55">
        <v>-11.112393162393161</v>
      </c>
      <c r="AE32" s="55">
        <v>0</v>
      </c>
      <c r="AF32" s="52">
        <v>2.9745559289486301</v>
      </c>
    </row>
    <row r="33" spans="1:32" s="57" customFormat="1" ht="15.75" customHeight="1">
      <c r="A33" s="2" t="s">
        <v>94</v>
      </c>
      <c r="B33" s="2" t="s">
        <v>505</v>
      </c>
      <c r="C33" s="51">
        <f t="shared" si="35"/>
        <v>31.912580645161231</v>
      </c>
      <c r="D33" s="51">
        <v>93</v>
      </c>
      <c r="E33" s="51">
        <v>0</v>
      </c>
      <c r="F33" s="51">
        <v>2967.8699999999944</v>
      </c>
      <c r="G33" s="51">
        <v>-14.24</v>
      </c>
      <c r="H33" s="51">
        <f t="shared" si="1"/>
        <v>4.7980538231122078E-3</v>
      </c>
      <c r="I33" s="51">
        <f t="shared" si="2"/>
        <v>0.29921911009324315</v>
      </c>
      <c r="J33" s="51">
        <f t="shared" si="4"/>
        <v>888.04342027243183</v>
      </c>
      <c r="K33" s="51">
        <f t="shared" si="3"/>
        <v>9.5488539814239974</v>
      </c>
      <c r="L33" s="51">
        <v>252</v>
      </c>
      <c r="M33" s="51">
        <f t="shared" si="5"/>
        <v>0.36904761904761907</v>
      </c>
      <c r="N33" s="51">
        <v>86</v>
      </c>
      <c r="O33" s="51">
        <f t="shared" ref="O33:P33" si="43">D33/7</f>
        <v>13.285714285714286</v>
      </c>
      <c r="P33" s="51">
        <f t="shared" si="43"/>
        <v>0</v>
      </c>
      <c r="Q33" s="51">
        <f t="shared" si="7"/>
        <v>6</v>
      </c>
      <c r="R33" s="55">
        <v>1044</v>
      </c>
      <c r="S33" s="53">
        <v>1044</v>
      </c>
      <c r="T33" s="54">
        <v>44047</v>
      </c>
      <c r="U33" s="55">
        <v>3</v>
      </c>
      <c r="V33" s="55">
        <f t="shared" si="8"/>
        <v>3.2258064516129031E-2</v>
      </c>
      <c r="W33" s="55">
        <f t="shared" si="9"/>
        <v>2.3733333333333335</v>
      </c>
      <c r="X33" s="55">
        <v>3</v>
      </c>
      <c r="Y33" s="55" t="s">
        <v>35</v>
      </c>
      <c r="Z33" s="56">
        <f t="shared" si="19"/>
        <v>-0.75</v>
      </c>
      <c r="AA33" s="55">
        <v>0.22725694444444441</v>
      </c>
      <c r="AB33" s="55">
        <f t="shared" si="27"/>
        <v>-47.553515624999989</v>
      </c>
      <c r="AC33" s="55">
        <v>-5.8</v>
      </c>
      <c r="AD33" s="55">
        <v>-11.112393162393161</v>
      </c>
      <c r="AE33" s="55">
        <v>0</v>
      </c>
      <c r="AF33" s="55">
        <v>3.3870072182121</v>
      </c>
    </row>
    <row r="34" spans="1:32" s="57" customFormat="1" ht="15.75" customHeight="1">
      <c r="A34" s="2" t="s">
        <v>95</v>
      </c>
      <c r="B34" s="2" t="s">
        <v>506</v>
      </c>
      <c r="C34" s="51">
        <f t="shared" si="35"/>
        <v>31.570000000000018</v>
      </c>
      <c r="D34" s="51">
        <v>79</v>
      </c>
      <c r="E34" s="51">
        <v>0</v>
      </c>
      <c r="F34" s="51">
        <v>2494.0300000000016</v>
      </c>
      <c r="G34" s="51">
        <v>-33.599999999999994</v>
      </c>
      <c r="H34" s="51">
        <f t="shared" si="1"/>
        <v>1.3472171545651003E-2</v>
      </c>
      <c r="I34" s="51">
        <f t="shared" si="2"/>
        <v>0.28462028054832578</v>
      </c>
      <c r="J34" s="51">
        <f t="shared" si="4"/>
        <v>709.85151829594145</v>
      </c>
      <c r="K34" s="51">
        <f t="shared" si="3"/>
        <v>8.985462256910651</v>
      </c>
      <c r="L34" s="51">
        <v>194</v>
      </c>
      <c r="M34" s="51">
        <f t="shared" si="5"/>
        <v>0.40721649484536082</v>
      </c>
      <c r="N34" s="51">
        <v>3</v>
      </c>
      <c r="O34" s="51">
        <f t="shared" ref="O34:P34" si="44">D34/7</f>
        <v>11.285714285714286</v>
      </c>
      <c r="P34" s="51">
        <f t="shared" si="44"/>
        <v>0</v>
      </c>
      <c r="Q34" s="51">
        <f t="shared" si="7"/>
        <v>0</v>
      </c>
      <c r="R34" s="55">
        <v>1044</v>
      </c>
      <c r="S34" s="53">
        <v>1044</v>
      </c>
      <c r="T34" s="54">
        <v>44047</v>
      </c>
      <c r="U34" s="55">
        <v>4</v>
      </c>
      <c r="V34" s="55">
        <f t="shared" si="8"/>
        <v>5.0632911392405063E-2</v>
      </c>
      <c r="W34" s="55">
        <f t="shared" si="9"/>
        <v>5.5999999999999988</v>
      </c>
      <c r="X34" s="55">
        <v>2</v>
      </c>
      <c r="Y34" s="55" t="s">
        <v>35</v>
      </c>
      <c r="Z34" s="56">
        <f t="shared" si="19"/>
        <v>-0.75</v>
      </c>
      <c r="AA34" s="55">
        <v>0.22725694444444441</v>
      </c>
      <c r="AB34" s="55">
        <f t="shared" si="27"/>
        <v>-40.394921874999994</v>
      </c>
      <c r="AC34" s="55">
        <v>-5.8</v>
      </c>
      <c r="AD34" s="55">
        <v>-11.112393162393161</v>
      </c>
      <c r="AE34" s="55">
        <v>0</v>
      </c>
      <c r="AF34" s="55">
        <v>3.0142180094786699</v>
      </c>
    </row>
    <row r="35" spans="1:32" s="57" customFormat="1" ht="15.75" customHeight="1">
      <c r="A35" s="2" t="s">
        <v>96</v>
      </c>
      <c r="B35" s="2" t="s">
        <v>179</v>
      </c>
      <c r="C35" s="51">
        <f t="shared" si="35"/>
        <v>30.990000000000002</v>
      </c>
      <c r="D35" s="51">
        <v>10</v>
      </c>
      <c r="E35" s="51">
        <v>0</v>
      </c>
      <c r="F35" s="51">
        <v>309.90000000000003</v>
      </c>
      <c r="G35" s="51">
        <v>-10.43</v>
      </c>
      <c r="H35" s="51">
        <f t="shared" si="1"/>
        <v>3.3656018070345267E-2</v>
      </c>
      <c r="I35" s="51">
        <f t="shared" si="2"/>
        <v>0.25410708979047564</v>
      </c>
      <c r="J35" s="51">
        <f t="shared" si="4"/>
        <v>78.747787126068403</v>
      </c>
      <c r="K35" s="51">
        <f t="shared" si="3"/>
        <v>7.8747787126068403</v>
      </c>
      <c r="L35" s="51">
        <v>33</v>
      </c>
      <c r="M35" s="51">
        <f t="shared" si="5"/>
        <v>0.30303030303030304</v>
      </c>
      <c r="N35" s="51">
        <v>2</v>
      </c>
      <c r="O35" s="51">
        <f t="shared" ref="O35:P35" si="45">D35/7</f>
        <v>1.4285714285714286</v>
      </c>
      <c r="P35" s="51">
        <f t="shared" si="45"/>
        <v>0</v>
      </c>
      <c r="Q35" s="51">
        <f t="shared" si="7"/>
        <v>1</v>
      </c>
      <c r="R35" s="55">
        <v>1044</v>
      </c>
      <c r="S35" s="53">
        <v>1044</v>
      </c>
      <c r="T35" s="54">
        <v>44047</v>
      </c>
      <c r="U35" s="55">
        <v>0</v>
      </c>
      <c r="V35" s="55">
        <f t="shared" si="8"/>
        <v>0</v>
      </c>
      <c r="W35" s="55">
        <f t="shared" si="9"/>
        <v>5.2149999999999999</v>
      </c>
      <c r="X35" s="55">
        <v>2</v>
      </c>
      <c r="Y35" s="55" t="s">
        <v>35</v>
      </c>
      <c r="Z35" s="56">
        <f t="shared" si="19"/>
        <v>-0.75</v>
      </c>
      <c r="AA35" s="55">
        <v>0.22725694444444441</v>
      </c>
      <c r="AB35" s="55">
        <f t="shared" si="27"/>
        <v>-5.1132812499999991</v>
      </c>
      <c r="AC35" s="55">
        <v>-5.8</v>
      </c>
      <c r="AD35" s="55">
        <v>-11.112393162393161</v>
      </c>
      <c r="AE35" s="55">
        <v>0</v>
      </c>
      <c r="AF35" s="55">
        <v>3.26555760936537</v>
      </c>
    </row>
    <row r="36" spans="1:32" s="57" customFormat="1" ht="15.75" customHeight="1">
      <c r="A36" s="2" t="s">
        <v>98</v>
      </c>
      <c r="B36" s="2" t="s">
        <v>507</v>
      </c>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1</v>
      </c>
      <c r="O36" s="51">
        <f t="shared" ref="O36:P36" si="46">D36/7</f>
        <v>0</v>
      </c>
      <c r="P36" s="51">
        <f t="shared" si="46"/>
        <v>0</v>
      </c>
      <c r="Q36" s="51" t="e">
        <f t="shared" si="7"/>
        <v>#DIV/0!</v>
      </c>
      <c r="R36" s="55">
        <v>1044</v>
      </c>
      <c r="S36" s="53"/>
      <c r="T36" s="54">
        <v>44064</v>
      </c>
      <c r="U36" s="55"/>
      <c r="V36" s="55">
        <f t="shared" si="8"/>
        <v>0</v>
      </c>
      <c r="W36" s="55">
        <f t="shared" si="9"/>
        <v>0</v>
      </c>
      <c r="X36" s="55"/>
      <c r="Y36" s="55" t="s">
        <v>35</v>
      </c>
      <c r="Z36" s="56">
        <f t="shared" si="19"/>
        <v>-0.75</v>
      </c>
      <c r="AA36" s="55">
        <v>0.22725694444444441</v>
      </c>
      <c r="AB36" s="55">
        <f t="shared" si="27"/>
        <v>0</v>
      </c>
      <c r="AC36" s="55">
        <v>-5.8</v>
      </c>
      <c r="AD36" s="55">
        <v>-11.112393162393161</v>
      </c>
      <c r="AE36" s="55">
        <v>0</v>
      </c>
      <c r="AF36" s="55">
        <v>4.0932735426008904</v>
      </c>
    </row>
    <row r="37" spans="1:32" s="57" customFormat="1" ht="15.75" customHeight="1">
      <c r="A37" s="2" t="s">
        <v>99</v>
      </c>
      <c r="B37" s="2" t="s">
        <v>179</v>
      </c>
      <c r="C37" s="51">
        <f t="shared" si="35"/>
        <v>30.99</v>
      </c>
      <c r="D37" s="51">
        <v>1</v>
      </c>
      <c r="E37" s="51">
        <v>0</v>
      </c>
      <c r="F37" s="51">
        <v>30.99</v>
      </c>
      <c r="G37" s="51">
        <v>-8.7899999999999991</v>
      </c>
      <c r="H37" s="51">
        <f t="shared" si="1"/>
        <v>0.28363988383349464</v>
      </c>
      <c r="I37" s="51">
        <f t="shared" si="2"/>
        <v>4.1232240273261179E-3</v>
      </c>
      <c r="J37" s="51">
        <f t="shared" si="4"/>
        <v>0.12777871260683638</v>
      </c>
      <c r="K37" s="51">
        <f t="shared" si="3"/>
        <v>0.12777871260683638</v>
      </c>
      <c r="L37" s="51">
        <v>18</v>
      </c>
      <c r="M37" s="51">
        <f t="shared" si="5"/>
        <v>5.5555555555555552E-2</v>
      </c>
      <c r="N37" s="51">
        <v>0</v>
      </c>
      <c r="O37" s="51">
        <f t="shared" ref="O37:P37" si="47">D37/7</f>
        <v>0.14285714285714285</v>
      </c>
      <c r="P37" s="51">
        <f t="shared" si="47"/>
        <v>0</v>
      </c>
      <c r="Q37" s="51">
        <f t="shared" si="7"/>
        <v>0</v>
      </c>
      <c r="R37" s="55">
        <v>1044</v>
      </c>
      <c r="S37" s="53">
        <v>1044</v>
      </c>
      <c r="T37" s="54">
        <v>44075</v>
      </c>
      <c r="U37" s="55">
        <v>0</v>
      </c>
      <c r="V37" s="55">
        <f t="shared" si="8"/>
        <v>0</v>
      </c>
      <c r="W37" s="55">
        <f t="shared" si="9"/>
        <v>0</v>
      </c>
      <c r="X37" s="55">
        <v>0</v>
      </c>
      <c r="Y37" s="55" t="s">
        <v>35</v>
      </c>
      <c r="Z37" s="56">
        <f t="shared" si="19"/>
        <v>-0.75</v>
      </c>
      <c r="AA37" s="55">
        <v>0.22725694444444441</v>
      </c>
      <c r="AB37" s="55">
        <f t="shared" si="27"/>
        <v>-0.51132812499999991</v>
      </c>
      <c r="AC37" s="55">
        <v>-5.8</v>
      </c>
      <c r="AD37" s="55">
        <v>-11.112393162393161</v>
      </c>
      <c r="AE37" s="55">
        <v>0</v>
      </c>
      <c r="AF37" s="55">
        <v>4.55591748099891</v>
      </c>
    </row>
    <row r="38" spans="1:32" s="57" customFormat="1" ht="15.75" customHeight="1">
      <c r="A38" s="2" t="s">
        <v>100</v>
      </c>
      <c r="B38" s="2" t="s">
        <v>179</v>
      </c>
      <c r="C38" s="51">
        <f t="shared" si="35"/>
        <v>28.99</v>
      </c>
      <c r="D38" s="51">
        <v>1</v>
      </c>
      <c r="E38" s="51">
        <v>1</v>
      </c>
      <c r="F38" s="51">
        <v>28.99</v>
      </c>
      <c r="G38" s="51">
        <v>-2.88</v>
      </c>
      <c r="H38" s="51">
        <f t="shared" si="1"/>
        <v>9.9344601586754053E-2</v>
      </c>
      <c r="I38" s="51">
        <f t="shared" si="2"/>
        <v>0.14963017290813516</v>
      </c>
      <c r="J38" s="51">
        <f t="shared" si="4"/>
        <v>4.3377787126068377</v>
      </c>
      <c r="K38" s="51">
        <f t="shared" si="3"/>
        <v>4.3377787126068377</v>
      </c>
      <c r="L38" s="51">
        <v>5</v>
      </c>
      <c r="M38" s="51">
        <f t="shared" si="5"/>
        <v>0.2</v>
      </c>
      <c r="N38" s="51">
        <v>0</v>
      </c>
      <c r="O38" s="51">
        <f t="shared" ref="O38:P38" si="48">D38/7</f>
        <v>0.14285714285714285</v>
      </c>
      <c r="P38" s="51">
        <f t="shared" si="48"/>
        <v>0.14285714285714285</v>
      </c>
      <c r="Q38" s="51">
        <f t="shared" si="7"/>
        <v>0</v>
      </c>
      <c r="R38" s="55">
        <v>1044</v>
      </c>
      <c r="S38" s="53"/>
      <c r="T38" s="54">
        <v>44075</v>
      </c>
      <c r="U38" s="55">
        <v>0</v>
      </c>
      <c r="V38" s="55">
        <f t="shared" si="8"/>
        <v>0</v>
      </c>
      <c r="W38" s="55">
        <f t="shared" si="9"/>
        <v>0</v>
      </c>
      <c r="X38" s="55">
        <v>0</v>
      </c>
      <c r="Y38" s="55" t="s">
        <v>35</v>
      </c>
      <c r="Z38" s="56">
        <f t="shared" si="19"/>
        <v>-0.75</v>
      </c>
      <c r="AA38" s="55">
        <v>0.22725694444444441</v>
      </c>
      <c r="AB38" s="55">
        <f t="shared" si="27"/>
        <v>-0.51132812499999991</v>
      </c>
      <c r="AC38" s="55">
        <v>-5.8</v>
      </c>
      <c r="AD38" s="55">
        <v>-11.112393162393161</v>
      </c>
      <c r="AE38" s="55">
        <v>0</v>
      </c>
      <c r="AF38" s="55" t="e">
        <v>#N/A</v>
      </c>
    </row>
    <row r="39" spans="1:32" s="57" customFormat="1" ht="15.75" customHeight="1">
      <c r="A39" s="2" t="s">
        <v>101</v>
      </c>
      <c r="B39" s="2" t="s">
        <v>508</v>
      </c>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0</v>
      </c>
      <c r="O39" s="51">
        <f t="shared" ref="O39:P39" si="49">D39/7</f>
        <v>0</v>
      </c>
      <c r="P39" s="51">
        <f t="shared" si="49"/>
        <v>0</v>
      </c>
      <c r="Q39" s="51" t="e">
        <f t="shared" si="7"/>
        <v>#DIV/0!</v>
      </c>
      <c r="R39" s="55">
        <v>0</v>
      </c>
      <c r="S39" s="53" t="s">
        <v>34</v>
      </c>
      <c r="T39" s="54" t="s">
        <v>34</v>
      </c>
      <c r="U39" s="55">
        <v>0</v>
      </c>
      <c r="V39" s="55">
        <f t="shared" si="8"/>
        <v>0</v>
      </c>
      <c r="W39" s="55">
        <f t="shared" si="9"/>
        <v>0</v>
      </c>
      <c r="X39" s="55">
        <v>0</v>
      </c>
      <c r="Y39" s="55" t="s">
        <v>35</v>
      </c>
      <c r="Z39" s="56">
        <f t="shared" si="19"/>
        <v>-0.75</v>
      </c>
      <c r="AA39" s="55">
        <v>0.22725694444444441</v>
      </c>
      <c r="AB39" s="55">
        <f t="shared" si="27"/>
        <v>0</v>
      </c>
      <c r="AC39" s="55">
        <v>-5.8</v>
      </c>
      <c r="AD39" s="55">
        <v>-11.112393162393101</v>
      </c>
      <c r="AE39" s="55">
        <v>0</v>
      </c>
      <c r="AF39" s="55">
        <v>1.3815987933634899</v>
      </c>
    </row>
    <row r="40" spans="1:32" s="57" customFormat="1" ht="15.75" customHeight="1">
      <c r="A40" s="2" t="s">
        <v>102</v>
      </c>
      <c r="B40" s="2" t="s">
        <v>509</v>
      </c>
      <c r="C40" s="51">
        <v>26.881568627450978</v>
      </c>
      <c r="D40" s="51">
        <v>51</v>
      </c>
      <c r="E40" s="51">
        <v>0</v>
      </c>
      <c r="F40" s="51">
        <v>1370.9599999999998</v>
      </c>
      <c r="G40" s="51">
        <v>-35.68</v>
      </c>
      <c r="H40" s="51">
        <v>2.6025558732566963E-2</v>
      </c>
      <c r="I40" s="51">
        <v>0.17580834914435989</v>
      </c>
      <c r="J40" s="51">
        <v>241.02621434295159</v>
      </c>
      <c r="K40" s="51">
        <v>4.7260042028029723</v>
      </c>
      <c r="L40" s="51">
        <v>125</v>
      </c>
      <c r="M40" s="51">
        <v>0.40799999999999997</v>
      </c>
      <c r="N40" s="51">
        <v>957</v>
      </c>
      <c r="O40" s="51">
        <v>7.2857142857142856</v>
      </c>
      <c r="P40" s="51">
        <v>0</v>
      </c>
      <c r="Q40" s="51">
        <v>131</v>
      </c>
      <c r="R40" s="55">
        <v>0</v>
      </c>
      <c r="S40" s="53" t="s">
        <v>34</v>
      </c>
      <c r="T40" s="54" t="s">
        <v>34</v>
      </c>
      <c r="U40" s="55">
        <v>3</v>
      </c>
      <c r="V40" s="55">
        <v>5.8823529411764705E-2</v>
      </c>
      <c r="W40" s="55">
        <v>7.1360000000000001</v>
      </c>
      <c r="X40" s="55">
        <v>2</v>
      </c>
      <c r="Y40" s="55" t="s">
        <v>35</v>
      </c>
      <c r="Z40" s="56">
        <v>-0.75</v>
      </c>
      <c r="AA40" s="55">
        <v>0.22725694444444441</v>
      </c>
      <c r="AB40" s="55">
        <v>-26.077734374999999</v>
      </c>
      <c r="AC40" s="55">
        <v>-5.8</v>
      </c>
      <c r="AD40" s="55">
        <v>-11.112393162393101</v>
      </c>
      <c r="AE40" s="55">
        <v>0</v>
      </c>
      <c r="AF40" s="55">
        <v>1.4192849404117001</v>
      </c>
    </row>
    <row r="41" spans="1:32" s="57" customFormat="1" ht="15.75" customHeight="1">
      <c r="A41" s="2" t="s">
        <v>105</v>
      </c>
      <c r="B41" s="2" t="s">
        <v>510</v>
      </c>
      <c r="C41" s="51">
        <f t="shared" ref="C41:C56" si="50">IFERROR(F41/D41," - ")</f>
        <v>28.677604166666626</v>
      </c>
      <c r="D41" s="51">
        <v>96</v>
      </c>
      <c r="E41" s="51">
        <v>0</v>
      </c>
      <c r="F41" s="51">
        <v>2753.0499999999961</v>
      </c>
      <c r="G41" s="51">
        <v>-53.35</v>
      </c>
      <c r="H41" s="51">
        <f t="shared" ref="H41:H56" si="51">G41/F41*-1</f>
        <v>1.9378507473529386E-2</v>
      </c>
      <c r="I41" s="51">
        <f t="shared" ref="I41:I56" si="52">J41/F41</f>
        <v>0.22304907517490058</v>
      </c>
      <c r="J41" s="51">
        <f t="shared" ref="J41:J48" si="53">F41*0.85+G41+AD41*D41+D41*AC41+AE42+AB41</f>
        <v>614.06525641025917</v>
      </c>
      <c r="K41" s="51">
        <f t="shared" ref="K41:K56" si="54">J41/D41</f>
        <v>6.3965130876068663</v>
      </c>
      <c r="L41" s="51">
        <v>202</v>
      </c>
      <c r="M41" s="51">
        <f t="shared" ref="M41:M56" si="55">IFERROR(D41/L41,"-")</f>
        <v>0.47524752475247523</v>
      </c>
      <c r="N41" s="51">
        <v>836</v>
      </c>
      <c r="O41" s="51">
        <f t="shared" ref="O41:P41" si="56">D41/7</f>
        <v>13.714285714285714</v>
      </c>
      <c r="P41" s="51">
        <f t="shared" si="56"/>
        <v>0</v>
      </c>
      <c r="Q41" s="51">
        <f t="shared" ref="Q41:Q56" si="57">ROUNDDOWN(N41/(O41+P41),0)</f>
        <v>60</v>
      </c>
      <c r="R41" s="55">
        <v>0</v>
      </c>
      <c r="S41" s="53" t="s">
        <v>34</v>
      </c>
      <c r="T41" s="54" t="s">
        <v>34</v>
      </c>
      <c r="U41" s="55">
        <v>7</v>
      </c>
      <c r="V41" s="55">
        <f t="shared" ref="V41:V56" si="58">IFERROR(U41/D41,0)</f>
        <v>7.2916666666666671E-2</v>
      </c>
      <c r="W41" s="55">
        <f t="shared" ref="W41:W56" si="59">IFERROR(G41/(U41+X41)*-1,0)</f>
        <v>5.927777777777778</v>
      </c>
      <c r="X41" s="55">
        <v>2</v>
      </c>
      <c r="Y41" s="52" t="s">
        <v>35</v>
      </c>
      <c r="Z41" s="56">
        <f t="shared" ref="Z41:Z43" si="60">IF(OR(Y41="UsLargeStandardSize",Y41="UsSmallStandardSize"),-0.75,-0.48)</f>
        <v>-0.75</v>
      </c>
      <c r="AA41" s="55">
        <v>0.22725694444444441</v>
      </c>
      <c r="AB41" s="55">
        <f t="shared" ref="AB41:AB56" si="61">IFERROR(Z41*AA41*D41*3,0)</f>
        <v>-49.087499999999991</v>
      </c>
      <c r="AC41" s="55">
        <v>-5.8</v>
      </c>
      <c r="AD41" s="55">
        <v>-11.112393162393101</v>
      </c>
      <c r="AE41" s="55">
        <v>0</v>
      </c>
      <c r="AF41" s="55">
        <v>1.7597911227153999</v>
      </c>
    </row>
    <row r="42" spans="1:32" s="57" customFormat="1" ht="15.75" customHeight="1">
      <c r="A42" s="2" t="s">
        <v>106</v>
      </c>
      <c r="B42" s="2" t="s">
        <v>511</v>
      </c>
      <c r="C42" s="51">
        <f t="shared" si="50"/>
        <v>30.369210526315783</v>
      </c>
      <c r="D42" s="51">
        <v>76</v>
      </c>
      <c r="E42" s="51">
        <v>0</v>
      </c>
      <c r="F42" s="51">
        <v>2308.0599999999995</v>
      </c>
      <c r="G42" s="51">
        <v>-47.72999999999999</v>
      </c>
      <c r="H42" s="51">
        <f t="shared" si="51"/>
        <v>2.0679705033664637E-2</v>
      </c>
      <c r="I42" s="51">
        <f t="shared" si="52"/>
        <v>0.25559048818406971</v>
      </c>
      <c r="J42" s="51">
        <f t="shared" si="53"/>
        <v>589.91818215812384</v>
      </c>
      <c r="K42" s="51">
        <f t="shared" si="54"/>
        <v>7.7620813441858401</v>
      </c>
      <c r="L42" s="51">
        <v>170</v>
      </c>
      <c r="M42" s="51">
        <f t="shared" si="55"/>
        <v>0.44705882352941179</v>
      </c>
      <c r="N42" s="51">
        <v>776</v>
      </c>
      <c r="O42" s="51">
        <f t="shared" ref="O42:P42" si="62">D42/7</f>
        <v>10.857142857142858</v>
      </c>
      <c r="P42" s="51">
        <f t="shared" si="62"/>
        <v>0</v>
      </c>
      <c r="Q42" s="51">
        <f t="shared" si="57"/>
        <v>71</v>
      </c>
      <c r="R42" s="55">
        <f ca="1">IFERROR(__xludf.DUMMYFUNCTION("IFERROR(VLOOKUP($B$2,IMPORTRANGE(""https://docs.google.com/spreadsheets/d/1iVgg6Mw12RULLujzHmfOFIY8Q_KaAD8anoZzgtVAQ74/edit#gid=1503384807"",""Second Star - Summary!A1:AD2000""),9,FALSE),"""")"),4758)</f>
        <v>4758</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6</v>
      </c>
      <c r="V42" s="55">
        <f t="shared" si="58"/>
        <v>7.8947368421052627E-2</v>
      </c>
      <c r="W42" s="55">
        <f t="shared" si="59"/>
        <v>5.3033333333333319</v>
      </c>
      <c r="X42" s="55">
        <v>3</v>
      </c>
      <c r="Y42" s="55" t="s">
        <v>35</v>
      </c>
      <c r="Z42" s="56">
        <f t="shared" si="60"/>
        <v>-0.75</v>
      </c>
      <c r="AA42" s="55">
        <v>0.22725694444444441</v>
      </c>
      <c r="AB42" s="55">
        <f t="shared" si="61"/>
        <v>-38.860937499999991</v>
      </c>
      <c r="AC42" s="55">
        <v>-5.8</v>
      </c>
      <c r="AD42" s="55">
        <v>-11.112393162393101</v>
      </c>
      <c r="AE42" s="55">
        <v>0</v>
      </c>
      <c r="AF42" s="55">
        <v>2.16131558339859</v>
      </c>
    </row>
    <row r="43" spans="1:32" s="57" customFormat="1" ht="15.75" customHeight="1">
      <c r="A43" s="2" t="s">
        <v>107</v>
      </c>
      <c r="B43" s="2" t="s">
        <v>511</v>
      </c>
      <c r="C43" s="51">
        <f t="shared" si="50"/>
        <v>31.02084337349395</v>
      </c>
      <c r="D43" s="51">
        <v>83</v>
      </c>
      <c r="E43" s="51">
        <v>0</v>
      </c>
      <c r="F43" s="51">
        <v>2574.7299999999977</v>
      </c>
      <c r="G43" s="51">
        <v>-32.94</v>
      </c>
      <c r="H43" s="51">
        <f t="shared" si="51"/>
        <v>1.2793574471886383E-2</v>
      </c>
      <c r="I43" s="51">
        <f t="shared" si="52"/>
        <v>0.27552855373043816</v>
      </c>
      <c r="J43" s="51">
        <f t="shared" si="53"/>
        <v>709.41163314637049</v>
      </c>
      <c r="K43" s="51">
        <f t="shared" si="54"/>
        <v>8.5471281101972352</v>
      </c>
      <c r="L43" s="51">
        <v>171</v>
      </c>
      <c r="M43" s="51">
        <f t="shared" si="55"/>
        <v>0.4853801169590643</v>
      </c>
      <c r="N43" s="51">
        <v>688</v>
      </c>
      <c r="O43" s="51">
        <f t="shared" ref="O43:P43" si="63">D43/7</f>
        <v>11.857142857142858</v>
      </c>
      <c r="P43" s="51">
        <f t="shared" si="63"/>
        <v>0</v>
      </c>
      <c r="Q43" s="51">
        <f t="shared" si="57"/>
        <v>58</v>
      </c>
      <c r="R43" s="55">
        <v>0</v>
      </c>
      <c r="S43" s="53" t="s">
        <v>34</v>
      </c>
      <c r="T43" s="54" t="s">
        <v>34</v>
      </c>
      <c r="U43" s="55">
        <v>7</v>
      </c>
      <c r="V43" s="55">
        <f t="shared" si="58"/>
        <v>8.4337349397590355E-2</v>
      </c>
      <c r="W43" s="55">
        <f t="shared" si="59"/>
        <v>4.7057142857142855</v>
      </c>
      <c r="X43" s="55">
        <v>0</v>
      </c>
      <c r="Y43" s="55" t="s">
        <v>35</v>
      </c>
      <c r="Z43" s="56">
        <f t="shared" si="60"/>
        <v>-0.75</v>
      </c>
      <c r="AA43" s="55">
        <v>0.22725694444444441</v>
      </c>
      <c r="AB43" s="55">
        <f t="shared" si="61"/>
        <v>-42.440234374999996</v>
      </c>
      <c r="AC43" s="55">
        <v>-5.8</v>
      </c>
      <c r="AD43" s="55">
        <v>-11.112393162393101</v>
      </c>
      <c r="AE43" s="55">
        <v>0</v>
      </c>
      <c r="AF43" s="55">
        <v>1.29985788725722</v>
      </c>
    </row>
    <row r="44" spans="1:32" s="57" customFormat="1" ht="15.75" customHeight="1">
      <c r="A44" s="2" t="s">
        <v>108</v>
      </c>
      <c r="B44" s="2" t="s">
        <v>512</v>
      </c>
      <c r="C44" s="51">
        <f t="shared" si="50"/>
        <v>31.015271317829406</v>
      </c>
      <c r="D44" s="51">
        <v>129</v>
      </c>
      <c r="E44" s="51">
        <v>0</v>
      </c>
      <c r="F44" s="51">
        <v>4000.9699999999934</v>
      </c>
      <c r="G44" s="51">
        <v>-22.100000000000005</v>
      </c>
      <c r="H44" s="51">
        <f t="shared" si="51"/>
        <v>5.5236605123257709E-3</v>
      </c>
      <c r="I44" s="51">
        <f t="shared" si="52"/>
        <v>0.24642762431392537</v>
      </c>
      <c r="J44" s="51">
        <f t="shared" si="53"/>
        <v>985.94953205128434</v>
      </c>
      <c r="K44" s="51">
        <f t="shared" si="54"/>
        <v>7.64301962830453</v>
      </c>
      <c r="L44" s="51">
        <v>198</v>
      </c>
      <c r="M44" s="51">
        <f t="shared" si="55"/>
        <v>0.65151515151515149</v>
      </c>
      <c r="N44" s="51">
        <v>588</v>
      </c>
      <c r="O44" s="51">
        <f t="shared" ref="O44:P44" si="64">D44/7</f>
        <v>18.428571428571427</v>
      </c>
      <c r="P44" s="51">
        <f t="shared" si="64"/>
        <v>0</v>
      </c>
      <c r="Q44" s="51">
        <f t="shared" si="57"/>
        <v>31</v>
      </c>
      <c r="R44" s="55">
        <v>0</v>
      </c>
      <c r="S44" s="53" t="s">
        <v>34</v>
      </c>
      <c r="T44" s="54" t="s">
        <v>34</v>
      </c>
      <c r="U44" s="55">
        <v>4</v>
      </c>
      <c r="V44" s="55">
        <f t="shared" si="58"/>
        <v>3.1007751937984496E-2</v>
      </c>
      <c r="W44" s="55">
        <f t="shared" si="59"/>
        <v>4.4200000000000008</v>
      </c>
      <c r="X44" s="55">
        <v>1</v>
      </c>
      <c r="Y44" s="55" t="s">
        <v>35</v>
      </c>
      <c r="Z44" s="56">
        <f t="shared" ref="Z44:Z56" si="65">IF(OR(Y44="UsLargeStandardSize",Y44="UsSmallStandardSize"),-2.4,-1.2)</f>
        <v>-2.4</v>
      </c>
      <c r="AA44" s="55">
        <v>0.22725694444444441</v>
      </c>
      <c r="AB44" s="55">
        <f t="shared" si="61"/>
        <v>-211.07624999999996</v>
      </c>
      <c r="AC44" s="55">
        <v>-5.8</v>
      </c>
      <c r="AD44" s="55">
        <v>-11.112393162393101</v>
      </c>
      <c r="AE44" s="55">
        <v>0</v>
      </c>
      <c r="AF44" s="55">
        <v>1.51322180248246</v>
      </c>
    </row>
    <row r="45" spans="1:32" s="57" customFormat="1" ht="15.75" customHeight="1">
      <c r="A45" s="2" t="s">
        <v>109</v>
      </c>
      <c r="B45" s="2" t="s">
        <v>513</v>
      </c>
      <c r="C45" s="51">
        <f t="shared" si="50"/>
        <v>33.3157142857143</v>
      </c>
      <c r="D45" s="51">
        <v>63</v>
      </c>
      <c r="E45" s="51">
        <v>0</v>
      </c>
      <c r="F45" s="51">
        <v>2098.8900000000008</v>
      </c>
      <c r="G45" s="51">
        <v>-12.120000000000001</v>
      </c>
      <c r="H45" s="51">
        <f t="shared" si="51"/>
        <v>5.7744807969926943E-3</v>
      </c>
      <c r="I45" s="51">
        <f t="shared" si="52"/>
        <v>0.28747194029664974</v>
      </c>
      <c r="J45" s="51">
        <f t="shared" si="53"/>
        <v>603.37198076923539</v>
      </c>
      <c r="K45" s="51">
        <f t="shared" si="54"/>
        <v>9.5773330280831015</v>
      </c>
      <c r="L45" s="51">
        <v>209</v>
      </c>
      <c r="M45" s="51">
        <f t="shared" si="55"/>
        <v>0.30143540669856461</v>
      </c>
      <c r="N45" s="51">
        <v>514</v>
      </c>
      <c r="O45" s="51">
        <f t="shared" ref="O45:P45" si="66">D45/7</f>
        <v>9</v>
      </c>
      <c r="P45" s="51">
        <f t="shared" si="66"/>
        <v>0</v>
      </c>
      <c r="Q45" s="51">
        <f t="shared" si="57"/>
        <v>57</v>
      </c>
      <c r="R45" s="55">
        <v>0</v>
      </c>
      <c r="S45" s="53" t="s">
        <v>34</v>
      </c>
      <c r="T45" s="54" t="s">
        <v>34</v>
      </c>
      <c r="U45" s="55">
        <v>0</v>
      </c>
      <c r="V45" s="55">
        <f t="shared" si="58"/>
        <v>0</v>
      </c>
      <c r="W45" s="55">
        <f t="shared" si="59"/>
        <v>0</v>
      </c>
      <c r="X45" s="55">
        <v>0</v>
      </c>
      <c r="Y45" s="55" t="s">
        <v>35</v>
      </c>
      <c r="Z45" s="56">
        <f t="shared" si="65"/>
        <v>-2.4</v>
      </c>
      <c r="AA45" s="55">
        <v>0.22725694444444441</v>
      </c>
      <c r="AB45" s="55">
        <f t="shared" si="61"/>
        <v>-103.08374999999998</v>
      </c>
      <c r="AC45" s="55">
        <v>-5.8</v>
      </c>
      <c r="AD45" s="55">
        <v>-11.112393162393101</v>
      </c>
      <c r="AE45" s="55">
        <v>0</v>
      </c>
      <c r="AF45" s="55">
        <v>1.6844689993861199</v>
      </c>
    </row>
    <row r="46" spans="1:32" s="57" customFormat="1" ht="15.75" customHeight="1">
      <c r="A46" s="2" t="s">
        <v>111</v>
      </c>
      <c r="B46" s="2" t="s">
        <v>514</v>
      </c>
      <c r="C46" s="51">
        <f t="shared" si="50"/>
        <v>34.916027397260251</v>
      </c>
      <c r="D46" s="51">
        <v>73</v>
      </c>
      <c r="E46" s="51">
        <v>0</v>
      </c>
      <c r="F46" s="51">
        <v>2548.8699999999981</v>
      </c>
      <c r="G46" s="51">
        <v>-0.05</v>
      </c>
      <c r="H46" s="51">
        <f t="shared" si="51"/>
        <v>1.9616535955148768E-5</v>
      </c>
      <c r="I46" s="51">
        <f t="shared" si="52"/>
        <v>0.31874460021315426</v>
      </c>
      <c r="J46" s="51">
        <f t="shared" si="53"/>
        <v>812.43854914530186</v>
      </c>
      <c r="K46" s="51">
        <f t="shared" si="54"/>
        <v>11.129295193771258</v>
      </c>
      <c r="L46" s="51">
        <v>153</v>
      </c>
      <c r="M46" s="51">
        <f t="shared" si="55"/>
        <v>0.47712418300653597</v>
      </c>
      <c r="N46" s="51">
        <v>430</v>
      </c>
      <c r="O46" s="51">
        <f t="shared" ref="O46:P46" si="67">D46/7</f>
        <v>10.428571428571429</v>
      </c>
      <c r="P46" s="51">
        <f t="shared" si="67"/>
        <v>0</v>
      </c>
      <c r="Q46" s="51">
        <f t="shared" si="57"/>
        <v>41</v>
      </c>
      <c r="R46" s="55">
        <v>0</v>
      </c>
      <c r="S46" s="53" t="s">
        <v>34</v>
      </c>
      <c r="T46" s="54" t="s">
        <v>34</v>
      </c>
      <c r="U46" s="55">
        <v>0</v>
      </c>
      <c r="V46" s="55">
        <f t="shared" si="58"/>
        <v>0</v>
      </c>
      <c r="W46" s="55">
        <f t="shared" si="59"/>
        <v>0</v>
      </c>
      <c r="X46" s="55">
        <v>0</v>
      </c>
      <c r="Y46" s="55" t="s">
        <v>35</v>
      </c>
      <c r="Z46" s="56">
        <f t="shared" si="65"/>
        <v>-2.4</v>
      </c>
      <c r="AA46" s="55">
        <v>0.22725694444444441</v>
      </c>
      <c r="AB46" s="55">
        <f t="shared" si="61"/>
        <v>-119.44624999999996</v>
      </c>
      <c r="AC46" s="55">
        <v>-5.8</v>
      </c>
      <c r="AD46" s="55">
        <v>-11.112393162393101</v>
      </c>
      <c r="AE46" s="55">
        <v>0</v>
      </c>
      <c r="AF46" s="55">
        <v>1.96528301886792</v>
      </c>
    </row>
    <row r="47" spans="1:32" s="57" customFormat="1" ht="15.75" customHeight="1">
      <c r="A47" s="2" t="s">
        <v>113</v>
      </c>
      <c r="B47" s="2" t="s">
        <v>515</v>
      </c>
      <c r="C47" s="51">
        <f t="shared" si="50"/>
        <v>33.279473684210501</v>
      </c>
      <c r="D47" s="51">
        <v>76</v>
      </c>
      <c r="E47" s="51">
        <v>0</v>
      </c>
      <c r="F47" s="51">
        <v>2529.239999999998</v>
      </c>
      <c r="G47" s="51">
        <v>0</v>
      </c>
      <c r="H47" s="51">
        <f t="shared" si="51"/>
        <v>0</v>
      </c>
      <c r="I47" s="51">
        <f t="shared" si="52"/>
        <v>0.29264012891545405</v>
      </c>
      <c r="J47" s="51">
        <f t="shared" si="53"/>
        <v>740.15711965812238</v>
      </c>
      <c r="K47" s="51">
        <f t="shared" si="54"/>
        <v>9.7389094691858205</v>
      </c>
      <c r="L47" s="51">
        <v>172</v>
      </c>
      <c r="M47" s="51">
        <f t="shared" si="55"/>
        <v>0.44186046511627908</v>
      </c>
      <c r="N47" s="51">
        <v>377</v>
      </c>
      <c r="O47" s="51">
        <f t="shared" ref="O47:P47" si="68">D47/7</f>
        <v>10.857142857142858</v>
      </c>
      <c r="P47" s="51">
        <f t="shared" si="68"/>
        <v>0</v>
      </c>
      <c r="Q47" s="51">
        <f t="shared" si="57"/>
        <v>34</v>
      </c>
      <c r="R47" s="55">
        <v>0</v>
      </c>
      <c r="S47" s="53" t="s">
        <v>34</v>
      </c>
      <c r="T47" s="54" t="s">
        <v>34</v>
      </c>
      <c r="U47" s="55">
        <v>0</v>
      </c>
      <c r="V47" s="55">
        <f t="shared" si="58"/>
        <v>0</v>
      </c>
      <c r="W47" s="55">
        <f t="shared" si="59"/>
        <v>0</v>
      </c>
      <c r="X47" s="55">
        <v>0</v>
      </c>
      <c r="Y47" s="55" t="s">
        <v>35</v>
      </c>
      <c r="Z47" s="56">
        <f t="shared" si="65"/>
        <v>-2.4</v>
      </c>
      <c r="AA47" s="55">
        <v>0.22725694444444441</v>
      </c>
      <c r="AB47" s="55">
        <f t="shared" si="61"/>
        <v>-124.35499999999999</v>
      </c>
      <c r="AC47" s="55">
        <v>-5.8</v>
      </c>
      <c r="AD47" s="55">
        <v>-11.112393162393101</v>
      </c>
      <c r="AE47" s="55">
        <v>0</v>
      </c>
      <c r="AF47" s="55">
        <v>2.3443478260869499</v>
      </c>
    </row>
    <row r="48" spans="1:32" s="57" customFormat="1" ht="15.75" customHeight="1">
      <c r="A48" s="2" t="s">
        <v>115</v>
      </c>
      <c r="B48" s="2" t="s">
        <v>516</v>
      </c>
      <c r="C48" s="51">
        <f t="shared" si="50"/>
        <v>34.055573770491812</v>
      </c>
      <c r="D48" s="51">
        <v>61</v>
      </c>
      <c r="E48" s="51">
        <v>0</v>
      </c>
      <c r="F48" s="51">
        <v>2077.3900000000003</v>
      </c>
      <c r="G48" s="51">
        <v>-0.02</v>
      </c>
      <c r="H48" s="51">
        <f t="shared" si="51"/>
        <v>9.627465232816177E-6</v>
      </c>
      <c r="I48" s="51">
        <f t="shared" si="52"/>
        <v>0.3053323001911154</v>
      </c>
      <c r="J48" s="51">
        <f t="shared" si="53"/>
        <v>634.29426709402128</v>
      </c>
      <c r="K48" s="51">
        <f t="shared" si="54"/>
        <v>10.398266673672479</v>
      </c>
      <c r="L48" s="51">
        <v>164</v>
      </c>
      <c r="M48" s="51">
        <f t="shared" si="55"/>
        <v>0.37195121951219512</v>
      </c>
      <c r="N48" s="51">
        <v>334</v>
      </c>
      <c r="O48" s="51">
        <f t="shared" ref="O48:P48" si="69">D48/7</f>
        <v>8.7142857142857135</v>
      </c>
      <c r="P48" s="51">
        <f t="shared" si="69"/>
        <v>0</v>
      </c>
      <c r="Q48" s="51">
        <f t="shared" si="57"/>
        <v>38</v>
      </c>
      <c r="R48" s="55">
        <f ca="1">IFERROR(__xludf.DUMMYFUNCTION("IFERROR(VLOOKUP($B$2,IMPORTRANGE(""https://docs.google.com/spreadsheets/d/1iVgg6Mw12RULLujzHmfOFIY8Q_KaAD8anoZzgtVAQ74/edit#gid=1503384807"",""Second Star - Summary!A1:AD2000""),9,FALSE),"""")"),4758)</f>
        <v>4758</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si="58"/>
        <v>0</v>
      </c>
      <c r="W48" s="55">
        <f t="shared" si="59"/>
        <v>0</v>
      </c>
      <c r="X48" s="55">
        <v>0</v>
      </c>
      <c r="Y48" s="55" t="s">
        <v>35</v>
      </c>
      <c r="Z48" s="56">
        <f t="shared" si="65"/>
        <v>-2.4</v>
      </c>
      <c r="AA48" s="55">
        <v>0.22725694444444441</v>
      </c>
      <c r="AB48" s="55">
        <f t="shared" si="61"/>
        <v>-99.811249999999987</v>
      </c>
      <c r="AC48" s="55">
        <v>-5.8</v>
      </c>
      <c r="AD48" s="55">
        <v>-11.112393162393101</v>
      </c>
      <c r="AE48" s="55">
        <v>0</v>
      </c>
      <c r="AF48" s="55">
        <v>1.3629772837119301</v>
      </c>
    </row>
    <row r="49" spans="1:32" s="57" customFormat="1" ht="15.75" customHeight="1">
      <c r="A49" s="2" t="s">
        <v>117</v>
      </c>
      <c r="B49" s="2" t="s">
        <v>517</v>
      </c>
      <c r="C49" s="51">
        <f t="shared" si="50"/>
        <v>34.833064516129028</v>
      </c>
      <c r="D49" s="51">
        <v>62</v>
      </c>
      <c r="E49" s="51">
        <v>0</v>
      </c>
      <c r="F49" s="51">
        <v>2159.6499999999996</v>
      </c>
      <c r="G49" s="51">
        <v>0</v>
      </c>
      <c r="H49" s="51">
        <f t="shared" si="51"/>
        <v>0</v>
      </c>
      <c r="I49" s="51">
        <f t="shared" si="52"/>
        <v>0.31639870994449454</v>
      </c>
      <c r="J49" s="51">
        <f t="shared" ref="J49:J56" si="70">F49*0.85+G49+AD49*D49+D49*AC49+AE49+AB49</f>
        <v>683.31047393162748</v>
      </c>
      <c r="K49" s="51">
        <f t="shared" si="54"/>
        <v>11.021136676316573</v>
      </c>
      <c r="L49" s="51">
        <v>141</v>
      </c>
      <c r="M49" s="51">
        <f t="shared" si="55"/>
        <v>0.43971631205673761</v>
      </c>
      <c r="N49" s="51">
        <v>274</v>
      </c>
      <c r="O49" s="51">
        <f t="shared" ref="O49:P49" si="71">D49/7</f>
        <v>8.8571428571428577</v>
      </c>
      <c r="P49" s="51">
        <f t="shared" si="71"/>
        <v>0</v>
      </c>
      <c r="Q49" s="51">
        <f t="shared" si="57"/>
        <v>30</v>
      </c>
      <c r="R49" s="55">
        <f ca="1">IFERROR(__xludf.DUMMYFUNCTION("IFERROR(VLOOKUP($B$2,IMPORTRANGE(""https://docs.google.com/spreadsheets/d/1iVgg6Mw12RULLujzHmfOFIY8Q_KaAD8anoZzgtVAQ74/edit#gid=1503384807"",""Second Star - Summary!A1:AD2000""),9,FALSE),"""")"),4758)</f>
        <v>4758</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58"/>
        <v>0</v>
      </c>
      <c r="W49" s="55">
        <f t="shared" si="59"/>
        <v>0</v>
      </c>
      <c r="X49" s="55">
        <v>0</v>
      </c>
      <c r="Y49" s="55" t="s">
        <v>35</v>
      </c>
      <c r="Z49" s="56">
        <f t="shared" si="65"/>
        <v>-2.4</v>
      </c>
      <c r="AA49" s="55">
        <v>0.22725694444444441</v>
      </c>
      <c r="AB49" s="55">
        <f t="shared" si="61"/>
        <v>-101.44749999999996</v>
      </c>
      <c r="AC49" s="55">
        <v>-5.8</v>
      </c>
      <c r="AD49" s="55">
        <v>-11.150718162393099</v>
      </c>
      <c r="AE49" s="55">
        <v>0</v>
      </c>
      <c r="AF49" s="55">
        <v>1.63489499192245</v>
      </c>
    </row>
    <row r="50" spans="1:32" s="57" customFormat="1" ht="15.75" customHeight="1">
      <c r="A50" s="2" t="s">
        <v>119</v>
      </c>
      <c r="B50" s="2" t="s">
        <v>518</v>
      </c>
      <c r="C50" s="51">
        <f t="shared" si="50"/>
        <v>32.199764705882323</v>
      </c>
      <c r="D50" s="51">
        <v>85</v>
      </c>
      <c r="E50" s="51">
        <v>0</v>
      </c>
      <c r="F50" s="51">
        <v>2736.9799999999977</v>
      </c>
      <c r="G50" s="51">
        <v>-0.02</v>
      </c>
      <c r="H50" s="51">
        <f t="shared" si="51"/>
        <v>7.3073241309764837E-6</v>
      </c>
      <c r="I50" s="51">
        <f t="shared" si="52"/>
        <v>0.2727534385331955</v>
      </c>
      <c r="J50" s="51">
        <f t="shared" si="70"/>
        <v>746.5207061965848</v>
      </c>
      <c r="K50" s="51">
        <f t="shared" si="54"/>
        <v>8.7825965434892321</v>
      </c>
      <c r="L50" s="51">
        <v>202</v>
      </c>
      <c r="M50" s="51">
        <f t="shared" si="55"/>
        <v>0.42079207920792078</v>
      </c>
      <c r="N50" s="51">
        <v>188</v>
      </c>
      <c r="O50" s="51">
        <f t="shared" ref="O50:P50" si="72">D50/7</f>
        <v>12.142857142857142</v>
      </c>
      <c r="P50" s="51">
        <f t="shared" si="72"/>
        <v>0</v>
      </c>
      <c r="Q50" s="51">
        <f t="shared" si="57"/>
        <v>15</v>
      </c>
      <c r="R50" s="55">
        <f ca="1">IFERROR(__xludf.DUMMYFUNCTION("IFERROR(VLOOKUP($B$2,IMPORTRANGE(""https://docs.google.com/spreadsheets/d/1iVgg6Mw12RULLujzHmfOFIY8Q_KaAD8anoZzgtVAQ74/edit#gid=1503384807"",""Second Star - Summary!A1:AD2000""),9,FALSE),"""")"),4758)</f>
        <v>4758</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58"/>
        <v>0</v>
      </c>
      <c r="W50" s="55">
        <f t="shared" si="59"/>
        <v>0</v>
      </c>
      <c r="X50" s="55">
        <v>0</v>
      </c>
      <c r="Y50" s="55" t="s">
        <v>35</v>
      </c>
      <c r="Z50" s="56">
        <f t="shared" si="65"/>
        <v>-2.4</v>
      </c>
      <c r="AA50" s="55">
        <v>0.22725694444444441</v>
      </c>
      <c r="AB50" s="55">
        <f t="shared" si="61"/>
        <v>-139.08124999999998</v>
      </c>
      <c r="AC50" s="55">
        <v>-5.8</v>
      </c>
      <c r="AD50" s="55">
        <v>-11.150718162393099</v>
      </c>
      <c r="AE50" s="55">
        <v>0</v>
      </c>
      <c r="AF50" s="55">
        <v>1.9579073962717899</v>
      </c>
    </row>
    <row r="51" spans="1:32" s="57" customFormat="1" ht="15.75" customHeight="1">
      <c r="A51" s="2" t="s">
        <v>121</v>
      </c>
      <c r="B51" s="2" t="s">
        <v>519</v>
      </c>
      <c r="C51" s="51">
        <f t="shared" si="50"/>
        <v>31.932941176470596</v>
      </c>
      <c r="D51" s="51">
        <v>51</v>
      </c>
      <c r="E51" s="51">
        <v>0</v>
      </c>
      <c r="F51" s="51">
        <v>1628.5800000000004</v>
      </c>
      <c r="G51" s="51">
        <v>0</v>
      </c>
      <c r="H51" s="51">
        <f t="shared" si="51"/>
        <v>0</v>
      </c>
      <c r="I51" s="51">
        <f t="shared" si="52"/>
        <v>0.26793748155936598</v>
      </c>
      <c r="J51" s="51">
        <f t="shared" si="70"/>
        <v>436.35762371795232</v>
      </c>
      <c r="K51" s="51">
        <f t="shared" si="54"/>
        <v>8.5560318376069091</v>
      </c>
      <c r="L51" s="51">
        <v>154</v>
      </c>
      <c r="M51" s="51">
        <f t="shared" si="55"/>
        <v>0.33116883116883117</v>
      </c>
      <c r="N51" s="51">
        <v>136</v>
      </c>
      <c r="O51" s="51">
        <f t="shared" ref="O51:P51" si="73">D51/7</f>
        <v>7.2857142857142856</v>
      </c>
      <c r="P51" s="51">
        <f t="shared" si="73"/>
        <v>0</v>
      </c>
      <c r="Q51" s="51">
        <f t="shared" si="57"/>
        <v>18</v>
      </c>
      <c r="R51" s="55">
        <f ca="1">IFERROR(__xludf.DUMMYFUNCTION("IFERROR(VLOOKUP($B$2,IMPORTRANGE(""https://docs.google.com/spreadsheets/d/1iVgg6Mw12RULLujzHmfOFIY8Q_KaAD8anoZzgtVAQ74/edit#gid=1503384807"",""Second Star - Summary!A1:AD2000""),9,FALSE),"""")"),4758)</f>
        <v>4758</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58"/>
        <v>0</v>
      </c>
      <c r="W51" s="55">
        <f t="shared" si="59"/>
        <v>0</v>
      </c>
      <c r="X51" s="55">
        <v>0</v>
      </c>
      <c r="Y51" s="55" t="s">
        <v>35</v>
      </c>
      <c r="Z51" s="56">
        <f t="shared" si="65"/>
        <v>-2.4</v>
      </c>
      <c r="AA51" s="55">
        <v>0.22725694444444441</v>
      </c>
      <c r="AB51" s="55">
        <f t="shared" si="61"/>
        <v>-83.448749999999976</v>
      </c>
      <c r="AC51" s="55">
        <v>-5.8</v>
      </c>
      <c r="AD51" s="55">
        <v>-11.150718162393099</v>
      </c>
      <c r="AE51" s="55">
        <v>0</v>
      </c>
      <c r="AF51" s="55">
        <v>2.4901960784313699</v>
      </c>
    </row>
    <row r="52" spans="1:32" s="57" customFormat="1" ht="15.75" customHeight="1">
      <c r="A52" s="2" t="s">
        <v>123</v>
      </c>
      <c r="B52" s="2" t="s">
        <v>520</v>
      </c>
      <c r="C52" s="51">
        <f t="shared" si="50"/>
        <v>30.001000000000001</v>
      </c>
      <c r="D52" s="51">
        <v>60</v>
      </c>
      <c r="E52" s="51">
        <v>0</v>
      </c>
      <c r="F52" s="51">
        <v>1800.0600000000002</v>
      </c>
      <c r="G52" s="51">
        <v>0</v>
      </c>
      <c r="H52" s="51">
        <f t="shared" si="51"/>
        <v>0</v>
      </c>
      <c r="I52" s="51">
        <f t="shared" si="52"/>
        <v>0.2304550460853606</v>
      </c>
      <c r="J52" s="51">
        <f t="shared" si="70"/>
        <v>414.83291025641427</v>
      </c>
      <c r="K52" s="51">
        <f t="shared" si="54"/>
        <v>6.9138818376069047</v>
      </c>
      <c r="L52" s="51">
        <v>156</v>
      </c>
      <c r="M52" s="51">
        <f t="shared" si="55"/>
        <v>0.38461538461538464</v>
      </c>
      <c r="N52" s="51">
        <v>347</v>
      </c>
      <c r="O52" s="51">
        <f t="shared" ref="O52:P52" si="74">D52/7</f>
        <v>8.5714285714285712</v>
      </c>
      <c r="P52" s="51">
        <f t="shared" si="74"/>
        <v>0</v>
      </c>
      <c r="Q52" s="51">
        <f t="shared" si="57"/>
        <v>40</v>
      </c>
      <c r="R52" s="55">
        <f ca="1">IFERROR(__xludf.DUMMYFUNCTION("IFERROR(VLOOKUP($B$2,IMPORTRANGE(""https://docs.google.com/spreadsheets/d/1iVgg6Mw12RULLujzHmfOFIY8Q_KaAD8anoZzgtVAQ74/edit#gid=1503384807"",""Second Star - Summary!A1:AD2000""),9,FALSE),"""")"),4758)</f>
        <v>4758</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58"/>
        <v>0</v>
      </c>
      <c r="W52" s="55">
        <f t="shared" si="59"/>
        <v>0</v>
      </c>
      <c r="X52" s="55">
        <v>0</v>
      </c>
      <c r="Y52" s="55" t="s">
        <v>35</v>
      </c>
      <c r="Z52" s="56">
        <f t="shared" si="65"/>
        <v>-2.4</v>
      </c>
      <c r="AA52" s="55">
        <v>0.22725694444444441</v>
      </c>
      <c r="AB52" s="55">
        <f t="shared" si="61"/>
        <v>-98.174999999999983</v>
      </c>
      <c r="AC52" s="55">
        <v>-5.8</v>
      </c>
      <c r="AD52" s="55">
        <v>-11.150718162393099</v>
      </c>
      <c r="AE52" s="55">
        <v>0</v>
      </c>
      <c r="AF52" s="55">
        <v>2.32722678458622</v>
      </c>
    </row>
    <row r="53" spans="1:32" s="57" customFormat="1">
      <c r="A53" s="2" t="s">
        <v>38</v>
      </c>
      <c r="B53" s="2" t="s">
        <v>521</v>
      </c>
      <c r="C53" s="51">
        <f t="shared" si="50"/>
        <v>30.414352941176436</v>
      </c>
      <c r="D53" s="51">
        <v>85</v>
      </c>
      <c r="E53" s="51">
        <v>0</v>
      </c>
      <c r="F53" s="51">
        <v>2585.2199999999971</v>
      </c>
      <c r="G53" s="51">
        <v>0</v>
      </c>
      <c r="H53" s="51">
        <f t="shared" si="51"/>
        <v>0</v>
      </c>
      <c r="I53" s="51">
        <f t="shared" si="52"/>
        <v>0.23887510780381743</v>
      </c>
      <c r="J53" s="51">
        <f t="shared" si="70"/>
        <v>617.54470619658423</v>
      </c>
      <c r="K53" s="51">
        <f t="shared" si="54"/>
        <v>7.2652318376068736</v>
      </c>
      <c r="L53" s="51">
        <v>159</v>
      </c>
      <c r="M53" s="51">
        <f t="shared" si="55"/>
        <v>0.53459119496855345</v>
      </c>
      <c r="N53" s="51">
        <v>259</v>
      </c>
      <c r="O53" s="51">
        <f t="shared" ref="O53:P53" si="75">D53/7</f>
        <v>12.142857142857142</v>
      </c>
      <c r="P53" s="51">
        <f t="shared" si="75"/>
        <v>0</v>
      </c>
      <c r="Q53" s="51">
        <f t="shared" si="57"/>
        <v>21</v>
      </c>
      <c r="R53" s="55">
        <f ca="1">IFERROR(__xludf.DUMMYFUNCTION("IFERROR(VLOOKUP($B$2,IMPORTRANGE(""https://docs.google.com/spreadsheets/d/1iVgg6Mw12RULLujzHmfOFIY8Q_KaAD8anoZzgtVAQ74/edit#gid=1503384807"",""Second Star - Summary!A1:AD2000""),9,FALSE),"""")"),4758)</f>
        <v>4758</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58"/>
        <v>0</v>
      </c>
      <c r="W53" s="55">
        <f t="shared" si="59"/>
        <v>0</v>
      </c>
      <c r="X53" s="55">
        <v>0</v>
      </c>
      <c r="Y53" s="55" t="s">
        <v>35</v>
      </c>
      <c r="Z53" s="56">
        <f t="shared" si="65"/>
        <v>-2.4</v>
      </c>
      <c r="AA53" s="55">
        <v>0.22725694444444441</v>
      </c>
      <c r="AB53" s="55">
        <f t="shared" si="61"/>
        <v>-139.08124999999998</v>
      </c>
      <c r="AC53" s="55">
        <v>-5.8</v>
      </c>
      <c r="AD53" s="55">
        <v>-11.150718162393099</v>
      </c>
      <c r="AE53" s="55">
        <v>0</v>
      </c>
      <c r="AF53" s="55">
        <v>1.8105451295799799</v>
      </c>
    </row>
    <row r="54" spans="1:32" s="57" customFormat="1">
      <c r="A54" s="2" t="s">
        <v>40</v>
      </c>
      <c r="B54" s="2" t="s">
        <v>522</v>
      </c>
      <c r="C54" s="51">
        <f t="shared" si="50"/>
        <v>31.856666666666648</v>
      </c>
      <c r="D54" s="51">
        <v>75</v>
      </c>
      <c r="E54" s="51">
        <v>0</v>
      </c>
      <c r="F54" s="51">
        <v>2389.2499999999986</v>
      </c>
      <c r="G54" s="51">
        <v>-0.03</v>
      </c>
      <c r="H54" s="51">
        <f t="shared" si="51"/>
        <v>1.2556241498378159E-5</v>
      </c>
      <c r="I54" s="51">
        <f t="shared" si="52"/>
        <v>0.26653129133431697</v>
      </c>
      <c r="J54" s="51">
        <f t="shared" si="70"/>
        <v>636.80988782051645</v>
      </c>
      <c r="K54" s="51">
        <f t="shared" si="54"/>
        <v>8.4907985042735525</v>
      </c>
      <c r="L54" s="51">
        <v>165</v>
      </c>
      <c r="M54" s="51">
        <f t="shared" si="55"/>
        <v>0.45454545454545453</v>
      </c>
      <c r="N54" s="51">
        <v>159</v>
      </c>
      <c r="O54" s="51">
        <f t="shared" ref="O54:P54" si="76">D54/7</f>
        <v>10.714285714285714</v>
      </c>
      <c r="P54" s="51">
        <f t="shared" si="76"/>
        <v>0</v>
      </c>
      <c r="Q54" s="51">
        <f t="shared" si="57"/>
        <v>14</v>
      </c>
      <c r="R54" s="55">
        <f ca="1">IFERROR(__xludf.DUMMYFUNCTION("IFERROR(VLOOKUP($B$2,IMPORTRANGE(""https://docs.google.com/spreadsheets/d/1iVgg6Mw12RULLujzHmfOFIY8Q_KaAD8anoZzgtVAQ74/edit#gid=1503384807"",""Second Star - Summary!A1:AD2000""),9,FALSE),"""")"),4758)</f>
        <v>4758</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58"/>
        <v>0</v>
      </c>
      <c r="W54" s="55">
        <f t="shared" si="59"/>
        <v>0</v>
      </c>
      <c r="X54" s="55">
        <v>0</v>
      </c>
      <c r="Y54" s="55" t="s">
        <v>35</v>
      </c>
      <c r="Z54" s="56">
        <f t="shared" si="65"/>
        <v>-2.4</v>
      </c>
      <c r="AA54" s="55">
        <v>0.22725694444444441</v>
      </c>
      <c r="AB54" s="55">
        <f t="shared" si="61"/>
        <v>-122.71874999999997</v>
      </c>
      <c r="AC54" s="55">
        <v>-5.8</v>
      </c>
      <c r="AD54" s="55">
        <v>-11.150718162393099</v>
      </c>
      <c r="AE54" s="55">
        <v>0</v>
      </c>
      <c r="AF54" s="55">
        <v>2.1608695652173902</v>
      </c>
    </row>
    <row r="55" spans="1:32" s="57" customFormat="1" ht="15.75" customHeight="1">
      <c r="A55" s="2" t="s">
        <v>32</v>
      </c>
      <c r="B55" s="2" t="s">
        <v>523</v>
      </c>
      <c r="C55" s="51">
        <f t="shared" si="50"/>
        <v>31.990000000000006</v>
      </c>
      <c r="D55" s="51">
        <v>58</v>
      </c>
      <c r="E55" s="51">
        <v>0</v>
      </c>
      <c r="F55" s="51">
        <v>1855.4200000000003</v>
      </c>
      <c r="G55" s="51">
        <v>0</v>
      </c>
      <c r="H55" s="51">
        <f t="shared" si="51"/>
        <v>0</v>
      </c>
      <c r="I55" s="51">
        <f t="shared" si="52"/>
        <v>0.26897567482359813</v>
      </c>
      <c r="J55" s="51">
        <f t="shared" si="70"/>
        <v>499.06284658120052</v>
      </c>
      <c r="K55" s="51">
        <f t="shared" si="54"/>
        <v>8.6045318376069062</v>
      </c>
      <c r="L55" s="51">
        <v>138</v>
      </c>
      <c r="M55" s="51">
        <f t="shared" si="55"/>
        <v>0.42028985507246375</v>
      </c>
      <c r="N55" s="51">
        <v>128</v>
      </c>
      <c r="O55" s="51">
        <f t="shared" ref="O55:P55" si="77">D55/7</f>
        <v>8.2857142857142865</v>
      </c>
      <c r="P55" s="51">
        <f t="shared" si="77"/>
        <v>0</v>
      </c>
      <c r="Q55" s="51">
        <f t="shared" si="57"/>
        <v>15</v>
      </c>
      <c r="R55" s="55">
        <v>234</v>
      </c>
      <c r="S55" s="53">
        <v>234</v>
      </c>
      <c r="T55" s="54">
        <v>44211</v>
      </c>
      <c r="U55" s="55">
        <v>0</v>
      </c>
      <c r="V55" s="55">
        <f t="shared" si="58"/>
        <v>0</v>
      </c>
      <c r="W55" s="55">
        <f t="shared" si="59"/>
        <v>0</v>
      </c>
      <c r="X55" s="55">
        <v>0</v>
      </c>
      <c r="Y55" s="55" t="s">
        <v>35</v>
      </c>
      <c r="Z55" s="56">
        <f t="shared" si="65"/>
        <v>-2.4</v>
      </c>
      <c r="AA55" s="55">
        <v>0.22725694444444441</v>
      </c>
      <c r="AB55" s="55">
        <f t="shared" si="61"/>
        <v>-94.902499999999975</v>
      </c>
      <c r="AC55" s="55">
        <v>-5.8</v>
      </c>
      <c r="AD55" s="55">
        <v>-11.150718162393099</v>
      </c>
      <c r="AE55" s="55">
        <v>0</v>
      </c>
      <c r="AF55" s="55">
        <v>2.5578947368420999</v>
      </c>
    </row>
    <row r="56" spans="1:32" s="57" customFormat="1" ht="15.75" customHeight="1">
      <c r="A56" s="2" t="s">
        <v>36</v>
      </c>
      <c r="B56" s="2"/>
      <c r="C56" s="51">
        <f t="shared" si="50"/>
        <v>33.057796610169497</v>
      </c>
      <c r="D56" s="51">
        <v>59</v>
      </c>
      <c r="E56" s="51">
        <v>0</v>
      </c>
      <c r="F56" s="51">
        <v>1950.4100000000003</v>
      </c>
      <c r="G56" s="51">
        <v>0</v>
      </c>
      <c r="H56" s="51">
        <f t="shared" si="51"/>
        <v>0</v>
      </c>
      <c r="I56" s="51">
        <f t="shared" si="52"/>
        <v>0.28774328393456117</v>
      </c>
      <c r="J56" s="51">
        <f t="shared" si="70"/>
        <v>561.21737841880758</v>
      </c>
      <c r="K56" s="51">
        <f t="shared" si="54"/>
        <v>9.5121589562509765</v>
      </c>
      <c r="L56" s="51">
        <v>163</v>
      </c>
      <c r="M56" s="51">
        <f t="shared" si="55"/>
        <v>0.3619631901840491</v>
      </c>
      <c r="N56" s="51">
        <v>107</v>
      </c>
      <c r="O56" s="51">
        <f t="shared" ref="O56:P56" si="78">D56/7</f>
        <v>8.4285714285714288</v>
      </c>
      <c r="P56" s="51">
        <f t="shared" si="78"/>
        <v>0</v>
      </c>
      <c r="Q56" s="51">
        <f t="shared" si="57"/>
        <v>12</v>
      </c>
      <c r="R56" s="55">
        <f ca="1">IFERROR(__xludf.DUMMYFUNCTION("IFERROR(VLOOKUP($B$2,IMPORTRANGE(""https://docs.google.com/spreadsheets/d/1iVgg6Mw12RULLujzHmfOFIY8Q_KaAD8anoZzgtVAQ74/edit#gid=1503384807"",""Second Star - Summary!A1:AD2000""),9,FALSE),"""")"),4758)</f>
        <v>4758</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58"/>
        <v>0</v>
      </c>
      <c r="W56" s="55">
        <f t="shared" si="59"/>
        <v>0</v>
      </c>
      <c r="X56" s="55">
        <v>0</v>
      </c>
      <c r="Y56" s="55" t="s">
        <v>35</v>
      </c>
      <c r="Z56" s="56">
        <f t="shared" si="65"/>
        <v>-2.4</v>
      </c>
      <c r="AA56" s="55">
        <v>0.22725694444444441</v>
      </c>
      <c r="AB56" s="55">
        <f t="shared" si="61"/>
        <v>-96.538749999999979</v>
      </c>
      <c r="AC56" s="55">
        <v>-5.8</v>
      </c>
      <c r="AD56" s="55">
        <v>-11.150718162393099</v>
      </c>
      <c r="AE56" s="55">
        <v>0</v>
      </c>
      <c r="AF56" s="55">
        <v>2.4649933949801799</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E183" s="2"/>
      <c r="P183" s="2"/>
      <c r="AF183" s="23"/>
    </row>
    <row r="184" spans="1:32" ht="15.75" customHeight="1">
      <c r="E184" s="2"/>
      <c r="P184" s="2"/>
      <c r="AF184" s="23"/>
    </row>
    <row r="185" spans="1:32" ht="15.75" customHeight="1">
      <c r="E185" s="2"/>
      <c r="P185" s="2"/>
      <c r="AF185" s="23"/>
    </row>
    <row r="186" spans="1:32" ht="15.75" customHeight="1">
      <c r="E186" s="2"/>
      <c r="P186" s="2"/>
      <c r="AF186" s="23"/>
    </row>
    <row r="187" spans="1:32" ht="15.75" customHeight="1">
      <c r="E187" s="2"/>
      <c r="P187" s="2"/>
      <c r="AF187" s="23"/>
    </row>
    <row r="188" spans="1:32" ht="15.75" customHeight="1">
      <c r="E188" s="2"/>
      <c r="P188" s="2"/>
      <c r="AF188" s="23"/>
    </row>
    <row r="189" spans="1:32" ht="15.75" customHeight="1">
      <c r="E189" s="2"/>
      <c r="P189" s="2"/>
      <c r="AF189" s="23"/>
    </row>
    <row r="190" spans="1:32" ht="15.75" customHeight="1">
      <c r="E190" s="2"/>
      <c r="P190" s="2"/>
      <c r="AF190" s="23"/>
    </row>
    <row r="191" spans="1:32" ht="15.75" customHeight="1">
      <c r="E191" s="2"/>
      <c r="P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436" priority="1" operator="lessThan">
      <formula>100</formula>
    </cfRule>
  </conditionalFormatting>
  <conditionalFormatting sqref="Q1:Q3 Q57:Q1000">
    <cfRule type="cellIs" dxfId="435" priority="2" operator="lessThan">
      <formula>100</formula>
    </cfRule>
  </conditionalFormatting>
  <conditionalFormatting sqref="I1:I3 I57:I1000">
    <cfRule type="cellIs" dxfId="434" priority="3" operator="lessThan">
      <formula>0.05</formula>
    </cfRule>
  </conditionalFormatting>
  <conditionalFormatting sqref="I4:I17">
    <cfRule type="cellIs" dxfId="433" priority="4" operator="lessThan">
      <formula>0.05</formula>
    </cfRule>
  </conditionalFormatting>
  <conditionalFormatting sqref="I18:I56">
    <cfRule type="cellIs" dxfId="432" priority="5" operator="lessThan">
      <formula>0.05</formula>
    </cfRule>
  </conditionalFormatting>
  <conditionalFormatting sqref="Q4:Q56">
    <cfRule type="cellIs" dxfId="431" priority="6" operator="lessThan">
      <formula>100</formula>
    </cfRule>
  </conditionalFormatting>
  <conditionalFormatting sqref="Q4:Q56">
    <cfRule type="cellIs" dxfId="430" priority="7" operator="lessThan">
      <formula>100</formula>
    </cfRule>
  </conditionalFormatting>
  <pageMargins left="0.7" right="0.7" top="0.75" bottom="0.75" header="0" footer="0"/>
  <pageSetup orientation="portrait"/>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2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Info!B1:BJ5000""),4,FALSE),"""")"),"Washable Waterproof Mattress Sheet Protector Bed Underpad - Large 36 x 54 inches")</f>
        <v>Washable Waterproof Mattress Sheet Protector Bed Underpad - Large 36 x 54 inches</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Info!B1:BJ5000""),3,FALSE),"""")"),"B00070QHEQ")</f>
        <v>B00070QHEQ</v>
      </c>
      <c r="B2" s="4" t="s">
        <v>524</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12.781170688788329</v>
      </c>
      <c r="D3" s="8">
        <f>SUM(D4:D99819)</f>
        <v>946</v>
      </c>
      <c r="E3" s="8"/>
      <c r="F3" s="9">
        <f t="shared" ref="F3:G3" si="0">SUM(F4:F99819)</f>
        <v>16184.279999999999</v>
      </c>
      <c r="G3" s="9">
        <f t="shared" si="0"/>
        <v>-1137.4199999999996</v>
      </c>
      <c r="H3" s="10">
        <f t="shared" ref="H3:H39" si="1">G3/F3*-1</f>
        <v>7.027930806931168E-2</v>
      </c>
      <c r="I3" s="11">
        <f t="shared" ref="I3:I39" si="2">J3/F3</f>
        <v>8.281978390682232E-2</v>
      </c>
      <c r="J3" s="9">
        <f>SUM(J4:J99819)</f>
        <v>1340.3785722875061</v>
      </c>
      <c r="K3" s="9">
        <f t="shared" ref="K3:K39" si="3">J3/D3</f>
        <v>1.4168906683800275</v>
      </c>
      <c r="L3" s="8"/>
      <c r="M3" s="12"/>
      <c r="N3" s="13"/>
      <c r="O3" s="8" t="str">
        <f ca="1">IFERROR(__xludf.DUMMYFUNCTION("IFERROR(VLOOKUP(B2,IMPORTRANGE(""https://docs.google.com/spreadsheets/d/1owCo6kL_VFQ5nPTdNogErmCBLjNiktT1m3SzTrxu3R0/edit#gid=2146806407"",""Second Star - Compiled!b1:g5000""),2,FALSE),"""")"),"3 - March
3 - April
3 - May
3 - Jun
3 - Jul
3 - Aug
3 - Sept
3 - Oct
3 - Nov
3 - Dec
3 - Jan
3 - Feb")</f>
        <v>3 - March
3 - April
3 - May
3 - Jun
3 - Jul
3 - Aug
3 - Sept
3 - Oct
3 - Nov
3 - Dec
3 - Jan
3 - Feb</v>
      </c>
      <c r="P3" s="8"/>
      <c r="Q3" s="14"/>
      <c r="R3" s="13"/>
      <c r="S3" s="13"/>
      <c r="T3" s="13"/>
      <c r="U3" s="8">
        <f>SUM(U4:U99819)</f>
        <v>114</v>
      </c>
      <c r="V3" s="10">
        <f>AVERAGE(V4:V99819)</f>
        <v>8.7997526656759903E-2</v>
      </c>
      <c r="W3" s="9">
        <f>ROUND(AVERAGE(W4:W99819),2)</f>
        <v>1.74</v>
      </c>
      <c r="X3" s="8"/>
      <c r="Y3" s="8"/>
      <c r="Z3" s="8"/>
      <c r="AA3" s="8"/>
      <c r="AB3" s="8"/>
      <c r="AC3" s="15"/>
      <c r="AD3" s="9"/>
      <c r="AE3" s="9">
        <f>SUM(AE4:AE99819)</f>
        <v>0</v>
      </c>
      <c r="AF3" s="16"/>
    </row>
    <row r="4" spans="1:32" s="57" customFormat="1">
      <c r="A4" s="17" t="s">
        <v>48</v>
      </c>
      <c r="B4" s="17"/>
      <c r="C4" s="50">
        <v>17.989999999999998</v>
      </c>
      <c r="D4" s="51">
        <v>21</v>
      </c>
      <c r="E4" s="51">
        <v>0</v>
      </c>
      <c r="F4" s="51">
        <v>377.79000000000008</v>
      </c>
      <c r="G4" s="51">
        <v>-200.13000000000002</v>
      </c>
      <c r="H4" s="51">
        <f t="shared" si="1"/>
        <v>0.52973874374652585</v>
      </c>
      <c r="I4" s="51">
        <f t="shared" si="2"/>
        <v>-0.3190993086065419</v>
      </c>
      <c r="J4" s="51">
        <f t="shared" ref="J4:J38" si="4">F4*0.85+G4+AD4*D4+D4*AC4+AE4+AB4</f>
        <v>-120.55252779846549</v>
      </c>
      <c r="K4" s="51">
        <f t="shared" si="3"/>
        <v>-5.7405965618316896</v>
      </c>
      <c r="L4" s="51">
        <v>279</v>
      </c>
      <c r="M4" s="51">
        <f t="shared" ref="M4:M39" si="5">IFERROR(D4/L4,"-")</f>
        <v>7.5268817204301078E-2</v>
      </c>
      <c r="N4" s="51">
        <v>459</v>
      </c>
      <c r="O4" s="51">
        <f t="shared" ref="O4:P4" si="6">D4/7</f>
        <v>3</v>
      </c>
      <c r="P4" s="51">
        <f t="shared" si="6"/>
        <v>0</v>
      </c>
      <c r="Q4" s="51">
        <f t="shared" ref="Q4:Q39" si="7">ROUNDDOWN(N4/(O4+P4),0)</f>
        <v>153</v>
      </c>
      <c r="R4" s="52">
        <v>0</v>
      </c>
      <c r="S4" s="53" t="s">
        <v>34</v>
      </c>
      <c r="T4" s="54" t="s">
        <v>34</v>
      </c>
      <c r="U4" s="52">
        <v>11</v>
      </c>
      <c r="V4" s="55">
        <f t="shared" ref="V4:V39" si="8">IFERROR(U4/D4,0)</f>
        <v>0.52380952380952384</v>
      </c>
      <c r="W4" s="55">
        <f t="shared" ref="W4:W39" si="9">IFERROR(G4/(U4+X4)*-1,0)</f>
        <v>5.2665789473684219</v>
      </c>
      <c r="X4" s="52">
        <v>27</v>
      </c>
      <c r="Y4" s="56" t="s">
        <v>35</v>
      </c>
      <c r="Z4" s="56">
        <f t="shared" ref="Z4:Z10" si="10">IF(OR(Y4="UsLargeStandardSize",Y4="UsSmallStandardSize"),-0.69,-0.48)</f>
        <v>-0.69</v>
      </c>
      <c r="AA4" s="55">
        <v>0.13437095138888888</v>
      </c>
      <c r="AB4" s="55">
        <f t="shared" ref="AB4:AB17" si="11">IFERROR((Z4*AA4*N4)/4,0)</f>
        <v>-10.639156003593747</v>
      </c>
      <c r="AC4" s="55">
        <v>-4.76</v>
      </c>
      <c r="AD4" s="55">
        <v>-6.2354700854700855</v>
      </c>
      <c r="AE4" s="55">
        <v>0</v>
      </c>
      <c r="AF4" s="55"/>
    </row>
    <row r="5" spans="1:32" s="57" customFormat="1" ht="15.75" customHeight="1">
      <c r="A5" s="2" t="s">
        <v>49</v>
      </c>
      <c r="B5" s="2" t="s">
        <v>525</v>
      </c>
      <c r="C5" s="51">
        <v>17.989999999999998</v>
      </c>
      <c r="D5" s="51">
        <v>50</v>
      </c>
      <c r="E5" s="51">
        <v>0</v>
      </c>
      <c r="F5" s="51">
        <v>899.50000000000034</v>
      </c>
      <c r="G5" s="51">
        <v>-104.76</v>
      </c>
      <c r="H5" s="51">
        <f t="shared" si="1"/>
        <v>0.11646470261256249</v>
      </c>
      <c r="I5" s="51">
        <f t="shared" si="2"/>
        <v>0.1112041939177276</v>
      </c>
      <c r="J5" s="51">
        <f t="shared" si="4"/>
        <v>100.02817242899602</v>
      </c>
      <c r="K5" s="51">
        <f t="shared" si="3"/>
        <v>2.0005634485799204</v>
      </c>
      <c r="L5" s="51">
        <v>283</v>
      </c>
      <c r="M5" s="51">
        <f t="shared" si="5"/>
        <v>0.17667844522968199</v>
      </c>
      <c r="N5" s="51">
        <v>432</v>
      </c>
      <c r="O5" s="51">
        <f t="shared" ref="O5:P5" si="12">D5/7</f>
        <v>7.1428571428571432</v>
      </c>
      <c r="P5" s="51">
        <f t="shared" si="12"/>
        <v>0</v>
      </c>
      <c r="Q5" s="51">
        <f t="shared" si="7"/>
        <v>60</v>
      </c>
      <c r="R5" s="55">
        <v>0</v>
      </c>
      <c r="S5" s="53" t="s">
        <v>34</v>
      </c>
      <c r="T5" s="54" t="s">
        <v>34</v>
      </c>
      <c r="U5" s="55">
        <v>14</v>
      </c>
      <c r="V5" s="55">
        <f t="shared" si="8"/>
        <v>0.28000000000000003</v>
      </c>
      <c r="W5" s="55">
        <f t="shared" si="9"/>
        <v>3.0811764705882356</v>
      </c>
      <c r="X5" s="55">
        <v>20</v>
      </c>
      <c r="Y5" s="55" t="s">
        <v>35</v>
      </c>
      <c r="Z5" s="56">
        <f t="shared" si="10"/>
        <v>-0.69</v>
      </c>
      <c r="AA5" s="55">
        <v>0.13437095138888888</v>
      </c>
      <c r="AB5" s="55">
        <f t="shared" si="11"/>
        <v>-10.013323297499998</v>
      </c>
      <c r="AC5" s="55">
        <v>-4.76</v>
      </c>
      <c r="AD5" s="55">
        <v>-6.2354700854700855</v>
      </c>
      <c r="AE5" s="55">
        <v>0</v>
      </c>
      <c r="AF5" s="55"/>
    </row>
    <row r="6" spans="1:32" s="57" customFormat="1" ht="15.75" customHeight="1">
      <c r="A6" s="2" t="s">
        <v>51</v>
      </c>
      <c r="B6" s="2" t="s">
        <v>526</v>
      </c>
      <c r="C6" s="51">
        <v>15.99</v>
      </c>
      <c r="D6" s="51">
        <v>34</v>
      </c>
      <c r="E6" s="51">
        <v>0</v>
      </c>
      <c r="F6" s="51">
        <v>585.66000000000008</v>
      </c>
      <c r="G6" s="51">
        <v>-161.06000000000003</v>
      </c>
      <c r="H6" s="51">
        <f t="shared" si="1"/>
        <v>0.27500597616364447</v>
      </c>
      <c r="I6" s="51">
        <f t="shared" si="2"/>
        <v>-7.6874290856760619E-2</v>
      </c>
      <c r="J6" s="51">
        <f t="shared" si="4"/>
        <v>-45.022197183170434</v>
      </c>
      <c r="K6" s="51">
        <f t="shared" si="3"/>
        <v>-1.324182270093248</v>
      </c>
      <c r="L6" s="51">
        <v>238</v>
      </c>
      <c r="M6" s="51">
        <f t="shared" si="5"/>
        <v>0.14285714285714285</v>
      </c>
      <c r="N6" s="51">
        <v>342</v>
      </c>
      <c r="O6" s="51">
        <f t="shared" ref="O6:P6" si="13">D6/7</f>
        <v>4.8571428571428568</v>
      </c>
      <c r="P6" s="51">
        <f t="shared" si="13"/>
        <v>0</v>
      </c>
      <c r="Q6" s="51">
        <f t="shared" si="7"/>
        <v>70</v>
      </c>
      <c r="R6" s="55">
        <v>0</v>
      </c>
      <c r="S6" s="53" t="s">
        <v>34</v>
      </c>
      <c r="T6" s="54" t="s">
        <v>34</v>
      </c>
      <c r="U6" s="55">
        <v>7</v>
      </c>
      <c r="V6" s="55">
        <f t="shared" si="8"/>
        <v>0.20588235294117646</v>
      </c>
      <c r="W6" s="55">
        <f t="shared" si="9"/>
        <v>5.5537931034482773</v>
      </c>
      <c r="X6" s="55">
        <v>22</v>
      </c>
      <c r="Y6" s="55" t="s">
        <v>35</v>
      </c>
      <c r="Z6" s="56">
        <f t="shared" si="10"/>
        <v>-0.69</v>
      </c>
      <c r="AA6" s="55">
        <v>0.13437095138888888</v>
      </c>
      <c r="AB6" s="55">
        <f t="shared" si="11"/>
        <v>-7.9272142771874989</v>
      </c>
      <c r="AC6" s="55">
        <v>-4.76</v>
      </c>
      <c r="AD6" s="55">
        <v>-6.2354700854700855</v>
      </c>
      <c r="AE6" s="55">
        <v>0</v>
      </c>
      <c r="AF6" s="55"/>
    </row>
    <row r="7" spans="1:32" s="57" customFormat="1" ht="15.75" customHeight="1">
      <c r="A7" s="2" t="s">
        <v>53</v>
      </c>
      <c r="B7" s="2"/>
      <c r="C7" s="51">
        <v>15.99</v>
      </c>
      <c r="D7" s="51">
        <v>45</v>
      </c>
      <c r="E7" s="51">
        <v>0</v>
      </c>
      <c r="F7" s="51">
        <v>725.5500000000003</v>
      </c>
      <c r="G7" s="51">
        <v>-36.69</v>
      </c>
      <c r="H7" s="51">
        <f t="shared" si="1"/>
        <v>5.0568534215422761E-2</v>
      </c>
      <c r="I7" s="51">
        <f t="shared" si="2"/>
        <v>0.10788732605536663</v>
      </c>
      <c r="J7" s="51">
        <f t="shared" si="4"/>
        <v>78.277649419471288</v>
      </c>
      <c r="K7" s="51">
        <f t="shared" si="3"/>
        <v>1.7395033204326953</v>
      </c>
      <c r="L7" s="51">
        <v>141</v>
      </c>
      <c r="M7" s="51">
        <f t="shared" si="5"/>
        <v>0.31914893617021278</v>
      </c>
      <c r="N7" s="51">
        <v>300</v>
      </c>
      <c r="O7" s="51">
        <f t="shared" ref="O7:P7" si="14">D7/7</f>
        <v>6.4285714285714288</v>
      </c>
      <c r="P7" s="51">
        <f t="shared" si="14"/>
        <v>0</v>
      </c>
      <c r="Q7" s="51">
        <f t="shared" si="7"/>
        <v>46</v>
      </c>
      <c r="R7" s="55">
        <v>0</v>
      </c>
      <c r="S7" s="53" t="s">
        <v>34</v>
      </c>
      <c r="T7" s="54" t="s">
        <v>34</v>
      </c>
      <c r="U7" s="55">
        <v>6</v>
      </c>
      <c r="V7" s="55">
        <f t="shared" si="8"/>
        <v>0.13333333333333333</v>
      </c>
      <c r="W7" s="55">
        <f t="shared" si="9"/>
        <v>4.0766666666666662</v>
      </c>
      <c r="X7" s="55">
        <v>3</v>
      </c>
      <c r="Y7" s="55" t="s">
        <v>35</v>
      </c>
      <c r="Z7" s="56">
        <f t="shared" si="10"/>
        <v>-0.69</v>
      </c>
      <c r="AA7" s="55">
        <v>0.13437095138888888</v>
      </c>
      <c r="AB7" s="55">
        <f t="shared" si="11"/>
        <v>-6.9536967343749989</v>
      </c>
      <c r="AC7" s="55">
        <v>-4.76</v>
      </c>
      <c r="AD7" s="55">
        <v>-6.2354700854700855</v>
      </c>
      <c r="AE7" s="55">
        <v>0</v>
      </c>
      <c r="AF7" s="55"/>
    </row>
    <row r="8" spans="1:32" s="57" customFormat="1" ht="15.75" customHeight="1">
      <c r="A8" s="2" t="s">
        <v>54</v>
      </c>
      <c r="B8" s="2" t="s">
        <v>527</v>
      </c>
      <c r="C8" s="51">
        <v>15.99</v>
      </c>
      <c r="D8" s="51">
        <v>22</v>
      </c>
      <c r="E8" s="51">
        <v>0</v>
      </c>
      <c r="F8" s="51">
        <v>351.78000000000009</v>
      </c>
      <c r="G8" s="51">
        <v>0</v>
      </c>
      <c r="H8" s="51">
        <f t="shared" si="1"/>
        <v>0</v>
      </c>
      <c r="I8" s="51">
        <f t="shared" si="2"/>
        <v>0.11050887962707877</v>
      </c>
      <c r="J8" s="51">
        <f t="shared" si="4"/>
        <v>38.87481367521378</v>
      </c>
      <c r="K8" s="51">
        <f t="shared" si="3"/>
        <v>1.76703698523699</v>
      </c>
      <c r="L8" s="51">
        <v>97</v>
      </c>
      <c r="M8" s="51">
        <f t="shared" si="5"/>
        <v>0.22680412371134021</v>
      </c>
      <c r="N8" s="51">
        <v>272</v>
      </c>
      <c r="O8" s="51">
        <f t="shared" ref="O8:P8" si="15">D8/7</f>
        <v>3.1428571428571428</v>
      </c>
      <c r="P8" s="51">
        <f t="shared" si="15"/>
        <v>0</v>
      </c>
      <c r="Q8" s="51">
        <f t="shared" si="7"/>
        <v>86</v>
      </c>
      <c r="R8" s="55">
        <v>0</v>
      </c>
      <c r="S8" s="53" t="s">
        <v>34</v>
      </c>
      <c r="T8" s="54" t="s">
        <v>34</v>
      </c>
      <c r="U8" s="55">
        <v>0</v>
      </c>
      <c r="V8" s="55">
        <f t="shared" si="8"/>
        <v>0</v>
      </c>
      <c r="W8" s="55">
        <f t="shared" si="9"/>
        <v>0</v>
      </c>
      <c r="X8" s="55">
        <v>0</v>
      </c>
      <c r="Y8" s="55" t="s">
        <v>35</v>
      </c>
      <c r="Z8" s="56">
        <f t="shared" si="10"/>
        <v>-0.69</v>
      </c>
      <c r="AA8" s="55">
        <v>0.15425925925925923</v>
      </c>
      <c r="AB8" s="55">
        <f t="shared" si="11"/>
        <v>-7.237844444444443</v>
      </c>
      <c r="AC8" s="55">
        <v>-5.26</v>
      </c>
      <c r="AD8" s="55">
        <v>-6.2354700854700855</v>
      </c>
      <c r="AE8" s="55">
        <v>0</v>
      </c>
      <c r="AF8" s="55"/>
    </row>
    <row r="9" spans="1:32" s="57" customFormat="1" ht="15.75" customHeight="1">
      <c r="A9" s="2" t="s">
        <v>56</v>
      </c>
      <c r="B9" s="2" t="s">
        <v>528</v>
      </c>
      <c r="C9" s="51">
        <v>17.989999999999998</v>
      </c>
      <c r="D9" s="51">
        <v>18</v>
      </c>
      <c r="E9" s="51">
        <v>0</v>
      </c>
      <c r="F9" s="51">
        <v>300.82000000000005</v>
      </c>
      <c r="G9" s="51">
        <v>-0.02</v>
      </c>
      <c r="H9" s="51">
        <f t="shared" si="1"/>
        <v>6.6484941160827057E-5</v>
      </c>
      <c r="I9" s="51">
        <f t="shared" si="2"/>
        <v>0.13882116055147278</v>
      </c>
      <c r="J9" s="51">
        <f t="shared" si="4"/>
        <v>41.760181517094047</v>
      </c>
      <c r="K9" s="51">
        <f t="shared" si="3"/>
        <v>2.3200100842830027</v>
      </c>
      <c r="L9" s="51">
        <v>96</v>
      </c>
      <c r="M9" s="51">
        <f t="shared" si="5"/>
        <v>0.1875</v>
      </c>
      <c r="N9" s="51">
        <v>263</v>
      </c>
      <c r="O9" s="51">
        <f t="shared" ref="O9:P9" si="16">D9/7</f>
        <v>2.5714285714285716</v>
      </c>
      <c r="P9" s="51">
        <f t="shared" si="16"/>
        <v>0</v>
      </c>
      <c r="Q9" s="51">
        <f t="shared" si="7"/>
        <v>102</v>
      </c>
      <c r="R9" s="55">
        <v>0</v>
      </c>
      <c r="S9" s="53" t="s">
        <v>34</v>
      </c>
      <c r="T9" s="54" t="s">
        <v>34</v>
      </c>
      <c r="U9" s="55">
        <v>0</v>
      </c>
      <c r="V9" s="55">
        <f t="shared" si="8"/>
        <v>0</v>
      </c>
      <c r="W9" s="55">
        <f t="shared" si="9"/>
        <v>0</v>
      </c>
      <c r="X9" s="55">
        <v>0</v>
      </c>
      <c r="Y9" s="55" t="s">
        <v>35</v>
      </c>
      <c r="Z9" s="56">
        <f t="shared" si="10"/>
        <v>-0.69</v>
      </c>
      <c r="AA9" s="55">
        <v>0.15425925925925923</v>
      </c>
      <c r="AB9" s="55">
        <f t="shared" si="11"/>
        <v>-6.9983569444444429</v>
      </c>
      <c r="AC9" s="55">
        <v>-5.26</v>
      </c>
      <c r="AD9" s="55">
        <v>-6.2354700854700855</v>
      </c>
      <c r="AE9" s="55">
        <v>0</v>
      </c>
      <c r="AF9" s="55"/>
    </row>
    <row r="10" spans="1:32" s="57" customFormat="1" ht="15.75" customHeight="1">
      <c r="A10" s="2" t="s">
        <v>58</v>
      </c>
      <c r="B10" s="2" t="s">
        <v>45</v>
      </c>
      <c r="C10" s="51">
        <v>16.989999999999998</v>
      </c>
      <c r="D10" s="51">
        <v>12</v>
      </c>
      <c r="E10" s="51">
        <v>0</v>
      </c>
      <c r="F10" s="51">
        <v>210.88</v>
      </c>
      <c r="G10" s="51">
        <v>-12.33</v>
      </c>
      <c r="H10" s="51">
        <f t="shared" si="1"/>
        <v>5.8469271623672235E-2</v>
      </c>
      <c r="I10" s="51">
        <f t="shared" si="2"/>
        <v>0.10647276664413176</v>
      </c>
      <c r="J10" s="51">
        <f t="shared" si="4"/>
        <v>22.452977029914504</v>
      </c>
      <c r="K10" s="51">
        <f t="shared" si="3"/>
        <v>1.871081419159542</v>
      </c>
      <c r="L10" s="51">
        <v>90</v>
      </c>
      <c r="M10" s="51">
        <f t="shared" si="5"/>
        <v>0.13333333333333333</v>
      </c>
      <c r="N10" s="51">
        <v>245</v>
      </c>
      <c r="O10" s="51">
        <f t="shared" ref="O10:P10" si="17">D10/7</f>
        <v>1.7142857142857142</v>
      </c>
      <c r="P10" s="51">
        <f t="shared" si="17"/>
        <v>0</v>
      </c>
      <c r="Q10" s="51">
        <f t="shared" si="7"/>
        <v>142</v>
      </c>
      <c r="R10" s="55">
        <v>0</v>
      </c>
      <c r="S10" s="53" t="s">
        <v>34</v>
      </c>
      <c r="T10" s="54" t="s">
        <v>34</v>
      </c>
      <c r="U10" s="55">
        <v>2</v>
      </c>
      <c r="V10" s="55">
        <f t="shared" si="8"/>
        <v>0.16666666666666666</v>
      </c>
      <c r="W10" s="55">
        <f t="shared" si="9"/>
        <v>6.165</v>
      </c>
      <c r="X10" s="55">
        <v>0</v>
      </c>
      <c r="Y10" s="55" t="s">
        <v>35</v>
      </c>
      <c r="Z10" s="56">
        <f t="shared" si="10"/>
        <v>-0.69</v>
      </c>
      <c r="AA10" s="55">
        <v>0.15425925925925923</v>
      </c>
      <c r="AB10" s="55">
        <f t="shared" si="11"/>
        <v>-6.5193819444444427</v>
      </c>
      <c r="AC10" s="55">
        <v>-5.26</v>
      </c>
      <c r="AD10" s="55">
        <v>-6.2354700854700855</v>
      </c>
      <c r="AE10" s="55">
        <v>0</v>
      </c>
      <c r="AF10" s="55"/>
    </row>
    <row r="11" spans="1:32" s="57" customFormat="1" ht="15.75" customHeight="1">
      <c r="A11" s="2" t="s">
        <v>60</v>
      </c>
      <c r="B11" s="2" t="s">
        <v>529</v>
      </c>
      <c r="C11" s="51">
        <v>15.99</v>
      </c>
      <c r="D11" s="51">
        <v>29</v>
      </c>
      <c r="E11" s="51">
        <v>0</v>
      </c>
      <c r="F11" s="51">
        <v>477.71000000000009</v>
      </c>
      <c r="G11" s="51">
        <v>-79.25</v>
      </c>
      <c r="H11" s="51">
        <f t="shared" si="1"/>
        <v>0.16589562705407043</v>
      </c>
      <c r="I11" s="51">
        <f t="shared" si="2"/>
        <v>-3.701831941454297E-2</v>
      </c>
      <c r="J11" s="51">
        <f t="shared" si="4"/>
        <v>-17.684021367521325</v>
      </c>
      <c r="K11" s="51">
        <f t="shared" si="3"/>
        <v>-0.60979384025935601</v>
      </c>
      <c r="L11" s="51">
        <v>158</v>
      </c>
      <c r="M11" s="51">
        <f t="shared" si="5"/>
        <v>0.18354430379746836</v>
      </c>
      <c r="N11" s="51">
        <v>224</v>
      </c>
      <c r="O11" s="51">
        <f t="shared" ref="O11:P11" si="18">D11/7</f>
        <v>4.1428571428571432</v>
      </c>
      <c r="P11" s="51">
        <f t="shared" si="18"/>
        <v>0</v>
      </c>
      <c r="Q11" s="51">
        <f t="shared" si="7"/>
        <v>54</v>
      </c>
      <c r="R11" s="55">
        <v>0</v>
      </c>
      <c r="S11" s="53" t="s">
        <v>34</v>
      </c>
      <c r="T11" s="54" t="s">
        <v>34</v>
      </c>
      <c r="U11" s="55">
        <v>8</v>
      </c>
      <c r="V11" s="55">
        <f t="shared" si="8"/>
        <v>0.27586206896551724</v>
      </c>
      <c r="W11" s="55">
        <f t="shared" si="9"/>
        <v>5.2833333333333332</v>
      </c>
      <c r="X11" s="55">
        <v>7</v>
      </c>
      <c r="Y11" s="55" t="s">
        <v>35</v>
      </c>
      <c r="Z11" s="56">
        <f t="shared" ref="Z11:Z39" si="19">IF(OR(Y11="UsLargeStandardSize",Y11="UsSmallStandardSize"),-0.75,-0.48)</f>
        <v>-0.75</v>
      </c>
      <c r="AA11" s="55">
        <v>0.15425925925925923</v>
      </c>
      <c r="AB11" s="55">
        <f t="shared" si="11"/>
        <v>-6.4788888888888883</v>
      </c>
      <c r="AC11" s="55">
        <v>-5.42</v>
      </c>
      <c r="AD11" s="55">
        <v>-6.2354700854700855</v>
      </c>
      <c r="AE11" s="55">
        <v>0</v>
      </c>
      <c r="AF11" s="55"/>
    </row>
    <row r="12" spans="1:32" s="57" customFormat="1" ht="15.75" customHeight="1">
      <c r="A12" s="2" t="s">
        <v>62</v>
      </c>
      <c r="B12" s="2" t="s">
        <v>530</v>
      </c>
      <c r="C12" s="51">
        <v>16.989999999999998</v>
      </c>
      <c r="D12" s="51">
        <v>20</v>
      </c>
      <c r="E12" s="51">
        <v>0</v>
      </c>
      <c r="F12" s="51">
        <v>337.80000000000007</v>
      </c>
      <c r="G12" s="51">
        <v>-80.05</v>
      </c>
      <c r="H12" s="51">
        <f t="shared" si="1"/>
        <v>0.23697454114860858</v>
      </c>
      <c r="I12" s="51">
        <f t="shared" si="2"/>
        <v>-9.2709780784443446E-2</v>
      </c>
      <c r="J12" s="51">
        <f t="shared" si="4"/>
        <v>-31.317363948985001</v>
      </c>
      <c r="K12" s="51">
        <f t="shared" si="3"/>
        <v>-1.5658681974492501</v>
      </c>
      <c r="L12" s="51">
        <v>170</v>
      </c>
      <c r="M12" s="51">
        <f t="shared" si="5"/>
        <v>0.11764705882352941</v>
      </c>
      <c r="N12" s="51">
        <v>197</v>
      </c>
      <c r="O12" s="51">
        <f t="shared" ref="O12:P12" si="20">D12/7</f>
        <v>2.8571428571428572</v>
      </c>
      <c r="P12" s="51">
        <f t="shared" si="20"/>
        <v>0</v>
      </c>
      <c r="Q12" s="51">
        <f t="shared" si="7"/>
        <v>68</v>
      </c>
      <c r="R12" s="55">
        <v>0</v>
      </c>
      <c r="S12" s="53" t="s">
        <v>34</v>
      </c>
      <c r="T12" s="54" t="s">
        <v>34</v>
      </c>
      <c r="U12" s="55">
        <v>8</v>
      </c>
      <c r="V12" s="55">
        <f t="shared" si="8"/>
        <v>0.4</v>
      </c>
      <c r="W12" s="55">
        <f t="shared" si="9"/>
        <v>5.7178571428571425</v>
      </c>
      <c r="X12" s="55">
        <v>6</v>
      </c>
      <c r="Y12" s="55" t="s">
        <v>35</v>
      </c>
      <c r="Z12" s="56">
        <f t="shared" si="19"/>
        <v>-0.75</v>
      </c>
      <c r="AA12" s="55">
        <v>0.14315972222222223</v>
      </c>
      <c r="AB12" s="55">
        <f t="shared" si="11"/>
        <v>-5.2879622395833339</v>
      </c>
      <c r="AC12" s="55">
        <v>-5.42</v>
      </c>
      <c r="AD12" s="55">
        <v>-6.2354700854700855</v>
      </c>
      <c r="AE12" s="55">
        <v>0</v>
      </c>
      <c r="AF12" s="55"/>
    </row>
    <row r="13" spans="1:32" s="57" customFormat="1" ht="15.75" customHeight="1">
      <c r="A13" s="2" t="s">
        <v>63</v>
      </c>
      <c r="B13" s="2" t="s">
        <v>531</v>
      </c>
      <c r="C13" s="51">
        <v>17.989999999999998</v>
      </c>
      <c r="D13" s="51">
        <v>21</v>
      </c>
      <c r="E13" s="51">
        <v>0</v>
      </c>
      <c r="F13" s="51">
        <v>378.79000000000008</v>
      </c>
      <c r="G13" s="51">
        <v>-76.430000000000007</v>
      </c>
      <c r="H13" s="51">
        <f t="shared" si="1"/>
        <v>0.20177407006520762</v>
      </c>
      <c r="I13" s="51">
        <f t="shared" si="2"/>
        <v>-1.0492581842503108E-2</v>
      </c>
      <c r="J13" s="51">
        <f t="shared" si="4"/>
        <v>-3.9744850761217529</v>
      </c>
      <c r="K13" s="51">
        <f t="shared" si="3"/>
        <v>-0.18926119410103587</v>
      </c>
      <c r="L13" s="51">
        <v>156</v>
      </c>
      <c r="M13" s="51">
        <f t="shared" si="5"/>
        <v>0.13461538461538461</v>
      </c>
      <c r="N13" s="51">
        <v>177</v>
      </c>
      <c r="O13" s="51">
        <f t="shared" ref="O13:P13" si="21">D13/7</f>
        <v>3</v>
      </c>
      <c r="P13" s="51">
        <f t="shared" si="21"/>
        <v>0</v>
      </c>
      <c r="Q13" s="51">
        <f t="shared" si="7"/>
        <v>59</v>
      </c>
      <c r="R13" s="55">
        <v>0</v>
      </c>
      <c r="S13" s="53" t="s">
        <v>34</v>
      </c>
      <c r="T13" s="54" t="s">
        <v>34</v>
      </c>
      <c r="U13" s="55">
        <v>6</v>
      </c>
      <c r="V13" s="55">
        <f t="shared" si="8"/>
        <v>0.2857142857142857</v>
      </c>
      <c r="W13" s="55">
        <f t="shared" si="9"/>
        <v>5.0953333333333335</v>
      </c>
      <c r="X13" s="55">
        <v>9</v>
      </c>
      <c r="Y13" s="55" t="s">
        <v>35</v>
      </c>
      <c r="Z13" s="56">
        <f t="shared" si="19"/>
        <v>-0.75</v>
      </c>
      <c r="AA13" s="55">
        <v>0.14315972222222223</v>
      </c>
      <c r="AB13" s="55">
        <f t="shared" si="11"/>
        <v>-4.7511132812500003</v>
      </c>
      <c r="AC13" s="55">
        <v>-5.42</v>
      </c>
      <c r="AD13" s="55">
        <v>-6.2354700854700855</v>
      </c>
      <c r="AE13" s="55">
        <v>0</v>
      </c>
      <c r="AF13" s="55"/>
    </row>
    <row r="14" spans="1:32" s="57" customFormat="1" ht="15.75" customHeight="1">
      <c r="A14" s="2" t="s">
        <v>64</v>
      </c>
      <c r="B14" s="2" t="s">
        <v>532</v>
      </c>
      <c r="C14" s="51">
        <v>13.99</v>
      </c>
      <c r="D14" s="51">
        <v>20</v>
      </c>
      <c r="E14" s="51">
        <v>0</v>
      </c>
      <c r="F14" s="51">
        <v>343.80000000000007</v>
      </c>
      <c r="G14" s="51">
        <v>-67.589999999999989</v>
      </c>
      <c r="H14" s="51">
        <f t="shared" si="1"/>
        <v>0.19659685863874338</v>
      </c>
      <c r="I14" s="51">
        <f t="shared" si="2"/>
        <v>-3.6814495591627708E-2</v>
      </c>
      <c r="J14" s="51">
        <f t="shared" si="4"/>
        <v>-12.656823584401609</v>
      </c>
      <c r="K14" s="51">
        <f t="shared" si="3"/>
        <v>-0.63284117922008043</v>
      </c>
      <c r="L14" s="51">
        <v>137</v>
      </c>
      <c r="M14" s="51">
        <f t="shared" si="5"/>
        <v>0.145985401459854</v>
      </c>
      <c r="N14" s="51">
        <v>156</v>
      </c>
      <c r="O14" s="51">
        <f t="shared" ref="O14:P14" si="22">D14/7</f>
        <v>2.8571428571428572</v>
      </c>
      <c r="P14" s="51">
        <f t="shared" si="22"/>
        <v>0</v>
      </c>
      <c r="Q14" s="51">
        <f t="shared" si="7"/>
        <v>54</v>
      </c>
      <c r="R14" s="55">
        <v>0</v>
      </c>
      <c r="S14" s="53" t="s">
        <v>34</v>
      </c>
      <c r="T14" s="54" t="s">
        <v>34</v>
      </c>
      <c r="U14" s="55">
        <v>4</v>
      </c>
      <c r="V14" s="55">
        <f t="shared" si="8"/>
        <v>0.2</v>
      </c>
      <c r="W14" s="55">
        <f t="shared" si="9"/>
        <v>6.7589999999999986</v>
      </c>
      <c r="X14" s="55">
        <v>6</v>
      </c>
      <c r="Y14" s="55" t="s">
        <v>35</v>
      </c>
      <c r="Z14" s="56">
        <f t="shared" si="19"/>
        <v>-0.75</v>
      </c>
      <c r="AA14" s="55">
        <v>0.14315972222222223</v>
      </c>
      <c r="AB14" s="55">
        <f t="shared" si="11"/>
        <v>-4.1874218750000001</v>
      </c>
      <c r="AC14" s="55">
        <v>-5.42</v>
      </c>
      <c r="AD14" s="55">
        <v>-6.2354700854700855</v>
      </c>
      <c r="AE14" s="55">
        <v>0</v>
      </c>
      <c r="AF14" s="55"/>
    </row>
    <row r="15" spans="1:32" s="57" customFormat="1" ht="15.75" customHeight="1">
      <c r="A15" s="2" t="s">
        <v>65</v>
      </c>
      <c r="B15" s="2" t="s">
        <v>533</v>
      </c>
      <c r="C15" s="51">
        <v>15.99</v>
      </c>
      <c r="D15" s="51">
        <v>19</v>
      </c>
      <c r="E15" s="51">
        <v>0</v>
      </c>
      <c r="F15" s="51">
        <v>283.81000000000006</v>
      </c>
      <c r="G15" s="51">
        <v>-57.24</v>
      </c>
      <c r="H15" s="51">
        <f t="shared" si="1"/>
        <v>0.20168422536203795</v>
      </c>
      <c r="I15" s="51">
        <f t="shared" si="2"/>
        <v>-0.14559298165650111</v>
      </c>
      <c r="J15" s="51">
        <f t="shared" si="4"/>
        <v>-41.32074412393159</v>
      </c>
      <c r="K15" s="51">
        <f t="shared" si="3"/>
        <v>-2.1747760065227153</v>
      </c>
      <c r="L15" s="51">
        <v>117</v>
      </c>
      <c r="M15" s="51">
        <f t="shared" si="5"/>
        <v>0.1623931623931624</v>
      </c>
      <c r="N15" s="51">
        <v>144</v>
      </c>
      <c r="O15" s="51">
        <f t="shared" ref="O15:P15" si="23">D15/7</f>
        <v>2.7142857142857144</v>
      </c>
      <c r="P15" s="51">
        <f t="shared" si="23"/>
        <v>0</v>
      </c>
      <c r="Q15" s="51">
        <f t="shared" si="7"/>
        <v>53</v>
      </c>
      <c r="R15" s="55">
        <v>0</v>
      </c>
      <c r="S15" s="53" t="s">
        <v>34</v>
      </c>
      <c r="T15" s="54" t="s">
        <v>34</v>
      </c>
      <c r="U15" s="55">
        <v>6</v>
      </c>
      <c r="V15" s="55">
        <f t="shared" si="8"/>
        <v>0.31578947368421051</v>
      </c>
      <c r="W15" s="55">
        <f t="shared" si="9"/>
        <v>6.36</v>
      </c>
      <c r="X15" s="55">
        <v>3</v>
      </c>
      <c r="Y15" s="55" t="s">
        <v>35</v>
      </c>
      <c r="Z15" s="56">
        <f t="shared" si="19"/>
        <v>-0.75</v>
      </c>
      <c r="AA15" s="55">
        <v>0.14315972222222223</v>
      </c>
      <c r="AB15" s="55">
        <f t="shared" si="11"/>
        <v>-3.8653125000000004</v>
      </c>
      <c r="AC15" s="55">
        <v>-5.42</v>
      </c>
      <c r="AD15" s="55">
        <v>-6.2354700854700855</v>
      </c>
      <c r="AE15" s="55">
        <v>0</v>
      </c>
      <c r="AF15" s="55"/>
    </row>
    <row r="16" spans="1:32" s="57" customFormat="1" ht="15.75" customHeight="1">
      <c r="A16" s="2" t="s">
        <v>66</v>
      </c>
      <c r="B16" s="2" t="s">
        <v>534</v>
      </c>
      <c r="C16" s="51">
        <v>15.99</v>
      </c>
      <c r="D16" s="51">
        <v>37</v>
      </c>
      <c r="E16" s="51">
        <v>0</v>
      </c>
      <c r="F16" s="51">
        <v>573.63000000000011</v>
      </c>
      <c r="G16" s="51">
        <v>-58.48</v>
      </c>
      <c r="H16" s="51">
        <f t="shared" si="1"/>
        <v>0.1019472482262085</v>
      </c>
      <c r="I16" s="51">
        <f t="shared" si="2"/>
        <v>-8.422045489356841E-3</v>
      </c>
      <c r="J16" s="51">
        <f t="shared" si="4"/>
        <v>-4.8311379540597654</v>
      </c>
      <c r="K16" s="51">
        <f t="shared" si="3"/>
        <v>-0.13057129605566933</v>
      </c>
      <c r="L16" s="51">
        <v>122</v>
      </c>
      <c r="M16" s="51">
        <f t="shared" si="5"/>
        <v>0.30327868852459017</v>
      </c>
      <c r="N16" s="51">
        <v>100</v>
      </c>
      <c r="O16" s="51">
        <f t="shared" ref="O16:P16" si="24">D16/7</f>
        <v>5.2857142857142856</v>
      </c>
      <c r="P16" s="51">
        <f t="shared" si="24"/>
        <v>0</v>
      </c>
      <c r="Q16" s="51">
        <f t="shared" si="7"/>
        <v>18</v>
      </c>
      <c r="R16" s="55">
        <v>0</v>
      </c>
      <c r="S16" s="53" t="s">
        <v>34</v>
      </c>
      <c r="T16" s="54" t="s">
        <v>34</v>
      </c>
      <c r="U16" s="55">
        <v>7</v>
      </c>
      <c r="V16" s="55">
        <f t="shared" si="8"/>
        <v>0.1891891891891892</v>
      </c>
      <c r="W16" s="55">
        <f t="shared" si="9"/>
        <v>4.4984615384615383</v>
      </c>
      <c r="X16" s="55">
        <v>6</v>
      </c>
      <c r="Y16" s="55" t="s">
        <v>35</v>
      </c>
      <c r="Z16" s="56">
        <f t="shared" si="19"/>
        <v>-0.75</v>
      </c>
      <c r="AA16" s="55">
        <v>0.14315972222222223</v>
      </c>
      <c r="AB16" s="55">
        <f t="shared" si="11"/>
        <v>-2.684244791666667</v>
      </c>
      <c r="AC16" s="55">
        <v>-5.42</v>
      </c>
      <c r="AD16" s="55">
        <v>-6.2354700854700855</v>
      </c>
      <c r="AE16" s="55">
        <v>0</v>
      </c>
      <c r="AF16" s="55"/>
    </row>
    <row r="17" spans="1:32" s="57" customFormat="1" ht="55.5" customHeight="1">
      <c r="A17" s="2" t="s">
        <v>67</v>
      </c>
      <c r="B17" s="2" t="s">
        <v>535</v>
      </c>
      <c r="C17" s="51">
        <v>16.989999999999998</v>
      </c>
      <c r="D17" s="51">
        <v>27</v>
      </c>
      <c r="E17" s="51">
        <v>0</v>
      </c>
      <c r="F17" s="51">
        <v>426.73000000000008</v>
      </c>
      <c r="G17" s="51">
        <v>-55.099999999999994</v>
      </c>
      <c r="H17" s="51">
        <f t="shared" si="1"/>
        <v>0.12912145853349891</v>
      </c>
      <c r="I17" s="51">
        <f t="shared" si="2"/>
        <v>-2.1554017043818964E-2</v>
      </c>
      <c r="J17" s="51">
        <f t="shared" si="4"/>
        <v>-9.1977456931088675</v>
      </c>
      <c r="K17" s="51">
        <f t="shared" si="3"/>
        <v>-0.34065724789292101</v>
      </c>
      <c r="L17" s="51">
        <v>123</v>
      </c>
      <c r="M17" s="51">
        <f t="shared" si="5"/>
        <v>0.21951219512195122</v>
      </c>
      <c r="N17" s="51">
        <v>79</v>
      </c>
      <c r="O17" s="51">
        <f t="shared" ref="O17:P17" si="25">D17/7</f>
        <v>3.8571428571428572</v>
      </c>
      <c r="P17" s="51">
        <f t="shared" si="25"/>
        <v>0</v>
      </c>
      <c r="Q17" s="51">
        <f t="shared" si="7"/>
        <v>20</v>
      </c>
      <c r="R17" s="55">
        <v>0</v>
      </c>
      <c r="S17" s="53" t="s">
        <v>34</v>
      </c>
      <c r="T17" s="54" t="s">
        <v>34</v>
      </c>
      <c r="U17" s="55">
        <v>15</v>
      </c>
      <c r="V17" s="55">
        <f t="shared" si="8"/>
        <v>0.55555555555555558</v>
      </c>
      <c r="W17" s="55">
        <f t="shared" si="9"/>
        <v>2.9</v>
      </c>
      <c r="X17" s="55">
        <v>4</v>
      </c>
      <c r="Y17" s="55" t="s">
        <v>35</v>
      </c>
      <c r="Z17" s="56">
        <f t="shared" si="19"/>
        <v>-0.75</v>
      </c>
      <c r="AA17" s="55">
        <v>0.14315972222222223</v>
      </c>
      <c r="AB17" s="55">
        <f t="shared" si="11"/>
        <v>-2.1205533854166667</v>
      </c>
      <c r="AC17" s="55">
        <v>-5.42</v>
      </c>
      <c r="AD17" s="55">
        <v>-6.2354700854700855</v>
      </c>
      <c r="AE17" s="55">
        <v>0</v>
      </c>
      <c r="AF17" s="55"/>
    </row>
    <row r="18" spans="1:32" s="57" customFormat="1" ht="15.75" customHeight="1">
      <c r="A18" s="2" t="s">
        <v>69</v>
      </c>
      <c r="B18" s="2" t="s">
        <v>536</v>
      </c>
      <c r="C18" s="51">
        <v>15.99</v>
      </c>
      <c r="D18" s="51">
        <v>21</v>
      </c>
      <c r="E18" s="51">
        <v>0</v>
      </c>
      <c r="F18" s="51">
        <v>352.79000000000008</v>
      </c>
      <c r="G18" s="51">
        <v>-47.839999999999989</v>
      </c>
      <c r="H18" s="51">
        <f t="shared" si="1"/>
        <v>0.13560475070155042</v>
      </c>
      <c r="I18" s="51">
        <f t="shared" si="2"/>
        <v>1.4238819981527619E-3</v>
      </c>
      <c r="J18" s="51">
        <f t="shared" si="4"/>
        <v>0.50233133012831299</v>
      </c>
      <c r="K18" s="51">
        <f t="shared" si="3"/>
        <v>2.3920539529919665E-2</v>
      </c>
      <c r="L18" s="51">
        <v>124</v>
      </c>
      <c r="M18" s="51">
        <f t="shared" si="5"/>
        <v>0.16935483870967741</v>
      </c>
      <c r="N18" s="51">
        <v>47</v>
      </c>
      <c r="O18" s="51">
        <f t="shared" ref="O18:P18" si="26">D18/7</f>
        <v>3</v>
      </c>
      <c r="P18" s="51">
        <f t="shared" si="26"/>
        <v>0</v>
      </c>
      <c r="Q18" s="51">
        <f t="shared" si="7"/>
        <v>15</v>
      </c>
      <c r="R18" s="55">
        <v>0</v>
      </c>
      <c r="S18" s="53" t="s">
        <v>34</v>
      </c>
      <c r="T18" s="54" t="s">
        <v>34</v>
      </c>
      <c r="U18" s="55">
        <v>1</v>
      </c>
      <c r="V18" s="55">
        <f t="shared" si="8"/>
        <v>4.7619047619047616E-2</v>
      </c>
      <c r="W18" s="55">
        <f t="shared" si="9"/>
        <v>5.9799999999999986</v>
      </c>
      <c r="X18" s="55">
        <v>7</v>
      </c>
      <c r="Y18" s="55" t="s">
        <v>35</v>
      </c>
      <c r="Z18" s="56">
        <f t="shared" si="19"/>
        <v>-0.75</v>
      </c>
      <c r="AA18" s="55">
        <v>0.14315972222222223</v>
      </c>
      <c r="AB18" s="58">
        <f t="shared" ref="AB18:AB39" si="27">IFERROR(Z18*AA18*D18*3,0)</f>
        <v>-6.7642968750000003</v>
      </c>
      <c r="AC18" s="55">
        <v>-5.42</v>
      </c>
      <c r="AD18" s="55">
        <v>-6.2354700854700855</v>
      </c>
      <c r="AE18" s="55">
        <v>0</v>
      </c>
      <c r="AF18" s="55"/>
    </row>
    <row r="19" spans="1:32" s="57" customFormat="1" ht="15.75" customHeight="1">
      <c r="A19" s="2" t="s">
        <v>71</v>
      </c>
      <c r="B19" s="2" t="s">
        <v>537</v>
      </c>
      <c r="C19" s="51">
        <v>17.989999999999998</v>
      </c>
      <c r="D19" s="51">
        <v>36</v>
      </c>
      <c r="E19" s="51">
        <v>0</v>
      </c>
      <c r="F19" s="51">
        <v>560.42000000000019</v>
      </c>
      <c r="G19" s="51">
        <v>-27</v>
      </c>
      <c r="H19" s="51">
        <f t="shared" si="1"/>
        <v>4.8178152100210543E-2</v>
      </c>
      <c r="I19" s="51">
        <f t="shared" si="2"/>
        <v>3.2411654514608791E-2</v>
      </c>
      <c r="J19" s="51">
        <f t="shared" si="4"/>
        <v>18.164139423077064</v>
      </c>
      <c r="K19" s="51">
        <f t="shared" si="3"/>
        <v>0.5045594284188073</v>
      </c>
      <c r="L19" s="51">
        <v>142</v>
      </c>
      <c r="M19" s="51">
        <f t="shared" si="5"/>
        <v>0.25352112676056338</v>
      </c>
      <c r="N19" s="51">
        <v>18</v>
      </c>
      <c r="O19" s="51">
        <f t="shared" ref="O19:P19" si="28">D19/7</f>
        <v>5.1428571428571432</v>
      </c>
      <c r="P19" s="51">
        <f t="shared" si="28"/>
        <v>0</v>
      </c>
      <c r="Q19" s="51">
        <f t="shared" si="7"/>
        <v>3</v>
      </c>
      <c r="R19" s="55">
        <v>0</v>
      </c>
      <c r="S19" s="53" t="s">
        <v>34</v>
      </c>
      <c r="T19" s="54" t="s">
        <v>34</v>
      </c>
      <c r="U19" s="55">
        <v>3</v>
      </c>
      <c r="V19" s="55">
        <f t="shared" si="8"/>
        <v>8.3333333333333329E-2</v>
      </c>
      <c r="W19" s="55">
        <f t="shared" si="9"/>
        <v>6.75</v>
      </c>
      <c r="X19" s="55">
        <v>1</v>
      </c>
      <c r="Y19" s="55" t="s">
        <v>35</v>
      </c>
      <c r="Z19" s="56">
        <f t="shared" si="19"/>
        <v>-0.75</v>
      </c>
      <c r="AA19" s="55">
        <v>0.14315972222222223</v>
      </c>
      <c r="AB19" s="55">
        <f t="shared" si="27"/>
        <v>-11.595937500000002</v>
      </c>
      <c r="AC19" s="55">
        <v>-5.42</v>
      </c>
      <c r="AD19" s="55">
        <v>-6.2354700854700855</v>
      </c>
      <c r="AE19" s="55">
        <v>0</v>
      </c>
      <c r="AF19" s="55"/>
    </row>
    <row r="20" spans="1:32" s="57" customFormat="1" ht="15.75" customHeight="1">
      <c r="A20" s="2" t="s">
        <v>73</v>
      </c>
      <c r="B20" s="2" t="s">
        <v>538</v>
      </c>
      <c r="C20" s="51">
        <v>16.62</v>
      </c>
      <c r="D20" s="51">
        <v>17</v>
      </c>
      <c r="E20" s="51">
        <v>0</v>
      </c>
      <c r="F20" s="51">
        <v>291.13000000000005</v>
      </c>
      <c r="G20" s="51">
        <v>-13.27</v>
      </c>
      <c r="H20" s="51">
        <f t="shared" si="1"/>
        <v>4.5581011919073947E-2</v>
      </c>
      <c r="I20" s="51">
        <f t="shared" si="2"/>
        <v>0.10501030183082669</v>
      </c>
      <c r="J20" s="51">
        <f t="shared" si="4"/>
        <v>30.571649172008577</v>
      </c>
      <c r="K20" s="51">
        <f t="shared" si="3"/>
        <v>1.7983323042357986</v>
      </c>
      <c r="L20" s="51">
        <v>123</v>
      </c>
      <c r="M20" s="51">
        <f t="shared" si="5"/>
        <v>0.13821138211382114</v>
      </c>
      <c r="N20" s="51">
        <v>0</v>
      </c>
      <c r="O20" s="51">
        <f t="shared" ref="O20:P20" si="29">D20/7</f>
        <v>2.4285714285714284</v>
      </c>
      <c r="P20" s="51">
        <f t="shared" si="29"/>
        <v>0</v>
      </c>
      <c r="Q20" s="51">
        <f t="shared" si="7"/>
        <v>0</v>
      </c>
      <c r="R20" s="55">
        <v>168</v>
      </c>
      <c r="S20" s="53" t="s">
        <v>34</v>
      </c>
      <c r="T20" s="54" t="s">
        <v>34</v>
      </c>
      <c r="U20" s="55">
        <v>1</v>
      </c>
      <c r="V20" s="55">
        <f t="shared" si="8"/>
        <v>5.8823529411764705E-2</v>
      </c>
      <c r="W20" s="55">
        <f t="shared" si="9"/>
        <v>4.4233333333333329</v>
      </c>
      <c r="X20" s="55">
        <v>2</v>
      </c>
      <c r="Y20" s="55" t="s">
        <v>35</v>
      </c>
      <c r="Z20" s="56">
        <f t="shared" si="19"/>
        <v>-0.75</v>
      </c>
      <c r="AA20" s="55">
        <v>0.14315972222222223</v>
      </c>
      <c r="AB20" s="55">
        <f t="shared" si="27"/>
        <v>-5.4758593750000006</v>
      </c>
      <c r="AC20" s="55">
        <v>-5.42</v>
      </c>
      <c r="AD20" s="55">
        <v>-6.2354700854700855</v>
      </c>
      <c r="AE20" s="55">
        <v>0</v>
      </c>
      <c r="AF20" s="55"/>
    </row>
    <row r="21" spans="1:32" s="57" customFormat="1" ht="15.75" customHeight="1">
      <c r="A21" s="2" t="s">
        <v>75</v>
      </c>
      <c r="B21" s="2" t="s">
        <v>539</v>
      </c>
      <c r="C21" s="51">
        <v>16.62</v>
      </c>
      <c r="D21" s="51">
        <v>4</v>
      </c>
      <c r="E21" s="51">
        <v>0</v>
      </c>
      <c r="F21" s="51">
        <v>64.81</v>
      </c>
      <c r="G21" s="51">
        <v>0</v>
      </c>
      <c r="H21" s="51">
        <f t="shared" si="1"/>
        <v>0</v>
      </c>
      <c r="I21" s="51">
        <f t="shared" si="2"/>
        <v>0.11075732384076008</v>
      </c>
      <c r="J21" s="51">
        <f t="shared" si="4"/>
        <v>7.178182158119661</v>
      </c>
      <c r="K21" s="51">
        <f t="shared" si="3"/>
        <v>1.7945455395299152</v>
      </c>
      <c r="L21" s="51">
        <v>0</v>
      </c>
      <c r="M21" s="51" t="str">
        <f t="shared" si="5"/>
        <v>-</v>
      </c>
      <c r="N21" s="51">
        <v>0</v>
      </c>
      <c r="O21" s="51">
        <f t="shared" ref="O21:P21" si="30">D21/7</f>
        <v>0.5714285714285714</v>
      </c>
      <c r="P21" s="51">
        <f t="shared" si="30"/>
        <v>0</v>
      </c>
      <c r="Q21" s="51">
        <f t="shared" si="7"/>
        <v>0</v>
      </c>
      <c r="R21" s="55">
        <v>168</v>
      </c>
      <c r="S21" s="53">
        <v>168</v>
      </c>
      <c r="T21" s="54">
        <v>43969</v>
      </c>
      <c r="U21" s="55">
        <v>0</v>
      </c>
      <c r="V21" s="55">
        <f t="shared" si="8"/>
        <v>0</v>
      </c>
      <c r="W21" s="55">
        <f t="shared" si="9"/>
        <v>0</v>
      </c>
      <c r="X21" s="55">
        <v>0</v>
      </c>
      <c r="Y21" s="55" t="s">
        <v>35</v>
      </c>
      <c r="Z21" s="56">
        <f t="shared" si="19"/>
        <v>-0.75</v>
      </c>
      <c r="AA21" s="55">
        <v>0.14315972222222223</v>
      </c>
      <c r="AB21" s="55">
        <f t="shared" si="27"/>
        <v>-1.2884375000000001</v>
      </c>
      <c r="AC21" s="55">
        <v>-5.42</v>
      </c>
      <c r="AD21" s="55">
        <v>-6.2354700854700855</v>
      </c>
      <c r="AE21" s="55">
        <v>0</v>
      </c>
      <c r="AF21" s="55"/>
    </row>
    <row r="22" spans="1:32" s="57" customFormat="1" ht="15.75" customHeight="1">
      <c r="A22" s="2" t="s">
        <v>77</v>
      </c>
      <c r="B22" s="2"/>
      <c r="C22" s="51" t="s">
        <v>397</v>
      </c>
      <c r="D22" s="51">
        <v>0</v>
      </c>
      <c r="E22" s="51">
        <v>0</v>
      </c>
      <c r="F22" s="51">
        <v>0</v>
      </c>
      <c r="G22" s="51">
        <v>0</v>
      </c>
      <c r="H22" s="51" t="e">
        <f t="shared" si="1"/>
        <v>#DIV/0!</v>
      </c>
      <c r="I22" s="51" t="e">
        <f t="shared" si="2"/>
        <v>#DIV/0!</v>
      </c>
      <c r="J22" s="51">
        <f t="shared" si="4"/>
        <v>0</v>
      </c>
      <c r="K22" s="51" t="e">
        <f t="shared" si="3"/>
        <v>#DIV/0!</v>
      </c>
      <c r="L22" s="51">
        <v>0</v>
      </c>
      <c r="M22" s="51" t="str">
        <f t="shared" si="5"/>
        <v>-</v>
      </c>
      <c r="N22" s="51">
        <v>0</v>
      </c>
      <c r="O22" s="51">
        <f t="shared" ref="O22:P22" si="31">D22/7</f>
        <v>0</v>
      </c>
      <c r="P22" s="51">
        <f t="shared" si="31"/>
        <v>0</v>
      </c>
      <c r="Q22" s="51" t="e">
        <f t="shared" si="7"/>
        <v>#DIV/0!</v>
      </c>
      <c r="R22" s="55">
        <v>168</v>
      </c>
      <c r="S22" s="53">
        <v>168</v>
      </c>
      <c r="T22" s="54">
        <v>43969</v>
      </c>
      <c r="U22" s="55">
        <v>0</v>
      </c>
      <c r="V22" s="55">
        <f t="shared" si="8"/>
        <v>0</v>
      </c>
      <c r="W22" s="55">
        <f t="shared" si="9"/>
        <v>0</v>
      </c>
      <c r="X22" s="55">
        <v>0</v>
      </c>
      <c r="Y22" s="55" t="s">
        <v>35</v>
      </c>
      <c r="Z22" s="56">
        <f t="shared" si="19"/>
        <v>-0.75</v>
      </c>
      <c r="AA22" s="55">
        <v>0.14315972222222223</v>
      </c>
      <c r="AB22" s="55">
        <f t="shared" si="27"/>
        <v>0</v>
      </c>
      <c r="AC22" s="55">
        <v>-5.42</v>
      </c>
      <c r="AD22" s="55">
        <v>-6.2354700854700855</v>
      </c>
      <c r="AE22" s="55">
        <v>0</v>
      </c>
      <c r="AF22" s="55"/>
    </row>
    <row r="23" spans="1:32" s="57" customFormat="1" ht="15.75" customHeight="1">
      <c r="A23" s="2" t="s">
        <v>79</v>
      </c>
      <c r="B23" s="2" t="s">
        <v>495</v>
      </c>
      <c r="C23" s="51">
        <v>15.99</v>
      </c>
      <c r="D23" s="51">
        <v>1</v>
      </c>
      <c r="E23" s="51">
        <v>0</v>
      </c>
      <c r="F23" s="51">
        <v>15.99</v>
      </c>
      <c r="G23" s="51">
        <v>0</v>
      </c>
      <c r="H23" s="51">
        <f t="shared" si="1"/>
        <v>0</v>
      </c>
      <c r="I23" s="51">
        <f t="shared" si="2"/>
        <v>0.10093311691869383</v>
      </c>
      <c r="J23" s="51">
        <f t="shared" si="4"/>
        <v>1.6139205395299143</v>
      </c>
      <c r="K23" s="51">
        <f t="shared" si="3"/>
        <v>1.6139205395299143</v>
      </c>
      <c r="L23" s="51">
        <v>0</v>
      </c>
      <c r="M23" s="51" t="str">
        <f t="shared" si="5"/>
        <v>-</v>
      </c>
      <c r="N23" s="51">
        <v>0</v>
      </c>
      <c r="O23" s="51">
        <f t="shared" ref="O23:P23" si="32">D23/7</f>
        <v>0.14285714285714285</v>
      </c>
      <c r="P23" s="51">
        <f t="shared" si="32"/>
        <v>0</v>
      </c>
      <c r="Q23" s="51">
        <f t="shared" si="7"/>
        <v>0</v>
      </c>
      <c r="R23" s="55">
        <v>168</v>
      </c>
      <c r="S23" s="53">
        <v>168</v>
      </c>
      <c r="T23" s="54">
        <v>43969</v>
      </c>
      <c r="U23" s="55">
        <v>0</v>
      </c>
      <c r="V23" s="55">
        <f t="shared" si="8"/>
        <v>0</v>
      </c>
      <c r="W23" s="55">
        <f t="shared" si="9"/>
        <v>0</v>
      </c>
      <c r="X23" s="55">
        <v>0</v>
      </c>
      <c r="Y23" s="55" t="s">
        <v>35</v>
      </c>
      <c r="Z23" s="56">
        <f t="shared" si="19"/>
        <v>-0.75</v>
      </c>
      <c r="AA23" s="55">
        <v>0.14315972222222223</v>
      </c>
      <c r="AB23" s="55">
        <f t="shared" si="27"/>
        <v>-0.32210937500000003</v>
      </c>
      <c r="AC23" s="55">
        <v>-5.42</v>
      </c>
      <c r="AD23" s="55">
        <v>-6.2354700854700855</v>
      </c>
      <c r="AE23" s="55">
        <v>0</v>
      </c>
      <c r="AF23" s="55"/>
    </row>
    <row r="24" spans="1:32" s="57" customFormat="1" ht="15.75" customHeight="1">
      <c r="A24" s="2" t="s">
        <v>80</v>
      </c>
      <c r="B24" s="2" t="s">
        <v>540</v>
      </c>
      <c r="C24" s="51"/>
      <c r="D24" s="51">
        <v>0</v>
      </c>
      <c r="E24" s="51">
        <v>0</v>
      </c>
      <c r="F24" s="51">
        <v>0</v>
      </c>
      <c r="G24" s="51">
        <v>0</v>
      </c>
      <c r="H24" s="51" t="e">
        <f t="shared" si="1"/>
        <v>#DIV/0!</v>
      </c>
      <c r="I24" s="51" t="e">
        <f t="shared" si="2"/>
        <v>#DIV/0!</v>
      </c>
      <c r="J24" s="51">
        <f t="shared" si="4"/>
        <v>0</v>
      </c>
      <c r="K24" s="51" t="e">
        <f t="shared" si="3"/>
        <v>#DIV/0!</v>
      </c>
      <c r="L24" s="51">
        <v>0</v>
      </c>
      <c r="M24" s="51" t="str">
        <f t="shared" si="5"/>
        <v>-</v>
      </c>
      <c r="N24" s="51">
        <v>0</v>
      </c>
      <c r="O24" s="51">
        <f t="shared" ref="O24:P24" si="33">D24/7</f>
        <v>0</v>
      </c>
      <c r="P24" s="51">
        <f t="shared" si="33"/>
        <v>0</v>
      </c>
      <c r="Q24" s="51" t="e">
        <f t="shared" si="7"/>
        <v>#DIV/0!</v>
      </c>
      <c r="R24" s="55">
        <v>168</v>
      </c>
      <c r="S24" s="53">
        <v>168</v>
      </c>
      <c r="T24" s="54">
        <v>43969</v>
      </c>
      <c r="U24" s="55">
        <v>0</v>
      </c>
      <c r="V24" s="55">
        <f t="shared" si="8"/>
        <v>0</v>
      </c>
      <c r="W24" s="55">
        <f t="shared" si="9"/>
        <v>0</v>
      </c>
      <c r="X24" s="55">
        <v>0</v>
      </c>
      <c r="Y24" s="55" t="e">
        <v>#N/A</v>
      </c>
      <c r="Z24" s="56" t="e">
        <f t="shared" si="19"/>
        <v>#N/A</v>
      </c>
      <c r="AA24" s="55" t="e">
        <v>#N/A</v>
      </c>
      <c r="AB24" s="55">
        <f t="shared" si="27"/>
        <v>0</v>
      </c>
      <c r="AC24" s="55">
        <v>0</v>
      </c>
      <c r="AD24" s="55">
        <v>-6.2354700854700855</v>
      </c>
      <c r="AE24" s="55">
        <v>0</v>
      </c>
      <c r="AF24" s="55"/>
    </row>
    <row r="25" spans="1:32" s="57" customFormat="1" ht="15.75" customHeight="1">
      <c r="A25" s="2" t="s">
        <v>81</v>
      </c>
      <c r="B25" s="2" t="s">
        <v>541</v>
      </c>
      <c r="C25" s="51"/>
      <c r="D25" s="51">
        <v>0</v>
      </c>
      <c r="E25" s="51">
        <v>0</v>
      </c>
      <c r="F25" s="51">
        <v>0</v>
      </c>
      <c r="G25" s="51">
        <v>0</v>
      </c>
      <c r="H25" s="51" t="e">
        <f t="shared" si="1"/>
        <v>#DIV/0!</v>
      </c>
      <c r="I25" s="51" t="e">
        <f t="shared" si="2"/>
        <v>#DIV/0!</v>
      </c>
      <c r="J25" s="51">
        <f t="shared" si="4"/>
        <v>0</v>
      </c>
      <c r="K25" s="51" t="e">
        <f t="shared" si="3"/>
        <v>#DIV/0!</v>
      </c>
      <c r="L25" s="51">
        <v>0</v>
      </c>
      <c r="M25" s="51" t="str">
        <f t="shared" si="5"/>
        <v>-</v>
      </c>
      <c r="N25" s="51">
        <v>0</v>
      </c>
      <c r="O25" s="51">
        <f t="shared" ref="O25:P25" si="34">D25/7</f>
        <v>0</v>
      </c>
      <c r="P25" s="51">
        <f t="shared" si="34"/>
        <v>0</v>
      </c>
      <c r="Q25" s="51" t="e">
        <f t="shared" si="7"/>
        <v>#DIV/0!</v>
      </c>
      <c r="R25" s="55">
        <v>0</v>
      </c>
      <c r="S25" s="53" t="s">
        <v>34</v>
      </c>
      <c r="T25" s="54" t="s">
        <v>34</v>
      </c>
      <c r="U25" s="55">
        <v>0</v>
      </c>
      <c r="V25" s="55">
        <f t="shared" si="8"/>
        <v>0</v>
      </c>
      <c r="W25" s="55">
        <f t="shared" si="9"/>
        <v>0</v>
      </c>
      <c r="X25" s="55">
        <v>0</v>
      </c>
      <c r="Y25" s="55" t="e">
        <v>#N/A</v>
      </c>
      <c r="Z25" s="56" t="e">
        <f t="shared" si="19"/>
        <v>#N/A</v>
      </c>
      <c r="AA25" s="55" t="e">
        <v>#N/A</v>
      </c>
      <c r="AB25" s="55">
        <f t="shared" si="27"/>
        <v>0</v>
      </c>
      <c r="AC25" s="55">
        <v>0</v>
      </c>
      <c r="AD25" s="55">
        <v>-6.2354700854700855</v>
      </c>
      <c r="AE25" s="55">
        <v>0</v>
      </c>
      <c r="AF25" s="55"/>
    </row>
    <row r="26" spans="1:32" s="57" customFormat="1" ht="15.75" customHeight="1">
      <c r="A26" s="2" t="s">
        <v>83</v>
      </c>
      <c r="B26" s="2" t="s">
        <v>542</v>
      </c>
      <c r="C26" s="51">
        <f t="shared" ref="C26:C39" si="35">IFERROR(F26/D26," - ")</f>
        <v>16.813529411764705</v>
      </c>
      <c r="D26" s="51">
        <v>17</v>
      </c>
      <c r="E26" s="51">
        <v>0</v>
      </c>
      <c r="F26" s="51">
        <v>285.83</v>
      </c>
      <c r="G26" s="51">
        <v>-10.6</v>
      </c>
      <c r="H26" s="51">
        <f t="shared" si="1"/>
        <v>3.7084980582863941E-2</v>
      </c>
      <c r="I26" s="51">
        <f t="shared" si="2"/>
        <v>0.10053755439250088</v>
      </c>
      <c r="J26" s="51">
        <f t="shared" si="4"/>
        <v>28.736649172008526</v>
      </c>
      <c r="K26" s="51">
        <f t="shared" si="3"/>
        <v>1.6903911277652075</v>
      </c>
      <c r="L26" s="51">
        <v>83</v>
      </c>
      <c r="M26" s="51">
        <f t="shared" si="5"/>
        <v>0.20481927710843373</v>
      </c>
      <c r="N26" s="51">
        <v>146</v>
      </c>
      <c r="O26" s="51">
        <f t="shared" ref="O26:P26" si="36">D26/7</f>
        <v>2.4285714285714284</v>
      </c>
      <c r="P26" s="51">
        <f t="shared" si="36"/>
        <v>0</v>
      </c>
      <c r="Q26" s="51">
        <f t="shared" si="7"/>
        <v>60</v>
      </c>
      <c r="R26" s="55">
        <v>108</v>
      </c>
      <c r="S26" s="53">
        <v>108</v>
      </c>
      <c r="T26" s="54">
        <v>44008</v>
      </c>
      <c r="U26" s="55">
        <v>9</v>
      </c>
      <c r="V26" s="55">
        <f t="shared" si="8"/>
        <v>0.52941176470588236</v>
      </c>
      <c r="W26" s="55">
        <f t="shared" si="9"/>
        <v>0.96363636363636362</v>
      </c>
      <c r="X26" s="55">
        <v>2</v>
      </c>
      <c r="Y26" s="55" t="s">
        <v>35</v>
      </c>
      <c r="Z26" s="56">
        <f t="shared" si="19"/>
        <v>-0.75</v>
      </c>
      <c r="AA26" s="55">
        <v>0.14315972222222223</v>
      </c>
      <c r="AB26" s="55">
        <f t="shared" si="27"/>
        <v>-5.4758593750000006</v>
      </c>
      <c r="AC26" s="55">
        <v>-5.42</v>
      </c>
      <c r="AD26" s="55">
        <v>-6.2354700854700855</v>
      </c>
      <c r="AE26" s="55">
        <v>0</v>
      </c>
      <c r="AF26" s="55"/>
    </row>
    <row r="27" spans="1:32" s="57" customFormat="1" ht="15.75" customHeight="1">
      <c r="A27" s="2" t="s">
        <v>84</v>
      </c>
      <c r="B27" s="2" t="s">
        <v>543</v>
      </c>
      <c r="C27" s="51">
        <f t="shared" si="35"/>
        <v>16.957272727272727</v>
      </c>
      <c r="D27" s="51">
        <v>11</v>
      </c>
      <c r="E27" s="51">
        <v>0</v>
      </c>
      <c r="F27" s="51">
        <v>186.53</v>
      </c>
      <c r="G27" s="51">
        <v>-26.6</v>
      </c>
      <c r="H27" s="51">
        <f t="shared" si="1"/>
        <v>0.14260440679783415</v>
      </c>
      <c r="I27" s="51">
        <f t="shared" si="2"/>
        <v>1.0568055263446745E-3</v>
      </c>
      <c r="J27" s="51">
        <f t="shared" si="4"/>
        <v>0.19712593482907215</v>
      </c>
      <c r="K27" s="51">
        <f t="shared" si="3"/>
        <v>1.7920539529915649E-2</v>
      </c>
      <c r="L27" s="51">
        <v>80</v>
      </c>
      <c r="M27" s="51">
        <f t="shared" si="5"/>
        <v>0.13750000000000001</v>
      </c>
      <c r="N27" s="51">
        <v>137</v>
      </c>
      <c r="O27" s="51">
        <f t="shared" ref="O27:P27" si="37">D27/7</f>
        <v>1.5714285714285714</v>
      </c>
      <c r="P27" s="51">
        <f t="shared" si="37"/>
        <v>0</v>
      </c>
      <c r="Q27" s="51">
        <f t="shared" si="7"/>
        <v>87</v>
      </c>
      <c r="R27" s="55">
        <v>108</v>
      </c>
      <c r="S27" s="53">
        <v>108</v>
      </c>
      <c r="T27" s="54">
        <v>44013</v>
      </c>
      <c r="U27" s="55">
        <v>1</v>
      </c>
      <c r="V27" s="55">
        <f t="shared" si="8"/>
        <v>9.0909090909090912E-2</v>
      </c>
      <c r="W27" s="55">
        <f t="shared" si="9"/>
        <v>6.65</v>
      </c>
      <c r="X27" s="55">
        <v>3</v>
      </c>
      <c r="Y27" s="55" t="s">
        <v>35</v>
      </c>
      <c r="Z27" s="56">
        <f t="shared" si="19"/>
        <v>-0.75</v>
      </c>
      <c r="AA27" s="55">
        <v>0.14315972222222223</v>
      </c>
      <c r="AB27" s="55">
        <f t="shared" si="27"/>
        <v>-3.5432031250000002</v>
      </c>
      <c r="AC27" s="55">
        <v>-5.42</v>
      </c>
      <c r="AD27" s="55">
        <v>-6.2354700854700855</v>
      </c>
      <c r="AE27" s="55">
        <v>0</v>
      </c>
      <c r="AF27" s="55"/>
    </row>
    <row r="28" spans="1:32" s="57" customFormat="1" ht="15.75" customHeight="1">
      <c r="A28" s="2" t="s">
        <v>86</v>
      </c>
      <c r="B28" s="2" t="s">
        <v>544</v>
      </c>
      <c r="C28" s="51">
        <f t="shared" si="35"/>
        <v>17.192777777777774</v>
      </c>
      <c r="D28" s="51">
        <v>18</v>
      </c>
      <c r="E28" s="51">
        <v>0</v>
      </c>
      <c r="F28" s="51">
        <v>309.46999999999991</v>
      </c>
      <c r="G28" s="51">
        <v>-18.739999999999998</v>
      </c>
      <c r="H28" s="51">
        <f t="shared" si="1"/>
        <v>6.0555142663263013E-2</v>
      </c>
      <c r="I28" s="51">
        <f t="shared" si="2"/>
        <v>9.2781431840043838E-2</v>
      </c>
      <c r="J28" s="51">
        <f t="shared" si="4"/>
        <v>28.71306971153836</v>
      </c>
      <c r="K28" s="51">
        <f t="shared" si="3"/>
        <v>1.5951705395299089</v>
      </c>
      <c r="L28" s="51">
        <v>117</v>
      </c>
      <c r="M28" s="51">
        <f t="shared" si="5"/>
        <v>0.15384615384615385</v>
      </c>
      <c r="N28" s="51">
        <v>110</v>
      </c>
      <c r="O28" s="51">
        <f t="shared" ref="O28:P28" si="38">D28/7</f>
        <v>2.5714285714285716</v>
      </c>
      <c r="P28" s="51">
        <f t="shared" si="38"/>
        <v>0</v>
      </c>
      <c r="Q28" s="51">
        <f t="shared" si="7"/>
        <v>42</v>
      </c>
      <c r="R28" s="55">
        <v>108</v>
      </c>
      <c r="S28" s="53">
        <v>108</v>
      </c>
      <c r="T28" s="54">
        <v>44013</v>
      </c>
      <c r="U28" s="55">
        <v>3</v>
      </c>
      <c r="V28" s="55">
        <f t="shared" si="8"/>
        <v>0.16666666666666666</v>
      </c>
      <c r="W28" s="55">
        <f t="shared" si="9"/>
        <v>6.2466666666666661</v>
      </c>
      <c r="X28" s="55">
        <v>0</v>
      </c>
      <c r="Y28" s="55" t="s">
        <v>35</v>
      </c>
      <c r="Z28" s="56">
        <f t="shared" si="19"/>
        <v>-0.75</v>
      </c>
      <c r="AA28" s="55">
        <v>0.14315972222222223</v>
      </c>
      <c r="AB28" s="55">
        <f t="shared" si="27"/>
        <v>-5.7979687500000008</v>
      </c>
      <c r="AC28" s="55">
        <v>-5.42</v>
      </c>
      <c r="AD28" s="55">
        <v>-6.2354700854700855</v>
      </c>
      <c r="AE28" s="55">
        <v>0</v>
      </c>
      <c r="AF28" s="55"/>
    </row>
    <row r="29" spans="1:32" s="57" customFormat="1" ht="15.75" customHeight="1">
      <c r="A29" s="2" t="s">
        <v>87</v>
      </c>
      <c r="B29" s="2" t="s">
        <v>545</v>
      </c>
      <c r="C29" s="51">
        <f t="shared" si="35"/>
        <v>16.553030303030308</v>
      </c>
      <c r="D29" s="51">
        <v>33</v>
      </c>
      <c r="E29" s="51">
        <v>0</v>
      </c>
      <c r="F29" s="51">
        <v>546.25000000000011</v>
      </c>
      <c r="G29" s="51">
        <v>-0.02</v>
      </c>
      <c r="H29" s="51">
        <f t="shared" si="1"/>
        <v>3.6613272311212808E-5</v>
      </c>
      <c r="I29" s="51">
        <f t="shared" si="2"/>
        <v>0.1263750623423108</v>
      </c>
      <c r="J29" s="51">
        <f t="shared" si="4"/>
        <v>69.032377804487282</v>
      </c>
      <c r="K29" s="51">
        <f t="shared" si="3"/>
        <v>2.0918902364996148</v>
      </c>
      <c r="L29" s="51">
        <v>108</v>
      </c>
      <c r="M29" s="51">
        <f t="shared" si="5"/>
        <v>0.30555555555555558</v>
      </c>
      <c r="N29" s="51">
        <v>90</v>
      </c>
      <c r="O29" s="51">
        <f t="shared" ref="O29:P29" si="39">D29/7</f>
        <v>4.7142857142857144</v>
      </c>
      <c r="P29" s="51">
        <f t="shared" si="39"/>
        <v>0</v>
      </c>
      <c r="Q29" s="51">
        <f t="shared" si="7"/>
        <v>19</v>
      </c>
      <c r="R29" s="55">
        <v>108</v>
      </c>
      <c r="S29" s="53">
        <v>108</v>
      </c>
      <c r="T29" s="54">
        <v>44013</v>
      </c>
      <c r="U29" s="55">
        <v>1</v>
      </c>
      <c r="V29" s="55">
        <f t="shared" si="8"/>
        <v>3.0303030303030304E-2</v>
      </c>
      <c r="W29" s="55">
        <f t="shared" si="9"/>
        <v>0.02</v>
      </c>
      <c r="X29" s="55">
        <v>0</v>
      </c>
      <c r="Y29" s="55" t="s">
        <v>35</v>
      </c>
      <c r="Z29" s="56">
        <f t="shared" si="19"/>
        <v>-0.75</v>
      </c>
      <c r="AA29" s="55">
        <v>0.14315972222222223</v>
      </c>
      <c r="AB29" s="55">
        <f t="shared" si="27"/>
        <v>-10.629609375000001</v>
      </c>
      <c r="AC29" s="55">
        <v>-5.42</v>
      </c>
      <c r="AD29" s="55">
        <v>-6.2354700854700855</v>
      </c>
      <c r="AE29" s="55">
        <v>0</v>
      </c>
      <c r="AF29" s="55"/>
    </row>
    <row r="30" spans="1:32" s="57" customFormat="1" ht="15.75" customHeight="1">
      <c r="A30" s="2" t="s">
        <v>89</v>
      </c>
      <c r="B30" s="2" t="s">
        <v>546</v>
      </c>
      <c r="C30" s="51">
        <f t="shared" si="35"/>
        <v>16.942916666666665</v>
      </c>
      <c r="D30" s="51">
        <v>24</v>
      </c>
      <c r="E30" s="51">
        <v>0</v>
      </c>
      <c r="F30" s="51">
        <v>406.63</v>
      </c>
      <c r="G30" s="51">
        <v>-0.04</v>
      </c>
      <c r="H30" s="51">
        <f t="shared" si="1"/>
        <v>9.8369525121117481E-5</v>
      </c>
      <c r="I30" s="51">
        <f t="shared" si="2"/>
        <v>0.1429643482987431</v>
      </c>
      <c r="J30" s="51">
        <f t="shared" si="4"/>
        <v>58.133592948717904</v>
      </c>
      <c r="K30" s="51">
        <f t="shared" si="3"/>
        <v>2.4222330395299125</v>
      </c>
      <c r="L30" s="51">
        <v>102</v>
      </c>
      <c r="M30" s="51">
        <f t="shared" si="5"/>
        <v>0.23529411764705882</v>
      </c>
      <c r="N30" s="51">
        <v>167</v>
      </c>
      <c r="O30" s="51">
        <f t="shared" ref="O30:P30" si="40">D30/7</f>
        <v>3.4285714285714284</v>
      </c>
      <c r="P30" s="51">
        <f t="shared" si="40"/>
        <v>0</v>
      </c>
      <c r="Q30" s="51">
        <f t="shared" si="7"/>
        <v>48</v>
      </c>
      <c r="R30" s="55">
        <v>108</v>
      </c>
      <c r="S30" s="53">
        <v>108</v>
      </c>
      <c r="T30" s="54">
        <v>44013</v>
      </c>
      <c r="U30" s="55">
        <v>0</v>
      </c>
      <c r="V30" s="55">
        <f t="shared" si="8"/>
        <v>0</v>
      </c>
      <c r="W30" s="55">
        <f t="shared" si="9"/>
        <v>0</v>
      </c>
      <c r="X30" s="55">
        <v>0</v>
      </c>
      <c r="Y30" s="55" t="s">
        <v>35</v>
      </c>
      <c r="Z30" s="56">
        <f t="shared" si="19"/>
        <v>-0.75</v>
      </c>
      <c r="AA30" s="55">
        <v>0.14315972222222223</v>
      </c>
      <c r="AB30" s="55">
        <f t="shared" si="27"/>
        <v>-7.7306250000000007</v>
      </c>
      <c r="AC30" s="55">
        <v>-5.42</v>
      </c>
      <c r="AD30" s="55">
        <v>-6.2354700854700855</v>
      </c>
      <c r="AE30" s="55">
        <v>0</v>
      </c>
      <c r="AF30" s="55"/>
    </row>
    <row r="31" spans="1:32" s="57" customFormat="1" ht="15.75" customHeight="1">
      <c r="A31" s="2" t="s">
        <v>90</v>
      </c>
      <c r="B31" s="2" t="s">
        <v>547</v>
      </c>
      <c r="C31" s="51">
        <f t="shared" si="35"/>
        <v>16.355</v>
      </c>
      <c r="D31" s="51">
        <v>24</v>
      </c>
      <c r="E31" s="51">
        <v>0</v>
      </c>
      <c r="F31" s="51">
        <v>392.52</v>
      </c>
      <c r="G31" s="51">
        <v>-0.16</v>
      </c>
      <c r="H31" s="51">
        <f t="shared" si="1"/>
        <v>4.0762254152654643E-4</v>
      </c>
      <c r="I31" s="51">
        <f t="shared" si="2"/>
        <v>0.11724267030652685</v>
      </c>
      <c r="J31" s="51">
        <f t="shared" si="4"/>
        <v>46.020092948717917</v>
      </c>
      <c r="K31" s="51">
        <f t="shared" si="3"/>
        <v>1.9175038728632465</v>
      </c>
      <c r="L31" s="51">
        <v>133</v>
      </c>
      <c r="M31" s="51">
        <f t="shared" si="5"/>
        <v>0.18045112781954886</v>
      </c>
      <c r="N31" s="51">
        <v>149</v>
      </c>
      <c r="O31" s="51">
        <f t="shared" ref="O31:P31" si="41">D31/7</f>
        <v>3.4285714285714284</v>
      </c>
      <c r="P31" s="51">
        <f t="shared" si="41"/>
        <v>0</v>
      </c>
      <c r="Q31" s="51">
        <f t="shared" si="7"/>
        <v>43</v>
      </c>
      <c r="R31" s="55">
        <v>0</v>
      </c>
      <c r="S31" s="53" t="s">
        <v>34</v>
      </c>
      <c r="T31" s="54" t="s">
        <v>34</v>
      </c>
      <c r="U31" s="55">
        <v>0</v>
      </c>
      <c r="V31" s="55">
        <f t="shared" si="8"/>
        <v>0</v>
      </c>
      <c r="W31" s="55">
        <f t="shared" si="9"/>
        <v>0</v>
      </c>
      <c r="X31" s="55">
        <v>0</v>
      </c>
      <c r="Y31" s="55" t="s">
        <v>35</v>
      </c>
      <c r="Z31" s="56">
        <f t="shared" si="19"/>
        <v>-0.75</v>
      </c>
      <c r="AA31" s="55">
        <v>0.14315972222222223</v>
      </c>
      <c r="AB31" s="55">
        <f t="shared" si="27"/>
        <v>-7.7306250000000007</v>
      </c>
      <c r="AC31" s="55">
        <v>-5.42</v>
      </c>
      <c r="AD31" s="55">
        <v>-6.2354700854700855</v>
      </c>
      <c r="AE31" s="55">
        <v>0</v>
      </c>
      <c r="AF31" s="55"/>
    </row>
    <row r="32" spans="1:32" s="57" customFormat="1" ht="15.75" customHeight="1">
      <c r="A32" s="2" t="s">
        <v>92</v>
      </c>
      <c r="B32" s="2" t="s">
        <v>45</v>
      </c>
      <c r="C32" s="51">
        <f t="shared" si="35"/>
        <v>16.483478260869564</v>
      </c>
      <c r="D32" s="51">
        <v>23</v>
      </c>
      <c r="E32" s="51">
        <v>0</v>
      </c>
      <c r="F32" s="51">
        <v>379.11999999999995</v>
      </c>
      <c r="G32" s="51">
        <v>-0.13999999999999999</v>
      </c>
      <c r="H32" s="51">
        <f t="shared" si="1"/>
        <v>3.6927621861152144E-4</v>
      </c>
      <c r="I32" s="51">
        <f t="shared" si="2"/>
        <v>0.12298921821372655</v>
      </c>
      <c r="J32" s="51">
        <f t="shared" si="4"/>
        <v>46.627672409188001</v>
      </c>
      <c r="K32" s="51">
        <f t="shared" si="3"/>
        <v>2.0272901047473044</v>
      </c>
      <c r="L32" s="51">
        <v>155</v>
      </c>
      <c r="M32" s="51">
        <f t="shared" si="5"/>
        <v>0.14838709677419354</v>
      </c>
      <c r="N32" s="51">
        <v>114</v>
      </c>
      <c r="O32" s="51">
        <f t="shared" ref="O32:P32" si="42">D32/7</f>
        <v>3.2857142857142856</v>
      </c>
      <c r="P32" s="51">
        <f t="shared" si="42"/>
        <v>0</v>
      </c>
      <c r="Q32" s="51">
        <f t="shared" si="7"/>
        <v>34</v>
      </c>
      <c r="R32" s="55">
        <v>0</v>
      </c>
      <c r="S32" s="53" t="s">
        <v>34</v>
      </c>
      <c r="T32" s="54" t="s">
        <v>34</v>
      </c>
      <c r="U32" s="55">
        <v>0</v>
      </c>
      <c r="V32" s="55">
        <f t="shared" si="8"/>
        <v>0</v>
      </c>
      <c r="W32" s="55">
        <f t="shared" si="9"/>
        <v>0</v>
      </c>
      <c r="X32" s="55">
        <v>0</v>
      </c>
      <c r="Y32" s="55" t="s">
        <v>35</v>
      </c>
      <c r="Z32" s="56">
        <f t="shared" si="19"/>
        <v>-0.75</v>
      </c>
      <c r="AA32" s="55">
        <v>0.14315972222222223</v>
      </c>
      <c r="AB32" s="55">
        <f t="shared" si="27"/>
        <v>-7.4085156250000006</v>
      </c>
      <c r="AC32" s="55">
        <v>-5.42</v>
      </c>
      <c r="AD32" s="55">
        <v>-6.2354700854700855</v>
      </c>
      <c r="AE32" s="55">
        <v>0</v>
      </c>
      <c r="AF32" s="52">
        <v>2.3661971830985902</v>
      </c>
    </row>
    <row r="33" spans="1:32" s="57" customFormat="1" ht="15.75" customHeight="1">
      <c r="A33" s="2" t="s">
        <v>94</v>
      </c>
      <c r="B33" s="2" t="s">
        <v>45</v>
      </c>
      <c r="C33" s="51">
        <f t="shared" si="35"/>
        <v>17.473333333333333</v>
      </c>
      <c r="D33" s="51">
        <v>18</v>
      </c>
      <c r="E33" s="51">
        <v>0</v>
      </c>
      <c r="F33" s="51">
        <v>314.52</v>
      </c>
      <c r="G33" s="51">
        <v>0</v>
      </c>
      <c r="H33" s="51">
        <f t="shared" si="1"/>
        <v>0</v>
      </c>
      <c r="I33" s="51">
        <f t="shared" si="2"/>
        <v>0.16452235060262765</v>
      </c>
      <c r="J33" s="51">
        <f t="shared" si="4"/>
        <v>51.745569711538444</v>
      </c>
      <c r="K33" s="51">
        <f t="shared" si="3"/>
        <v>2.8747538728632467</v>
      </c>
      <c r="L33" s="51">
        <v>120</v>
      </c>
      <c r="M33" s="51">
        <f t="shared" si="5"/>
        <v>0.15</v>
      </c>
      <c r="N33" s="51">
        <v>102</v>
      </c>
      <c r="O33" s="51">
        <f t="shared" ref="O33:P33" si="43">D33/7</f>
        <v>2.5714285714285716</v>
      </c>
      <c r="P33" s="51">
        <f t="shared" si="43"/>
        <v>0</v>
      </c>
      <c r="Q33" s="51">
        <f t="shared" si="7"/>
        <v>39</v>
      </c>
      <c r="R33" s="55">
        <v>0</v>
      </c>
      <c r="S33" s="53" t="s">
        <v>34</v>
      </c>
      <c r="T33" s="54" t="s">
        <v>34</v>
      </c>
      <c r="U33" s="55">
        <v>0</v>
      </c>
      <c r="V33" s="55">
        <f t="shared" si="8"/>
        <v>0</v>
      </c>
      <c r="W33" s="55">
        <f t="shared" si="9"/>
        <v>0</v>
      </c>
      <c r="X33" s="55">
        <v>0</v>
      </c>
      <c r="Y33" s="55" t="s">
        <v>35</v>
      </c>
      <c r="Z33" s="56">
        <f t="shared" si="19"/>
        <v>-0.75</v>
      </c>
      <c r="AA33" s="55">
        <v>0.14315972222222223</v>
      </c>
      <c r="AB33" s="55">
        <f t="shared" si="27"/>
        <v>-5.7979687500000008</v>
      </c>
      <c r="AC33" s="55">
        <v>-5.42</v>
      </c>
      <c r="AD33" s="55">
        <v>-6.2354700854700855</v>
      </c>
      <c r="AE33" s="55">
        <v>0</v>
      </c>
      <c r="AF33" s="55">
        <v>2.7428571428571402</v>
      </c>
    </row>
    <row r="34" spans="1:32" s="57" customFormat="1" ht="15.75" customHeight="1">
      <c r="A34" s="2" t="s">
        <v>95</v>
      </c>
      <c r="B34" s="2" t="s">
        <v>548</v>
      </c>
      <c r="C34" s="51">
        <f t="shared" si="35"/>
        <v>17.412162162162161</v>
      </c>
      <c r="D34" s="51">
        <v>37</v>
      </c>
      <c r="E34" s="51">
        <v>0</v>
      </c>
      <c r="F34" s="51">
        <v>644.25</v>
      </c>
      <c r="G34" s="51">
        <v>-0.1</v>
      </c>
      <c r="H34" s="51">
        <f t="shared" si="1"/>
        <v>1.5521924718665114E-4</v>
      </c>
      <c r="I34" s="51">
        <f t="shared" si="2"/>
        <v>0.16195895997300241</v>
      </c>
      <c r="J34" s="51">
        <f t="shared" si="4"/>
        <v>104.3420599626068</v>
      </c>
      <c r="K34" s="51">
        <f t="shared" si="3"/>
        <v>2.8200556746650487</v>
      </c>
      <c r="L34" s="51">
        <v>136</v>
      </c>
      <c r="M34" s="51">
        <f t="shared" si="5"/>
        <v>0.27205882352941174</v>
      </c>
      <c r="N34" s="51">
        <v>60</v>
      </c>
      <c r="O34" s="51">
        <f t="shared" ref="O34:P34" si="44">D34/7</f>
        <v>5.2857142857142856</v>
      </c>
      <c r="P34" s="51">
        <f t="shared" si="44"/>
        <v>0</v>
      </c>
      <c r="Q34" s="51">
        <f t="shared" si="7"/>
        <v>11</v>
      </c>
      <c r="R34" s="55">
        <v>0</v>
      </c>
      <c r="S34" s="53" t="s">
        <v>34</v>
      </c>
      <c r="T34" s="54" t="s">
        <v>34</v>
      </c>
      <c r="U34" s="55">
        <v>0</v>
      </c>
      <c r="V34" s="55">
        <f t="shared" si="8"/>
        <v>0</v>
      </c>
      <c r="W34" s="55">
        <f t="shared" si="9"/>
        <v>0</v>
      </c>
      <c r="X34" s="55">
        <v>0</v>
      </c>
      <c r="Y34" s="55" t="s">
        <v>35</v>
      </c>
      <c r="Z34" s="56">
        <f t="shared" si="19"/>
        <v>-0.75</v>
      </c>
      <c r="AA34" s="55">
        <v>0.14315972222222223</v>
      </c>
      <c r="AB34" s="55">
        <f t="shared" si="27"/>
        <v>-11.918046875000002</v>
      </c>
      <c r="AC34" s="55">
        <v>-5.42</v>
      </c>
      <c r="AD34" s="55">
        <v>-6.2354700854700855</v>
      </c>
      <c r="AE34" s="55">
        <v>0</v>
      </c>
      <c r="AF34" s="55">
        <v>2.7590759075907498</v>
      </c>
    </row>
    <row r="35" spans="1:32" s="57" customFormat="1" ht="15.75" customHeight="1">
      <c r="A35" s="2" t="s">
        <v>96</v>
      </c>
      <c r="B35" s="2" t="s">
        <v>45</v>
      </c>
      <c r="C35" s="51">
        <f t="shared" si="35"/>
        <v>18.077826086956517</v>
      </c>
      <c r="D35" s="51">
        <v>23</v>
      </c>
      <c r="E35" s="51">
        <v>0</v>
      </c>
      <c r="F35" s="51">
        <v>415.78999999999991</v>
      </c>
      <c r="G35" s="51">
        <v>0</v>
      </c>
      <c r="H35" s="51">
        <f t="shared" si="1"/>
        <v>0</v>
      </c>
      <c r="I35" s="51">
        <f t="shared" si="2"/>
        <v>0.18744359510615446</v>
      </c>
      <c r="J35" s="51">
        <f t="shared" si="4"/>
        <v>77.937172409187951</v>
      </c>
      <c r="K35" s="51">
        <f t="shared" si="3"/>
        <v>3.3885727134429544</v>
      </c>
      <c r="L35" s="51">
        <v>153</v>
      </c>
      <c r="M35" s="51">
        <f t="shared" si="5"/>
        <v>0.15032679738562091</v>
      </c>
      <c r="N35" s="51">
        <v>48</v>
      </c>
      <c r="O35" s="51">
        <f t="shared" ref="O35:P35" si="45">D35/7</f>
        <v>3.2857142857142856</v>
      </c>
      <c r="P35" s="51">
        <f t="shared" si="45"/>
        <v>0</v>
      </c>
      <c r="Q35" s="51">
        <f t="shared" si="7"/>
        <v>14</v>
      </c>
      <c r="R35" s="55">
        <v>0</v>
      </c>
      <c r="S35" s="53" t="s">
        <v>34</v>
      </c>
      <c r="T35" s="54" t="s">
        <v>34</v>
      </c>
      <c r="U35" s="55">
        <v>0</v>
      </c>
      <c r="V35" s="55">
        <f t="shared" si="8"/>
        <v>0</v>
      </c>
      <c r="W35" s="55">
        <f t="shared" si="9"/>
        <v>0</v>
      </c>
      <c r="X35" s="55">
        <v>0</v>
      </c>
      <c r="Y35" s="55" t="s">
        <v>35</v>
      </c>
      <c r="Z35" s="56">
        <f t="shared" si="19"/>
        <v>-0.75</v>
      </c>
      <c r="AA35" s="55">
        <v>0.14315972222222223</v>
      </c>
      <c r="AB35" s="55">
        <f t="shared" si="27"/>
        <v>-7.4085156250000006</v>
      </c>
      <c r="AC35" s="55">
        <v>-5.42</v>
      </c>
      <c r="AD35" s="55">
        <v>-6.2354700854700855</v>
      </c>
      <c r="AE35" s="55">
        <v>0</v>
      </c>
      <c r="AF35" s="55">
        <v>2.3554376657824898</v>
      </c>
    </row>
    <row r="36" spans="1:32" s="57" customFormat="1" ht="15.75" customHeight="1">
      <c r="A36" s="2" t="s">
        <v>98</v>
      </c>
      <c r="B36" s="2" t="s">
        <v>45</v>
      </c>
      <c r="C36" s="51">
        <f t="shared" si="35"/>
        <v>19.103888888888889</v>
      </c>
      <c r="D36" s="51">
        <v>18</v>
      </c>
      <c r="E36" s="51">
        <v>0</v>
      </c>
      <c r="F36" s="51">
        <v>343.87</v>
      </c>
      <c r="G36" s="51">
        <v>-0.02</v>
      </c>
      <c r="H36" s="51">
        <f t="shared" si="1"/>
        <v>5.8161514525838251E-5</v>
      </c>
      <c r="I36" s="51">
        <f t="shared" si="2"/>
        <v>0.22297109288841266</v>
      </c>
      <c r="J36" s="51">
        <f t="shared" si="4"/>
        <v>76.67306971153846</v>
      </c>
      <c r="K36" s="51">
        <f t="shared" si="3"/>
        <v>4.2596149839743589</v>
      </c>
      <c r="L36" s="51">
        <v>116</v>
      </c>
      <c r="M36" s="51">
        <f t="shared" si="5"/>
        <v>0.15517241379310345</v>
      </c>
      <c r="N36" s="51">
        <v>31</v>
      </c>
      <c r="O36" s="51">
        <f t="shared" ref="O36:P36" si="46">D36/7</f>
        <v>2.5714285714285716</v>
      </c>
      <c r="P36" s="51">
        <f t="shared" si="46"/>
        <v>0</v>
      </c>
      <c r="Q36" s="51">
        <f t="shared" si="7"/>
        <v>12</v>
      </c>
      <c r="R36" s="55">
        <v>0</v>
      </c>
      <c r="S36" s="53"/>
      <c r="T36" s="54" t="s">
        <v>34</v>
      </c>
      <c r="U36" s="55"/>
      <c r="V36" s="55">
        <f t="shared" si="8"/>
        <v>0</v>
      </c>
      <c r="W36" s="55">
        <f t="shared" si="9"/>
        <v>0</v>
      </c>
      <c r="X36" s="55"/>
      <c r="Y36" s="55" t="s">
        <v>35</v>
      </c>
      <c r="Z36" s="56">
        <f t="shared" si="19"/>
        <v>-0.75</v>
      </c>
      <c r="AA36" s="55">
        <v>0.14315972222222223</v>
      </c>
      <c r="AB36" s="55">
        <f t="shared" si="27"/>
        <v>-5.7979687500000008</v>
      </c>
      <c r="AC36" s="55">
        <v>-5.42</v>
      </c>
      <c r="AD36" s="55">
        <v>-6.2354700854700855</v>
      </c>
      <c r="AE36" s="55">
        <v>0</v>
      </c>
      <c r="AF36" s="55">
        <v>3.3561643835616399</v>
      </c>
    </row>
    <row r="37" spans="1:32" s="57" customFormat="1" ht="15.75" customHeight="1">
      <c r="A37" s="2" t="s">
        <v>99</v>
      </c>
      <c r="B37" s="2" t="s">
        <v>549</v>
      </c>
      <c r="C37" s="51">
        <f t="shared" si="35"/>
        <v>18.450312500000003</v>
      </c>
      <c r="D37" s="51">
        <v>32</v>
      </c>
      <c r="E37" s="51">
        <v>0</v>
      </c>
      <c r="F37" s="51">
        <v>590.41000000000008</v>
      </c>
      <c r="G37" s="51">
        <v>-0.03</v>
      </c>
      <c r="H37" s="51">
        <f t="shared" si="1"/>
        <v>5.0812147490726772E-5</v>
      </c>
      <c r="I37" s="51">
        <f t="shared" si="2"/>
        <v>0.20076888478338328</v>
      </c>
      <c r="J37" s="51">
        <f t="shared" si="4"/>
        <v>118.53595726495735</v>
      </c>
      <c r="K37" s="51">
        <f t="shared" si="3"/>
        <v>3.7042486645299171</v>
      </c>
      <c r="L37" s="51">
        <v>139</v>
      </c>
      <c r="M37" s="51">
        <f t="shared" si="5"/>
        <v>0.23021582733812951</v>
      </c>
      <c r="N37" s="51">
        <v>34</v>
      </c>
      <c r="O37" s="51">
        <f t="shared" ref="O37:P37" si="47">D37/7</f>
        <v>4.5714285714285712</v>
      </c>
      <c r="P37" s="51">
        <f t="shared" si="47"/>
        <v>0</v>
      </c>
      <c r="Q37" s="51">
        <f t="shared" si="7"/>
        <v>7</v>
      </c>
      <c r="R37" s="55">
        <v>76</v>
      </c>
      <c r="S37" s="53">
        <v>76</v>
      </c>
      <c r="T37" s="54">
        <v>44078</v>
      </c>
      <c r="U37" s="55">
        <v>0</v>
      </c>
      <c r="V37" s="55">
        <f t="shared" si="8"/>
        <v>0</v>
      </c>
      <c r="W37" s="55">
        <f t="shared" si="9"/>
        <v>0</v>
      </c>
      <c r="X37" s="55">
        <v>0</v>
      </c>
      <c r="Y37" s="55" t="s">
        <v>35</v>
      </c>
      <c r="Z37" s="56">
        <f t="shared" si="19"/>
        <v>-0.75</v>
      </c>
      <c r="AA37" s="55">
        <v>0.14315972222222223</v>
      </c>
      <c r="AB37" s="55">
        <f t="shared" si="27"/>
        <v>-10.307500000000001</v>
      </c>
      <c r="AC37" s="55">
        <v>-5.42</v>
      </c>
      <c r="AD37" s="55">
        <v>-6.2354700854700855</v>
      </c>
      <c r="AE37" s="55">
        <v>0</v>
      </c>
      <c r="AF37" s="55">
        <v>3.5540069686411102</v>
      </c>
    </row>
    <row r="38" spans="1:32" s="57" customFormat="1" ht="15.75" customHeight="1">
      <c r="A38" s="2" t="s">
        <v>100</v>
      </c>
      <c r="B38" s="2" t="s">
        <v>550</v>
      </c>
      <c r="C38" s="51">
        <f t="shared" si="35"/>
        <v>18.683500000000002</v>
      </c>
      <c r="D38" s="51">
        <v>20</v>
      </c>
      <c r="E38" s="51">
        <v>0</v>
      </c>
      <c r="F38" s="51">
        <v>373.67000000000007</v>
      </c>
      <c r="G38" s="51">
        <v>-0.16</v>
      </c>
      <c r="H38" s="51">
        <f t="shared" si="1"/>
        <v>4.2818529718735777E-4</v>
      </c>
      <c r="I38" s="51">
        <f t="shared" si="2"/>
        <v>0.20849388709449065</v>
      </c>
      <c r="J38" s="51">
        <f t="shared" si="4"/>
        <v>77.907910790598336</v>
      </c>
      <c r="K38" s="51">
        <f t="shared" si="3"/>
        <v>3.8953955395299169</v>
      </c>
      <c r="L38" s="51">
        <v>142</v>
      </c>
      <c r="M38" s="51">
        <f t="shared" si="5"/>
        <v>0.14084507042253522</v>
      </c>
      <c r="N38" s="51">
        <v>66</v>
      </c>
      <c r="O38" s="51">
        <f t="shared" ref="O38:P38" si="48">D38/7</f>
        <v>2.8571428571428572</v>
      </c>
      <c r="P38" s="51">
        <f t="shared" si="48"/>
        <v>0</v>
      </c>
      <c r="Q38" s="51">
        <f t="shared" si="7"/>
        <v>23</v>
      </c>
      <c r="R38" s="55">
        <v>76</v>
      </c>
      <c r="S38" s="53"/>
      <c r="T38" s="54">
        <v>44078</v>
      </c>
      <c r="U38" s="55">
        <v>0</v>
      </c>
      <c r="V38" s="55">
        <f t="shared" si="8"/>
        <v>0</v>
      </c>
      <c r="W38" s="55">
        <f t="shared" si="9"/>
        <v>0</v>
      </c>
      <c r="X38" s="55">
        <v>0</v>
      </c>
      <c r="Y38" s="55" t="s">
        <v>35</v>
      </c>
      <c r="Z38" s="56">
        <f t="shared" si="19"/>
        <v>-0.75</v>
      </c>
      <c r="AA38" s="55">
        <v>0.14315972222222223</v>
      </c>
      <c r="AB38" s="55">
        <f t="shared" si="27"/>
        <v>-6.4421875000000002</v>
      </c>
      <c r="AC38" s="55">
        <v>-5.42</v>
      </c>
      <c r="AD38" s="55">
        <v>-6.2354700854700855</v>
      </c>
      <c r="AE38" s="55">
        <v>0</v>
      </c>
      <c r="AF38" s="55">
        <v>2.9273182957393402</v>
      </c>
    </row>
    <row r="39" spans="1:32" s="57" customFormat="1" ht="15.75" customHeight="1">
      <c r="A39" s="2" t="s">
        <v>101</v>
      </c>
      <c r="B39" s="2" t="s">
        <v>551</v>
      </c>
      <c r="C39" s="51">
        <f t="shared" si="35"/>
        <v>18.804074074074073</v>
      </c>
      <c r="D39" s="51">
        <v>27</v>
      </c>
      <c r="E39" s="51">
        <v>0</v>
      </c>
      <c r="F39" s="51">
        <v>507.71</v>
      </c>
      <c r="G39" s="51">
        <v>-0.08</v>
      </c>
      <c r="H39" s="51">
        <f t="shared" si="1"/>
        <v>1.575702664907132E-4</v>
      </c>
      <c r="I39" s="51">
        <f t="shared" si="2"/>
        <v>0.21287517395227168</v>
      </c>
      <c r="J39" s="51">
        <f>F39*0.85+G39+AD39*D39+D39*AC39+AE40+AB39</f>
        <v>108.07885456730784</v>
      </c>
      <c r="K39" s="51">
        <f t="shared" si="3"/>
        <v>4.0029205395299199</v>
      </c>
      <c r="L39" s="51">
        <v>115</v>
      </c>
      <c r="M39" s="51">
        <f t="shared" si="5"/>
        <v>0.23478260869565218</v>
      </c>
      <c r="N39" s="51">
        <v>51</v>
      </c>
      <c r="O39" s="51">
        <f t="shared" ref="O39:P39" si="49">D39/7</f>
        <v>3.8571428571428572</v>
      </c>
      <c r="P39" s="51">
        <f t="shared" si="49"/>
        <v>0</v>
      </c>
      <c r="Q39" s="51">
        <f t="shared" si="7"/>
        <v>13</v>
      </c>
      <c r="R39" s="55">
        <v>76</v>
      </c>
      <c r="S39" s="53">
        <v>76</v>
      </c>
      <c r="T39" s="54">
        <v>44078</v>
      </c>
      <c r="U39" s="55">
        <v>0</v>
      </c>
      <c r="V39" s="55">
        <f t="shared" si="8"/>
        <v>0</v>
      </c>
      <c r="W39" s="55">
        <f t="shared" si="9"/>
        <v>0</v>
      </c>
      <c r="X39" s="55">
        <v>0</v>
      </c>
      <c r="Y39" s="55" t="s">
        <v>35</v>
      </c>
      <c r="Z39" s="56">
        <f t="shared" si="19"/>
        <v>-0.75</v>
      </c>
      <c r="AA39" s="55">
        <v>0.14315972222222223</v>
      </c>
      <c r="AB39" s="55">
        <f t="shared" si="27"/>
        <v>-8.6969531250000003</v>
      </c>
      <c r="AC39" s="55">
        <v>-5.42</v>
      </c>
      <c r="AD39" s="55">
        <v>-6.2354700854700802</v>
      </c>
      <c r="AE39" s="55">
        <v>0</v>
      </c>
      <c r="AF39" s="55">
        <v>3.27368421052631</v>
      </c>
    </row>
    <row r="40" spans="1:32" s="57" customFormat="1" ht="15.75" customHeight="1">
      <c r="A40" s="2" t="s">
        <v>102</v>
      </c>
      <c r="B40" s="2" t="s">
        <v>45</v>
      </c>
      <c r="C40" s="51">
        <v>19.171875000000004</v>
      </c>
      <c r="D40" s="51">
        <v>16</v>
      </c>
      <c r="E40" s="51">
        <v>0</v>
      </c>
      <c r="F40" s="51">
        <v>306.75000000000006</v>
      </c>
      <c r="G40" s="51">
        <v>-0.21000000000000002</v>
      </c>
      <c r="H40" s="51">
        <v>6.8459657701711485E-4</v>
      </c>
      <c r="I40" s="51">
        <v>0.22456798250196836</v>
      </c>
      <c r="J40" s="51">
        <v>68.886228632478804</v>
      </c>
      <c r="K40" s="51">
        <v>4.3053892895299253</v>
      </c>
      <c r="L40" s="51">
        <v>130</v>
      </c>
      <c r="M40" s="51">
        <v>0.12307692307692308</v>
      </c>
      <c r="N40" s="51">
        <v>20</v>
      </c>
      <c r="O40" s="51">
        <v>2.2857142857142856</v>
      </c>
      <c r="P40" s="51">
        <v>0</v>
      </c>
      <c r="Q40" s="51">
        <v>8</v>
      </c>
      <c r="R40" s="55">
        <v>76</v>
      </c>
      <c r="S40" s="53">
        <v>76</v>
      </c>
      <c r="T40" s="54">
        <v>44078</v>
      </c>
      <c r="U40" s="55">
        <v>0</v>
      </c>
      <c r="V40" s="55">
        <v>0</v>
      </c>
      <c r="W40" s="55">
        <v>0</v>
      </c>
      <c r="X40" s="55">
        <v>0</v>
      </c>
      <c r="Y40" s="55" t="s">
        <v>35</v>
      </c>
      <c r="Z40" s="56">
        <v>-0.75</v>
      </c>
      <c r="AA40" s="55">
        <v>0.14315972222222223</v>
      </c>
      <c r="AB40" s="55">
        <v>-5.1537500000000005</v>
      </c>
      <c r="AC40" s="55">
        <v>-5.42</v>
      </c>
      <c r="AD40" s="55">
        <v>-6.2354700854700802</v>
      </c>
      <c r="AE40" s="55">
        <v>0</v>
      </c>
      <c r="AF40" s="55">
        <v>3.5965417867435101</v>
      </c>
    </row>
    <row r="41" spans="1:32" s="57" customFormat="1" ht="15.75" customHeight="1">
      <c r="A41" s="2" t="s">
        <v>105</v>
      </c>
      <c r="B41" s="2" t="s">
        <v>45</v>
      </c>
      <c r="C41" s="51">
        <f t="shared" ref="C41:C56" si="50">IFERROR(F41/D41," - ")</f>
        <v>19.022499999999997</v>
      </c>
      <c r="D41" s="51">
        <v>8</v>
      </c>
      <c r="E41" s="51">
        <v>0</v>
      </c>
      <c r="F41" s="51">
        <v>152.17999999999998</v>
      </c>
      <c r="G41" s="51">
        <v>-0.1</v>
      </c>
      <c r="H41" s="51">
        <f t="shared" ref="H41:H56" si="51">G41/F41*-1</f>
        <v>6.5711657247995809E-4</v>
      </c>
      <c r="I41" s="51">
        <f t="shared" ref="I41:I56" si="52">J41/F41</f>
        <v>0.21968960649388453</v>
      </c>
      <c r="J41" s="51">
        <f t="shared" ref="J41:J48" si="53">F41*0.85+G41+AD41*D41+D41*AC41+AE42+AB41</f>
        <v>33.432364316239344</v>
      </c>
      <c r="K41" s="51">
        <f t="shared" ref="K41:K56" si="54">J41/D41</f>
        <v>4.179045539529918</v>
      </c>
      <c r="L41" s="51">
        <v>97</v>
      </c>
      <c r="M41" s="51">
        <f t="shared" ref="M41:M56" si="55">IFERROR(D41/L41,"-")</f>
        <v>8.247422680412371E-2</v>
      </c>
      <c r="N41" s="51">
        <v>14</v>
      </c>
      <c r="O41" s="51">
        <f t="shared" ref="O41:P41" si="56">D41/7</f>
        <v>1.1428571428571428</v>
      </c>
      <c r="P41" s="51">
        <f t="shared" si="56"/>
        <v>0</v>
      </c>
      <c r="Q41" s="51">
        <f t="shared" ref="Q41:Q56" si="57">ROUNDDOWN(N41/(O41+P41),0)</f>
        <v>12</v>
      </c>
      <c r="R41" s="55">
        <v>76</v>
      </c>
      <c r="S41" s="53">
        <v>76</v>
      </c>
      <c r="T41" s="54">
        <v>44078</v>
      </c>
      <c r="U41" s="55">
        <v>1</v>
      </c>
      <c r="V41" s="55">
        <f t="shared" ref="V41:V56" si="58">IFERROR(U41/D41,0)</f>
        <v>0.125</v>
      </c>
      <c r="W41" s="55">
        <f t="shared" ref="W41:W56" si="59">IFERROR(G41/(U41+X41)*-1,0)</f>
        <v>0.1</v>
      </c>
      <c r="X41" s="55">
        <v>0</v>
      </c>
      <c r="Y41" s="52" t="s">
        <v>35</v>
      </c>
      <c r="Z41" s="56">
        <f t="shared" ref="Z41:Z43" si="60">IF(OR(Y41="UsLargeStandardSize",Y41="UsSmallStandardSize"),-0.75,-0.48)</f>
        <v>-0.75</v>
      </c>
      <c r="AA41" s="55">
        <v>0.14315972222222223</v>
      </c>
      <c r="AB41" s="55">
        <f t="shared" ref="AB41:AB56" si="61">IFERROR(Z41*AA41*D41*3,0)</f>
        <v>-2.5768750000000002</v>
      </c>
      <c r="AC41" s="55">
        <v>-5.42</v>
      </c>
      <c r="AD41" s="55">
        <v>-6.2354700854700802</v>
      </c>
      <c r="AE41" s="55">
        <v>0</v>
      </c>
      <c r="AF41" s="55">
        <v>4</v>
      </c>
    </row>
    <row r="42" spans="1:32" s="57" customFormat="1" ht="15.75" customHeight="1">
      <c r="A42" s="2" t="s">
        <v>106</v>
      </c>
      <c r="B42" s="2" t="s">
        <v>552</v>
      </c>
      <c r="C42" s="51">
        <f t="shared" si="50"/>
        <v>19.087142857142858</v>
      </c>
      <c r="D42" s="51">
        <v>14</v>
      </c>
      <c r="E42" s="51">
        <v>0</v>
      </c>
      <c r="F42" s="51">
        <v>267.22000000000003</v>
      </c>
      <c r="G42" s="51">
        <v>0</v>
      </c>
      <c r="H42" s="51">
        <f t="shared" si="51"/>
        <v>0</v>
      </c>
      <c r="I42" s="51">
        <f t="shared" si="52"/>
        <v>0.22247918401848257</v>
      </c>
      <c r="J42" s="51">
        <f t="shared" si="53"/>
        <v>59.450887553418916</v>
      </c>
      <c r="K42" s="51">
        <f t="shared" si="54"/>
        <v>4.2464919681013509</v>
      </c>
      <c r="L42" s="51">
        <v>100</v>
      </c>
      <c r="M42" s="51">
        <f t="shared" si="55"/>
        <v>0.14000000000000001</v>
      </c>
      <c r="N42" s="51">
        <v>1</v>
      </c>
      <c r="O42" s="51">
        <f t="shared" ref="O42:P42" si="62">D42/7</f>
        <v>2</v>
      </c>
      <c r="P42" s="51">
        <f t="shared" si="62"/>
        <v>0</v>
      </c>
      <c r="Q42" s="51">
        <f t="shared" si="57"/>
        <v>0</v>
      </c>
      <c r="R42" s="55">
        <f ca="1">IFERROR(__xludf.DUMMYFUNCTION("IFERROR(VLOOKUP($B$2,IMPORTRANGE(""https://docs.google.com/spreadsheets/d/1iVgg6Mw12RULLujzHmfOFIY8Q_KaAD8anoZzgtVAQ74/edit#gid=1503384807"",""Second Star - Summary!A1:AD2000""),9,FALSE),"""")"),691)</f>
        <v>691</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0</v>
      </c>
      <c r="V42" s="55">
        <f t="shared" si="58"/>
        <v>0</v>
      </c>
      <c r="W42" s="55">
        <f t="shared" si="59"/>
        <v>0</v>
      </c>
      <c r="X42" s="55">
        <v>0</v>
      </c>
      <c r="Y42" s="55" t="s">
        <v>35</v>
      </c>
      <c r="Z42" s="56">
        <f t="shared" si="60"/>
        <v>-0.75</v>
      </c>
      <c r="AA42" s="55">
        <v>0.14315972222222223</v>
      </c>
      <c r="AB42" s="55">
        <f t="shared" si="61"/>
        <v>-4.5095312500000002</v>
      </c>
      <c r="AC42" s="55">
        <v>-5.42</v>
      </c>
      <c r="AD42" s="55">
        <v>-6.2354700854700802</v>
      </c>
      <c r="AE42" s="55">
        <v>0</v>
      </c>
      <c r="AF42" s="55">
        <v>5.4187192118226601</v>
      </c>
    </row>
    <row r="43" spans="1:32" s="57" customFormat="1" ht="15.75" customHeight="1">
      <c r="A43" s="2" t="s">
        <v>107</v>
      </c>
      <c r="B43" s="2" t="s">
        <v>552</v>
      </c>
      <c r="C43" s="51">
        <f t="shared" si="50"/>
        <v>19.042499999999997</v>
      </c>
      <c r="D43" s="51">
        <v>4</v>
      </c>
      <c r="E43" s="51">
        <v>0</v>
      </c>
      <c r="F43" s="51">
        <v>76.169999999999987</v>
      </c>
      <c r="G43" s="51">
        <v>-1.37</v>
      </c>
      <c r="H43" s="51">
        <f t="shared" si="51"/>
        <v>1.7986083760010506E-2</v>
      </c>
      <c r="I43" s="51">
        <f t="shared" si="52"/>
        <v>0.20302195297518277</v>
      </c>
      <c r="J43" s="51">
        <f t="shared" si="53"/>
        <v>15.464182158119669</v>
      </c>
      <c r="K43" s="51">
        <f t="shared" si="54"/>
        <v>3.8660455395299174</v>
      </c>
      <c r="L43" s="51">
        <v>33</v>
      </c>
      <c r="M43" s="51">
        <f t="shared" si="55"/>
        <v>0.12121212121212122</v>
      </c>
      <c r="N43" s="51">
        <v>0</v>
      </c>
      <c r="O43" s="51">
        <f t="shared" ref="O43:P43" si="63">D43/7</f>
        <v>0.5714285714285714</v>
      </c>
      <c r="P43" s="51">
        <f t="shared" si="63"/>
        <v>0</v>
      </c>
      <c r="Q43" s="51">
        <f t="shared" si="57"/>
        <v>0</v>
      </c>
      <c r="R43" s="55">
        <v>88</v>
      </c>
      <c r="S43" s="53">
        <v>36</v>
      </c>
      <c r="T43" s="54">
        <v>44118</v>
      </c>
      <c r="U43" s="55">
        <v>0</v>
      </c>
      <c r="V43" s="55">
        <f t="shared" si="58"/>
        <v>0</v>
      </c>
      <c r="W43" s="55">
        <f t="shared" si="59"/>
        <v>0</v>
      </c>
      <c r="X43" s="55">
        <v>0</v>
      </c>
      <c r="Y43" s="55" t="s">
        <v>35</v>
      </c>
      <c r="Z43" s="56">
        <f t="shared" si="60"/>
        <v>-0.75</v>
      </c>
      <c r="AA43" s="55">
        <v>0.14315972222222223</v>
      </c>
      <c r="AB43" s="55">
        <f t="shared" si="61"/>
        <v>-1.2884375000000001</v>
      </c>
      <c r="AC43" s="55">
        <v>-5.42</v>
      </c>
      <c r="AD43" s="55">
        <v>-6.2354700854700802</v>
      </c>
      <c r="AE43" s="55">
        <v>0</v>
      </c>
      <c r="AF43" s="55" t="e">
        <v>#N/A</v>
      </c>
    </row>
    <row r="44" spans="1:32" s="57" customFormat="1" ht="15.75" customHeight="1">
      <c r="A44" s="2" t="s">
        <v>108</v>
      </c>
      <c r="B44" s="2" t="s">
        <v>552</v>
      </c>
      <c r="C44" s="51">
        <f t="shared" si="50"/>
        <v>18.989999999999998</v>
      </c>
      <c r="D44" s="51">
        <v>2</v>
      </c>
      <c r="E44" s="51">
        <v>0</v>
      </c>
      <c r="F44" s="51">
        <v>37.979999999999997</v>
      </c>
      <c r="G44" s="51">
        <v>-1.4</v>
      </c>
      <c r="H44" s="51">
        <f t="shared" si="51"/>
        <v>3.6861506055818852E-2</v>
      </c>
      <c r="I44" s="51">
        <f t="shared" si="52"/>
        <v>0.14509109607845802</v>
      </c>
      <c r="J44" s="51">
        <f t="shared" si="53"/>
        <v>5.5105598290598348</v>
      </c>
      <c r="K44" s="51">
        <f t="shared" si="54"/>
        <v>2.7552799145299174</v>
      </c>
      <c r="L44" s="51">
        <v>19</v>
      </c>
      <c r="M44" s="51">
        <f t="shared" si="55"/>
        <v>0.10526315789473684</v>
      </c>
      <c r="N44" s="51">
        <v>0</v>
      </c>
      <c r="O44" s="51">
        <f t="shared" ref="O44:P44" si="64">D44/7</f>
        <v>0.2857142857142857</v>
      </c>
      <c r="P44" s="51">
        <f t="shared" si="64"/>
        <v>0</v>
      </c>
      <c r="Q44" s="51">
        <f t="shared" si="57"/>
        <v>0</v>
      </c>
      <c r="R44" s="55">
        <v>90</v>
      </c>
      <c r="S44" s="53">
        <v>36</v>
      </c>
      <c r="T44" s="54">
        <v>44117</v>
      </c>
      <c r="U44" s="55">
        <v>0</v>
      </c>
      <c r="V44" s="55">
        <f t="shared" si="58"/>
        <v>0</v>
      </c>
      <c r="W44" s="55">
        <f t="shared" si="59"/>
        <v>0</v>
      </c>
      <c r="X44" s="55">
        <v>0</v>
      </c>
      <c r="Y44" s="55" t="s">
        <v>35</v>
      </c>
      <c r="Z44" s="56">
        <f t="shared" ref="Z44:Z56" si="65">IF(OR(Y44="UsLargeStandardSize",Y44="UsSmallStandardSize"),-2.4,-1.2)</f>
        <v>-2.4</v>
      </c>
      <c r="AA44" s="55">
        <v>0.14315972222222223</v>
      </c>
      <c r="AB44" s="55">
        <f t="shared" si="61"/>
        <v>-2.0615000000000001</v>
      </c>
      <c r="AC44" s="55">
        <v>-5.42</v>
      </c>
      <c r="AD44" s="55">
        <v>-6.2354700854700802</v>
      </c>
      <c r="AE44" s="55">
        <v>0</v>
      </c>
      <c r="AF44" s="55" t="e">
        <v>#N/A</v>
      </c>
    </row>
    <row r="45" spans="1:32" s="57" customFormat="1" ht="15.75" customHeight="1">
      <c r="A45" s="2" t="s">
        <v>109</v>
      </c>
      <c r="B45" s="2" t="s">
        <v>553</v>
      </c>
      <c r="C45" s="51">
        <f t="shared" si="50"/>
        <v>18.989999999999998</v>
      </c>
      <c r="D45" s="51">
        <v>2</v>
      </c>
      <c r="E45" s="51">
        <v>0</v>
      </c>
      <c r="F45" s="51">
        <v>37.979999999999997</v>
      </c>
      <c r="G45" s="51">
        <v>0</v>
      </c>
      <c r="H45" s="51">
        <f t="shared" si="51"/>
        <v>0</v>
      </c>
      <c r="I45" s="51">
        <f t="shared" si="52"/>
        <v>0.18195260213427683</v>
      </c>
      <c r="J45" s="51">
        <f t="shared" si="53"/>
        <v>6.9105598290598333</v>
      </c>
      <c r="K45" s="51">
        <f t="shared" si="54"/>
        <v>3.4552799145299167</v>
      </c>
      <c r="L45" s="51">
        <v>87</v>
      </c>
      <c r="M45" s="51">
        <f t="shared" si="55"/>
        <v>2.2988505747126436E-2</v>
      </c>
      <c r="N45" s="51">
        <v>76</v>
      </c>
      <c r="O45" s="51">
        <f t="shared" ref="O45:P45" si="66">D45/7</f>
        <v>0.2857142857142857</v>
      </c>
      <c r="P45" s="51">
        <f t="shared" si="66"/>
        <v>0</v>
      </c>
      <c r="Q45" s="51">
        <f t="shared" si="57"/>
        <v>266</v>
      </c>
      <c r="R45" s="55">
        <v>90</v>
      </c>
      <c r="S45" s="53">
        <v>36</v>
      </c>
      <c r="T45" s="54">
        <v>44117</v>
      </c>
      <c r="U45" s="55">
        <v>0</v>
      </c>
      <c r="V45" s="55">
        <f t="shared" si="58"/>
        <v>0</v>
      </c>
      <c r="W45" s="55">
        <f t="shared" si="59"/>
        <v>0</v>
      </c>
      <c r="X45" s="55">
        <v>0</v>
      </c>
      <c r="Y45" s="55" t="s">
        <v>35</v>
      </c>
      <c r="Z45" s="56">
        <f t="shared" si="65"/>
        <v>-2.4</v>
      </c>
      <c r="AA45" s="55">
        <v>0.14315972222222223</v>
      </c>
      <c r="AB45" s="55">
        <f t="shared" si="61"/>
        <v>-2.0615000000000001</v>
      </c>
      <c r="AC45" s="55">
        <v>-5.42</v>
      </c>
      <c r="AD45" s="55">
        <v>-6.2354700854700802</v>
      </c>
      <c r="AE45" s="55">
        <v>0</v>
      </c>
      <c r="AF45" s="55">
        <v>3.4015748031495998</v>
      </c>
    </row>
    <row r="46" spans="1:32" s="57" customFormat="1" ht="15.75" customHeight="1">
      <c r="A46" s="2" t="s">
        <v>111</v>
      </c>
      <c r="B46" s="2" t="s">
        <v>554</v>
      </c>
      <c r="C46" s="51">
        <f t="shared" si="50"/>
        <v>18.672499999999999</v>
      </c>
      <c r="D46" s="51">
        <v>8</v>
      </c>
      <c r="E46" s="51">
        <v>0</v>
      </c>
      <c r="F46" s="51">
        <v>149.38</v>
      </c>
      <c r="G46" s="51">
        <v>-0.26</v>
      </c>
      <c r="H46" s="51">
        <f t="shared" si="51"/>
        <v>1.7405275137233902E-3</v>
      </c>
      <c r="I46" s="51">
        <f t="shared" si="52"/>
        <v>0.16885285390440052</v>
      </c>
      <c r="J46" s="51">
        <f t="shared" si="53"/>
        <v>25.223239316239351</v>
      </c>
      <c r="K46" s="51">
        <f t="shared" si="54"/>
        <v>3.1529049145299188</v>
      </c>
      <c r="L46" s="51">
        <v>103</v>
      </c>
      <c r="M46" s="51">
        <f t="shared" si="55"/>
        <v>7.7669902912621352E-2</v>
      </c>
      <c r="N46" s="51">
        <v>71</v>
      </c>
      <c r="O46" s="51">
        <f t="shared" ref="O46:P46" si="67">D46/7</f>
        <v>1.1428571428571428</v>
      </c>
      <c r="P46" s="51">
        <f t="shared" si="67"/>
        <v>0</v>
      </c>
      <c r="Q46" s="51">
        <f t="shared" si="57"/>
        <v>62</v>
      </c>
      <c r="R46" s="55">
        <v>0</v>
      </c>
      <c r="S46" s="53" t="s">
        <v>34</v>
      </c>
      <c r="T46" s="54" t="s">
        <v>34</v>
      </c>
      <c r="U46" s="55">
        <v>0</v>
      </c>
      <c r="V46" s="55">
        <f t="shared" si="58"/>
        <v>0</v>
      </c>
      <c r="W46" s="55">
        <f t="shared" si="59"/>
        <v>0</v>
      </c>
      <c r="X46" s="55">
        <v>0</v>
      </c>
      <c r="Y46" s="55" t="s">
        <v>35</v>
      </c>
      <c r="Z46" s="56">
        <f t="shared" si="65"/>
        <v>-2.4</v>
      </c>
      <c r="AA46" s="55">
        <v>0.14315972222222223</v>
      </c>
      <c r="AB46" s="55">
        <f t="shared" si="61"/>
        <v>-8.2460000000000004</v>
      </c>
      <c r="AC46" s="55">
        <v>-5.42</v>
      </c>
      <c r="AD46" s="55">
        <v>-6.2354700854700802</v>
      </c>
      <c r="AE46" s="55">
        <v>0</v>
      </c>
      <c r="AF46" s="55">
        <v>3.7333333333333298</v>
      </c>
    </row>
    <row r="47" spans="1:32" s="57" customFormat="1" ht="15.75" customHeight="1">
      <c r="A47" s="2" t="s">
        <v>113</v>
      </c>
      <c r="B47" s="2" t="s">
        <v>555</v>
      </c>
      <c r="C47" s="51">
        <f t="shared" si="50"/>
        <v>17.048125000000002</v>
      </c>
      <c r="D47" s="51">
        <v>16</v>
      </c>
      <c r="E47" s="51">
        <v>0</v>
      </c>
      <c r="F47" s="51">
        <v>272.77000000000004</v>
      </c>
      <c r="G47" s="51">
        <v>-0.08</v>
      </c>
      <c r="H47" s="51">
        <f t="shared" si="51"/>
        <v>2.9328738497635368E-4</v>
      </c>
      <c r="I47" s="51">
        <f t="shared" si="52"/>
        <v>0.10556504979462085</v>
      </c>
      <c r="J47" s="51">
        <f t="shared" si="53"/>
        <v>28.794978632478735</v>
      </c>
      <c r="K47" s="51">
        <f t="shared" si="54"/>
        <v>1.7996861645299209</v>
      </c>
      <c r="L47" s="51">
        <v>112</v>
      </c>
      <c r="M47" s="51">
        <f t="shared" si="55"/>
        <v>0.14285714285714285</v>
      </c>
      <c r="N47" s="51">
        <v>136</v>
      </c>
      <c r="O47" s="51">
        <f t="shared" ref="O47:P47" si="68">D47/7</f>
        <v>2.2857142857142856</v>
      </c>
      <c r="P47" s="51">
        <f t="shared" si="68"/>
        <v>0</v>
      </c>
      <c r="Q47" s="51">
        <f t="shared" si="57"/>
        <v>59</v>
      </c>
      <c r="R47" s="55">
        <v>0</v>
      </c>
      <c r="S47" s="53" t="s">
        <v>34</v>
      </c>
      <c r="T47" s="54" t="s">
        <v>34</v>
      </c>
      <c r="U47" s="55">
        <v>0</v>
      </c>
      <c r="V47" s="55">
        <f t="shared" si="58"/>
        <v>0</v>
      </c>
      <c r="W47" s="55">
        <f t="shared" si="59"/>
        <v>0</v>
      </c>
      <c r="X47" s="55">
        <v>0</v>
      </c>
      <c r="Y47" s="55" t="s">
        <v>35</v>
      </c>
      <c r="Z47" s="56">
        <f t="shared" si="65"/>
        <v>-2.4</v>
      </c>
      <c r="AA47" s="55">
        <v>0.14315972222222223</v>
      </c>
      <c r="AB47" s="55">
        <f t="shared" si="61"/>
        <v>-16.492000000000001</v>
      </c>
      <c r="AC47" s="55">
        <v>-5.42</v>
      </c>
      <c r="AD47" s="55">
        <v>-6.2354700854700802</v>
      </c>
      <c r="AE47" s="55">
        <v>0</v>
      </c>
      <c r="AF47" s="55">
        <v>2.9917355371900798</v>
      </c>
    </row>
    <row r="48" spans="1:32" s="57" customFormat="1" ht="15.75" customHeight="1">
      <c r="A48" s="2" t="s">
        <v>115</v>
      </c>
      <c r="B48" s="2" t="s">
        <v>556</v>
      </c>
      <c r="C48" s="51">
        <f t="shared" si="50"/>
        <v>14.97875</v>
      </c>
      <c r="D48" s="51">
        <v>8</v>
      </c>
      <c r="E48" s="51">
        <v>0</v>
      </c>
      <c r="F48" s="51">
        <v>119.83</v>
      </c>
      <c r="G48" s="51">
        <v>0</v>
      </c>
      <c r="H48" s="51">
        <f t="shared" si="51"/>
        <v>0</v>
      </c>
      <c r="I48" s="51">
        <f t="shared" si="52"/>
        <v>3.0521515166431674E-3</v>
      </c>
      <c r="J48" s="51">
        <f t="shared" si="53"/>
        <v>0.36573931623935074</v>
      </c>
      <c r="K48" s="51">
        <f t="shared" si="54"/>
        <v>4.5717414529918843E-2</v>
      </c>
      <c r="L48" s="51">
        <v>113</v>
      </c>
      <c r="M48" s="51">
        <f t="shared" si="55"/>
        <v>7.0796460176991149E-2</v>
      </c>
      <c r="N48" s="51">
        <v>128</v>
      </c>
      <c r="O48" s="51">
        <f t="shared" ref="O48:P48" si="69">D48/7</f>
        <v>1.1428571428571428</v>
      </c>
      <c r="P48" s="51">
        <f t="shared" si="69"/>
        <v>0</v>
      </c>
      <c r="Q48" s="51">
        <f t="shared" si="57"/>
        <v>112</v>
      </c>
      <c r="R48" s="55">
        <f ca="1">IFERROR(__xludf.DUMMYFUNCTION("IFERROR(VLOOKUP($B$2,IMPORTRANGE(""https://docs.google.com/spreadsheets/d/1iVgg6Mw12RULLujzHmfOFIY8Q_KaAD8anoZzgtVAQ74/edit#gid=1503384807"",""Second Star - Summary!A1:AD2000""),9,FALSE),"""")"),691)</f>
        <v>691</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si="58"/>
        <v>0</v>
      </c>
      <c r="W48" s="55">
        <f t="shared" si="59"/>
        <v>0</v>
      </c>
      <c r="X48" s="55">
        <v>0</v>
      </c>
      <c r="Y48" s="55" t="s">
        <v>35</v>
      </c>
      <c r="Z48" s="56">
        <f t="shared" si="65"/>
        <v>-2.4</v>
      </c>
      <c r="AA48" s="55">
        <v>0.14315972222222223</v>
      </c>
      <c r="AB48" s="55">
        <f t="shared" si="61"/>
        <v>-8.2460000000000004</v>
      </c>
      <c r="AC48" s="55">
        <v>-5.42</v>
      </c>
      <c r="AD48" s="55">
        <v>-6.2354700854700802</v>
      </c>
      <c r="AE48" s="55">
        <v>0</v>
      </c>
      <c r="AF48" s="55">
        <v>3.2372093023255801</v>
      </c>
    </row>
    <row r="49" spans="1:32" s="57" customFormat="1" ht="15.75" customHeight="1">
      <c r="A49" s="2" t="s">
        <v>117</v>
      </c>
      <c r="B49" s="2" t="s">
        <v>557</v>
      </c>
      <c r="C49" s="51">
        <f t="shared" si="50"/>
        <v>17.428333333333335</v>
      </c>
      <c r="D49" s="51">
        <v>12</v>
      </c>
      <c r="E49" s="51">
        <v>0</v>
      </c>
      <c r="F49" s="51">
        <v>209.14000000000001</v>
      </c>
      <c r="G49" s="51">
        <v>0</v>
      </c>
      <c r="H49" s="51">
        <f t="shared" si="51"/>
        <v>0</v>
      </c>
      <c r="I49" s="51">
        <f t="shared" si="52"/>
        <v>0.12085712429166615</v>
      </c>
      <c r="J49" s="51">
        <f t="shared" ref="J49:J56" si="70">F49*0.85+G49+AD49*D49+D49*AC49+AE49+AB49</f>
        <v>25.27605897435906</v>
      </c>
      <c r="K49" s="51">
        <f t="shared" si="54"/>
        <v>2.1063382478632549</v>
      </c>
      <c r="L49" s="51">
        <v>105</v>
      </c>
      <c r="M49" s="51">
        <f t="shared" si="55"/>
        <v>0.11428571428571428</v>
      </c>
      <c r="N49" s="51">
        <v>119</v>
      </c>
      <c r="O49" s="51">
        <f t="shared" ref="O49:P49" si="71">D49/7</f>
        <v>1.7142857142857142</v>
      </c>
      <c r="P49" s="51">
        <f t="shared" si="71"/>
        <v>0</v>
      </c>
      <c r="Q49" s="51">
        <f t="shared" si="57"/>
        <v>69</v>
      </c>
      <c r="R49" s="55">
        <f ca="1">IFERROR(__xludf.DUMMYFUNCTION("IFERROR(VLOOKUP($B$2,IMPORTRANGE(""https://docs.google.com/spreadsheets/d/1iVgg6Mw12RULLujzHmfOFIY8Q_KaAD8anoZzgtVAQ74/edit#gid=1503384807"",""Second Star - Summary!A1:AD2000""),9,FALSE),"""")"),691)</f>
        <v>691</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58"/>
        <v>0</v>
      </c>
      <c r="W49" s="55">
        <f t="shared" si="59"/>
        <v>0</v>
      </c>
      <c r="X49" s="55">
        <v>0</v>
      </c>
      <c r="Y49" s="55" t="s">
        <v>35</v>
      </c>
      <c r="Z49" s="56">
        <f t="shared" si="65"/>
        <v>-2.4</v>
      </c>
      <c r="AA49" s="55">
        <v>0.14315972222222223</v>
      </c>
      <c r="AB49" s="55">
        <f t="shared" si="61"/>
        <v>-12.369</v>
      </c>
      <c r="AC49" s="55">
        <v>-5.42</v>
      </c>
      <c r="AD49" s="55">
        <v>-6.2569950854700798</v>
      </c>
      <c r="AE49" s="55">
        <v>0</v>
      </c>
      <c r="AF49" s="55">
        <v>3.6263736263736202</v>
      </c>
    </row>
    <row r="50" spans="1:32" s="57" customFormat="1" ht="15.75" customHeight="1">
      <c r="A50" s="2" t="s">
        <v>119</v>
      </c>
      <c r="B50" s="2" t="s">
        <v>558</v>
      </c>
      <c r="C50" s="51">
        <f t="shared" si="50"/>
        <v>17.198</v>
      </c>
      <c r="D50" s="51">
        <v>10</v>
      </c>
      <c r="E50" s="51">
        <v>0</v>
      </c>
      <c r="F50" s="51">
        <v>171.98</v>
      </c>
      <c r="G50" s="51">
        <v>0</v>
      </c>
      <c r="H50" s="51">
        <f t="shared" si="51"/>
        <v>0</v>
      </c>
      <c r="I50" s="51">
        <f t="shared" si="52"/>
        <v>0.11109169173915097</v>
      </c>
      <c r="J50" s="51">
        <f t="shared" si="70"/>
        <v>19.105549145299182</v>
      </c>
      <c r="K50" s="51">
        <f t="shared" si="54"/>
        <v>1.9105549145299183</v>
      </c>
      <c r="L50" s="51">
        <v>131</v>
      </c>
      <c r="M50" s="51">
        <f t="shared" si="55"/>
        <v>7.6335877862595422E-2</v>
      </c>
      <c r="N50" s="51">
        <v>108</v>
      </c>
      <c r="O50" s="51">
        <f t="shared" ref="O50:P50" si="72">D50/7</f>
        <v>1.4285714285714286</v>
      </c>
      <c r="P50" s="51">
        <f t="shared" si="72"/>
        <v>0</v>
      </c>
      <c r="Q50" s="51">
        <f t="shared" si="57"/>
        <v>75</v>
      </c>
      <c r="R50" s="55">
        <f ca="1">IFERROR(__xludf.DUMMYFUNCTION("IFERROR(VLOOKUP($B$2,IMPORTRANGE(""https://docs.google.com/spreadsheets/d/1iVgg6Mw12RULLujzHmfOFIY8Q_KaAD8anoZzgtVAQ74/edit#gid=1503384807"",""Second Star - Summary!A1:AD2000""),9,FALSE),"""")"),691)</f>
        <v>691</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58"/>
        <v>0</v>
      </c>
      <c r="W50" s="55">
        <f t="shared" si="59"/>
        <v>0</v>
      </c>
      <c r="X50" s="55">
        <v>0</v>
      </c>
      <c r="Y50" s="55" t="s">
        <v>35</v>
      </c>
      <c r="Z50" s="56">
        <f t="shared" si="65"/>
        <v>-2.4</v>
      </c>
      <c r="AA50" s="55">
        <v>0.14315972222222223</v>
      </c>
      <c r="AB50" s="55">
        <f t="shared" si="61"/>
        <v>-10.307500000000001</v>
      </c>
      <c r="AC50" s="55">
        <v>-5.42</v>
      </c>
      <c r="AD50" s="55">
        <v>-6.2569950854700798</v>
      </c>
      <c r="AE50" s="55">
        <v>0</v>
      </c>
      <c r="AF50" s="55">
        <v>2.9356223175965601</v>
      </c>
    </row>
    <row r="51" spans="1:32" s="57" customFormat="1" ht="15.75" customHeight="1">
      <c r="A51" s="2" t="s">
        <v>121</v>
      </c>
      <c r="B51" s="2" t="s">
        <v>559</v>
      </c>
      <c r="C51" s="51">
        <f t="shared" si="50"/>
        <v>17.1325</v>
      </c>
      <c r="D51" s="51">
        <v>8</v>
      </c>
      <c r="E51" s="51">
        <v>0</v>
      </c>
      <c r="F51" s="51">
        <v>137.06</v>
      </c>
      <c r="G51" s="51">
        <v>0</v>
      </c>
      <c r="H51" s="51">
        <f t="shared" si="51"/>
        <v>0</v>
      </c>
      <c r="I51" s="51">
        <f t="shared" si="52"/>
        <v>0.10826673950269487</v>
      </c>
      <c r="J51" s="51">
        <f t="shared" si="70"/>
        <v>14.83903931623936</v>
      </c>
      <c r="K51" s="51">
        <f t="shared" si="54"/>
        <v>1.85487991452992</v>
      </c>
      <c r="L51" s="51">
        <v>96</v>
      </c>
      <c r="M51" s="51">
        <f t="shared" si="55"/>
        <v>8.3333333333333329E-2</v>
      </c>
      <c r="N51" s="51">
        <v>101</v>
      </c>
      <c r="O51" s="51">
        <f t="shared" ref="O51:P51" si="73">D51/7</f>
        <v>1.1428571428571428</v>
      </c>
      <c r="P51" s="51">
        <f t="shared" si="73"/>
        <v>0</v>
      </c>
      <c r="Q51" s="51">
        <f t="shared" si="57"/>
        <v>88</v>
      </c>
      <c r="R51" s="55">
        <f ca="1">IFERROR(__xludf.DUMMYFUNCTION("IFERROR(VLOOKUP($B$2,IMPORTRANGE(""https://docs.google.com/spreadsheets/d/1iVgg6Mw12RULLujzHmfOFIY8Q_KaAD8anoZzgtVAQ74/edit#gid=1503384807"",""Second Star - Summary!A1:AD2000""),9,FALSE),"""")"),691)</f>
        <v>691</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58"/>
        <v>0</v>
      </c>
      <c r="W51" s="55">
        <f t="shared" si="59"/>
        <v>0</v>
      </c>
      <c r="X51" s="55">
        <v>0</v>
      </c>
      <c r="Y51" s="55" t="s">
        <v>35</v>
      </c>
      <c r="Z51" s="56">
        <f t="shared" si="65"/>
        <v>-2.4</v>
      </c>
      <c r="AA51" s="55">
        <v>0.14315972222222223</v>
      </c>
      <c r="AB51" s="55">
        <f t="shared" si="61"/>
        <v>-8.2460000000000004</v>
      </c>
      <c r="AC51" s="55">
        <v>-5.42</v>
      </c>
      <c r="AD51" s="55">
        <v>-6.2569950854700798</v>
      </c>
      <c r="AE51" s="55">
        <v>0</v>
      </c>
      <c r="AF51" s="55">
        <v>2.7090909090909001</v>
      </c>
    </row>
    <row r="52" spans="1:32" s="57" customFormat="1" ht="15.75" customHeight="1">
      <c r="A52" s="2" t="s">
        <v>123</v>
      </c>
      <c r="B52" s="2" t="s">
        <v>560</v>
      </c>
      <c r="C52" s="51">
        <f t="shared" si="50"/>
        <v>17.000999999999998</v>
      </c>
      <c r="D52" s="51">
        <v>10</v>
      </c>
      <c r="E52" s="51">
        <v>0</v>
      </c>
      <c r="F52" s="51">
        <v>170.01</v>
      </c>
      <c r="G52" s="51">
        <v>0</v>
      </c>
      <c r="H52" s="51">
        <f t="shared" si="51"/>
        <v>0</v>
      </c>
      <c r="I52" s="51">
        <f t="shared" si="52"/>
        <v>0.10252955205752126</v>
      </c>
      <c r="J52" s="51">
        <f t="shared" si="70"/>
        <v>17.431049145299188</v>
      </c>
      <c r="K52" s="51">
        <f t="shared" si="54"/>
        <v>1.7431049145299187</v>
      </c>
      <c r="L52" s="51">
        <v>82</v>
      </c>
      <c r="M52" s="51">
        <f t="shared" si="55"/>
        <v>0.12195121951219512</v>
      </c>
      <c r="N52" s="51">
        <v>118</v>
      </c>
      <c r="O52" s="51">
        <f t="shared" ref="O52:P52" si="74">D52/7</f>
        <v>1.4285714285714286</v>
      </c>
      <c r="P52" s="51">
        <f t="shared" si="74"/>
        <v>0</v>
      </c>
      <c r="Q52" s="51">
        <f t="shared" si="57"/>
        <v>82</v>
      </c>
      <c r="R52" s="55">
        <f ca="1">IFERROR(__xludf.DUMMYFUNCTION("IFERROR(VLOOKUP($B$2,IMPORTRANGE(""https://docs.google.com/spreadsheets/d/1iVgg6Mw12RULLujzHmfOFIY8Q_KaAD8anoZzgtVAQ74/edit#gid=1503384807"",""Second Star - Summary!A1:AD2000""),9,FALSE),"""")"),691)</f>
        <v>691</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58"/>
        <v>0</v>
      </c>
      <c r="W52" s="55">
        <f t="shared" si="59"/>
        <v>0</v>
      </c>
      <c r="X52" s="55">
        <v>0</v>
      </c>
      <c r="Y52" s="55" t="s">
        <v>35</v>
      </c>
      <c r="Z52" s="56">
        <f t="shared" si="65"/>
        <v>-2.4</v>
      </c>
      <c r="AA52" s="55">
        <v>0.14315972222222223</v>
      </c>
      <c r="AB52" s="55">
        <f t="shared" si="61"/>
        <v>-10.307500000000001</v>
      </c>
      <c r="AC52" s="55">
        <v>-5.42</v>
      </c>
      <c r="AD52" s="55">
        <v>-6.2569950854700798</v>
      </c>
      <c r="AE52" s="55">
        <v>0</v>
      </c>
      <c r="AF52" s="55">
        <v>1.67272727272727</v>
      </c>
    </row>
    <row r="53" spans="1:32" s="57" customFormat="1">
      <c r="A53" s="2" t="s">
        <v>38</v>
      </c>
      <c r="B53" s="2" t="s">
        <v>561</v>
      </c>
      <c r="C53" s="51">
        <f t="shared" si="50"/>
        <v>16.298461538461538</v>
      </c>
      <c r="D53" s="51">
        <v>13</v>
      </c>
      <c r="E53" s="51">
        <v>0</v>
      </c>
      <c r="F53" s="51">
        <v>211.88</v>
      </c>
      <c r="G53" s="51">
        <v>-7.0000000000000007E-2</v>
      </c>
      <c r="H53" s="51">
        <f t="shared" si="51"/>
        <v>3.3037568434963192E-4</v>
      </c>
      <c r="I53" s="51">
        <f t="shared" si="52"/>
        <v>6.9979771044407044E-2</v>
      </c>
      <c r="J53" s="51">
        <f t="shared" si="70"/>
        <v>14.827313888888963</v>
      </c>
      <c r="K53" s="51">
        <f t="shared" si="54"/>
        <v>1.1405626068376125</v>
      </c>
      <c r="L53" s="51">
        <v>83</v>
      </c>
      <c r="M53" s="51">
        <f t="shared" si="55"/>
        <v>0.15662650602409639</v>
      </c>
      <c r="N53" s="51">
        <v>112</v>
      </c>
      <c r="O53" s="51">
        <f t="shared" ref="O53:P53" si="75">D53/7</f>
        <v>1.8571428571428572</v>
      </c>
      <c r="P53" s="51">
        <f t="shared" si="75"/>
        <v>0</v>
      </c>
      <c r="Q53" s="51">
        <f t="shared" si="57"/>
        <v>60</v>
      </c>
      <c r="R53" s="55">
        <f ca="1">IFERROR(__xludf.DUMMYFUNCTION("IFERROR(VLOOKUP($B$2,IMPORTRANGE(""https://docs.google.com/spreadsheets/d/1iVgg6Mw12RULLujzHmfOFIY8Q_KaAD8anoZzgtVAQ74/edit#gid=1503384807"",""Second Star - Summary!A1:AD2000""),9,FALSE),"""")"),691)</f>
        <v>691</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58"/>
        <v>0</v>
      </c>
      <c r="W53" s="55">
        <f t="shared" si="59"/>
        <v>7.0000000000000007E-2</v>
      </c>
      <c r="X53" s="55">
        <v>1</v>
      </c>
      <c r="Y53" s="55" t="s">
        <v>35</v>
      </c>
      <c r="Z53" s="56">
        <f t="shared" si="65"/>
        <v>-2.4</v>
      </c>
      <c r="AA53" s="55">
        <v>0.14315972222222223</v>
      </c>
      <c r="AB53" s="55">
        <f t="shared" si="61"/>
        <v>-13.399750000000001</v>
      </c>
      <c r="AC53" s="55">
        <v>-5.42</v>
      </c>
      <c r="AD53" s="55">
        <v>-6.2569950854700798</v>
      </c>
      <c r="AE53" s="55">
        <v>0</v>
      </c>
      <c r="AF53" s="55">
        <v>1.69963369963369</v>
      </c>
    </row>
    <row r="54" spans="1:32" s="57" customFormat="1">
      <c r="A54" s="2" t="s">
        <v>40</v>
      </c>
      <c r="B54" s="2" t="s">
        <v>562</v>
      </c>
      <c r="C54" s="51">
        <f t="shared" si="50"/>
        <v>16.739333333333335</v>
      </c>
      <c r="D54" s="51">
        <v>15</v>
      </c>
      <c r="E54" s="51">
        <v>0</v>
      </c>
      <c r="F54" s="51">
        <v>251.09000000000003</v>
      </c>
      <c r="G54" s="51">
        <v>0</v>
      </c>
      <c r="H54" s="51">
        <f t="shared" si="51"/>
        <v>0</v>
      </c>
      <c r="I54" s="51">
        <f t="shared" si="52"/>
        <v>9.0845209757253728E-2</v>
      </c>
      <c r="J54" s="51">
        <f t="shared" si="70"/>
        <v>22.81032371794884</v>
      </c>
      <c r="K54" s="51">
        <f t="shared" si="54"/>
        <v>1.520688247863256</v>
      </c>
      <c r="L54" s="51">
        <v>92</v>
      </c>
      <c r="M54" s="51">
        <f t="shared" si="55"/>
        <v>0.16304347826086957</v>
      </c>
      <c r="N54" s="51">
        <v>92</v>
      </c>
      <c r="O54" s="51">
        <f t="shared" ref="O54:P54" si="76">D54/7</f>
        <v>2.1428571428571428</v>
      </c>
      <c r="P54" s="51">
        <f t="shared" si="76"/>
        <v>0</v>
      </c>
      <c r="Q54" s="51">
        <f t="shared" si="57"/>
        <v>42</v>
      </c>
      <c r="R54" s="55">
        <f ca="1">IFERROR(__xludf.DUMMYFUNCTION("IFERROR(VLOOKUP($B$2,IMPORTRANGE(""https://docs.google.com/spreadsheets/d/1iVgg6Mw12RULLujzHmfOFIY8Q_KaAD8anoZzgtVAQ74/edit#gid=1503384807"",""Second Star - Summary!A1:AD2000""),9,FALSE),"""")"),691)</f>
        <v>691</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58"/>
        <v>0</v>
      </c>
      <c r="W54" s="55">
        <f t="shared" si="59"/>
        <v>0</v>
      </c>
      <c r="X54" s="55">
        <v>0</v>
      </c>
      <c r="Y54" s="55" t="s">
        <v>35</v>
      </c>
      <c r="Z54" s="56">
        <f t="shared" si="65"/>
        <v>-2.4</v>
      </c>
      <c r="AA54" s="55">
        <v>0.14315972222222223</v>
      </c>
      <c r="AB54" s="55">
        <f t="shared" si="61"/>
        <v>-15.461250000000001</v>
      </c>
      <c r="AC54" s="55">
        <v>-5.42</v>
      </c>
      <c r="AD54" s="55">
        <v>-6.2569950854700798</v>
      </c>
      <c r="AE54" s="55">
        <v>0</v>
      </c>
      <c r="AF54" s="55">
        <v>1.7181208053691199</v>
      </c>
    </row>
    <row r="55" spans="1:32" s="57" customFormat="1" ht="15.75" customHeight="1">
      <c r="A55" s="2" t="s">
        <v>32</v>
      </c>
      <c r="B55" s="2" t="s">
        <v>563</v>
      </c>
      <c r="C55" s="51">
        <f t="shared" si="50"/>
        <v>16.997857142857143</v>
      </c>
      <c r="D55" s="51">
        <v>14</v>
      </c>
      <c r="E55" s="51">
        <v>0</v>
      </c>
      <c r="F55" s="51">
        <v>237.97</v>
      </c>
      <c r="G55" s="51">
        <v>0</v>
      </c>
      <c r="H55" s="51">
        <f t="shared" si="51"/>
        <v>0</v>
      </c>
      <c r="I55" s="51">
        <f t="shared" si="52"/>
        <v>0.10239134682278807</v>
      </c>
      <c r="J55" s="51">
        <f t="shared" si="70"/>
        <v>24.366068803418877</v>
      </c>
      <c r="K55" s="51">
        <f t="shared" si="54"/>
        <v>1.7404334859584911</v>
      </c>
      <c r="L55" s="51">
        <v>84</v>
      </c>
      <c r="M55" s="51">
        <f t="shared" si="55"/>
        <v>0.16666666666666666</v>
      </c>
      <c r="N55" s="51">
        <v>80</v>
      </c>
      <c r="O55" s="51">
        <f t="shared" ref="O55:P55" si="77">D55/7</f>
        <v>2</v>
      </c>
      <c r="P55" s="51">
        <f t="shared" si="77"/>
        <v>0</v>
      </c>
      <c r="Q55" s="51">
        <f t="shared" si="57"/>
        <v>40</v>
      </c>
      <c r="R55" s="55">
        <v>66</v>
      </c>
      <c r="S55" s="53">
        <v>66</v>
      </c>
      <c r="T55" s="54">
        <v>44211</v>
      </c>
      <c r="U55" s="55">
        <v>0</v>
      </c>
      <c r="V55" s="55">
        <f t="shared" si="58"/>
        <v>0</v>
      </c>
      <c r="W55" s="55">
        <f t="shared" si="59"/>
        <v>0</v>
      </c>
      <c r="X55" s="55">
        <v>0</v>
      </c>
      <c r="Y55" s="55" t="s">
        <v>35</v>
      </c>
      <c r="Z55" s="56">
        <f t="shared" si="65"/>
        <v>-2.4</v>
      </c>
      <c r="AA55" s="55">
        <v>0.14315972222222223</v>
      </c>
      <c r="AB55" s="55">
        <f t="shared" si="61"/>
        <v>-14.430500000000002</v>
      </c>
      <c r="AC55" s="55">
        <v>-5.42</v>
      </c>
      <c r="AD55" s="55">
        <v>-6.2569950854700798</v>
      </c>
      <c r="AE55" s="55">
        <v>0</v>
      </c>
      <c r="AF55" s="55">
        <v>1.4913294797687799</v>
      </c>
    </row>
    <row r="56" spans="1:32" s="57" customFormat="1" ht="15.75" customHeight="1">
      <c r="A56" s="2" t="s">
        <v>36</v>
      </c>
      <c r="B56" s="2"/>
      <c r="C56" s="51">
        <f t="shared" si="50"/>
        <v>16.989999999999998</v>
      </c>
      <c r="D56" s="51">
        <v>7</v>
      </c>
      <c r="E56" s="51">
        <v>0</v>
      </c>
      <c r="F56" s="51">
        <v>118.92999999999998</v>
      </c>
      <c r="G56" s="51">
        <v>0</v>
      </c>
      <c r="H56" s="51">
        <f t="shared" si="51"/>
        <v>0</v>
      </c>
      <c r="I56" s="51">
        <f t="shared" si="52"/>
        <v>0.10204561003707578</v>
      </c>
      <c r="J56" s="51">
        <f t="shared" si="70"/>
        <v>12.136284401709421</v>
      </c>
      <c r="K56" s="51">
        <f t="shared" si="54"/>
        <v>1.7337549145299174</v>
      </c>
      <c r="L56" s="51">
        <v>98</v>
      </c>
      <c r="M56" s="51">
        <f t="shared" si="55"/>
        <v>7.1428571428571425E-2</v>
      </c>
      <c r="N56" s="51">
        <v>87</v>
      </c>
      <c r="O56" s="51">
        <f t="shared" ref="O56:P56" si="78">D56/7</f>
        <v>1</v>
      </c>
      <c r="P56" s="51">
        <f t="shared" si="78"/>
        <v>0</v>
      </c>
      <c r="Q56" s="51">
        <f t="shared" si="57"/>
        <v>87</v>
      </c>
      <c r="R56" s="55">
        <f ca="1">IFERROR(__xludf.DUMMYFUNCTION("IFERROR(VLOOKUP($B$2,IMPORTRANGE(""https://docs.google.com/spreadsheets/d/1iVgg6Mw12RULLujzHmfOFIY8Q_KaAD8anoZzgtVAQ74/edit#gid=1503384807"",""Second Star - Summary!A1:AD2000""),9,FALSE),"""")"),691)</f>
        <v>691</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58"/>
        <v>0</v>
      </c>
      <c r="W56" s="55">
        <f t="shared" si="59"/>
        <v>0</v>
      </c>
      <c r="X56" s="55">
        <v>0</v>
      </c>
      <c r="Y56" s="55" t="s">
        <v>35</v>
      </c>
      <c r="Z56" s="56">
        <f t="shared" si="65"/>
        <v>-2.4</v>
      </c>
      <c r="AA56" s="55">
        <v>0.14315972222222223</v>
      </c>
      <c r="AB56" s="55">
        <f t="shared" si="61"/>
        <v>-7.2152500000000011</v>
      </c>
      <c r="AC56" s="55">
        <v>-5.42</v>
      </c>
      <c r="AD56" s="55">
        <v>-6.2569950854700798</v>
      </c>
      <c r="AE56" s="55">
        <v>0</v>
      </c>
      <c r="AF56" s="55">
        <v>1.6047197640117901</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E185" s="2"/>
      <c r="P185" s="2"/>
      <c r="AF185" s="23"/>
    </row>
    <row r="186" spans="1:32" ht="15.75" customHeight="1">
      <c r="E186" s="2"/>
      <c r="P186" s="2"/>
      <c r="AF186" s="23"/>
    </row>
    <row r="187" spans="1:32" ht="15.75" customHeight="1">
      <c r="E187" s="2"/>
      <c r="P187" s="2"/>
      <c r="AF187" s="23"/>
    </row>
    <row r="188" spans="1:32" ht="15.75" customHeight="1">
      <c r="E188" s="2"/>
      <c r="P188" s="2"/>
      <c r="AF188" s="23"/>
    </row>
    <row r="189" spans="1:32" ht="15.75" customHeight="1">
      <c r="E189" s="2"/>
      <c r="P189" s="2"/>
      <c r="AF189" s="23"/>
    </row>
    <row r="190" spans="1:32" ht="15.75" customHeight="1">
      <c r="E190" s="2"/>
      <c r="P190" s="2"/>
      <c r="AF190" s="23"/>
    </row>
    <row r="191" spans="1:32" ht="15.75" customHeight="1">
      <c r="E191" s="2"/>
      <c r="P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429" priority="1" operator="lessThan">
      <formula>100</formula>
    </cfRule>
  </conditionalFormatting>
  <conditionalFormatting sqref="Q1:Q3 Q57:Q1000">
    <cfRule type="cellIs" dxfId="428" priority="2" operator="lessThan">
      <formula>100</formula>
    </cfRule>
  </conditionalFormatting>
  <conditionalFormatting sqref="I1:I3 I57:I1000">
    <cfRule type="cellIs" dxfId="427" priority="3" operator="lessThan">
      <formula>0.05</formula>
    </cfRule>
  </conditionalFormatting>
  <conditionalFormatting sqref="I4:I17">
    <cfRule type="cellIs" dxfId="426" priority="4" operator="lessThan">
      <formula>0.05</formula>
    </cfRule>
  </conditionalFormatting>
  <conditionalFormatting sqref="I18:I56">
    <cfRule type="cellIs" dxfId="425" priority="5" operator="lessThan">
      <formula>0.05</formula>
    </cfRule>
  </conditionalFormatting>
  <conditionalFormatting sqref="Q4:Q56">
    <cfRule type="cellIs" dxfId="424" priority="6" operator="lessThan">
      <formula>100</formula>
    </cfRule>
  </conditionalFormatting>
  <conditionalFormatting sqref="Q4:Q56">
    <cfRule type="cellIs" dxfId="423" priority="7" operator="lessThan">
      <formula>100</formula>
    </cfRule>
  </conditionalFormatting>
  <pageMargins left="0.7" right="0.7" top="0.75" bottom="0.75" header="0" footer="0"/>
  <pageSetup orientation="portrait"/>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23.332031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Info!B1:BJ5000""),4,FALSE),"""")"),"Washable Waterproof Mattress Sheet Protector 2 Pack - 34x36 inches Tuck-In Bed Pads")</f>
        <v>Washable Waterproof Mattress Sheet Protector 2 Pack - 34x36 inches Tuck-In Bed Pads</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Info!B1:BJ5000""),3,FALSE),"""")"),"B07N1X825J")</f>
        <v>B07N1X825J</v>
      </c>
      <c r="B2" s="4" t="s">
        <v>564</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43.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18.907975465057767</v>
      </c>
      <c r="D3" s="8">
        <f>SUM(D4:D99819)</f>
        <v>783</v>
      </c>
      <c r="E3" s="8"/>
      <c r="F3" s="9">
        <f t="shared" ref="F3:G3" si="0">SUM(F4:F99819)</f>
        <v>18073.21</v>
      </c>
      <c r="G3" s="9">
        <f t="shared" si="0"/>
        <v>-249.35</v>
      </c>
      <c r="H3" s="10">
        <f t="shared" ref="H3:H39" si="1">G3/F3*-1</f>
        <v>1.3796663680663259E-2</v>
      </c>
      <c r="I3" s="11">
        <f t="shared" ref="I3:I39" si="2">J3/F3</f>
        <v>8.7234401046352383E-2</v>
      </c>
      <c r="J3" s="9">
        <f>SUM(J4:J99819)</f>
        <v>1576.6056493349463</v>
      </c>
      <c r="K3" s="9">
        <f t="shared" ref="K3:K39" si="3">J3/D3</f>
        <v>2.0135448905938009</v>
      </c>
      <c r="L3" s="8"/>
      <c r="M3" s="12"/>
      <c r="N3" s="13"/>
      <c r="O3" s="8" t="str">
        <f ca="1">IFERROR(__xludf.DUMMYFUNCTION("IFERROR(VLOOKUP(B2,IMPORTRANGE(""https://docs.google.com/spreadsheets/d/1owCo6kL_VFQ5nPTdNogErmCBLjNiktT1m3SzTrxu3R0/edit#gid=2146806407"",""Second Star - Compiled!b1:g5000""),2,FALSE),"""")"),"4 - March
4 - April
4 - May
4 - Jun
4 - Jul
4 - Aug
4 - Sept
4 - Oct
4 - Nov
4 - Dec
4 - Jan
4 - Feb")</f>
        <v>4 - March
4 - April
4 - May
4 - Jun
4 - Jul
4 - Aug
4 - Sept
4 - Oct
4 - Nov
4 - Dec
4 - Jan
4 - Feb</v>
      </c>
      <c r="P3" s="8"/>
      <c r="Q3" s="14"/>
      <c r="R3" s="13"/>
      <c r="S3" s="13"/>
      <c r="T3" s="13"/>
      <c r="U3" s="8">
        <f>SUM(U4:U99819)</f>
        <v>21</v>
      </c>
      <c r="V3" s="10">
        <f>AVERAGE(V4:V99819)</f>
        <v>2.5832828705939441E-2</v>
      </c>
      <c r="W3" s="9">
        <f>ROUND(AVERAGE(W4:W99819),2)</f>
        <v>1.17</v>
      </c>
      <c r="X3" s="8"/>
      <c r="Y3" s="8"/>
      <c r="Z3" s="8"/>
      <c r="AA3" s="8"/>
      <c r="AB3" s="8"/>
      <c r="AC3" s="15"/>
      <c r="AD3" s="9"/>
      <c r="AE3" s="9">
        <f>SUM(AE4:AE99819)</f>
        <v>0</v>
      </c>
      <c r="AF3" s="16"/>
    </row>
    <row r="4" spans="1:32" s="57" customFormat="1">
      <c r="A4" s="17" t="s">
        <v>48</v>
      </c>
      <c r="B4" s="17"/>
      <c r="C4" s="50">
        <v>27.99</v>
      </c>
      <c r="D4" s="51">
        <v>24</v>
      </c>
      <c r="E4" s="51">
        <v>0</v>
      </c>
      <c r="F4" s="51">
        <v>671.76</v>
      </c>
      <c r="G4" s="51">
        <v>0</v>
      </c>
      <c r="H4" s="51">
        <f t="shared" si="1"/>
        <v>0</v>
      </c>
      <c r="I4" s="51">
        <f t="shared" si="2"/>
        <v>0.24897040081326738</v>
      </c>
      <c r="J4" s="51">
        <f t="shared" ref="J4:J38" si="4">F4*0.85+G4+AD4*D4+D4*AC4+AE4+AB4</f>
        <v>167.2483564503205</v>
      </c>
      <c r="K4" s="51">
        <f t="shared" si="3"/>
        <v>6.9686815187633542</v>
      </c>
      <c r="L4" s="51">
        <v>125</v>
      </c>
      <c r="M4" s="51">
        <f t="shared" ref="M4:M39" si="5">IFERROR(D4/L4,"-")</f>
        <v>0.192</v>
      </c>
      <c r="N4" s="51">
        <v>99</v>
      </c>
      <c r="O4" s="51">
        <f t="shared" ref="O4:P4" si="6">D4/7</f>
        <v>3.4285714285714284</v>
      </c>
      <c r="P4" s="51">
        <f t="shared" si="6"/>
        <v>0</v>
      </c>
      <c r="Q4" s="51">
        <f t="shared" ref="Q4:Q39" si="7">ROUNDDOWN(N4/(O4+P4),0)</f>
        <v>28</v>
      </c>
      <c r="R4" s="52">
        <v>15</v>
      </c>
      <c r="S4" s="53" t="s">
        <v>34</v>
      </c>
      <c r="T4" s="54" t="s">
        <v>34</v>
      </c>
      <c r="U4" s="52">
        <v>0</v>
      </c>
      <c r="V4" s="55">
        <f t="shared" ref="V4:V39" si="8">IFERROR(U4/D4,0)</f>
        <v>0</v>
      </c>
      <c r="W4" s="55">
        <f t="shared" ref="W4:W39" si="9">IFERROR(G4/(U4+X4)*-1,0)</f>
        <v>0</v>
      </c>
      <c r="X4" s="52">
        <v>0</v>
      </c>
      <c r="Y4" s="56" t="s">
        <v>35</v>
      </c>
      <c r="Z4" s="56">
        <f t="shared" ref="Z4:Z10" si="10">IF(OR(Y4="UsLargeStandardSize",Y4="UsSmallStandardSize"),-0.69,-0.48)</f>
        <v>-0.69</v>
      </c>
      <c r="AA4" s="55">
        <v>0.19326388888888885</v>
      </c>
      <c r="AB4" s="55">
        <f t="shared" ref="AB4:AB17" si="11">IFERROR((Z4*AA4*N4)/4,0)</f>
        <v>-3.3004640624999988</v>
      </c>
      <c r="AC4" s="55">
        <v>-5.26</v>
      </c>
      <c r="AD4" s="55">
        <v>-11.425299145299144</v>
      </c>
      <c r="AE4" s="55">
        <v>0</v>
      </c>
      <c r="AF4" s="55"/>
    </row>
    <row r="5" spans="1:32" s="57" customFormat="1" ht="15.75" customHeight="1">
      <c r="A5" s="2" t="s">
        <v>49</v>
      </c>
      <c r="B5" s="2" t="s">
        <v>565</v>
      </c>
      <c r="C5" s="51">
        <v>27.99</v>
      </c>
      <c r="D5" s="51">
        <v>13</v>
      </c>
      <c r="E5" s="51">
        <v>0</v>
      </c>
      <c r="F5" s="51">
        <v>363.87000000000006</v>
      </c>
      <c r="G5" s="51">
        <v>-0.02</v>
      </c>
      <c r="H5" s="51">
        <f t="shared" si="1"/>
        <v>5.4964685189765566E-5</v>
      </c>
      <c r="I5" s="51">
        <f t="shared" si="2"/>
        <v>0.24539949211104103</v>
      </c>
      <c r="J5" s="51">
        <f t="shared" si="4"/>
        <v>89.293513194444515</v>
      </c>
      <c r="K5" s="51">
        <f t="shared" si="3"/>
        <v>6.8687317841880393</v>
      </c>
      <c r="L5" s="51">
        <v>132</v>
      </c>
      <c r="M5" s="51">
        <f t="shared" si="5"/>
        <v>9.8484848484848481E-2</v>
      </c>
      <c r="N5" s="51">
        <v>92</v>
      </c>
      <c r="O5" s="51">
        <f t="shared" ref="O5:P5" si="12">D5/7</f>
        <v>1.8571428571428572</v>
      </c>
      <c r="P5" s="51">
        <f t="shared" si="12"/>
        <v>0</v>
      </c>
      <c r="Q5" s="51">
        <f t="shared" si="7"/>
        <v>49</v>
      </c>
      <c r="R5" s="55">
        <v>15</v>
      </c>
      <c r="S5" s="53" t="s">
        <v>34</v>
      </c>
      <c r="T5" s="54" t="s">
        <v>34</v>
      </c>
      <c r="U5" s="55">
        <v>0</v>
      </c>
      <c r="V5" s="55">
        <f t="shared" si="8"/>
        <v>0</v>
      </c>
      <c r="W5" s="55">
        <f t="shared" si="9"/>
        <v>0</v>
      </c>
      <c r="X5" s="55">
        <v>0</v>
      </c>
      <c r="Y5" s="55" t="s">
        <v>35</v>
      </c>
      <c r="Z5" s="56">
        <f t="shared" si="10"/>
        <v>-0.69</v>
      </c>
      <c r="AA5" s="55">
        <v>0.19326388888888885</v>
      </c>
      <c r="AB5" s="55">
        <f t="shared" si="11"/>
        <v>-3.0670979166666656</v>
      </c>
      <c r="AC5" s="55">
        <v>-5.26</v>
      </c>
      <c r="AD5" s="55">
        <v>-11.425299145299144</v>
      </c>
      <c r="AE5" s="55">
        <v>0</v>
      </c>
      <c r="AF5" s="55"/>
    </row>
    <row r="6" spans="1:32" s="57" customFormat="1" ht="15.75" customHeight="1">
      <c r="A6" s="2" t="s">
        <v>51</v>
      </c>
      <c r="B6" s="2" t="s">
        <v>566</v>
      </c>
      <c r="C6" s="51">
        <v>27.99</v>
      </c>
      <c r="D6" s="51">
        <v>19</v>
      </c>
      <c r="E6" s="51">
        <v>0</v>
      </c>
      <c r="F6" s="51">
        <v>531.81000000000006</v>
      </c>
      <c r="G6" s="51">
        <v>0</v>
      </c>
      <c r="H6" s="51">
        <f t="shared" si="1"/>
        <v>0</v>
      </c>
      <c r="I6" s="51">
        <f t="shared" si="2"/>
        <v>0.24949541148339252</v>
      </c>
      <c r="J6" s="51">
        <f t="shared" si="4"/>
        <v>132.68415478098299</v>
      </c>
      <c r="K6" s="51">
        <f t="shared" si="3"/>
        <v>6.9833765674201578</v>
      </c>
      <c r="L6" s="51">
        <v>135</v>
      </c>
      <c r="M6" s="51">
        <f t="shared" si="5"/>
        <v>0.14074074074074075</v>
      </c>
      <c r="N6" s="51">
        <v>70</v>
      </c>
      <c r="O6" s="51">
        <f t="shared" ref="O6:P6" si="13">D6/7</f>
        <v>2.7142857142857144</v>
      </c>
      <c r="P6" s="51">
        <f t="shared" si="13"/>
        <v>0</v>
      </c>
      <c r="Q6" s="51">
        <f t="shared" si="7"/>
        <v>25</v>
      </c>
      <c r="R6" s="55">
        <v>84</v>
      </c>
      <c r="S6" s="53" t="s">
        <v>34</v>
      </c>
      <c r="T6" s="54" t="s">
        <v>34</v>
      </c>
      <c r="U6" s="55">
        <v>0</v>
      </c>
      <c r="V6" s="55">
        <f t="shared" si="8"/>
        <v>0</v>
      </c>
      <c r="W6" s="55">
        <f t="shared" si="9"/>
        <v>0</v>
      </c>
      <c r="X6" s="55">
        <v>0</v>
      </c>
      <c r="Y6" s="55" t="s">
        <v>35</v>
      </c>
      <c r="Z6" s="56">
        <f t="shared" si="10"/>
        <v>-0.69</v>
      </c>
      <c r="AA6" s="55">
        <v>0.19326388888888885</v>
      </c>
      <c r="AB6" s="55">
        <f t="shared" si="11"/>
        <v>-2.3336614583333324</v>
      </c>
      <c r="AC6" s="55">
        <v>-5.26</v>
      </c>
      <c r="AD6" s="55">
        <v>-11.425299145299144</v>
      </c>
      <c r="AE6" s="55">
        <v>0</v>
      </c>
      <c r="AF6" s="55"/>
    </row>
    <row r="7" spans="1:32" s="57" customFormat="1" ht="15.75" customHeight="1">
      <c r="A7" s="2" t="s">
        <v>53</v>
      </c>
      <c r="B7" s="2"/>
      <c r="C7" s="51">
        <v>27.99</v>
      </c>
      <c r="D7" s="51">
        <v>14</v>
      </c>
      <c r="E7" s="51">
        <v>0</v>
      </c>
      <c r="F7" s="51">
        <v>391.86000000000007</v>
      </c>
      <c r="G7" s="51">
        <v>0</v>
      </c>
      <c r="H7" s="51">
        <f t="shared" si="1"/>
        <v>0</v>
      </c>
      <c r="I7" s="51">
        <f t="shared" si="2"/>
        <v>0.24860882630058026</v>
      </c>
      <c r="J7" s="51">
        <f t="shared" si="4"/>
        <v>97.419854674145398</v>
      </c>
      <c r="K7" s="51">
        <f t="shared" si="3"/>
        <v>6.9585610481532427</v>
      </c>
      <c r="L7" s="51">
        <v>89</v>
      </c>
      <c r="M7" s="51">
        <f t="shared" si="5"/>
        <v>0.15730337078651685</v>
      </c>
      <c r="N7" s="51">
        <v>62</v>
      </c>
      <c r="O7" s="51">
        <f t="shared" ref="O7:P7" si="14">D7/7</f>
        <v>2</v>
      </c>
      <c r="P7" s="51">
        <f t="shared" si="14"/>
        <v>0</v>
      </c>
      <c r="Q7" s="51">
        <f t="shared" si="7"/>
        <v>31</v>
      </c>
      <c r="R7" s="55">
        <v>84</v>
      </c>
      <c r="S7" s="53" t="s">
        <v>34</v>
      </c>
      <c r="T7" s="54" t="s">
        <v>34</v>
      </c>
      <c r="U7" s="55">
        <v>0</v>
      </c>
      <c r="V7" s="55">
        <f t="shared" si="8"/>
        <v>0</v>
      </c>
      <c r="W7" s="55">
        <f t="shared" si="9"/>
        <v>0</v>
      </c>
      <c r="X7" s="55">
        <v>0</v>
      </c>
      <c r="Y7" s="55" t="s">
        <v>35</v>
      </c>
      <c r="Z7" s="56">
        <f t="shared" si="10"/>
        <v>-0.69</v>
      </c>
      <c r="AA7" s="55">
        <v>0.19326388888888885</v>
      </c>
      <c r="AB7" s="55">
        <f t="shared" si="11"/>
        <v>-2.0669572916666659</v>
      </c>
      <c r="AC7" s="55">
        <v>-5.26</v>
      </c>
      <c r="AD7" s="55">
        <v>-11.425299145299144</v>
      </c>
      <c r="AE7" s="55">
        <v>0</v>
      </c>
      <c r="AF7" s="55"/>
    </row>
    <row r="8" spans="1:32" s="57" customFormat="1" ht="15.75" customHeight="1">
      <c r="A8" s="2" t="s">
        <v>54</v>
      </c>
      <c r="B8" s="2" t="s">
        <v>567</v>
      </c>
      <c r="C8" s="51">
        <v>27.99</v>
      </c>
      <c r="D8" s="51">
        <v>8</v>
      </c>
      <c r="E8" s="51">
        <v>0</v>
      </c>
      <c r="F8" s="51">
        <v>223.92000000000002</v>
      </c>
      <c r="G8" s="51">
        <v>0</v>
      </c>
      <c r="H8" s="51">
        <f t="shared" si="1"/>
        <v>0</v>
      </c>
      <c r="I8" s="51">
        <f t="shared" si="2"/>
        <v>0.23423092214901245</v>
      </c>
      <c r="J8" s="51">
        <f t="shared" si="4"/>
        <v>52.448988087606871</v>
      </c>
      <c r="K8" s="51">
        <f t="shared" si="3"/>
        <v>6.5561235109508589</v>
      </c>
      <c r="L8" s="51">
        <v>63</v>
      </c>
      <c r="M8" s="51">
        <f t="shared" si="5"/>
        <v>0.12698412698412698</v>
      </c>
      <c r="N8" s="51">
        <v>132</v>
      </c>
      <c r="O8" s="51">
        <f t="shared" ref="O8:P8" si="15">D8/7</f>
        <v>1.1428571428571428</v>
      </c>
      <c r="P8" s="51">
        <f t="shared" si="15"/>
        <v>0</v>
      </c>
      <c r="Q8" s="51">
        <f t="shared" si="7"/>
        <v>115</v>
      </c>
      <c r="R8" s="55">
        <v>84</v>
      </c>
      <c r="S8" s="53">
        <v>84</v>
      </c>
      <c r="T8" s="54">
        <v>43865</v>
      </c>
      <c r="U8" s="55">
        <v>0</v>
      </c>
      <c r="V8" s="55">
        <f t="shared" si="8"/>
        <v>0</v>
      </c>
      <c r="W8" s="55">
        <f t="shared" si="9"/>
        <v>0</v>
      </c>
      <c r="X8" s="55">
        <v>0</v>
      </c>
      <c r="Y8" s="55" t="s">
        <v>35</v>
      </c>
      <c r="Z8" s="56">
        <f t="shared" si="10"/>
        <v>-0.69</v>
      </c>
      <c r="AA8" s="55">
        <v>0.19326388888888885</v>
      </c>
      <c r="AB8" s="55">
        <f t="shared" si="11"/>
        <v>-4.4006187499999987</v>
      </c>
      <c r="AC8" s="55">
        <v>-5.26</v>
      </c>
      <c r="AD8" s="55">
        <v>-11.425299145299144</v>
      </c>
      <c r="AE8" s="55">
        <v>0</v>
      </c>
      <c r="AF8" s="55"/>
    </row>
    <row r="9" spans="1:32" s="57" customFormat="1" ht="15.75" customHeight="1">
      <c r="A9" s="2" t="s">
        <v>56</v>
      </c>
      <c r="B9" s="2" t="s">
        <v>568</v>
      </c>
      <c r="C9" s="51">
        <v>26.99</v>
      </c>
      <c r="D9" s="51">
        <v>7</v>
      </c>
      <c r="E9" s="51">
        <v>0</v>
      </c>
      <c r="F9" s="51">
        <v>194.93</v>
      </c>
      <c r="G9" s="51">
        <v>0</v>
      </c>
      <c r="H9" s="51">
        <f t="shared" si="1"/>
        <v>0</v>
      </c>
      <c r="I9" s="51">
        <f t="shared" si="2"/>
        <v>0.2285921267869116</v>
      </c>
      <c r="J9" s="51">
        <f t="shared" si="4"/>
        <v>44.559463274572678</v>
      </c>
      <c r="K9" s="51">
        <f t="shared" si="3"/>
        <v>6.3656376106532395</v>
      </c>
      <c r="L9" s="51">
        <v>69</v>
      </c>
      <c r="M9" s="51">
        <f t="shared" si="5"/>
        <v>0.10144927536231885</v>
      </c>
      <c r="N9" s="51">
        <v>130</v>
      </c>
      <c r="O9" s="51">
        <f t="shared" ref="O9:P9" si="16">D9/7</f>
        <v>1</v>
      </c>
      <c r="P9" s="51">
        <f t="shared" si="16"/>
        <v>0</v>
      </c>
      <c r="Q9" s="51">
        <f t="shared" si="7"/>
        <v>130</v>
      </c>
      <c r="R9" s="55">
        <v>96</v>
      </c>
      <c r="S9" s="53" t="s">
        <v>34</v>
      </c>
      <c r="T9" s="54" t="s">
        <v>34</v>
      </c>
      <c r="U9" s="55">
        <v>0</v>
      </c>
      <c r="V9" s="55">
        <f t="shared" si="8"/>
        <v>0</v>
      </c>
      <c r="W9" s="55">
        <f t="shared" si="9"/>
        <v>0</v>
      </c>
      <c r="X9" s="55">
        <v>0</v>
      </c>
      <c r="Y9" s="55" t="s">
        <v>35</v>
      </c>
      <c r="Z9" s="56">
        <f t="shared" si="10"/>
        <v>-0.69</v>
      </c>
      <c r="AA9" s="55">
        <v>0.19326388888888885</v>
      </c>
      <c r="AB9" s="55">
        <f t="shared" si="11"/>
        <v>-4.333942708333332</v>
      </c>
      <c r="AC9" s="55">
        <v>-5.26</v>
      </c>
      <c r="AD9" s="55">
        <v>-11.425299145299144</v>
      </c>
      <c r="AE9" s="55">
        <v>0</v>
      </c>
      <c r="AF9" s="55"/>
    </row>
    <row r="10" spans="1:32" s="57" customFormat="1" ht="15.75" customHeight="1">
      <c r="A10" s="2" t="s">
        <v>58</v>
      </c>
      <c r="B10" s="2" t="s">
        <v>569</v>
      </c>
      <c r="C10" s="51">
        <v>26.99</v>
      </c>
      <c r="D10" s="51">
        <v>7</v>
      </c>
      <c r="E10" s="51">
        <v>0</v>
      </c>
      <c r="F10" s="51">
        <v>188.93</v>
      </c>
      <c r="G10" s="51">
        <v>-6.49</v>
      </c>
      <c r="H10" s="51">
        <f t="shared" si="1"/>
        <v>3.4351347059757585E-2</v>
      </c>
      <c r="I10" s="51">
        <f t="shared" si="2"/>
        <v>0.17662372055561659</v>
      </c>
      <c r="J10" s="51">
        <f t="shared" si="4"/>
        <v>33.369519524572645</v>
      </c>
      <c r="K10" s="51">
        <f t="shared" si="3"/>
        <v>4.7670742177960923</v>
      </c>
      <c r="L10" s="51">
        <v>82</v>
      </c>
      <c r="M10" s="51">
        <f t="shared" si="5"/>
        <v>8.5365853658536592E-2</v>
      </c>
      <c r="N10" s="51">
        <v>118</v>
      </c>
      <c r="O10" s="51">
        <f t="shared" ref="O10:P10" si="17">D10/7</f>
        <v>1</v>
      </c>
      <c r="P10" s="51">
        <f t="shared" si="17"/>
        <v>0</v>
      </c>
      <c r="Q10" s="51">
        <f t="shared" si="7"/>
        <v>118</v>
      </c>
      <c r="R10" s="55">
        <v>96</v>
      </c>
      <c r="S10" s="53" t="s">
        <v>34</v>
      </c>
      <c r="T10" s="54" t="s">
        <v>34</v>
      </c>
      <c r="U10" s="55">
        <v>0</v>
      </c>
      <c r="V10" s="55">
        <f t="shared" si="8"/>
        <v>0</v>
      </c>
      <c r="W10" s="55">
        <f t="shared" si="9"/>
        <v>0</v>
      </c>
      <c r="X10" s="55">
        <v>0</v>
      </c>
      <c r="Y10" s="55" t="s">
        <v>35</v>
      </c>
      <c r="Z10" s="56">
        <f t="shared" si="10"/>
        <v>-0.69</v>
      </c>
      <c r="AA10" s="55">
        <v>0.19326388888888885</v>
      </c>
      <c r="AB10" s="55">
        <f t="shared" si="11"/>
        <v>-3.9338864583333319</v>
      </c>
      <c r="AC10" s="55">
        <v>-5.26</v>
      </c>
      <c r="AD10" s="55">
        <v>-11.425299145299144</v>
      </c>
      <c r="AE10" s="55">
        <v>0</v>
      </c>
      <c r="AF10" s="55"/>
    </row>
    <row r="11" spans="1:32" s="57" customFormat="1" ht="15.75" customHeight="1">
      <c r="A11" s="2" t="s">
        <v>60</v>
      </c>
      <c r="B11" s="2" t="s">
        <v>570</v>
      </c>
      <c r="C11" s="51">
        <v>28.99</v>
      </c>
      <c r="D11" s="51">
        <v>12</v>
      </c>
      <c r="E11" s="51">
        <v>0</v>
      </c>
      <c r="F11" s="51">
        <v>323.88000000000005</v>
      </c>
      <c r="G11" s="51">
        <v>-11.870000000000001</v>
      </c>
      <c r="H11" s="51">
        <f t="shared" si="1"/>
        <v>3.6649376312214398E-2</v>
      </c>
      <c r="I11" s="51">
        <f t="shared" si="2"/>
        <v>0.17668849138490691</v>
      </c>
      <c r="J11" s="51">
        <f t="shared" si="4"/>
        <v>57.225868589743662</v>
      </c>
      <c r="K11" s="51">
        <f t="shared" si="3"/>
        <v>4.7688223824786382</v>
      </c>
      <c r="L11" s="51">
        <v>86</v>
      </c>
      <c r="M11" s="51">
        <f t="shared" si="5"/>
        <v>0.13953488372093023</v>
      </c>
      <c r="N11" s="51">
        <v>112</v>
      </c>
      <c r="O11" s="51">
        <f t="shared" ref="O11:P11" si="18">D11/7</f>
        <v>1.7142857142857142</v>
      </c>
      <c r="P11" s="51">
        <f t="shared" si="18"/>
        <v>0</v>
      </c>
      <c r="Q11" s="51">
        <f t="shared" si="7"/>
        <v>65</v>
      </c>
      <c r="R11" s="55">
        <v>180</v>
      </c>
      <c r="S11" s="53" t="s">
        <v>34</v>
      </c>
      <c r="T11" s="54" t="s">
        <v>34</v>
      </c>
      <c r="U11" s="55">
        <v>0</v>
      </c>
      <c r="V11" s="55">
        <f t="shared" si="8"/>
        <v>0</v>
      </c>
      <c r="W11" s="55">
        <f t="shared" si="9"/>
        <v>0</v>
      </c>
      <c r="X11" s="55">
        <v>0</v>
      </c>
      <c r="Y11" s="55" t="s">
        <v>35</v>
      </c>
      <c r="Z11" s="56">
        <f t="shared" ref="Z11:Z39" si="19">IF(OR(Y11="UsLargeStandardSize",Y11="UsSmallStandardSize"),-0.75,-0.48)</f>
        <v>-0.75</v>
      </c>
      <c r="AA11" s="55">
        <v>0.19326388888888885</v>
      </c>
      <c r="AB11" s="55">
        <f t="shared" si="11"/>
        <v>-4.0585416666666649</v>
      </c>
      <c r="AC11" s="55">
        <v>-5.42</v>
      </c>
      <c r="AD11" s="55">
        <v>-11.425299145299144</v>
      </c>
      <c r="AE11" s="55">
        <v>0</v>
      </c>
      <c r="AF11" s="55"/>
    </row>
    <row r="12" spans="1:32" s="57" customFormat="1" ht="15.75" customHeight="1">
      <c r="A12" s="2" t="s">
        <v>62</v>
      </c>
      <c r="B12" s="2" t="s">
        <v>571</v>
      </c>
      <c r="C12" s="51">
        <v>28.99</v>
      </c>
      <c r="D12" s="51">
        <v>9</v>
      </c>
      <c r="E12" s="51">
        <v>0</v>
      </c>
      <c r="F12" s="51">
        <v>229.91000000000003</v>
      </c>
      <c r="G12" s="51">
        <v>0</v>
      </c>
      <c r="H12" s="51">
        <f t="shared" si="1"/>
        <v>0</v>
      </c>
      <c r="I12" s="51">
        <f t="shared" si="2"/>
        <v>0.1748167099110132</v>
      </c>
      <c r="J12" s="51">
        <f t="shared" si="4"/>
        <v>40.19210977564105</v>
      </c>
      <c r="K12" s="51">
        <f t="shared" si="3"/>
        <v>4.4657899750712282</v>
      </c>
      <c r="L12" s="51">
        <v>88</v>
      </c>
      <c r="M12" s="51">
        <f t="shared" si="5"/>
        <v>0.10227272727272728</v>
      </c>
      <c r="N12" s="51">
        <v>100</v>
      </c>
      <c r="O12" s="51">
        <f t="shared" ref="O12:P12" si="20">D12/7</f>
        <v>1.2857142857142858</v>
      </c>
      <c r="P12" s="51">
        <f t="shared" si="20"/>
        <v>0</v>
      </c>
      <c r="Q12" s="51">
        <f t="shared" si="7"/>
        <v>77</v>
      </c>
      <c r="R12" s="55">
        <v>180</v>
      </c>
      <c r="S12" s="53">
        <v>96</v>
      </c>
      <c r="T12" s="54">
        <v>43896</v>
      </c>
      <c r="U12" s="55">
        <v>0</v>
      </c>
      <c r="V12" s="55">
        <f t="shared" si="8"/>
        <v>0</v>
      </c>
      <c r="W12" s="55">
        <f t="shared" si="9"/>
        <v>0</v>
      </c>
      <c r="X12" s="55">
        <v>0</v>
      </c>
      <c r="Y12" s="55" t="s">
        <v>35</v>
      </c>
      <c r="Z12" s="56">
        <f t="shared" si="19"/>
        <v>-0.75</v>
      </c>
      <c r="AA12" s="55">
        <v>0.19326388888888885</v>
      </c>
      <c r="AB12" s="55">
        <f t="shared" si="11"/>
        <v>-3.6236979166666656</v>
      </c>
      <c r="AC12" s="55">
        <v>-5.42</v>
      </c>
      <c r="AD12" s="55">
        <v>-11.425299145299144</v>
      </c>
      <c r="AE12" s="55">
        <v>0</v>
      </c>
      <c r="AF12" s="55"/>
    </row>
    <row r="13" spans="1:32" s="57" customFormat="1" ht="15.75" customHeight="1">
      <c r="A13" s="2" t="s">
        <v>63</v>
      </c>
      <c r="B13" s="2" t="s">
        <v>572</v>
      </c>
      <c r="C13" s="51">
        <v>27.99</v>
      </c>
      <c r="D13" s="51">
        <v>7</v>
      </c>
      <c r="E13" s="51">
        <v>0</v>
      </c>
      <c r="F13" s="51">
        <v>197.93</v>
      </c>
      <c r="G13" s="51">
        <v>0</v>
      </c>
      <c r="H13" s="51">
        <f t="shared" si="1"/>
        <v>0</v>
      </c>
      <c r="I13" s="51">
        <f t="shared" si="2"/>
        <v>0.23685592361982855</v>
      </c>
      <c r="J13" s="51">
        <f t="shared" si="4"/>
        <v>46.880892962072664</v>
      </c>
      <c r="K13" s="51">
        <f t="shared" si="3"/>
        <v>6.6972704231532374</v>
      </c>
      <c r="L13" s="51">
        <v>94</v>
      </c>
      <c r="M13" s="51">
        <f t="shared" si="5"/>
        <v>7.4468085106382975E-2</v>
      </c>
      <c r="N13" s="51">
        <v>95</v>
      </c>
      <c r="O13" s="51">
        <f t="shared" ref="O13:P13" si="21">D13/7</f>
        <v>1</v>
      </c>
      <c r="P13" s="51">
        <f t="shared" si="21"/>
        <v>0</v>
      </c>
      <c r="Q13" s="51">
        <f t="shared" si="7"/>
        <v>95</v>
      </c>
      <c r="R13" s="55">
        <v>84</v>
      </c>
      <c r="S13" s="53" t="s">
        <v>34</v>
      </c>
      <c r="T13" s="54" t="s">
        <v>34</v>
      </c>
      <c r="U13" s="55">
        <v>0</v>
      </c>
      <c r="V13" s="55">
        <f t="shared" si="8"/>
        <v>0</v>
      </c>
      <c r="W13" s="55">
        <f t="shared" si="9"/>
        <v>0</v>
      </c>
      <c r="X13" s="55">
        <v>0</v>
      </c>
      <c r="Y13" s="55" t="s">
        <v>35</v>
      </c>
      <c r="Z13" s="56">
        <f t="shared" si="19"/>
        <v>-0.75</v>
      </c>
      <c r="AA13" s="55">
        <v>0.19326388888888885</v>
      </c>
      <c r="AB13" s="55">
        <f t="shared" si="11"/>
        <v>-3.4425130208333323</v>
      </c>
      <c r="AC13" s="55">
        <v>-5.42</v>
      </c>
      <c r="AD13" s="55">
        <v>-11.425299145299144</v>
      </c>
      <c r="AE13" s="55">
        <v>0</v>
      </c>
      <c r="AF13" s="55"/>
    </row>
    <row r="14" spans="1:32" s="57" customFormat="1" ht="15.75" customHeight="1">
      <c r="A14" s="2" t="s">
        <v>64</v>
      </c>
      <c r="B14" s="2"/>
      <c r="C14" s="51">
        <v>26.99</v>
      </c>
      <c r="D14" s="51">
        <v>14</v>
      </c>
      <c r="E14" s="51">
        <v>0</v>
      </c>
      <c r="F14" s="51">
        <v>387.86000000000007</v>
      </c>
      <c r="G14" s="51">
        <v>0</v>
      </c>
      <c r="H14" s="51">
        <f t="shared" si="1"/>
        <v>0</v>
      </c>
      <c r="I14" s="51">
        <f t="shared" si="2"/>
        <v>0.2260777742161571</v>
      </c>
      <c r="J14" s="51">
        <f t="shared" si="4"/>
        <v>87.686525507478706</v>
      </c>
      <c r="K14" s="51">
        <f t="shared" si="3"/>
        <v>6.2633232505341931</v>
      </c>
      <c r="L14" s="51">
        <v>83</v>
      </c>
      <c r="M14" s="51">
        <f t="shared" si="5"/>
        <v>0.16867469879518071</v>
      </c>
      <c r="N14" s="51">
        <v>170</v>
      </c>
      <c r="O14" s="51">
        <f t="shared" ref="O14:P14" si="22">D14/7</f>
        <v>2</v>
      </c>
      <c r="P14" s="51">
        <f t="shared" si="22"/>
        <v>0</v>
      </c>
      <c r="Q14" s="51">
        <f t="shared" si="7"/>
        <v>85</v>
      </c>
      <c r="R14" s="55">
        <v>84</v>
      </c>
      <c r="S14" s="53" t="s">
        <v>34</v>
      </c>
      <c r="T14" s="54" t="s">
        <v>34</v>
      </c>
      <c r="U14" s="55">
        <v>0</v>
      </c>
      <c r="V14" s="55">
        <f t="shared" si="8"/>
        <v>0</v>
      </c>
      <c r="W14" s="55">
        <f t="shared" si="9"/>
        <v>0</v>
      </c>
      <c r="X14" s="55">
        <v>0</v>
      </c>
      <c r="Y14" s="55" t="s">
        <v>35</v>
      </c>
      <c r="Z14" s="56">
        <f t="shared" si="19"/>
        <v>-0.75</v>
      </c>
      <c r="AA14" s="55">
        <v>0.19326388888888885</v>
      </c>
      <c r="AB14" s="55">
        <f t="shared" si="11"/>
        <v>-6.1602864583333314</v>
      </c>
      <c r="AC14" s="55">
        <v>-5.42</v>
      </c>
      <c r="AD14" s="55">
        <v>-11.425299145299144</v>
      </c>
      <c r="AE14" s="55">
        <v>0</v>
      </c>
      <c r="AF14" s="55"/>
    </row>
    <row r="15" spans="1:32" s="57" customFormat="1" ht="15.75" customHeight="1">
      <c r="A15" s="2" t="s">
        <v>65</v>
      </c>
      <c r="B15" s="2" t="s">
        <v>45</v>
      </c>
      <c r="C15" s="51">
        <v>26.99</v>
      </c>
      <c r="D15" s="51">
        <v>10</v>
      </c>
      <c r="E15" s="51">
        <v>0</v>
      </c>
      <c r="F15" s="51">
        <v>270.90000000000003</v>
      </c>
      <c r="G15" s="51">
        <v>0</v>
      </c>
      <c r="H15" s="51">
        <f t="shared" si="1"/>
        <v>0</v>
      </c>
      <c r="I15" s="51">
        <f t="shared" si="2"/>
        <v>0.20583400895598095</v>
      </c>
      <c r="J15" s="51">
        <f t="shared" si="4"/>
        <v>55.760433026175242</v>
      </c>
      <c r="K15" s="51">
        <f t="shared" si="3"/>
        <v>5.5760433026175242</v>
      </c>
      <c r="L15" s="51">
        <v>54</v>
      </c>
      <c r="M15" s="51">
        <f t="shared" si="5"/>
        <v>0.18518518518518517</v>
      </c>
      <c r="N15" s="51">
        <v>167</v>
      </c>
      <c r="O15" s="51">
        <f t="shared" ref="O15:P15" si="23">D15/7</f>
        <v>1.4285714285714286</v>
      </c>
      <c r="P15" s="51">
        <f t="shared" si="23"/>
        <v>0</v>
      </c>
      <c r="Q15" s="51">
        <f t="shared" si="7"/>
        <v>116</v>
      </c>
      <c r="R15" s="55">
        <v>0</v>
      </c>
      <c r="S15" s="53" t="s">
        <v>34</v>
      </c>
      <c r="T15" s="54" t="s">
        <v>34</v>
      </c>
      <c r="U15" s="55">
        <v>0</v>
      </c>
      <c r="V15" s="55">
        <f t="shared" si="8"/>
        <v>0</v>
      </c>
      <c r="W15" s="55">
        <f t="shared" si="9"/>
        <v>0</v>
      </c>
      <c r="X15" s="55">
        <v>0</v>
      </c>
      <c r="Y15" s="55" t="s">
        <v>35</v>
      </c>
      <c r="Z15" s="56">
        <f t="shared" si="19"/>
        <v>-0.75</v>
      </c>
      <c r="AA15" s="55">
        <v>0.19326388888888885</v>
      </c>
      <c r="AB15" s="55">
        <f t="shared" si="11"/>
        <v>-6.0515755208333317</v>
      </c>
      <c r="AC15" s="55">
        <v>-5.42</v>
      </c>
      <c r="AD15" s="55">
        <v>-11.425299145299144</v>
      </c>
      <c r="AE15" s="55">
        <v>0</v>
      </c>
      <c r="AF15" s="55"/>
    </row>
    <row r="16" spans="1:32" s="57" customFormat="1" ht="15.75" customHeight="1">
      <c r="A16" s="2" t="s">
        <v>66</v>
      </c>
      <c r="B16" s="2" t="s">
        <v>573</v>
      </c>
      <c r="C16" s="51">
        <v>26.99</v>
      </c>
      <c r="D16" s="51">
        <v>17</v>
      </c>
      <c r="E16" s="51">
        <v>0</v>
      </c>
      <c r="F16" s="51">
        <v>446.83000000000004</v>
      </c>
      <c r="G16" s="51">
        <v>0</v>
      </c>
      <c r="H16" s="51">
        <f t="shared" si="1"/>
        <v>0</v>
      </c>
      <c r="I16" s="51">
        <f t="shared" si="2"/>
        <v>0.19694261274962424</v>
      </c>
      <c r="J16" s="51">
        <f t="shared" si="4"/>
        <v>87.99986765491461</v>
      </c>
      <c r="K16" s="51">
        <f t="shared" si="3"/>
        <v>5.1764628032302715</v>
      </c>
      <c r="L16" s="51">
        <v>82</v>
      </c>
      <c r="M16" s="51">
        <f t="shared" si="5"/>
        <v>0.2073170731707317</v>
      </c>
      <c r="N16" s="51">
        <v>150</v>
      </c>
      <c r="O16" s="51">
        <f t="shared" ref="O16:P16" si="24">D16/7</f>
        <v>2.4285714285714284</v>
      </c>
      <c r="P16" s="51">
        <f t="shared" si="24"/>
        <v>0</v>
      </c>
      <c r="Q16" s="51">
        <f t="shared" si="7"/>
        <v>61</v>
      </c>
      <c r="R16" s="55">
        <v>0</v>
      </c>
      <c r="S16" s="53" t="s">
        <v>34</v>
      </c>
      <c r="T16" s="54" t="s">
        <v>34</v>
      </c>
      <c r="U16" s="55">
        <v>0</v>
      </c>
      <c r="V16" s="55">
        <f t="shared" si="8"/>
        <v>0</v>
      </c>
      <c r="W16" s="55">
        <f t="shared" si="9"/>
        <v>0</v>
      </c>
      <c r="X16" s="55">
        <v>0</v>
      </c>
      <c r="Y16" s="55" t="s">
        <v>35</v>
      </c>
      <c r="Z16" s="56">
        <f t="shared" si="19"/>
        <v>-0.75</v>
      </c>
      <c r="AA16" s="55">
        <v>0.19326388888888885</v>
      </c>
      <c r="AB16" s="55">
        <f t="shared" si="11"/>
        <v>-5.4355468749999982</v>
      </c>
      <c r="AC16" s="55">
        <v>-5.42</v>
      </c>
      <c r="AD16" s="55">
        <v>-11.425299145299144</v>
      </c>
      <c r="AE16" s="55">
        <v>0</v>
      </c>
      <c r="AF16" s="55"/>
    </row>
    <row r="17" spans="1:32" s="57" customFormat="1" ht="15.75" customHeight="1">
      <c r="A17" s="2" t="s">
        <v>67</v>
      </c>
      <c r="B17" s="2" t="s">
        <v>574</v>
      </c>
      <c r="C17" s="51">
        <v>25.99</v>
      </c>
      <c r="D17" s="51">
        <v>5</v>
      </c>
      <c r="E17" s="51">
        <v>0</v>
      </c>
      <c r="F17" s="51">
        <v>125.94999999999999</v>
      </c>
      <c r="G17" s="51">
        <v>0</v>
      </c>
      <c r="H17" s="51">
        <f t="shared" si="1"/>
        <v>0</v>
      </c>
      <c r="I17" s="51">
        <f t="shared" si="2"/>
        <v>0.14041566678711875</v>
      </c>
      <c r="J17" s="51">
        <f t="shared" si="4"/>
        <v>17.685353231837606</v>
      </c>
      <c r="K17" s="51">
        <f t="shared" si="3"/>
        <v>3.5370706463675212</v>
      </c>
      <c r="L17" s="51">
        <v>82</v>
      </c>
      <c r="M17" s="51">
        <f t="shared" si="5"/>
        <v>6.097560975609756E-2</v>
      </c>
      <c r="N17" s="51">
        <v>142</v>
      </c>
      <c r="O17" s="51">
        <f t="shared" ref="O17:P17" si="25">D17/7</f>
        <v>0.7142857142857143</v>
      </c>
      <c r="P17" s="51">
        <f t="shared" si="25"/>
        <v>0</v>
      </c>
      <c r="Q17" s="51">
        <f t="shared" si="7"/>
        <v>198</v>
      </c>
      <c r="R17" s="55">
        <v>0</v>
      </c>
      <c r="S17" s="53" t="s">
        <v>34</v>
      </c>
      <c r="T17" s="54" t="s">
        <v>34</v>
      </c>
      <c r="U17" s="55">
        <v>0</v>
      </c>
      <c r="V17" s="55">
        <f t="shared" si="8"/>
        <v>0</v>
      </c>
      <c r="W17" s="55">
        <f t="shared" si="9"/>
        <v>0</v>
      </c>
      <c r="X17" s="55">
        <v>0</v>
      </c>
      <c r="Y17" s="55" t="s">
        <v>35</v>
      </c>
      <c r="Z17" s="56">
        <f t="shared" si="19"/>
        <v>-0.75</v>
      </c>
      <c r="AA17" s="55">
        <v>0.19326388888888885</v>
      </c>
      <c r="AB17" s="55">
        <f t="shared" si="11"/>
        <v>-5.1456510416666648</v>
      </c>
      <c r="AC17" s="55">
        <v>-5.42</v>
      </c>
      <c r="AD17" s="55">
        <v>-11.425299145299144</v>
      </c>
      <c r="AE17" s="55">
        <v>0</v>
      </c>
      <c r="AF17" s="55"/>
    </row>
    <row r="18" spans="1:32" s="57" customFormat="1" ht="15.75" customHeight="1">
      <c r="A18" s="2" t="s">
        <v>69</v>
      </c>
      <c r="B18" s="2" t="s">
        <v>575</v>
      </c>
      <c r="C18" s="51">
        <v>24.99</v>
      </c>
      <c r="D18" s="51">
        <v>4</v>
      </c>
      <c r="E18" s="51">
        <v>0</v>
      </c>
      <c r="F18" s="51">
        <v>99.96</v>
      </c>
      <c r="G18" s="51">
        <v>0</v>
      </c>
      <c r="H18" s="51">
        <f t="shared" si="1"/>
        <v>0</v>
      </c>
      <c r="I18" s="51">
        <f t="shared" si="2"/>
        <v>0.15851769126454002</v>
      </c>
      <c r="J18" s="51">
        <f t="shared" si="4"/>
        <v>15.845428418803419</v>
      </c>
      <c r="K18" s="51">
        <f t="shared" si="3"/>
        <v>3.9613571047008547</v>
      </c>
      <c r="L18" s="51">
        <v>88</v>
      </c>
      <c r="M18" s="51">
        <f t="shared" si="5"/>
        <v>4.5454545454545456E-2</v>
      </c>
      <c r="N18" s="51">
        <v>132</v>
      </c>
      <c r="O18" s="51">
        <f t="shared" ref="O18:P18" si="26">D18/7</f>
        <v>0.5714285714285714</v>
      </c>
      <c r="P18" s="51">
        <f t="shared" si="26"/>
        <v>0</v>
      </c>
      <c r="Q18" s="51">
        <f t="shared" si="7"/>
        <v>231</v>
      </c>
      <c r="R18" s="55">
        <v>0</v>
      </c>
      <c r="S18" s="53" t="s">
        <v>34</v>
      </c>
      <c r="T18" s="54" t="s">
        <v>34</v>
      </c>
      <c r="U18" s="55">
        <v>0</v>
      </c>
      <c r="V18" s="55">
        <f t="shared" si="8"/>
        <v>0</v>
      </c>
      <c r="W18" s="55">
        <f t="shared" si="9"/>
        <v>0</v>
      </c>
      <c r="X18" s="55">
        <v>0</v>
      </c>
      <c r="Y18" s="55" t="s">
        <v>35</v>
      </c>
      <c r="Z18" s="56">
        <f t="shared" si="19"/>
        <v>-0.75</v>
      </c>
      <c r="AA18" s="55">
        <v>0.19326388888888885</v>
      </c>
      <c r="AB18" s="58">
        <f t="shared" ref="AB18:AB39" si="27">IFERROR(Z18*AA18*D18*3,0)</f>
        <v>-1.7393749999999994</v>
      </c>
      <c r="AC18" s="55">
        <v>-5.42</v>
      </c>
      <c r="AD18" s="55">
        <v>-11.425299145299144</v>
      </c>
      <c r="AE18" s="55">
        <v>0</v>
      </c>
      <c r="AF18" s="55"/>
    </row>
    <row r="19" spans="1:32" s="57" customFormat="1" ht="15.75" customHeight="1">
      <c r="A19" s="2" t="s">
        <v>71</v>
      </c>
      <c r="B19" s="2" t="s">
        <v>576</v>
      </c>
      <c r="C19" s="51">
        <v>24.99</v>
      </c>
      <c r="D19" s="51">
        <v>21</v>
      </c>
      <c r="E19" s="51">
        <v>0</v>
      </c>
      <c r="F19" s="51">
        <v>511.06000000000012</v>
      </c>
      <c r="G19" s="51">
        <v>0</v>
      </c>
      <c r="H19" s="51">
        <f t="shared" si="1"/>
        <v>0</v>
      </c>
      <c r="I19" s="51">
        <f t="shared" si="2"/>
        <v>0.13994051422282711</v>
      </c>
      <c r="J19" s="51">
        <f t="shared" si="4"/>
        <v>71.51799919871803</v>
      </c>
      <c r="K19" s="51">
        <f t="shared" si="3"/>
        <v>3.4056190094627632</v>
      </c>
      <c r="L19" s="51">
        <v>90</v>
      </c>
      <c r="M19" s="51">
        <f t="shared" si="5"/>
        <v>0.23333333333333334</v>
      </c>
      <c r="N19" s="51">
        <v>119</v>
      </c>
      <c r="O19" s="51">
        <f t="shared" ref="O19:P19" si="28">D19/7</f>
        <v>3</v>
      </c>
      <c r="P19" s="51">
        <f t="shared" si="28"/>
        <v>0</v>
      </c>
      <c r="Q19" s="51">
        <f t="shared" si="7"/>
        <v>39</v>
      </c>
      <c r="R19" s="55">
        <v>0</v>
      </c>
      <c r="S19" s="53" t="s">
        <v>34</v>
      </c>
      <c r="T19" s="54" t="s">
        <v>34</v>
      </c>
      <c r="U19" s="55">
        <v>0</v>
      </c>
      <c r="V19" s="55">
        <f t="shared" si="8"/>
        <v>0</v>
      </c>
      <c r="W19" s="55">
        <f t="shared" si="9"/>
        <v>0</v>
      </c>
      <c r="X19" s="55">
        <v>0</v>
      </c>
      <c r="Y19" s="55" t="s">
        <v>35</v>
      </c>
      <c r="Z19" s="56">
        <f t="shared" si="19"/>
        <v>-0.75</v>
      </c>
      <c r="AA19" s="55">
        <v>0.19326388888888885</v>
      </c>
      <c r="AB19" s="55">
        <f t="shared" si="27"/>
        <v>-9.1317187499999974</v>
      </c>
      <c r="AC19" s="55">
        <v>-5.42</v>
      </c>
      <c r="AD19" s="55">
        <v>-11.425299145299144</v>
      </c>
      <c r="AE19" s="55">
        <v>0</v>
      </c>
      <c r="AF19" s="55"/>
    </row>
    <row r="20" spans="1:32" s="57" customFormat="1" ht="15.75" customHeight="1">
      <c r="A20" s="2" t="s">
        <v>73</v>
      </c>
      <c r="B20" s="2" t="s">
        <v>577</v>
      </c>
      <c r="C20" s="51">
        <v>25.31</v>
      </c>
      <c r="D20" s="51">
        <v>25</v>
      </c>
      <c r="E20" s="51">
        <v>0</v>
      </c>
      <c r="F20" s="51">
        <v>606.4100000000002</v>
      </c>
      <c r="G20" s="51">
        <v>0</v>
      </c>
      <c r="H20" s="51">
        <f t="shared" si="1"/>
        <v>0</v>
      </c>
      <c r="I20" s="51">
        <f t="shared" si="2"/>
        <v>0.137604801400903</v>
      </c>
      <c r="J20" s="51">
        <f t="shared" si="4"/>
        <v>83.444927617521614</v>
      </c>
      <c r="K20" s="51">
        <f t="shared" si="3"/>
        <v>3.3377971047008645</v>
      </c>
      <c r="L20" s="51">
        <v>104</v>
      </c>
      <c r="M20" s="51">
        <f t="shared" si="5"/>
        <v>0.24038461538461539</v>
      </c>
      <c r="N20" s="51">
        <v>75</v>
      </c>
      <c r="O20" s="51">
        <f t="shared" ref="O20:P20" si="29">D20/7</f>
        <v>3.5714285714285716</v>
      </c>
      <c r="P20" s="51">
        <f t="shared" si="29"/>
        <v>0</v>
      </c>
      <c r="Q20" s="51">
        <f t="shared" si="7"/>
        <v>21</v>
      </c>
      <c r="R20" s="55">
        <v>198</v>
      </c>
      <c r="S20" s="53" t="s">
        <v>34</v>
      </c>
      <c r="T20" s="54" t="s">
        <v>34</v>
      </c>
      <c r="U20" s="55">
        <v>0</v>
      </c>
      <c r="V20" s="55">
        <f t="shared" si="8"/>
        <v>0</v>
      </c>
      <c r="W20" s="55">
        <f t="shared" si="9"/>
        <v>0</v>
      </c>
      <c r="X20" s="55">
        <v>0</v>
      </c>
      <c r="Y20" s="55" t="s">
        <v>35</v>
      </c>
      <c r="Z20" s="56">
        <f t="shared" si="19"/>
        <v>-0.75</v>
      </c>
      <c r="AA20" s="55">
        <v>0.19326388888888885</v>
      </c>
      <c r="AB20" s="55">
        <f t="shared" si="27"/>
        <v>-10.871093749999996</v>
      </c>
      <c r="AC20" s="55">
        <v>-5.42</v>
      </c>
      <c r="AD20" s="55">
        <v>-11.425299145299144</v>
      </c>
      <c r="AE20" s="55">
        <v>0</v>
      </c>
      <c r="AF20" s="55"/>
    </row>
    <row r="21" spans="1:32" s="57" customFormat="1" ht="15.75" customHeight="1">
      <c r="A21" s="2" t="s">
        <v>75</v>
      </c>
      <c r="B21" s="2" t="s">
        <v>578</v>
      </c>
      <c r="C21" s="51">
        <v>24.44</v>
      </c>
      <c r="D21" s="51">
        <v>35</v>
      </c>
      <c r="E21" s="51">
        <v>0</v>
      </c>
      <c r="F21" s="51">
        <v>800.68000000000018</v>
      </c>
      <c r="G21" s="51">
        <v>0</v>
      </c>
      <c r="H21" s="51">
        <f t="shared" si="1"/>
        <v>0</v>
      </c>
      <c r="I21" s="51">
        <f t="shared" si="2"/>
        <v>9.4635807893952706E-2</v>
      </c>
      <c r="J21" s="51">
        <f t="shared" si="4"/>
        <v>75.772998664530064</v>
      </c>
      <c r="K21" s="51">
        <f t="shared" si="3"/>
        <v>2.1649428189865731</v>
      </c>
      <c r="L21" s="51">
        <v>164</v>
      </c>
      <c r="M21" s="51">
        <f t="shared" si="5"/>
        <v>0.21341463414634146</v>
      </c>
      <c r="N21" s="51">
        <v>55</v>
      </c>
      <c r="O21" s="51">
        <f t="shared" ref="O21:P21" si="30">D21/7</f>
        <v>5</v>
      </c>
      <c r="P21" s="51">
        <f t="shared" si="30"/>
        <v>0</v>
      </c>
      <c r="Q21" s="51">
        <f t="shared" si="7"/>
        <v>11</v>
      </c>
      <c r="R21" s="55">
        <v>198</v>
      </c>
      <c r="S21" s="53">
        <v>198</v>
      </c>
      <c r="T21" s="54">
        <v>43969</v>
      </c>
      <c r="U21" s="55">
        <v>0</v>
      </c>
      <c r="V21" s="55">
        <f t="shared" si="8"/>
        <v>0</v>
      </c>
      <c r="W21" s="55">
        <f t="shared" si="9"/>
        <v>0</v>
      </c>
      <c r="X21" s="55">
        <v>0</v>
      </c>
      <c r="Y21" s="55" t="s">
        <v>35</v>
      </c>
      <c r="Z21" s="56">
        <f t="shared" si="19"/>
        <v>-0.75</v>
      </c>
      <c r="AA21" s="55">
        <v>0.19326388888888885</v>
      </c>
      <c r="AB21" s="55">
        <f t="shared" si="27"/>
        <v>-15.219531249999996</v>
      </c>
      <c r="AC21" s="55">
        <v>-5.42</v>
      </c>
      <c r="AD21" s="55">
        <v>-11.425299145299144</v>
      </c>
      <c r="AE21" s="55">
        <v>0</v>
      </c>
      <c r="AF21" s="55"/>
    </row>
    <row r="22" spans="1:32" s="57" customFormat="1" ht="15.75" customHeight="1">
      <c r="A22" s="2" t="s">
        <v>77</v>
      </c>
      <c r="B22" s="2" t="s">
        <v>579</v>
      </c>
      <c r="C22" s="51">
        <v>25.38</v>
      </c>
      <c r="D22" s="51">
        <v>31</v>
      </c>
      <c r="E22" s="51">
        <v>0</v>
      </c>
      <c r="F22" s="51">
        <v>724.47</v>
      </c>
      <c r="G22" s="51">
        <v>-0.08</v>
      </c>
      <c r="H22" s="51">
        <f t="shared" si="1"/>
        <v>1.1042555247284221E-4</v>
      </c>
      <c r="I22" s="51">
        <f t="shared" si="2"/>
        <v>0.11047396061358851</v>
      </c>
      <c r="J22" s="51">
        <f t="shared" si="4"/>
        <v>80.035070245726473</v>
      </c>
      <c r="K22" s="51">
        <f t="shared" si="3"/>
        <v>2.5817764595395638</v>
      </c>
      <c r="L22" s="51">
        <v>160</v>
      </c>
      <c r="M22" s="51">
        <f t="shared" si="5"/>
        <v>0.19375000000000001</v>
      </c>
      <c r="N22" s="51">
        <v>11</v>
      </c>
      <c r="O22" s="51">
        <f t="shared" ref="O22:P22" si="31">D22/7</f>
        <v>4.4285714285714288</v>
      </c>
      <c r="P22" s="51">
        <f t="shared" si="31"/>
        <v>0</v>
      </c>
      <c r="Q22" s="51">
        <f t="shared" si="7"/>
        <v>2</v>
      </c>
      <c r="R22" s="55">
        <v>198</v>
      </c>
      <c r="S22" s="53">
        <v>198</v>
      </c>
      <c r="T22" s="54">
        <v>43969</v>
      </c>
      <c r="U22" s="55">
        <v>0</v>
      </c>
      <c r="V22" s="55">
        <f t="shared" si="8"/>
        <v>0</v>
      </c>
      <c r="W22" s="55">
        <f t="shared" si="9"/>
        <v>0</v>
      </c>
      <c r="X22" s="55">
        <v>0</v>
      </c>
      <c r="Y22" s="55" t="s">
        <v>35</v>
      </c>
      <c r="Z22" s="56">
        <f t="shared" si="19"/>
        <v>-0.75</v>
      </c>
      <c r="AA22" s="55">
        <v>0.19326388888888885</v>
      </c>
      <c r="AB22" s="55">
        <f t="shared" si="27"/>
        <v>-13.480156249999997</v>
      </c>
      <c r="AC22" s="55">
        <v>-5.42</v>
      </c>
      <c r="AD22" s="55">
        <v>-11.425299145299144</v>
      </c>
      <c r="AE22" s="55">
        <v>0</v>
      </c>
      <c r="AF22" s="55"/>
    </row>
    <row r="23" spans="1:32" s="57" customFormat="1" ht="15.75" customHeight="1">
      <c r="A23" s="2" t="s">
        <v>79</v>
      </c>
      <c r="B23" s="2" t="s">
        <v>495</v>
      </c>
      <c r="C23" s="51">
        <v>22.31</v>
      </c>
      <c r="D23" s="51">
        <v>23</v>
      </c>
      <c r="E23" s="51">
        <v>0</v>
      </c>
      <c r="F23" s="51">
        <v>531.74999999999989</v>
      </c>
      <c r="G23" s="51">
        <v>-0.08</v>
      </c>
      <c r="H23" s="51">
        <f t="shared" si="1"/>
        <v>1.5044663845792199E-4</v>
      </c>
      <c r="I23" s="51">
        <f t="shared" si="2"/>
        <v>0.10242447279383098</v>
      </c>
      <c r="J23" s="51">
        <f t="shared" si="4"/>
        <v>54.464213408119612</v>
      </c>
      <c r="K23" s="51">
        <f t="shared" si="3"/>
        <v>2.3680092786138962</v>
      </c>
      <c r="L23" s="51">
        <v>63</v>
      </c>
      <c r="M23" s="51">
        <f t="shared" si="5"/>
        <v>0.36507936507936506</v>
      </c>
      <c r="N23" s="51">
        <v>5</v>
      </c>
      <c r="O23" s="51">
        <f t="shared" ref="O23:P23" si="32">D23/7</f>
        <v>3.2857142857142856</v>
      </c>
      <c r="P23" s="51">
        <f t="shared" si="32"/>
        <v>0</v>
      </c>
      <c r="Q23" s="51">
        <f t="shared" si="7"/>
        <v>1</v>
      </c>
      <c r="R23" s="55">
        <v>150</v>
      </c>
      <c r="S23" s="53">
        <v>150</v>
      </c>
      <c r="T23" s="54">
        <v>43969</v>
      </c>
      <c r="U23" s="55">
        <v>2</v>
      </c>
      <c r="V23" s="55">
        <f t="shared" si="8"/>
        <v>8.6956521739130432E-2</v>
      </c>
      <c r="W23" s="55">
        <f t="shared" si="9"/>
        <v>0.04</v>
      </c>
      <c r="X23" s="55">
        <v>0</v>
      </c>
      <c r="Y23" s="55" t="s">
        <v>35</v>
      </c>
      <c r="Z23" s="56">
        <f t="shared" si="19"/>
        <v>-0.75</v>
      </c>
      <c r="AA23" s="55">
        <v>0.19326388888888885</v>
      </c>
      <c r="AB23" s="55">
        <f t="shared" si="27"/>
        <v>-10.001406249999997</v>
      </c>
      <c r="AC23" s="55">
        <v>-5.42</v>
      </c>
      <c r="AD23" s="55">
        <v>-11.425299145299144</v>
      </c>
      <c r="AE23" s="55">
        <v>0</v>
      </c>
      <c r="AF23" s="55"/>
    </row>
    <row r="24" spans="1:32" s="57" customFormat="1" ht="15.75" customHeight="1">
      <c r="A24" s="2" t="s">
        <v>80</v>
      </c>
      <c r="B24" s="2" t="s">
        <v>540</v>
      </c>
      <c r="C24" s="51"/>
      <c r="D24" s="51">
        <v>5</v>
      </c>
      <c r="E24" s="51">
        <v>0</v>
      </c>
      <c r="F24" s="51">
        <v>112.08000000000001</v>
      </c>
      <c r="G24" s="51">
        <v>0</v>
      </c>
      <c r="H24" s="51">
        <f t="shared" si="1"/>
        <v>0</v>
      </c>
      <c r="I24" s="51">
        <f t="shared" si="2"/>
        <v>7.9115680973450161E-2</v>
      </c>
      <c r="J24" s="51">
        <f t="shared" si="4"/>
        <v>8.8672855235042949</v>
      </c>
      <c r="K24" s="51">
        <f t="shared" si="3"/>
        <v>1.7734571047008589</v>
      </c>
      <c r="L24" s="51">
        <v>0</v>
      </c>
      <c r="M24" s="51" t="str">
        <f t="shared" si="5"/>
        <v>-</v>
      </c>
      <c r="N24" s="51">
        <v>0</v>
      </c>
      <c r="O24" s="51">
        <f t="shared" ref="O24:P24" si="33">D24/7</f>
        <v>0.7142857142857143</v>
      </c>
      <c r="P24" s="51">
        <f t="shared" si="33"/>
        <v>0</v>
      </c>
      <c r="Q24" s="51">
        <f t="shared" si="7"/>
        <v>0</v>
      </c>
      <c r="R24" s="55">
        <v>150</v>
      </c>
      <c r="S24" s="53">
        <v>150</v>
      </c>
      <c r="T24" s="54">
        <v>43969</v>
      </c>
      <c r="U24" s="55">
        <v>0</v>
      </c>
      <c r="V24" s="55">
        <f t="shared" si="8"/>
        <v>0</v>
      </c>
      <c r="W24" s="55">
        <f t="shared" si="9"/>
        <v>0</v>
      </c>
      <c r="X24" s="55">
        <v>0</v>
      </c>
      <c r="Y24" s="55" t="s">
        <v>35</v>
      </c>
      <c r="Z24" s="56">
        <f t="shared" si="19"/>
        <v>-0.75</v>
      </c>
      <c r="AA24" s="55">
        <v>0.19326388888888885</v>
      </c>
      <c r="AB24" s="55">
        <f t="shared" si="27"/>
        <v>-2.1742187499999992</v>
      </c>
      <c r="AC24" s="55">
        <v>-5.42</v>
      </c>
      <c r="AD24" s="55">
        <v>-11.425299145299144</v>
      </c>
      <c r="AE24" s="55">
        <v>0</v>
      </c>
      <c r="AF24" s="55"/>
    </row>
    <row r="25" spans="1:32" s="57" customFormat="1" ht="15.75" customHeight="1">
      <c r="A25" s="2" t="s">
        <v>81</v>
      </c>
      <c r="B25" s="2" t="s">
        <v>580</v>
      </c>
      <c r="C25" s="51"/>
      <c r="D25" s="51">
        <v>0</v>
      </c>
      <c r="E25" s="51">
        <v>0</v>
      </c>
      <c r="F25" s="51">
        <v>0</v>
      </c>
      <c r="G25" s="51">
        <v>0</v>
      </c>
      <c r="H25" s="51" t="e">
        <f t="shared" si="1"/>
        <v>#DIV/0!</v>
      </c>
      <c r="I25" s="51" t="e">
        <f t="shared" si="2"/>
        <v>#DIV/0!</v>
      </c>
      <c r="J25" s="51">
        <f t="shared" si="4"/>
        <v>0</v>
      </c>
      <c r="K25" s="51" t="e">
        <f t="shared" si="3"/>
        <v>#DIV/0!</v>
      </c>
      <c r="L25" s="51">
        <v>0</v>
      </c>
      <c r="M25" s="51" t="str">
        <f t="shared" si="5"/>
        <v>-</v>
      </c>
      <c r="N25" s="51">
        <v>150</v>
      </c>
      <c r="O25" s="51">
        <f t="shared" ref="O25:P25" si="34">D25/7</f>
        <v>0</v>
      </c>
      <c r="P25" s="51">
        <f t="shared" si="34"/>
        <v>0</v>
      </c>
      <c r="Q25" s="51" t="e">
        <f t="shared" si="7"/>
        <v>#DIV/0!</v>
      </c>
      <c r="R25" s="55">
        <v>0</v>
      </c>
      <c r="S25" s="53" t="s">
        <v>34</v>
      </c>
      <c r="T25" s="54" t="s">
        <v>34</v>
      </c>
      <c r="U25" s="55">
        <v>0</v>
      </c>
      <c r="V25" s="55">
        <f t="shared" si="8"/>
        <v>0</v>
      </c>
      <c r="W25" s="55">
        <f t="shared" si="9"/>
        <v>0</v>
      </c>
      <c r="X25" s="55">
        <v>0</v>
      </c>
      <c r="Y25" s="55" t="e">
        <v>#N/A</v>
      </c>
      <c r="Z25" s="56" t="e">
        <f t="shared" si="19"/>
        <v>#N/A</v>
      </c>
      <c r="AA25" s="55" t="e">
        <v>#N/A</v>
      </c>
      <c r="AB25" s="55">
        <f t="shared" si="27"/>
        <v>0</v>
      </c>
      <c r="AC25" s="55">
        <v>0</v>
      </c>
      <c r="AD25" s="55">
        <v>-11.425299145299144</v>
      </c>
      <c r="AE25" s="55">
        <v>0</v>
      </c>
      <c r="AF25" s="55"/>
    </row>
    <row r="26" spans="1:32" s="57" customFormat="1" ht="15.75" customHeight="1">
      <c r="A26" s="2" t="s">
        <v>83</v>
      </c>
      <c r="B26" s="2" t="s">
        <v>581</v>
      </c>
      <c r="C26" s="51">
        <f t="shared" ref="C26:C39" si="35">IFERROR(F26/D26," - ")</f>
        <v>23.325000000000006</v>
      </c>
      <c r="D26" s="51">
        <v>10</v>
      </c>
      <c r="E26" s="51">
        <v>0</v>
      </c>
      <c r="F26" s="51">
        <v>233.25000000000006</v>
      </c>
      <c r="G26" s="51">
        <v>0</v>
      </c>
      <c r="H26" s="51">
        <f t="shared" si="1"/>
        <v>0</v>
      </c>
      <c r="I26" s="51">
        <f t="shared" si="2"/>
        <v>0.10915786086606044</v>
      </c>
      <c r="J26" s="51">
        <f t="shared" si="4"/>
        <v>25.461071047008605</v>
      </c>
      <c r="K26" s="51">
        <f t="shared" si="3"/>
        <v>2.5461071047008605</v>
      </c>
      <c r="L26" s="51">
        <v>83</v>
      </c>
      <c r="M26" s="51">
        <f t="shared" si="5"/>
        <v>0.12048192771084337</v>
      </c>
      <c r="N26" s="51">
        <v>129</v>
      </c>
      <c r="O26" s="51">
        <f t="shared" ref="O26:P26" si="36">D26/7</f>
        <v>1.4285714285714286</v>
      </c>
      <c r="P26" s="51">
        <f t="shared" si="36"/>
        <v>0</v>
      </c>
      <c r="Q26" s="51">
        <f t="shared" si="7"/>
        <v>90</v>
      </c>
      <c r="R26" s="55">
        <v>222</v>
      </c>
      <c r="S26" s="53">
        <v>222</v>
      </c>
      <c r="T26" s="54">
        <v>44008</v>
      </c>
      <c r="U26" s="55">
        <v>0</v>
      </c>
      <c r="V26" s="55">
        <f t="shared" si="8"/>
        <v>0</v>
      </c>
      <c r="W26" s="55">
        <f t="shared" si="9"/>
        <v>0</v>
      </c>
      <c r="X26" s="55">
        <v>0</v>
      </c>
      <c r="Y26" s="55" t="s">
        <v>35</v>
      </c>
      <c r="Z26" s="56">
        <f t="shared" si="19"/>
        <v>-0.75</v>
      </c>
      <c r="AA26" s="55">
        <v>0.19326388888888885</v>
      </c>
      <c r="AB26" s="55">
        <f t="shared" si="27"/>
        <v>-4.3484374999999984</v>
      </c>
      <c r="AC26" s="55">
        <v>-5.42</v>
      </c>
      <c r="AD26" s="55">
        <v>-11.425299145299144</v>
      </c>
      <c r="AE26" s="55">
        <v>0</v>
      </c>
      <c r="AF26" s="55"/>
    </row>
    <row r="27" spans="1:32" s="57" customFormat="1" ht="15.75" customHeight="1">
      <c r="A27" s="2" t="s">
        <v>84</v>
      </c>
      <c r="B27" s="2" t="s">
        <v>582</v>
      </c>
      <c r="C27" s="51">
        <f t="shared" si="35"/>
        <v>25.557727272727274</v>
      </c>
      <c r="D27" s="51">
        <v>22</v>
      </c>
      <c r="E27" s="51">
        <v>0</v>
      </c>
      <c r="F27" s="51">
        <v>562.27</v>
      </c>
      <c r="G27" s="51">
        <v>-0.08</v>
      </c>
      <c r="H27" s="51">
        <f t="shared" si="1"/>
        <v>1.4228039909651948E-4</v>
      </c>
      <c r="I27" s="51">
        <f t="shared" si="2"/>
        <v>0.17373567201419038</v>
      </c>
      <c r="J27" s="51">
        <f t="shared" si="4"/>
        <v>97.686356303418819</v>
      </c>
      <c r="K27" s="51">
        <f t="shared" si="3"/>
        <v>4.4402889228826732</v>
      </c>
      <c r="L27" s="51">
        <v>72</v>
      </c>
      <c r="M27" s="51">
        <f t="shared" si="5"/>
        <v>0.30555555555555558</v>
      </c>
      <c r="N27" s="51">
        <v>120</v>
      </c>
      <c r="O27" s="51">
        <f t="shared" ref="O27:P27" si="37">D27/7</f>
        <v>3.1428571428571428</v>
      </c>
      <c r="P27" s="51">
        <f t="shared" si="37"/>
        <v>0</v>
      </c>
      <c r="Q27" s="51">
        <f t="shared" si="7"/>
        <v>38</v>
      </c>
      <c r="R27" s="55">
        <v>222</v>
      </c>
      <c r="S27" s="53">
        <v>222</v>
      </c>
      <c r="T27" s="54">
        <v>44013</v>
      </c>
      <c r="U27" s="55">
        <v>0</v>
      </c>
      <c r="V27" s="55">
        <f t="shared" si="8"/>
        <v>0</v>
      </c>
      <c r="W27" s="55">
        <f t="shared" si="9"/>
        <v>0</v>
      </c>
      <c r="X27" s="55">
        <v>0</v>
      </c>
      <c r="Y27" s="55" t="s">
        <v>35</v>
      </c>
      <c r="Z27" s="56">
        <f t="shared" si="19"/>
        <v>-0.75</v>
      </c>
      <c r="AA27" s="55">
        <v>0.19326388888888885</v>
      </c>
      <c r="AB27" s="55">
        <f t="shared" si="27"/>
        <v>-9.5665624999999963</v>
      </c>
      <c r="AC27" s="55">
        <v>-5.42</v>
      </c>
      <c r="AD27" s="55">
        <v>-11.425299145299144</v>
      </c>
      <c r="AE27" s="55">
        <v>0</v>
      </c>
      <c r="AF27" s="55"/>
    </row>
    <row r="28" spans="1:32" s="57" customFormat="1" ht="15.75" customHeight="1">
      <c r="A28" s="2" t="s">
        <v>86</v>
      </c>
      <c r="B28" s="2" t="s">
        <v>583</v>
      </c>
      <c r="C28" s="51">
        <f t="shared" si="35"/>
        <v>24.567692307692305</v>
      </c>
      <c r="D28" s="51">
        <v>26</v>
      </c>
      <c r="E28" s="51">
        <v>0</v>
      </c>
      <c r="F28" s="51">
        <v>638.75999999999988</v>
      </c>
      <c r="G28" s="51">
        <v>-0.02</v>
      </c>
      <c r="H28" s="51">
        <f t="shared" si="1"/>
        <v>3.1310664412298837E-5</v>
      </c>
      <c r="I28" s="51">
        <f t="shared" si="2"/>
        <v>0.14660010758692188</v>
      </c>
      <c r="J28" s="51">
        <f t="shared" si="4"/>
        <v>93.6422847222222</v>
      </c>
      <c r="K28" s="51">
        <f t="shared" si="3"/>
        <v>3.6016263354700846</v>
      </c>
      <c r="L28" s="51">
        <v>92</v>
      </c>
      <c r="M28" s="51">
        <f t="shared" si="5"/>
        <v>0.28260869565217389</v>
      </c>
      <c r="N28" s="51">
        <v>83</v>
      </c>
      <c r="O28" s="51">
        <f t="shared" ref="O28:P28" si="38">D28/7</f>
        <v>3.7142857142857144</v>
      </c>
      <c r="P28" s="51">
        <f t="shared" si="38"/>
        <v>0</v>
      </c>
      <c r="Q28" s="51">
        <f t="shared" si="7"/>
        <v>22</v>
      </c>
      <c r="R28" s="55">
        <v>222</v>
      </c>
      <c r="S28" s="53">
        <v>222</v>
      </c>
      <c r="T28" s="54">
        <v>44013</v>
      </c>
      <c r="U28" s="55">
        <v>0</v>
      </c>
      <c r="V28" s="55">
        <f t="shared" si="8"/>
        <v>0</v>
      </c>
      <c r="W28" s="55">
        <f t="shared" si="9"/>
        <v>0</v>
      </c>
      <c r="X28" s="55">
        <v>0</v>
      </c>
      <c r="Y28" s="55" t="s">
        <v>35</v>
      </c>
      <c r="Z28" s="56">
        <f t="shared" si="19"/>
        <v>-0.75</v>
      </c>
      <c r="AA28" s="55">
        <v>0.19326388888888885</v>
      </c>
      <c r="AB28" s="55">
        <f t="shared" si="27"/>
        <v>-11.305937499999997</v>
      </c>
      <c r="AC28" s="55">
        <v>-5.42</v>
      </c>
      <c r="AD28" s="55">
        <v>-11.425299145299144</v>
      </c>
      <c r="AE28" s="55">
        <v>0</v>
      </c>
      <c r="AF28" s="55"/>
    </row>
    <row r="29" spans="1:32" s="57" customFormat="1" ht="15.75" customHeight="1">
      <c r="A29" s="2" t="s">
        <v>87</v>
      </c>
      <c r="B29" s="2" t="s">
        <v>584</v>
      </c>
      <c r="C29" s="51">
        <f t="shared" si="35"/>
        <v>24.347368421052636</v>
      </c>
      <c r="D29" s="51">
        <v>19</v>
      </c>
      <c r="E29" s="51">
        <v>0</v>
      </c>
      <c r="F29" s="51">
        <v>462.60000000000008</v>
      </c>
      <c r="G29" s="51">
        <v>-6.88</v>
      </c>
      <c r="H29" s="51">
        <f t="shared" si="1"/>
        <v>1.4872460008646777E-2</v>
      </c>
      <c r="I29" s="51">
        <f t="shared" si="2"/>
        <v>0.12539404450781733</v>
      </c>
      <c r="J29" s="51">
        <f t="shared" si="4"/>
        <v>58.007284989316304</v>
      </c>
      <c r="K29" s="51">
        <f t="shared" si="3"/>
        <v>3.0530149994377003</v>
      </c>
      <c r="L29" s="51">
        <v>95</v>
      </c>
      <c r="M29" s="51">
        <f t="shared" si="5"/>
        <v>0.2</v>
      </c>
      <c r="N29" s="51">
        <v>72</v>
      </c>
      <c r="O29" s="51">
        <f t="shared" ref="O29:P29" si="39">D29/7</f>
        <v>2.7142857142857144</v>
      </c>
      <c r="P29" s="51">
        <f t="shared" si="39"/>
        <v>0</v>
      </c>
      <c r="Q29" s="51">
        <f t="shared" si="7"/>
        <v>26</v>
      </c>
      <c r="R29" s="55">
        <v>222</v>
      </c>
      <c r="S29" s="53">
        <v>222</v>
      </c>
      <c r="T29" s="54">
        <v>44013</v>
      </c>
      <c r="U29" s="55">
        <v>1</v>
      </c>
      <c r="V29" s="55">
        <f t="shared" si="8"/>
        <v>5.2631578947368418E-2</v>
      </c>
      <c r="W29" s="55">
        <f t="shared" si="9"/>
        <v>3.44</v>
      </c>
      <c r="X29" s="55">
        <v>1</v>
      </c>
      <c r="Y29" s="55" t="s">
        <v>35</v>
      </c>
      <c r="Z29" s="56">
        <f t="shared" si="19"/>
        <v>-0.75</v>
      </c>
      <c r="AA29" s="55">
        <v>0.19326388888888885</v>
      </c>
      <c r="AB29" s="55">
        <f t="shared" si="27"/>
        <v>-8.2620312499999962</v>
      </c>
      <c r="AC29" s="55">
        <v>-5.42</v>
      </c>
      <c r="AD29" s="55">
        <v>-11.425299145299144</v>
      </c>
      <c r="AE29" s="55">
        <v>0</v>
      </c>
      <c r="AF29" s="55"/>
    </row>
    <row r="30" spans="1:32" s="57" customFormat="1" ht="15.75" customHeight="1">
      <c r="A30" s="2" t="s">
        <v>89</v>
      </c>
      <c r="B30" s="2" t="s">
        <v>585</v>
      </c>
      <c r="C30" s="51">
        <f t="shared" si="35"/>
        <v>23.749166666666671</v>
      </c>
      <c r="D30" s="51">
        <v>36</v>
      </c>
      <c r="E30" s="51">
        <v>0</v>
      </c>
      <c r="F30" s="51">
        <v>854.97000000000014</v>
      </c>
      <c r="G30" s="51">
        <v>-6.7799999999999994</v>
      </c>
      <c r="H30" s="51">
        <f t="shared" si="1"/>
        <v>7.9301028106249314E-3</v>
      </c>
      <c r="I30" s="51">
        <f t="shared" si="2"/>
        <v>0.11445940298400054</v>
      </c>
      <c r="J30" s="51">
        <f t="shared" si="4"/>
        <v>97.859355769230959</v>
      </c>
      <c r="K30" s="51">
        <f t="shared" si="3"/>
        <v>2.7183154380341934</v>
      </c>
      <c r="L30" s="51">
        <v>105</v>
      </c>
      <c r="M30" s="51">
        <f t="shared" si="5"/>
        <v>0.34285714285714286</v>
      </c>
      <c r="N30" s="51">
        <v>253</v>
      </c>
      <c r="O30" s="51">
        <f t="shared" ref="O30:P30" si="40">D30/7</f>
        <v>5.1428571428571432</v>
      </c>
      <c r="P30" s="51">
        <f t="shared" si="40"/>
        <v>0</v>
      </c>
      <c r="Q30" s="51">
        <f t="shared" si="7"/>
        <v>49</v>
      </c>
      <c r="R30" s="55">
        <v>222</v>
      </c>
      <c r="S30" s="53">
        <v>222</v>
      </c>
      <c r="T30" s="54">
        <v>44013</v>
      </c>
      <c r="U30" s="55">
        <v>0</v>
      </c>
      <c r="V30" s="55">
        <f t="shared" si="8"/>
        <v>0</v>
      </c>
      <c r="W30" s="55">
        <f t="shared" si="9"/>
        <v>0</v>
      </c>
      <c r="X30" s="55">
        <v>0</v>
      </c>
      <c r="Y30" s="55" t="s">
        <v>35</v>
      </c>
      <c r="Z30" s="56">
        <f t="shared" si="19"/>
        <v>-0.75</v>
      </c>
      <c r="AA30" s="55">
        <v>0.19326388888888885</v>
      </c>
      <c r="AB30" s="55">
        <f t="shared" si="27"/>
        <v>-15.654374999999996</v>
      </c>
      <c r="AC30" s="55">
        <v>-5.42</v>
      </c>
      <c r="AD30" s="55">
        <v>-11.425299145299144</v>
      </c>
      <c r="AE30" s="55">
        <v>0</v>
      </c>
      <c r="AF30" s="55"/>
    </row>
    <row r="31" spans="1:32" s="57" customFormat="1" ht="15.75" customHeight="1">
      <c r="A31" s="2" t="s">
        <v>90</v>
      </c>
      <c r="B31" s="2" t="s">
        <v>586</v>
      </c>
      <c r="C31" s="51">
        <f t="shared" si="35"/>
        <v>24.636500000000009</v>
      </c>
      <c r="D31" s="51">
        <v>20</v>
      </c>
      <c r="E31" s="51">
        <v>0</v>
      </c>
      <c r="F31" s="51">
        <v>492.73000000000019</v>
      </c>
      <c r="G31" s="51">
        <v>0</v>
      </c>
      <c r="H31" s="51">
        <f t="shared" si="1"/>
        <v>0</v>
      </c>
      <c r="I31" s="51">
        <f t="shared" si="2"/>
        <v>0.14859586811035913</v>
      </c>
      <c r="J31" s="51">
        <f t="shared" si="4"/>
        <v>73.217642094017279</v>
      </c>
      <c r="K31" s="51">
        <f t="shared" si="3"/>
        <v>3.6608821047008639</v>
      </c>
      <c r="L31" s="51">
        <v>107</v>
      </c>
      <c r="M31" s="51">
        <f t="shared" si="5"/>
        <v>0.18691588785046728</v>
      </c>
      <c r="N31" s="51">
        <v>236</v>
      </c>
      <c r="O31" s="51">
        <f t="shared" ref="O31:P31" si="41">D31/7</f>
        <v>2.8571428571428572</v>
      </c>
      <c r="P31" s="51">
        <f t="shared" si="41"/>
        <v>0</v>
      </c>
      <c r="Q31" s="51">
        <f t="shared" si="7"/>
        <v>82</v>
      </c>
      <c r="R31" s="55">
        <v>0</v>
      </c>
      <c r="S31" s="53" t="s">
        <v>34</v>
      </c>
      <c r="T31" s="54" t="s">
        <v>34</v>
      </c>
      <c r="U31" s="55">
        <v>0</v>
      </c>
      <c r="V31" s="55">
        <f t="shared" si="8"/>
        <v>0</v>
      </c>
      <c r="W31" s="55">
        <f t="shared" si="9"/>
        <v>0</v>
      </c>
      <c r="X31" s="55">
        <v>0</v>
      </c>
      <c r="Y31" s="55" t="s">
        <v>35</v>
      </c>
      <c r="Z31" s="56">
        <f t="shared" si="19"/>
        <v>-0.75</v>
      </c>
      <c r="AA31" s="55">
        <v>0.19326388888888885</v>
      </c>
      <c r="AB31" s="55">
        <f t="shared" si="27"/>
        <v>-8.6968749999999968</v>
      </c>
      <c r="AC31" s="55">
        <v>-5.42</v>
      </c>
      <c r="AD31" s="55">
        <v>-11.425299145299144</v>
      </c>
      <c r="AE31" s="55">
        <v>0</v>
      </c>
      <c r="AF31" s="55"/>
    </row>
    <row r="32" spans="1:32" s="57" customFormat="1" ht="15.75" customHeight="1">
      <c r="A32" s="2" t="s">
        <v>92</v>
      </c>
      <c r="B32" s="2" t="s">
        <v>587</v>
      </c>
      <c r="C32" s="51">
        <f t="shared" si="35"/>
        <v>22.011818181818178</v>
      </c>
      <c r="D32" s="51">
        <v>33</v>
      </c>
      <c r="E32" s="51">
        <v>0</v>
      </c>
      <c r="F32" s="51">
        <v>726.38999999999987</v>
      </c>
      <c r="G32" s="51">
        <v>0</v>
      </c>
      <c r="H32" s="51">
        <f t="shared" si="1"/>
        <v>0</v>
      </c>
      <c r="I32" s="51">
        <f t="shared" si="2"/>
        <v>6.9894104000782178E-2</v>
      </c>
      <c r="J32" s="51">
        <f t="shared" si="4"/>
        <v>50.770378205128154</v>
      </c>
      <c r="K32" s="51">
        <f t="shared" si="3"/>
        <v>1.5384963092463078</v>
      </c>
      <c r="L32" s="51">
        <v>130</v>
      </c>
      <c r="M32" s="51">
        <f t="shared" si="5"/>
        <v>0.25384615384615383</v>
      </c>
      <c r="N32" s="51">
        <v>191</v>
      </c>
      <c r="O32" s="51">
        <f t="shared" ref="O32:P32" si="42">D32/7</f>
        <v>4.7142857142857144</v>
      </c>
      <c r="P32" s="51">
        <f t="shared" si="42"/>
        <v>0</v>
      </c>
      <c r="Q32" s="51">
        <f t="shared" si="7"/>
        <v>40</v>
      </c>
      <c r="R32" s="55">
        <v>0</v>
      </c>
      <c r="S32" s="53" t="s">
        <v>34</v>
      </c>
      <c r="T32" s="54" t="s">
        <v>34</v>
      </c>
      <c r="U32" s="55">
        <v>0</v>
      </c>
      <c r="V32" s="55">
        <f t="shared" si="8"/>
        <v>0</v>
      </c>
      <c r="W32" s="55">
        <f t="shared" si="9"/>
        <v>0</v>
      </c>
      <c r="X32" s="55">
        <v>0</v>
      </c>
      <c r="Y32" s="55" t="s">
        <v>35</v>
      </c>
      <c r="Z32" s="56">
        <f t="shared" si="19"/>
        <v>-0.75</v>
      </c>
      <c r="AA32" s="55">
        <v>0.14499999999999999</v>
      </c>
      <c r="AB32" s="55">
        <f t="shared" si="27"/>
        <v>-10.766249999999999</v>
      </c>
      <c r="AC32" s="55">
        <v>-5.42</v>
      </c>
      <c r="AD32" s="55">
        <v>-11.425299145299144</v>
      </c>
      <c r="AE32" s="55">
        <v>0</v>
      </c>
      <c r="AF32" s="52">
        <v>2.53483146067415</v>
      </c>
    </row>
    <row r="33" spans="1:32" s="57" customFormat="1" ht="15.75" customHeight="1">
      <c r="A33" s="2" t="s">
        <v>94</v>
      </c>
      <c r="B33" s="2" t="s">
        <v>45</v>
      </c>
      <c r="C33" s="51">
        <f t="shared" si="35"/>
        <v>21.419583333333332</v>
      </c>
      <c r="D33" s="51">
        <v>24</v>
      </c>
      <c r="E33" s="51">
        <v>0</v>
      </c>
      <c r="F33" s="51">
        <v>514.06999999999994</v>
      </c>
      <c r="G33" s="51">
        <v>0</v>
      </c>
      <c r="H33" s="51">
        <f t="shared" si="1"/>
        <v>0</v>
      </c>
      <c r="I33" s="51">
        <f t="shared" si="2"/>
        <v>4.8324781669462295E-2</v>
      </c>
      <c r="J33" s="51">
        <f t="shared" si="4"/>
        <v>24.842320512820478</v>
      </c>
      <c r="K33" s="51">
        <f t="shared" si="3"/>
        <v>1.0350966880341865</v>
      </c>
      <c r="L33" s="51">
        <v>110</v>
      </c>
      <c r="M33" s="51">
        <f t="shared" si="5"/>
        <v>0.21818181818181817</v>
      </c>
      <c r="N33" s="51">
        <v>181</v>
      </c>
      <c r="O33" s="51">
        <f t="shared" ref="O33:P33" si="43">D33/7</f>
        <v>3.4285714285714284</v>
      </c>
      <c r="P33" s="51">
        <f t="shared" si="43"/>
        <v>0</v>
      </c>
      <c r="Q33" s="51">
        <f t="shared" si="7"/>
        <v>52</v>
      </c>
      <c r="R33" s="55">
        <v>0</v>
      </c>
      <c r="S33" s="53" t="s">
        <v>34</v>
      </c>
      <c r="T33" s="54" t="s">
        <v>34</v>
      </c>
      <c r="U33" s="55">
        <v>0</v>
      </c>
      <c r="V33" s="55">
        <f t="shared" si="8"/>
        <v>0</v>
      </c>
      <c r="W33" s="55">
        <f t="shared" si="9"/>
        <v>0</v>
      </c>
      <c r="X33" s="55">
        <v>0</v>
      </c>
      <c r="Y33" s="55" t="s">
        <v>35</v>
      </c>
      <c r="Z33" s="56">
        <f t="shared" si="19"/>
        <v>-0.75</v>
      </c>
      <c r="AA33" s="55">
        <v>0.14499999999999999</v>
      </c>
      <c r="AB33" s="55">
        <f t="shared" si="27"/>
        <v>-7.8299999999999983</v>
      </c>
      <c r="AC33" s="55">
        <v>-5.42</v>
      </c>
      <c r="AD33" s="55">
        <v>-11.425299145299144</v>
      </c>
      <c r="AE33" s="55">
        <v>0</v>
      </c>
      <c r="AF33" s="55">
        <v>3.0157068062827199</v>
      </c>
    </row>
    <row r="34" spans="1:32" s="57" customFormat="1" ht="15.75" customHeight="1">
      <c r="A34" s="2" t="s">
        <v>95</v>
      </c>
      <c r="B34" s="2" t="s">
        <v>588</v>
      </c>
      <c r="C34" s="51">
        <f t="shared" si="35"/>
        <v>21.939354838709686</v>
      </c>
      <c r="D34" s="51">
        <v>31</v>
      </c>
      <c r="E34" s="51">
        <v>0</v>
      </c>
      <c r="F34" s="51">
        <v>680.12000000000023</v>
      </c>
      <c r="G34" s="51">
        <v>0</v>
      </c>
      <c r="H34" s="51">
        <f t="shared" si="1"/>
        <v>0</v>
      </c>
      <c r="I34" s="51">
        <f t="shared" si="2"/>
        <v>6.7317497641190868E-2</v>
      </c>
      <c r="J34" s="51">
        <f t="shared" si="4"/>
        <v>45.783976495726748</v>
      </c>
      <c r="K34" s="51">
        <f t="shared" si="3"/>
        <v>1.4769024676040887</v>
      </c>
      <c r="L34" s="51">
        <v>90</v>
      </c>
      <c r="M34" s="51">
        <f t="shared" si="5"/>
        <v>0.34444444444444444</v>
      </c>
      <c r="N34" s="51">
        <v>144</v>
      </c>
      <c r="O34" s="51">
        <f t="shared" ref="O34:P34" si="44">D34/7</f>
        <v>4.4285714285714288</v>
      </c>
      <c r="P34" s="51">
        <f t="shared" si="44"/>
        <v>0</v>
      </c>
      <c r="Q34" s="51">
        <f t="shared" si="7"/>
        <v>32</v>
      </c>
      <c r="R34" s="55">
        <v>0</v>
      </c>
      <c r="S34" s="53" t="s">
        <v>34</v>
      </c>
      <c r="T34" s="54" t="s">
        <v>34</v>
      </c>
      <c r="U34" s="55">
        <v>0</v>
      </c>
      <c r="V34" s="55">
        <f t="shared" si="8"/>
        <v>0</v>
      </c>
      <c r="W34" s="55">
        <f t="shared" si="9"/>
        <v>0</v>
      </c>
      <c r="X34" s="55">
        <v>0</v>
      </c>
      <c r="Y34" s="55" t="s">
        <v>35</v>
      </c>
      <c r="Z34" s="56">
        <f t="shared" si="19"/>
        <v>-0.75</v>
      </c>
      <c r="AA34" s="55">
        <v>0.14499999999999999</v>
      </c>
      <c r="AB34" s="55">
        <f t="shared" si="27"/>
        <v>-10.113749999999998</v>
      </c>
      <c r="AC34" s="55">
        <v>-5.42</v>
      </c>
      <c r="AD34" s="55">
        <v>-11.425299145299144</v>
      </c>
      <c r="AE34" s="55">
        <v>0</v>
      </c>
      <c r="AF34" s="55">
        <v>2.7803617571059398</v>
      </c>
    </row>
    <row r="35" spans="1:32" s="57" customFormat="1" ht="15.75" customHeight="1">
      <c r="A35" s="2" t="s">
        <v>96</v>
      </c>
      <c r="B35" s="2" t="s">
        <v>589</v>
      </c>
      <c r="C35" s="51">
        <f t="shared" si="35"/>
        <v>22.377619047619053</v>
      </c>
      <c r="D35" s="51">
        <v>21</v>
      </c>
      <c r="E35" s="51">
        <v>0</v>
      </c>
      <c r="F35" s="51">
        <v>469.93000000000012</v>
      </c>
      <c r="G35" s="51">
        <v>-0.03</v>
      </c>
      <c r="H35" s="51">
        <f t="shared" si="1"/>
        <v>6.3839295214180816E-5</v>
      </c>
      <c r="I35" s="51">
        <f t="shared" si="2"/>
        <v>8.2582444084689385E-2</v>
      </c>
      <c r="J35" s="51">
        <f t="shared" si="4"/>
        <v>38.807967948718094</v>
      </c>
      <c r="K35" s="51">
        <f t="shared" si="3"/>
        <v>1.8479984737484807</v>
      </c>
      <c r="L35" s="51">
        <v>99</v>
      </c>
      <c r="M35" s="51">
        <f t="shared" si="5"/>
        <v>0.21212121212121213</v>
      </c>
      <c r="N35" s="51">
        <v>131</v>
      </c>
      <c r="O35" s="51">
        <f t="shared" ref="O35:P35" si="45">D35/7</f>
        <v>3</v>
      </c>
      <c r="P35" s="51">
        <f t="shared" si="45"/>
        <v>0</v>
      </c>
      <c r="Q35" s="51">
        <f t="shared" si="7"/>
        <v>43</v>
      </c>
      <c r="R35" s="55">
        <v>0</v>
      </c>
      <c r="S35" s="53" t="s">
        <v>34</v>
      </c>
      <c r="T35" s="54" t="s">
        <v>34</v>
      </c>
      <c r="U35" s="55">
        <v>0</v>
      </c>
      <c r="V35" s="55">
        <f t="shared" si="8"/>
        <v>0</v>
      </c>
      <c r="W35" s="55">
        <f t="shared" si="9"/>
        <v>0</v>
      </c>
      <c r="X35" s="55">
        <v>0</v>
      </c>
      <c r="Y35" s="55" t="s">
        <v>35</v>
      </c>
      <c r="Z35" s="56">
        <f t="shared" si="19"/>
        <v>-0.75</v>
      </c>
      <c r="AA35" s="55">
        <v>0.14499999999999999</v>
      </c>
      <c r="AB35" s="55">
        <f t="shared" si="27"/>
        <v>-6.8512499999999985</v>
      </c>
      <c r="AC35" s="55">
        <v>-5.42</v>
      </c>
      <c r="AD35" s="55">
        <v>-11.425299145299144</v>
      </c>
      <c r="AE35" s="55">
        <v>0</v>
      </c>
      <c r="AF35" s="55">
        <v>1.94285714285714</v>
      </c>
    </row>
    <row r="36" spans="1:32" s="57" customFormat="1" ht="15.75" customHeight="1">
      <c r="A36" s="2" t="s">
        <v>98</v>
      </c>
      <c r="B36" s="2" t="s">
        <v>45</v>
      </c>
      <c r="C36" s="51">
        <f t="shared" si="35"/>
        <v>22.990000000000006</v>
      </c>
      <c r="D36" s="51">
        <v>20</v>
      </c>
      <c r="E36" s="51">
        <v>0</v>
      </c>
      <c r="F36" s="51">
        <v>459.80000000000013</v>
      </c>
      <c r="G36" s="51">
        <v>0</v>
      </c>
      <c r="H36" s="51">
        <f t="shared" si="1"/>
        <v>0</v>
      </c>
      <c r="I36" s="51">
        <f t="shared" si="2"/>
        <v>0.10308616157898479</v>
      </c>
      <c r="J36" s="51">
        <f t="shared" si="4"/>
        <v>47.399017094017218</v>
      </c>
      <c r="K36" s="51">
        <f t="shared" si="3"/>
        <v>2.369950854700861</v>
      </c>
      <c r="L36" s="51">
        <v>93</v>
      </c>
      <c r="M36" s="51">
        <f t="shared" si="5"/>
        <v>0.21505376344086022</v>
      </c>
      <c r="N36" s="51">
        <v>105</v>
      </c>
      <c r="O36" s="51">
        <f t="shared" ref="O36:P36" si="46">D36/7</f>
        <v>2.8571428571428572</v>
      </c>
      <c r="P36" s="51">
        <f t="shared" si="46"/>
        <v>0</v>
      </c>
      <c r="Q36" s="51">
        <f t="shared" si="7"/>
        <v>36</v>
      </c>
      <c r="R36" s="55">
        <v>0</v>
      </c>
      <c r="S36" s="53"/>
      <c r="T36" s="54" t="s">
        <v>34</v>
      </c>
      <c r="U36" s="55"/>
      <c r="V36" s="55">
        <f t="shared" si="8"/>
        <v>0</v>
      </c>
      <c r="W36" s="55">
        <f t="shared" si="9"/>
        <v>0</v>
      </c>
      <c r="X36" s="55"/>
      <c r="Y36" s="55" t="s">
        <v>35</v>
      </c>
      <c r="Z36" s="56">
        <f t="shared" si="19"/>
        <v>-0.75</v>
      </c>
      <c r="AA36" s="55">
        <v>0.14499999999999999</v>
      </c>
      <c r="AB36" s="55">
        <f t="shared" si="27"/>
        <v>-6.5249999999999995</v>
      </c>
      <c r="AC36" s="55">
        <v>-5.42</v>
      </c>
      <c r="AD36" s="55">
        <v>-11.425299145299144</v>
      </c>
      <c r="AE36" s="55">
        <v>0</v>
      </c>
      <c r="AF36" s="55">
        <v>2.5046728971962602</v>
      </c>
    </row>
    <row r="37" spans="1:32" s="57" customFormat="1" ht="15.75" customHeight="1">
      <c r="A37" s="2" t="s">
        <v>99</v>
      </c>
      <c r="B37" s="2" t="s">
        <v>590</v>
      </c>
      <c r="C37" s="51">
        <f t="shared" si="35"/>
        <v>23.237777777777787</v>
      </c>
      <c r="D37" s="51">
        <v>18</v>
      </c>
      <c r="E37" s="51">
        <v>0</v>
      </c>
      <c r="F37" s="51">
        <v>418.28000000000014</v>
      </c>
      <c r="G37" s="51">
        <v>0</v>
      </c>
      <c r="H37" s="51">
        <f t="shared" si="1"/>
        <v>0</v>
      </c>
      <c r="I37" s="51">
        <f t="shared" si="2"/>
        <v>0.11105029019942503</v>
      </c>
      <c r="J37" s="51">
        <f t="shared" si="4"/>
        <v>46.450115384615515</v>
      </c>
      <c r="K37" s="51">
        <f t="shared" si="3"/>
        <v>2.5805619658119729</v>
      </c>
      <c r="L37" s="51">
        <v>55</v>
      </c>
      <c r="M37" s="51">
        <f t="shared" si="5"/>
        <v>0.32727272727272727</v>
      </c>
      <c r="N37" s="51">
        <v>92</v>
      </c>
      <c r="O37" s="51">
        <f t="shared" ref="O37:P37" si="47">D37/7</f>
        <v>2.5714285714285716</v>
      </c>
      <c r="P37" s="51">
        <f t="shared" si="47"/>
        <v>0</v>
      </c>
      <c r="Q37" s="51">
        <f t="shared" si="7"/>
        <v>35</v>
      </c>
      <c r="R37" s="55">
        <v>134</v>
      </c>
      <c r="S37" s="53">
        <v>134</v>
      </c>
      <c r="T37" s="54">
        <v>44078</v>
      </c>
      <c r="U37" s="55">
        <v>0</v>
      </c>
      <c r="V37" s="55">
        <f t="shared" si="8"/>
        <v>0</v>
      </c>
      <c r="W37" s="55">
        <f t="shared" si="9"/>
        <v>0</v>
      </c>
      <c r="X37" s="55">
        <v>0</v>
      </c>
      <c r="Y37" s="55" t="s">
        <v>35</v>
      </c>
      <c r="Z37" s="56">
        <f t="shared" si="19"/>
        <v>-0.75</v>
      </c>
      <c r="AA37" s="55">
        <v>0.14499999999999999</v>
      </c>
      <c r="AB37" s="55">
        <f t="shared" si="27"/>
        <v>-5.8724999999999996</v>
      </c>
      <c r="AC37" s="55">
        <v>-5.42</v>
      </c>
      <c r="AD37" s="55">
        <v>-11.425299145299144</v>
      </c>
      <c r="AE37" s="55">
        <v>0</v>
      </c>
      <c r="AF37" s="55">
        <v>3.0569105691056899</v>
      </c>
    </row>
    <row r="38" spans="1:32" s="57" customFormat="1" ht="15.75" customHeight="1">
      <c r="A38" s="2" t="s">
        <v>100</v>
      </c>
      <c r="B38" s="2" t="s">
        <v>591</v>
      </c>
      <c r="C38" s="51">
        <f t="shared" si="35"/>
        <v>21.490000000000002</v>
      </c>
      <c r="D38" s="51">
        <v>10</v>
      </c>
      <c r="E38" s="51">
        <v>0</v>
      </c>
      <c r="F38" s="51">
        <v>214.90000000000003</v>
      </c>
      <c r="G38" s="51">
        <v>-10.350000000000001</v>
      </c>
      <c r="H38" s="51">
        <f t="shared" si="1"/>
        <v>4.8161935784085619E-2</v>
      </c>
      <c r="I38" s="51">
        <f t="shared" si="2"/>
        <v>2.7897093858007707E-3</v>
      </c>
      <c r="J38" s="51">
        <f t="shared" si="4"/>
        <v>0.59950854700858569</v>
      </c>
      <c r="K38" s="51">
        <f t="shared" si="3"/>
        <v>5.995085470085857E-2</v>
      </c>
      <c r="L38" s="51">
        <v>36</v>
      </c>
      <c r="M38" s="51">
        <f t="shared" si="5"/>
        <v>0.27777777777777779</v>
      </c>
      <c r="N38" s="51">
        <v>67</v>
      </c>
      <c r="O38" s="51">
        <f t="shared" ref="O38:P38" si="48">D38/7</f>
        <v>1.4285714285714286</v>
      </c>
      <c r="P38" s="51">
        <f t="shared" si="48"/>
        <v>0</v>
      </c>
      <c r="Q38" s="51">
        <f t="shared" si="7"/>
        <v>46</v>
      </c>
      <c r="R38" s="55">
        <v>134</v>
      </c>
      <c r="S38" s="53"/>
      <c r="T38" s="54">
        <v>44078</v>
      </c>
      <c r="U38" s="55">
        <v>2</v>
      </c>
      <c r="V38" s="55">
        <f t="shared" si="8"/>
        <v>0.2</v>
      </c>
      <c r="W38" s="55">
        <f t="shared" si="9"/>
        <v>2.5875000000000004</v>
      </c>
      <c r="X38" s="55">
        <v>2</v>
      </c>
      <c r="Y38" s="55" t="s">
        <v>35</v>
      </c>
      <c r="Z38" s="56">
        <f t="shared" si="19"/>
        <v>-0.75</v>
      </c>
      <c r="AA38" s="55">
        <v>0.14499999999999999</v>
      </c>
      <c r="AB38" s="55">
        <f t="shared" si="27"/>
        <v>-3.2624999999999997</v>
      </c>
      <c r="AC38" s="55">
        <v>-5.42</v>
      </c>
      <c r="AD38" s="55">
        <v>-11.425299145299144</v>
      </c>
      <c r="AE38" s="55">
        <v>0</v>
      </c>
      <c r="AF38" s="55">
        <v>2.7255813953488301</v>
      </c>
    </row>
    <row r="39" spans="1:32" s="57" customFormat="1" ht="15.75" customHeight="1">
      <c r="A39" s="2" t="s">
        <v>101</v>
      </c>
      <c r="B39" s="2" t="s">
        <v>592</v>
      </c>
      <c r="C39" s="51">
        <f t="shared" si="35"/>
        <v>22.564000000000004</v>
      </c>
      <c r="D39" s="51">
        <v>20</v>
      </c>
      <c r="E39" s="51">
        <v>0</v>
      </c>
      <c r="F39" s="51">
        <v>451.28000000000009</v>
      </c>
      <c r="G39" s="51">
        <v>-33.110000000000007</v>
      </c>
      <c r="H39" s="51">
        <f t="shared" si="1"/>
        <v>7.336908349583407E-2</v>
      </c>
      <c r="I39" s="51">
        <f t="shared" si="2"/>
        <v>1.5615620222518313E-2</v>
      </c>
      <c r="J39" s="51">
        <f>F39*0.85+G39+AD39*D39+D39*AC39+AE40+AB39</f>
        <v>7.0470170940180656</v>
      </c>
      <c r="K39" s="51">
        <f t="shared" si="3"/>
        <v>0.35235085470090327</v>
      </c>
      <c r="L39" s="51">
        <v>85</v>
      </c>
      <c r="M39" s="51">
        <f t="shared" si="5"/>
        <v>0.23529411764705882</v>
      </c>
      <c r="N39" s="51">
        <v>61</v>
      </c>
      <c r="O39" s="51">
        <f t="shared" ref="O39:P39" si="49">D39/7</f>
        <v>2.8571428571428572</v>
      </c>
      <c r="P39" s="51">
        <f t="shared" si="49"/>
        <v>0</v>
      </c>
      <c r="Q39" s="51">
        <f t="shared" si="7"/>
        <v>21</v>
      </c>
      <c r="R39" s="55">
        <v>134</v>
      </c>
      <c r="S39" s="53">
        <v>134</v>
      </c>
      <c r="T39" s="54">
        <v>44078</v>
      </c>
      <c r="U39" s="55">
        <v>3</v>
      </c>
      <c r="V39" s="55">
        <f t="shared" si="8"/>
        <v>0.15</v>
      </c>
      <c r="W39" s="55">
        <f t="shared" si="9"/>
        <v>4.7300000000000013</v>
      </c>
      <c r="X39" s="55">
        <v>4</v>
      </c>
      <c r="Y39" s="55" t="s">
        <v>35</v>
      </c>
      <c r="Z39" s="56">
        <f t="shared" si="19"/>
        <v>-0.75</v>
      </c>
      <c r="AA39" s="55">
        <v>0.14499999999999999</v>
      </c>
      <c r="AB39" s="55">
        <f t="shared" si="27"/>
        <v>-6.5249999999999995</v>
      </c>
      <c r="AC39" s="55">
        <v>-5.42</v>
      </c>
      <c r="AD39" s="55">
        <v>-11.4252991452991</v>
      </c>
      <c r="AE39" s="55">
        <v>0</v>
      </c>
      <c r="AF39" s="55">
        <v>2.2762430939226501</v>
      </c>
    </row>
    <row r="40" spans="1:32" s="57" customFormat="1" ht="15.75" customHeight="1">
      <c r="A40" s="2" t="s">
        <v>102</v>
      </c>
      <c r="B40" s="2" t="s">
        <v>593</v>
      </c>
      <c r="C40" s="51">
        <v>14.535098039215686</v>
      </c>
      <c r="D40" s="51">
        <v>51</v>
      </c>
      <c r="E40" s="51">
        <v>0</v>
      </c>
      <c r="F40" s="51">
        <v>741.29</v>
      </c>
      <c r="G40" s="51">
        <v>-40.71</v>
      </c>
      <c r="H40" s="51">
        <v>5.4917778467266525E-2</v>
      </c>
      <c r="I40" s="51">
        <v>-0.38630294002381543</v>
      </c>
      <c r="J40" s="51">
        <v>-286.36250641025413</v>
      </c>
      <c r="K40" s="51">
        <v>-5.6149511060834145</v>
      </c>
      <c r="L40" s="51">
        <v>124</v>
      </c>
      <c r="M40" s="51">
        <v>0.41129032258064518</v>
      </c>
      <c r="N40" s="51">
        <v>2</v>
      </c>
      <c r="O40" s="51">
        <v>7.2857142857142856</v>
      </c>
      <c r="P40" s="51">
        <v>0</v>
      </c>
      <c r="Q40" s="51">
        <v>0</v>
      </c>
      <c r="R40" s="55">
        <v>134</v>
      </c>
      <c r="S40" s="53">
        <v>134</v>
      </c>
      <c r="T40" s="54">
        <v>44078</v>
      </c>
      <c r="U40" s="55">
        <v>6</v>
      </c>
      <c r="V40" s="55">
        <v>0.11764705882352941</v>
      </c>
      <c r="W40" s="55">
        <v>3.3925000000000001</v>
      </c>
      <c r="X40" s="55">
        <v>6</v>
      </c>
      <c r="Y40" s="55" t="s">
        <v>35</v>
      </c>
      <c r="Z40" s="56">
        <v>-0.75</v>
      </c>
      <c r="AA40" s="55">
        <v>0.14499999999999999</v>
      </c>
      <c r="AB40" s="55">
        <v>-16.638749999999998</v>
      </c>
      <c r="AC40" s="55">
        <v>-5.42</v>
      </c>
      <c r="AD40" s="55">
        <v>-11.4252991452991</v>
      </c>
      <c r="AE40" s="55">
        <v>0</v>
      </c>
      <c r="AF40" s="55">
        <v>2.7711864406779601</v>
      </c>
    </row>
    <row r="41" spans="1:32" s="57" customFormat="1" ht="15.75" customHeight="1">
      <c r="A41" s="2" t="s">
        <v>105</v>
      </c>
      <c r="B41" s="2" t="s">
        <v>594</v>
      </c>
      <c r="C41" s="51">
        <f t="shared" ref="C41:C56" si="50">IFERROR(F41/D41," - ")</f>
        <v>15.012500000000003</v>
      </c>
      <c r="D41" s="51">
        <v>12</v>
      </c>
      <c r="E41" s="51">
        <v>0</v>
      </c>
      <c r="F41" s="51">
        <v>180.15000000000003</v>
      </c>
      <c r="G41" s="51">
        <v>-28.490000000000002</v>
      </c>
      <c r="H41" s="51">
        <f t="shared" ref="H41:H56" si="51">G41/F41*-1</f>
        <v>0.15814598945323341</v>
      </c>
      <c r="I41" s="51">
        <f t="shared" ref="I41:I56" si="52">J41/F41</f>
        <v>-0.45196275183785262</v>
      </c>
      <c r="J41" s="51">
        <f t="shared" ref="J41:J48" si="53">F41*0.85+G41+AD41*D41+D41*AC41+AE42+AB41</f>
        <v>-81.421089743589164</v>
      </c>
      <c r="K41" s="51">
        <f t="shared" ref="K41:K56" si="54">J41/D41</f>
        <v>-6.7850908119657634</v>
      </c>
      <c r="L41" s="51">
        <v>58</v>
      </c>
      <c r="M41" s="51">
        <f t="shared" ref="M41:M56" si="55">IFERROR(D41/L41,"-")</f>
        <v>0.20689655172413793</v>
      </c>
      <c r="N41" s="51">
        <v>0</v>
      </c>
      <c r="O41" s="51">
        <f t="shared" ref="O41:P41" si="56">D41/7</f>
        <v>1.7142857142857142</v>
      </c>
      <c r="P41" s="51">
        <f t="shared" si="56"/>
        <v>0</v>
      </c>
      <c r="Q41" s="51">
        <f t="shared" ref="Q41:Q56" si="57">ROUNDDOWN(N41/(O41+P41),0)</f>
        <v>0</v>
      </c>
      <c r="R41" s="55">
        <v>134</v>
      </c>
      <c r="S41" s="53">
        <v>134</v>
      </c>
      <c r="T41" s="54">
        <v>44078</v>
      </c>
      <c r="U41" s="55">
        <v>2</v>
      </c>
      <c r="V41" s="55">
        <f t="shared" ref="V41:V56" si="58">IFERROR(U41/D41,0)</f>
        <v>0.16666666666666666</v>
      </c>
      <c r="W41" s="55">
        <f t="shared" ref="W41:W56" si="59">IFERROR(G41/(U41+X41)*-1,0)</f>
        <v>7.1225000000000005</v>
      </c>
      <c r="X41" s="55">
        <v>2</v>
      </c>
      <c r="Y41" s="55" t="s">
        <v>35</v>
      </c>
      <c r="Z41" s="56">
        <f t="shared" ref="Z41:Z43" si="60">IF(OR(Y41="UsLargeStandardSize",Y41="UsSmallStandardSize"),-0.75,-0.48)</f>
        <v>-0.75</v>
      </c>
      <c r="AA41" s="55">
        <v>0.14499999999999999</v>
      </c>
      <c r="AB41" s="55">
        <f t="shared" ref="AB41:AB56" si="61">IFERROR(Z41*AA41*D41*3,0)</f>
        <v>-3.9149999999999991</v>
      </c>
      <c r="AC41" s="55">
        <v>-5.42</v>
      </c>
      <c r="AD41" s="55">
        <v>-11.4252991452991</v>
      </c>
      <c r="AE41" s="55">
        <v>0</v>
      </c>
      <c r="AF41" s="55">
        <v>3.3638814016172498</v>
      </c>
    </row>
    <row r="42" spans="1:32" s="57" customFormat="1" ht="15.75" customHeight="1">
      <c r="A42" s="2" t="s">
        <v>106</v>
      </c>
      <c r="B42" s="2" t="s">
        <v>595</v>
      </c>
      <c r="C42" s="51" t="str">
        <f t="shared" si="50"/>
        <v xml:space="preserve"> - </v>
      </c>
      <c r="D42" s="51">
        <v>0</v>
      </c>
      <c r="E42" s="51">
        <v>0</v>
      </c>
      <c r="F42" s="51">
        <v>0</v>
      </c>
      <c r="G42" s="51">
        <v>0</v>
      </c>
      <c r="H42" s="51" t="e">
        <f t="shared" si="51"/>
        <v>#DIV/0!</v>
      </c>
      <c r="I42" s="51" t="e">
        <f t="shared" si="52"/>
        <v>#DIV/0!</v>
      </c>
      <c r="J42" s="51">
        <f t="shared" si="53"/>
        <v>0</v>
      </c>
      <c r="K42" s="51" t="e">
        <f t="shared" si="54"/>
        <v>#DIV/0!</v>
      </c>
      <c r="L42" s="51">
        <v>0</v>
      </c>
      <c r="M42" s="51" t="str">
        <f t="shared" si="55"/>
        <v>-</v>
      </c>
      <c r="N42" s="51">
        <v>0</v>
      </c>
      <c r="O42" s="51">
        <f t="shared" ref="O42:P42" si="62">D42/7</f>
        <v>0</v>
      </c>
      <c r="P42" s="51">
        <f t="shared" si="62"/>
        <v>0</v>
      </c>
      <c r="Q42" s="51" t="e">
        <f t="shared" si="57"/>
        <v>#DIV/0!</v>
      </c>
      <c r="R42" s="55">
        <f ca="1">IFERROR(__xludf.DUMMYFUNCTION("IFERROR(VLOOKUP($B$2,IMPORTRANGE(""https://docs.google.com/spreadsheets/d/1iVgg6Mw12RULLujzHmfOFIY8Q_KaAD8anoZzgtVAQ74/edit#gid=1503384807"",""Second Star - Summary!A1:AD2000""),9,FALSE),"""")"),720)</f>
        <v>720</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0</v>
      </c>
      <c r="V42" s="55">
        <f t="shared" si="58"/>
        <v>0</v>
      </c>
      <c r="W42" s="55">
        <f t="shared" si="59"/>
        <v>0</v>
      </c>
      <c r="X42" s="55">
        <v>0</v>
      </c>
      <c r="Y42" s="55" t="s">
        <v>35</v>
      </c>
      <c r="Z42" s="56">
        <f t="shared" si="60"/>
        <v>-0.75</v>
      </c>
      <c r="AA42" s="55">
        <v>0.14499999999999999</v>
      </c>
      <c r="AB42" s="55">
        <f t="shared" si="61"/>
        <v>0</v>
      </c>
      <c r="AC42" s="55">
        <v>-5.42</v>
      </c>
      <c r="AD42" s="55">
        <v>-11.4252991452991</v>
      </c>
      <c r="AE42" s="55">
        <v>0</v>
      </c>
      <c r="AF42" s="55">
        <v>3.77408637873754</v>
      </c>
    </row>
    <row r="43" spans="1:32" s="57" customFormat="1" ht="15.75" customHeight="1">
      <c r="A43" s="2" t="s">
        <v>107</v>
      </c>
      <c r="B43" s="2" t="s">
        <v>595</v>
      </c>
      <c r="C43" s="51">
        <f t="shared" si="50"/>
        <v>13.99</v>
      </c>
      <c r="D43" s="51">
        <v>2</v>
      </c>
      <c r="E43" s="51">
        <v>0</v>
      </c>
      <c r="F43" s="51">
        <v>27.98</v>
      </c>
      <c r="G43" s="51">
        <v>-12.45</v>
      </c>
      <c r="H43" s="51">
        <f t="shared" si="51"/>
        <v>0.44496068620443169</v>
      </c>
      <c r="I43" s="51">
        <f t="shared" si="52"/>
        <v>-0.82237663654746951</v>
      </c>
      <c r="J43" s="51">
        <f t="shared" si="53"/>
        <v>-23.010098290598197</v>
      </c>
      <c r="K43" s="51">
        <f t="shared" si="54"/>
        <v>-11.505049145299099</v>
      </c>
      <c r="L43" s="51">
        <v>12</v>
      </c>
      <c r="M43" s="51">
        <f t="shared" si="55"/>
        <v>0.16666666666666666</v>
      </c>
      <c r="N43" s="51">
        <v>1</v>
      </c>
      <c r="O43" s="51">
        <f t="shared" ref="O43:P43" si="63">D43/7</f>
        <v>0.2857142857142857</v>
      </c>
      <c r="P43" s="51">
        <f t="shared" si="63"/>
        <v>0</v>
      </c>
      <c r="Q43" s="51">
        <f t="shared" si="57"/>
        <v>3</v>
      </c>
      <c r="R43" s="55">
        <v>105</v>
      </c>
      <c r="S43" s="53">
        <v>24</v>
      </c>
      <c r="T43" s="54">
        <v>44118</v>
      </c>
      <c r="U43" s="55">
        <v>1</v>
      </c>
      <c r="V43" s="55">
        <f t="shared" si="58"/>
        <v>0.5</v>
      </c>
      <c r="W43" s="55">
        <f t="shared" si="59"/>
        <v>4.1499999999999995</v>
      </c>
      <c r="X43" s="55">
        <v>2</v>
      </c>
      <c r="Y43" s="55" t="s">
        <v>35</v>
      </c>
      <c r="Z43" s="56">
        <f t="shared" si="60"/>
        <v>-0.75</v>
      </c>
      <c r="AA43" s="55">
        <v>0.14499999999999999</v>
      </c>
      <c r="AB43" s="55">
        <f t="shared" si="61"/>
        <v>-0.65249999999999986</v>
      </c>
      <c r="AC43" s="55">
        <v>-5.42</v>
      </c>
      <c r="AD43" s="55">
        <v>-11.4252991452991</v>
      </c>
      <c r="AE43" s="55">
        <v>0</v>
      </c>
      <c r="AF43" s="55">
        <v>2.2396514161219998</v>
      </c>
    </row>
    <row r="44" spans="1:32" s="57" customFormat="1" ht="15.75" customHeight="1">
      <c r="A44" s="2" t="s">
        <v>108</v>
      </c>
      <c r="B44" s="2" t="s">
        <v>595</v>
      </c>
      <c r="C44" s="51">
        <f t="shared" si="50"/>
        <v>13.99</v>
      </c>
      <c r="D44" s="51">
        <v>1</v>
      </c>
      <c r="E44" s="51">
        <v>0</v>
      </c>
      <c r="F44" s="51">
        <v>13.99</v>
      </c>
      <c r="G44" s="51">
        <v>0</v>
      </c>
      <c r="H44" s="51">
        <f t="shared" si="51"/>
        <v>0</v>
      </c>
      <c r="I44" s="51">
        <f t="shared" si="52"/>
        <v>-0.42872045355962113</v>
      </c>
      <c r="J44" s="51">
        <f t="shared" si="53"/>
        <v>-5.9977991452990995</v>
      </c>
      <c r="K44" s="51">
        <f t="shared" si="54"/>
        <v>-5.9977991452990995</v>
      </c>
      <c r="L44" s="51">
        <v>12</v>
      </c>
      <c r="M44" s="51">
        <f t="shared" si="55"/>
        <v>8.3333333333333329E-2</v>
      </c>
      <c r="N44" s="51">
        <v>0</v>
      </c>
      <c r="O44" s="51">
        <f t="shared" ref="O44:P44" si="64">D44/7</f>
        <v>0.14285714285714285</v>
      </c>
      <c r="P44" s="51">
        <f t="shared" si="64"/>
        <v>0</v>
      </c>
      <c r="Q44" s="51">
        <f t="shared" si="57"/>
        <v>0</v>
      </c>
      <c r="R44" s="55">
        <v>66</v>
      </c>
      <c r="S44" s="53">
        <v>24</v>
      </c>
      <c r="T44" s="54">
        <v>44117</v>
      </c>
      <c r="U44" s="55">
        <v>0</v>
      </c>
      <c r="V44" s="55">
        <f t="shared" si="58"/>
        <v>0</v>
      </c>
      <c r="W44" s="55">
        <f t="shared" si="59"/>
        <v>0</v>
      </c>
      <c r="X44" s="55">
        <v>0</v>
      </c>
      <c r="Y44" s="55" t="s">
        <v>35</v>
      </c>
      <c r="Z44" s="56">
        <f t="shared" ref="Z44:Z56" si="65">IF(OR(Y44="UsLargeStandardSize",Y44="UsSmallStandardSize"),-2.4,-1.2)</f>
        <v>-2.4</v>
      </c>
      <c r="AA44" s="55">
        <v>0.14499999999999999</v>
      </c>
      <c r="AB44" s="55">
        <f t="shared" si="61"/>
        <v>-1.044</v>
      </c>
      <c r="AC44" s="55">
        <v>-5.42</v>
      </c>
      <c r="AD44" s="55">
        <v>-11.4252991452991</v>
      </c>
      <c r="AE44" s="55">
        <v>0</v>
      </c>
      <c r="AF44" s="55" t="e">
        <v>#N/A</v>
      </c>
    </row>
    <row r="45" spans="1:32" s="57" customFormat="1" ht="15.75" customHeight="1">
      <c r="A45" s="2" t="s">
        <v>109</v>
      </c>
      <c r="B45" s="2" t="s">
        <v>595</v>
      </c>
      <c r="C45" s="51" t="str">
        <f t="shared" si="50"/>
        <v xml:space="preserve"> - </v>
      </c>
      <c r="D45" s="51">
        <v>0</v>
      </c>
      <c r="E45" s="51">
        <v>0</v>
      </c>
      <c r="F45" s="51">
        <v>0</v>
      </c>
      <c r="G45" s="51">
        <v>0</v>
      </c>
      <c r="H45" s="51" t="e">
        <f t="shared" si="51"/>
        <v>#DIV/0!</v>
      </c>
      <c r="I45" s="51" t="e">
        <f t="shared" si="52"/>
        <v>#DIV/0!</v>
      </c>
      <c r="J45" s="51">
        <f t="shared" si="53"/>
        <v>0</v>
      </c>
      <c r="K45" s="51" t="e">
        <f t="shared" si="54"/>
        <v>#DIV/0!</v>
      </c>
      <c r="L45" s="51">
        <v>0</v>
      </c>
      <c r="M45" s="51" t="str">
        <f t="shared" si="55"/>
        <v>-</v>
      </c>
      <c r="N45" s="51">
        <v>0</v>
      </c>
      <c r="O45" s="51">
        <f t="shared" ref="O45:P45" si="66">D45/7</f>
        <v>0</v>
      </c>
      <c r="P45" s="51">
        <f t="shared" si="66"/>
        <v>0</v>
      </c>
      <c r="Q45" s="51" t="e">
        <f t="shared" si="57"/>
        <v>#DIV/0!</v>
      </c>
      <c r="R45" s="55">
        <v>66</v>
      </c>
      <c r="S45" s="53">
        <v>24</v>
      </c>
      <c r="T45" s="54">
        <v>44117</v>
      </c>
      <c r="U45" s="55">
        <v>0</v>
      </c>
      <c r="V45" s="55">
        <f t="shared" si="58"/>
        <v>0</v>
      </c>
      <c r="W45" s="55">
        <f t="shared" si="59"/>
        <v>0</v>
      </c>
      <c r="X45" s="55">
        <v>0</v>
      </c>
      <c r="Y45" s="55" t="e">
        <v>#N/A</v>
      </c>
      <c r="Z45" s="56" t="e">
        <f t="shared" si="65"/>
        <v>#N/A</v>
      </c>
      <c r="AA45" s="55" t="e">
        <v>#N/A</v>
      </c>
      <c r="AB45" s="55">
        <f t="shared" si="61"/>
        <v>0</v>
      </c>
      <c r="AC45" s="55">
        <v>0</v>
      </c>
      <c r="AD45" s="55">
        <v>-11.4252991452991</v>
      </c>
      <c r="AE45" s="55">
        <v>0</v>
      </c>
      <c r="AF45" s="55" t="e">
        <v>#N/A</v>
      </c>
    </row>
    <row r="46" spans="1:32" s="57" customFormat="1" ht="15.75" customHeight="1">
      <c r="A46" s="2" t="s">
        <v>111</v>
      </c>
      <c r="B46" s="2" t="s">
        <v>596</v>
      </c>
      <c r="C46" s="51" t="str">
        <f t="shared" si="50"/>
        <v xml:space="preserve"> - </v>
      </c>
      <c r="D46" s="51">
        <v>0</v>
      </c>
      <c r="E46" s="51">
        <v>0</v>
      </c>
      <c r="F46" s="51">
        <v>0</v>
      </c>
      <c r="G46" s="51">
        <v>0</v>
      </c>
      <c r="H46" s="51" t="e">
        <f t="shared" si="51"/>
        <v>#DIV/0!</v>
      </c>
      <c r="I46" s="51" t="e">
        <f t="shared" si="52"/>
        <v>#DIV/0!</v>
      </c>
      <c r="J46" s="51">
        <f t="shared" si="53"/>
        <v>0</v>
      </c>
      <c r="K46" s="51" t="e">
        <f t="shared" si="54"/>
        <v>#DIV/0!</v>
      </c>
      <c r="L46" s="51">
        <v>0</v>
      </c>
      <c r="M46" s="51" t="str">
        <f t="shared" si="55"/>
        <v>-</v>
      </c>
      <c r="N46" s="51">
        <v>0</v>
      </c>
      <c r="O46" s="51">
        <f t="shared" ref="O46:P46" si="67">D46/7</f>
        <v>0</v>
      </c>
      <c r="P46" s="51">
        <f t="shared" si="67"/>
        <v>0</v>
      </c>
      <c r="Q46" s="51" t="e">
        <f t="shared" si="57"/>
        <v>#DIV/0!</v>
      </c>
      <c r="R46" s="55">
        <v>0</v>
      </c>
      <c r="S46" s="53" t="s">
        <v>34</v>
      </c>
      <c r="T46" s="54" t="s">
        <v>34</v>
      </c>
      <c r="U46" s="55">
        <v>0</v>
      </c>
      <c r="V46" s="55">
        <f t="shared" si="58"/>
        <v>0</v>
      </c>
      <c r="W46" s="55">
        <f t="shared" si="59"/>
        <v>0</v>
      </c>
      <c r="X46" s="55">
        <v>0</v>
      </c>
      <c r="Y46" s="55" t="e">
        <v>#N/A</v>
      </c>
      <c r="Z46" s="56" t="e">
        <f t="shared" si="65"/>
        <v>#N/A</v>
      </c>
      <c r="AA46" s="55" t="e">
        <v>#N/A</v>
      </c>
      <c r="AB46" s="55">
        <f t="shared" si="61"/>
        <v>0</v>
      </c>
      <c r="AC46" s="55">
        <v>0</v>
      </c>
      <c r="AD46" s="55">
        <v>-11.4252991452991</v>
      </c>
      <c r="AE46" s="55">
        <v>0</v>
      </c>
      <c r="AF46" s="55" t="e">
        <v>#N/A</v>
      </c>
    </row>
    <row r="47" spans="1:32" s="57" customFormat="1" ht="15.75" customHeight="1">
      <c r="A47" s="2" t="s">
        <v>113</v>
      </c>
      <c r="B47" s="2" t="s">
        <v>597</v>
      </c>
      <c r="C47" s="51">
        <f t="shared" si="50"/>
        <v>13.99</v>
      </c>
      <c r="D47" s="51">
        <v>4</v>
      </c>
      <c r="E47" s="51">
        <v>0</v>
      </c>
      <c r="F47" s="51">
        <v>55.96</v>
      </c>
      <c r="G47" s="51">
        <v>0</v>
      </c>
      <c r="H47" s="51">
        <f t="shared" si="51"/>
        <v>0</v>
      </c>
      <c r="I47" s="51">
        <f t="shared" si="52"/>
        <v>-0.42872045355962113</v>
      </c>
      <c r="J47" s="51">
        <f t="shared" si="53"/>
        <v>-23.991196581196398</v>
      </c>
      <c r="K47" s="51">
        <f t="shared" si="54"/>
        <v>-5.9977991452990995</v>
      </c>
      <c r="L47" s="51">
        <v>58</v>
      </c>
      <c r="M47" s="51">
        <f t="shared" si="55"/>
        <v>6.8965517241379309E-2</v>
      </c>
      <c r="N47" s="51">
        <v>45</v>
      </c>
      <c r="O47" s="51">
        <f t="shared" ref="O47:P47" si="68">D47/7</f>
        <v>0.5714285714285714</v>
      </c>
      <c r="P47" s="51">
        <f t="shared" si="68"/>
        <v>0</v>
      </c>
      <c r="Q47" s="51">
        <f t="shared" si="57"/>
        <v>78</v>
      </c>
      <c r="R47" s="55">
        <v>0</v>
      </c>
      <c r="S47" s="53" t="s">
        <v>34</v>
      </c>
      <c r="T47" s="54" t="s">
        <v>34</v>
      </c>
      <c r="U47" s="55">
        <v>0</v>
      </c>
      <c r="V47" s="55">
        <f t="shared" si="58"/>
        <v>0</v>
      </c>
      <c r="W47" s="55">
        <f t="shared" si="59"/>
        <v>0</v>
      </c>
      <c r="X47" s="55">
        <v>0</v>
      </c>
      <c r="Y47" s="55" t="s">
        <v>35</v>
      </c>
      <c r="Z47" s="56">
        <f t="shared" si="65"/>
        <v>-2.4</v>
      </c>
      <c r="AA47" s="55">
        <v>0.14499999999999999</v>
      </c>
      <c r="AB47" s="55">
        <f t="shared" si="61"/>
        <v>-4.1760000000000002</v>
      </c>
      <c r="AC47" s="55">
        <v>-5.42</v>
      </c>
      <c r="AD47" s="55">
        <v>-11.4252991452991</v>
      </c>
      <c r="AE47" s="55">
        <v>0</v>
      </c>
      <c r="AF47" s="55">
        <v>2.3703703703703698</v>
      </c>
    </row>
    <row r="48" spans="1:32" s="57" customFormat="1" ht="15.75" customHeight="1">
      <c r="A48" s="2" t="s">
        <v>115</v>
      </c>
      <c r="B48" s="2" t="s">
        <v>598</v>
      </c>
      <c r="C48" s="51">
        <f t="shared" si="50"/>
        <v>14.689268292682934</v>
      </c>
      <c r="D48" s="51">
        <v>41</v>
      </c>
      <c r="E48" s="51">
        <v>0</v>
      </c>
      <c r="F48" s="51">
        <v>602.26000000000033</v>
      </c>
      <c r="G48" s="51">
        <v>-0.08</v>
      </c>
      <c r="H48" s="51">
        <f t="shared" si="51"/>
        <v>1.3283299571613581E-4</v>
      </c>
      <c r="I48" s="51">
        <f t="shared" si="52"/>
        <v>-0.36798104632096218</v>
      </c>
      <c r="J48" s="51">
        <f t="shared" si="53"/>
        <v>-221.6202649572628</v>
      </c>
      <c r="K48" s="51">
        <f t="shared" si="54"/>
        <v>-5.4053723160308005</v>
      </c>
      <c r="L48" s="51">
        <v>78</v>
      </c>
      <c r="M48" s="51">
        <f t="shared" si="55"/>
        <v>0.52564102564102566</v>
      </c>
      <c r="N48" s="51">
        <v>20</v>
      </c>
      <c r="O48" s="51">
        <f t="shared" ref="O48:P48" si="69">D48/7</f>
        <v>5.8571428571428568</v>
      </c>
      <c r="P48" s="51">
        <f t="shared" si="69"/>
        <v>0</v>
      </c>
      <c r="Q48" s="51">
        <f t="shared" si="57"/>
        <v>3</v>
      </c>
      <c r="R48" s="55">
        <f ca="1">IFERROR(__xludf.DUMMYFUNCTION("IFERROR(VLOOKUP($B$2,IMPORTRANGE(""https://docs.google.com/spreadsheets/d/1iVgg6Mw12RULLujzHmfOFIY8Q_KaAD8anoZzgtVAQ74/edit#gid=1503384807"",""Second Star - Summary!A1:AD2000""),9,FALSE),"""")"),720)</f>
        <v>720</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si="58"/>
        <v>0</v>
      </c>
      <c r="W48" s="55">
        <f t="shared" si="59"/>
        <v>0</v>
      </c>
      <c r="X48" s="55">
        <v>0</v>
      </c>
      <c r="Y48" s="55" t="s">
        <v>35</v>
      </c>
      <c r="Z48" s="56">
        <f t="shared" si="65"/>
        <v>-2.4</v>
      </c>
      <c r="AA48" s="55">
        <v>0.14499999999999999</v>
      </c>
      <c r="AB48" s="55">
        <f t="shared" si="61"/>
        <v>-42.803999999999995</v>
      </c>
      <c r="AC48" s="55">
        <v>-5.42</v>
      </c>
      <c r="AD48" s="55">
        <v>-11.4252991452991</v>
      </c>
      <c r="AE48" s="55">
        <v>0</v>
      </c>
      <c r="AF48" s="55">
        <v>3.2</v>
      </c>
    </row>
    <row r="49" spans="1:32" s="57" customFormat="1" ht="15.75" customHeight="1">
      <c r="A49" s="2" t="s">
        <v>117</v>
      </c>
      <c r="B49" s="2" t="s">
        <v>179</v>
      </c>
      <c r="C49" s="51">
        <f t="shared" si="50"/>
        <v>24.990000000000002</v>
      </c>
      <c r="D49" s="51">
        <v>15</v>
      </c>
      <c r="E49" s="51">
        <v>0</v>
      </c>
      <c r="F49" s="51">
        <v>374.85</v>
      </c>
      <c r="G49" s="51">
        <v>0</v>
      </c>
      <c r="H49" s="51">
        <f t="shared" si="51"/>
        <v>0</v>
      </c>
      <c r="I49" s="51">
        <f t="shared" si="52"/>
        <v>0.13256185893160863</v>
      </c>
      <c r="J49" s="51">
        <f t="shared" ref="J49:J56" si="70">F49*0.85+G49+AD49*D49+D49*AC49+AE49+AB49</f>
        <v>49.6908128205135</v>
      </c>
      <c r="K49" s="51">
        <f t="shared" si="54"/>
        <v>3.3127208547008999</v>
      </c>
      <c r="L49" s="51">
        <v>88</v>
      </c>
      <c r="M49" s="51">
        <f t="shared" si="55"/>
        <v>0.17045454545454544</v>
      </c>
      <c r="N49" s="51">
        <v>5</v>
      </c>
      <c r="O49" s="51">
        <f t="shared" ref="O49:P49" si="71">D49/7</f>
        <v>2.1428571428571428</v>
      </c>
      <c r="P49" s="51">
        <f t="shared" si="71"/>
        <v>0</v>
      </c>
      <c r="Q49" s="51">
        <f t="shared" si="57"/>
        <v>2</v>
      </c>
      <c r="R49" s="55">
        <f ca="1">IFERROR(__xludf.DUMMYFUNCTION("IFERROR(VLOOKUP($B$2,IMPORTRANGE(""https://docs.google.com/spreadsheets/d/1iVgg6Mw12RULLujzHmfOFIY8Q_KaAD8anoZzgtVAQ74/edit#gid=1503384807"",""Second Star - Summary!A1:AD2000""),9,FALSE),"""")"),720)</f>
        <v>720</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58"/>
        <v>0</v>
      </c>
      <c r="W49" s="55">
        <f t="shared" si="59"/>
        <v>0</v>
      </c>
      <c r="X49" s="55">
        <v>0</v>
      </c>
      <c r="Y49" s="55" t="s">
        <v>35</v>
      </c>
      <c r="Z49" s="56">
        <f t="shared" si="65"/>
        <v>-2.4</v>
      </c>
      <c r="AA49" s="55">
        <v>0.14499999999999999</v>
      </c>
      <c r="AB49" s="55">
        <f t="shared" si="61"/>
        <v>-15.66</v>
      </c>
      <c r="AC49" s="55">
        <v>-5.42</v>
      </c>
      <c r="AD49" s="55">
        <v>-11.464779145299101</v>
      </c>
      <c r="AE49" s="55">
        <v>0</v>
      </c>
      <c r="AF49" s="55">
        <v>5.0588235294117601</v>
      </c>
    </row>
    <row r="50" spans="1:32" s="57" customFormat="1" ht="15.75" customHeight="1">
      <c r="A50" s="2" t="s">
        <v>119</v>
      </c>
      <c r="B50" s="2"/>
      <c r="C50" s="51">
        <f t="shared" si="50"/>
        <v>24.99</v>
      </c>
      <c r="D50" s="51">
        <v>5</v>
      </c>
      <c r="E50" s="51">
        <v>0</v>
      </c>
      <c r="F50" s="51">
        <v>124.94999999999999</v>
      </c>
      <c r="G50" s="51">
        <v>0</v>
      </c>
      <c r="H50" s="51">
        <f t="shared" si="51"/>
        <v>0</v>
      </c>
      <c r="I50" s="51">
        <f t="shared" si="52"/>
        <v>0.13256185893160843</v>
      </c>
      <c r="J50" s="51">
        <f t="shared" si="70"/>
        <v>16.563604273504474</v>
      </c>
      <c r="K50" s="51">
        <f t="shared" si="54"/>
        <v>3.3127208547008946</v>
      </c>
      <c r="L50" s="51">
        <v>17</v>
      </c>
      <c r="M50" s="51">
        <f t="shared" si="55"/>
        <v>0.29411764705882354</v>
      </c>
      <c r="N50" s="51">
        <v>0</v>
      </c>
      <c r="O50" s="51">
        <f t="shared" ref="O50:P50" si="72">D50/7</f>
        <v>0.7142857142857143</v>
      </c>
      <c r="P50" s="51">
        <f t="shared" si="72"/>
        <v>0</v>
      </c>
      <c r="Q50" s="51">
        <f t="shared" si="57"/>
        <v>0</v>
      </c>
      <c r="R50" s="55">
        <f ca="1">IFERROR(__xludf.DUMMYFUNCTION("IFERROR(VLOOKUP($B$2,IMPORTRANGE(""https://docs.google.com/spreadsheets/d/1iVgg6Mw12RULLujzHmfOFIY8Q_KaAD8anoZzgtVAQ74/edit#gid=1503384807"",""Second Star - Summary!A1:AD2000""),9,FALSE),"""")"),720)</f>
        <v>720</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58"/>
        <v>0</v>
      </c>
      <c r="W50" s="55">
        <f t="shared" si="59"/>
        <v>0</v>
      </c>
      <c r="X50" s="55">
        <v>0</v>
      </c>
      <c r="Y50" s="55" t="s">
        <v>35</v>
      </c>
      <c r="Z50" s="56">
        <f t="shared" si="65"/>
        <v>-2.4</v>
      </c>
      <c r="AA50" s="55">
        <v>0.14499999999999999</v>
      </c>
      <c r="AB50" s="55">
        <f t="shared" si="61"/>
        <v>-5.2199999999999989</v>
      </c>
      <c r="AC50" s="55">
        <v>-5.42</v>
      </c>
      <c r="AD50" s="55">
        <v>-11.464779145299101</v>
      </c>
      <c r="AE50" s="55">
        <v>0</v>
      </c>
      <c r="AF50" s="55" t="e">
        <v>#N/A</v>
      </c>
    </row>
    <row r="51" spans="1:32" s="57" customFormat="1" ht="15.75" customHeight="1">
      <c r="A51" s="2" t="s">
        <v>121</v>
      </c>
      <c r="B51" s="2"/>
      <c r="C51" s="51" t="str">
        <f t="shared" si="50"/>
        <v xml:space="preserve"> - </v>
      </c>
      <c r="D51" s="51">
        <v>0</v>
      </c>
      <c r="E51" s="51">
        <v>0</v>
      </c>
      <c r="F51" s="51">
        <v>0</v>
      </c>
      <c r="G51" s="51">
        <v>0</v>
      </c>
      <c r="H51" s="51" t="e">
        <f t="shared" si="51"/>
        <v>#DIV/0!</v>
      </c>
      <c r="I51" s="51" t="e">
        <f t="shared" si="52"/>
        <v>#DIV/0!</v>
      </c>
      <c r="J51" s="51">
        <f t="shared" si="70"/>
        <v>0</v>
      </c>
      <c r="K51" s="51" t="e">
        <f t="shared" si="54"/>
        <v>#DIV/0!</v>
      </c>
      <c r="L51" s="51">
        <v>0</v>
      </c>
      <c r="M51" s="51" t="str">
        <f t="shared" si="55"/>
        <v>-</v>
      </c>
      <c r="N51" s="51">
        <v>0</v>
      </c>
      <c r="O51" s="51">
        <f t="shared" ref="O51:P51" si="73">D51/7</f>
        <v>0</v>
      </c>
      <c r="P51" s="51">
        <f t="shared" si="73"/>
        <v>0</v>
      </c>
      <c r="Q51" s="51" t="e">
        <f t="shared" si="57"/>
        <v>#DIV/0!</v>
      </c>
      <c r="R51" s="55">
        <f ca="1">IFERROR(__xludf.DUMMYFUNCTION("IFERROR(VLOOKUP($B$2,IMPORTRANGE(""https://docs.google.com/spreadsheets/d/1iVgg6Mw12RULLujzHmfOFIY8Q_KaAD8anoZzgtVAQ74/edit#gid=1503384807"",""Second Star - Summary!A1:AD2000""),9,FALSE),"""")"),720)</f>
        <v>720</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58"/>
        <v>0</v>
      </c>
      <c r="W51" s="55">
        <f t="shared" si="59"/>
        <v>0</v>
      </c>
      <c r="X51" s="55">
        <v>0</v>
      </c>
      <c r="Y51" s="55" t="s">
        <v>35</v>
      </c>
      <c r="Z51" s="56">
        <f t="shared" si="65"/>
        <v>-2.4</v>
      </c>
      <c r="AA51" s="55">
        <v>0.14499999999999999</v>
      </c>
      <c r="AB51" s="55">
        <f t="shared" si="61"/>
        <v>0</v>
      </c>
      <c r="AC51" s="55">
        <v>-5.42</v>
      </c>
      <c r="AD51" s="55">
        <v>-11.464779145299101</v>
      </c>
      <c r="AE51" s="55">
        <v>0</v>
      </c>
      <c r="AF51" s="55" t="e">
        <v>#N/A</v>
      </c>
    </row>
    <row r="52" spans="1:32" s="57" customFormat="1" ht="15.75" customHeight="1">
      <c r="A52" s="2" t="s">
        <v>123</v>
      </c>
      <c r="B52" s="2" t="s">
        <v>599</v>
      </c>
      <c r="C52" s="51">
        <f t="shared" si="50"/>
        <v>24.99</v>
      </c>
      <c r="D52" s="51">
        <v>2</v>
      </c>
      <c r="E52" s="51">
        <v>0</v>
      </c>
      <c r="F52" s="51">
        <v>49.98</v>
      </c>
      <c r="G52" s="51">
        <v>0</v>
      </c>
      <c r="H52" s="51">
        <f t="shared" si="51"/>
        <v>0</v>
      </c>
      <c r="I52" s="51">
        <f t="shared" si="52"/>
        <v>0.13256185893160857</v>
      </c>
      <c r="J52" s="51">
        <f t="shared" si="70"/>
        <v>6.6254417094017954</v>
      </c>
      <c r="K52" s="51">
        <f t="shared" si="54"/>
        <v>3.3127208547008977</v>
      </c>
      <c r="L52" s="51">
        <v>65</v>
      </c>
      <c r="M52" s="51">
        <f t="shared" si="55"/>
        <v>3.0769230769230771E-2</v>
      </c>
      <c r="N52" s="51">
        <v>20</v>
      </c>
      <c r="O52" s="51">
        <f t="shared" ref="O52:P52" si="74">D52/7</f>
        <v>0.2857142857142857</v>
      </c>
      <c r="P52" s="51">
        <f t="shared" si="74"/>
        <v>0</v>
      </c>
      <c r="Q52" s="51">
        <f t="shared" si="57"/>
        <v>70</v>
      </c>
      <c r="R52" s="55">
        <f ca="1">IFERROR(__xludf.DUMMYFUNCTION("IFERROR(VLOOKUP($B$2,IMPORTRANGE(""https://docs.google.com/spreadsheets/d/1iVgg6Mw12RULLujzHmfOFIY8Q_KaAD8anoZzgtVAQ74/edit#gid=1503384807"",""Second Star - Summary!A1:AD2000""),9,FALSE),"""")"),720)</f>
        <v>720</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58"/>
        <v>0</v>
      </c>
      <c r="W52" s="55">
        <f t="shared" si="59"/>
        <v>0</v>
      </c>
      <c r="X52" s="55">
        <v>0</v>
      </c>
      <c r="Y52" s="55" t="s">
        <v>35</v>
      </c>
      <c r="Z52" s="56">
        <f t="shared" si="65"/>
        <v>-2.4</v>
      </c>
      <c r="AA52" s="55">
        <v>0.14499999999999999</v>
      </c>
      <c r="AB52" s="55">
        <f t="shared" si="61"/>
        <v>-2.0880000000000001</v>
      </c>
      <c r="AC52" s="55">
        <v>-5.42</v>
      </c>
      <c r="AD52" s="55">
        <v>-11.464779145299101</v>
      </c>
      <c r="AE52" s="55">
        <v>0</v>
      </c>
      <c r="AF52" s="55">
        <v>3.7179487179487101</v>
      </c>
    </row>
    <row r="53" spans="1:32" s="57" customFormat="1">
      <c r="A53" s="2" t="s">
        <v>38</v>
      </c>
      <c r="B53" s="2" t="s">
        <v>563</v>
      </c>
      <c r="C53" s="51">
        <f t="shared" si="50"/>
        <v>24.990000000000002</v>
      </c>
      <c r="D53" s="51">
        <v>8</v>
      </c>
      <c r="E53" s="51">
        <v>0</v>
      </c>
      <c r="F53" s="51">
        <v>199.92000000000002</v>
      </c>
      <c r="G53" s="51">
        <v>-13.879999999999997</v>
      </c>
      <c r="H53" s="51">
        <f t="shared" si="51"/>
        <v>6.9427771108443365E-2</v>
      </c>
      <c r="I53" s="51">
        <f t="shared" si="52"/>
        <v>6.3134087823165333E-2</v>
      </c>
      <c r="J53" s="51">
        <f t="shared" si="70"/>
        <v>12.621766837607215</v>
      </c>
      <c r="K53" s="51">
        <f t="shared" si="54"/>
        <v>1.5777208547009018</v>
      </c>
      <c r="L53" s="51">
        <v>68</v>
      </c>
      <c r="M53" s="51">
        <f t="shared" si="55"/>
        <v>0.11764705882352941</v>
      </c>
      <c r="N53" s="51">
        <v>8</v>
      </c>
      <c r="O53" s="51">
        <f t="shared" ref="O53:P53" si="75">D53/7</f>
        <v>1.1428571428571428</v>
      </c>
      <c r="P53" s="51">
        <f t="shared" si="75"/>
        <v>0</v>
      </c>
      <c r="Q53" s="51">
        <f t="shared" si="57"/>
        <v>7</v>
      </c>
      <c r="R53" s="55">
        <f ca="1">IFERROR(__xludf.DUMMYFUNCTION("IFERROR(VLOOKUP($B$2,IMPORTRANGE(""https://docs.google.com/spreadsheets/d/1iVgg6Mw12RULLujzHmfOFIY8Q_KaAD8anoZzgtVAQ74/edit#gid=1503384807"",""Second Star - Summary!A1:AD2000""),9,FALSE),"""")"),720)</f>
        <v>720</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58"/>
        <v>0</v>
      </c>
      <c r="W53" s="55">
        <f t="shared" si="59"/>
        <v>13.879999999999997</v>
      </c>
      <c r="X53" s="55">
        <v>1</v>
      </c>
      <c r="Y53" s="55" t="s">
        <v>35</v>
      </c>
      <c r="Z53" s="56">
        <f t="shared" si="65"/>
        <v>-2.4</v>
      </c>
      <c r="AA53" s="55">
        <v>0.14499999999999999</v>
      </c>
      <c r="AB53" s="55">
        <f t="shared" si="61"/>
        <v>-8.3520000000000003</v>
      </c>
      <c r="AC53" s="55">
        <v>-5.42</v>
      </c>
      <c r="AD53" s="55">
        <v>-11.464779145299101</v>
      </c>
      <c r="AE53" s="55">
        <v>0</v>
      </c>
      <c r="AF53" s="55">
        <v>6.24657534246575</v>
      </c>
    </row>
    <row r="54" spans="1:32" s="57" customFormat="1">
      <c r="A54" s="2" t="s">
        <v>40</v>
      </c>
      <c r="B54" s="2" t="s">
        <v>179</v>
      </c>
      <c r="C54" s="51" t="str">
        <f t="shared" si="50"/>
        <v xml:space="preserve"> - </v>
      </c>
      <c r="D54" s="51">
        <v>0</v>
      </c>
      <c r="E54" s="51">
        <v>0</v>
      </c>
      <c r="F54" s="51">
        <v>0</v>
      </c>
      <c r="G54" s="51">
        <v>-32.549999999999997</v>
      </c>
      <c r="H54" s="51" t="e">
        <f t="shared" si="51"/>
        <v>#DIV/0!</v>
      </c>
      <c r="I54" s="51" t="e">
        <f t="shared" si="52"/>
        <v>#DIV/0!</v>
      </c>
      <c r="J54" s="51">
        <f t="shared" si="70"/>
        <v>-32.549999999999997</v>
      </c>
      <c r="K54" s="51" t="e">
        <f t="shared" si="54"/>
        <v>#DIV/0!</v>
      </c>
      <c r="L54" s="51">
        <v>65</v>
      </c>
      <c r="M54" s="51">
        <f t="shared" si="55"/>
        <v>0</v>
      </c>
      <c r="N54" s="51">
        <v>0</v>
      </c>
      <c r="O54" s="51">
        <f t="shared" ref="O54:P54" si="76">D54/7</f>
        <v>0</v>
      </c>
      <c r="P54" s="51">
        <f t="shared" si="76"/>
        <v>0</v>
      </c>
      <c r="Q54" s="51" t="e">
        <f t="shared" si="57"/>
        <v>#DIV/0!</v>
      </c>
      <c r="R54" s="55">
        <f ca="1">IFERROR(__xludf.DUMMYFUNCTION("IFERROR(VLOOKUP($B$2,IMPORTRANGE(""https://docs.google.com/spreadsheets/d/1iVgg6Mw12RULLujzHmfOFIY8Q_KaAD8anoZzgtVAQ74/edit#gid=1503384807"",""Second Star - Summary!A1:AD2000""),9,FALSE),"""")"),720)</f>
        <v>720</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2</v>
      </c>
      <c r="V54" s="55">
        <f t="shared" si="58"/>
        <v>0</v>
      </c>
      <c r="W54" s="55">
        <f t="shared" si="59"/>
        <v>4.6499999999999995</v>
      </c>
      <c r="X54" s="55">
        <v>5</v>
      </c>
      <c r="Y54" s="55" t="s">
        <v>35</v>
      </c>
      <c r="Z54" s="56">
        <f t="shared" si="65"/>
        <v>-2.4</v>
      </c>
      <c r="AA54" s="55">
        <v>0.14499999999999999</v>
      </c>
      <c r="AB54" s="55">
        <f t="shared" si="61"/>
        <v>0</v>
      </c>
      <c r="AC54" s="55">
        <v>-5.42</v>
      </c>
      <c r="AD54" s="55">
        <v>-11.464779145299101</v>
      </c>
      <c r="AE54" s="55">
        <v>0</v>
      </c>
      <c r="AF54" s="55">
        <v>25.1428571428571</v>
      </c>
    </row>
    <row r="55" spans="1:32" s="57" customFormat="1" ht="15.75" customHeight="1">
      <c r="A55" s="2" t="s">
        <v>32</v>
      </c>
      <c r="B55" s="2" t="s">
        <v>600</v>
      </c>
      <c r="C55" s="51">
        <f t="shared" si="50"/>
        <v>25.99</v>
      </c>
      <c r="D55" s="51">
        <v>1</v>
      </c>
      <c r="E55" s="51">
        <v>0</v>
      </c>
      <c r="F55" s="51">
        <v>25.99</v>
      </c>
      <c r="G55" s="51">
        <v>-12.31</v>
      </c>
      <c r="H55" s="51">
        <f t="shared" si="51"/>
        <v>0.47364370911889192</v>
      </c>
      <c r="I55" s="51">
        <f t="shared" si="52"/>
        <v>-0.31347745845706448</v>
      </c>
      <c r="J55" s="51">
        <f t="shared" si="70"/>
        <v>-8.1472791452991054</v>
      </c>
      <c r="K55" s="51">
        <f t="shared" si="54"/>
        <v>-8.1472791452991054</v>
      </c>
      <c r="L55" s="51">
        <v>2</v>
      </c>
      <c r="M55" s="51">
        <f t="shared" si="55"/>
        <v>0.5</v>
      </c>
      <c r="N55" s="51">
        <v>0</v>
      </c>
      <c r="O55" s="51">
        <f t="shared" ref="O55:P55" si="77">D55/7</f>
        <v>0.14285714285714285</v>
      </c>
      <c r="P55" s="51">
        <f t="shared" si="77"/>
        <v>0</v>
      </c>
      <c r="Q55" s="51">
        <f t="shared" si="57"/>
        <v>0</v>
      </c>
      <c r="R55" s="55">
        <v>24</v>
      </c>
      <c r="S55" s="53">
        <v>24</v>
      </c>
      <c r="T55" s="54">
        <v>44211</v>
      </c>
      <c r="U55" s="55">
        <v>0</v>
      </c>
      <c r="V55" s="55">
        <f t="shared" si="58"/>
        <v>0</v>
      </c>
      <c r="W55" s="55">
        <f t="shared" si="59"/>
        <v>12.31</v>
      </c>
      <c r="X55" s="55">
        <v>1</v>
      </c>
      <c r="Y55" s="55" t="s">
        <v>35</v>
      </c>
      <c r="Z55" s="56">
        <f t="shared" si="65"/>
        <v>-2.4</v>
      </c>
      <c r="AA55" s="55">
        <v>0.14499999999999999</v>
      </c>
      <c r="AB55" s="55">
        <f t="shared" si="61"/>
        <v>-1.044</v>
      </c>
      <c r="AC55" s="55">
        <v>-5.42</v>
      </c>
      <c r="AD55" s="55">
        <v>-11.464779145299101</v>
      </c>
      <c r="AE55" s="55">
        <v>0</v>
      </c>
      <c r="AF55" s="55">
        <v>1.48085106382978</v>
      </c>
    </row>
    <row r="56" spans="1:32" s="57" customFormat="1" ht="15.75" customHeight="1">
      <c r="A56" s="2" t="s">
        <v>36</v>
      </c>
      <c r="B56" s="2"/>
      <c r="C56" s="51">
        <f t="shared" si="50"/>
        <v>26.65666666666667</v>
      </c>
      <c r="D56" s="51">
        <v>21</v>
      </c>
      <c r="E56" s="51">
        <v>0</v>
      </c>
      <c r="F56" s="51">
        <v>559.79000000000008</v>
      </c>
      <c r="G56" s="51">
        <v>-33.090000000000011</v>
      </c>
      <c r="H56" s="51">
        <f t="shared" si="51"/>
        <v>5.9111452508976592E-2</v>
      </c>
      <c r="I56" s="51">
        <f t="shared" si="52"/>
        <v>0.11830711150381201</v>
      </c>
      <c r="J56" s="51">
        <f t="shared" si="70"/>
        <v>66.227137948718934</v>
      </c>
      <c r="K56" s="51">
        <f t="shared" si="54"/>
        <v>3.1536732356532826</v>
      </c>
      <c r="L56" s="51">
        <v>82</v>
      </c>
      <c r="M56" s="51">
        <f t="shared" si="55"/>
        <v>0.25609756097560976</v>
      </c>
      <c r="N56" s="51">
        <v>128</v>
      </c>
      <c r="O56" s="51">
        <f t="shared" ref="O56:P56" si="78">D56/7</f>
        <v>3</v>
      </c>
      <c r="P56" s="51">
        <f t="shared" si="78"/>
        <v>0</v>
      </c>
      <c r="Q56" s="51">
        <f t="shared" si="57"/>
        <v>42</v>
      </c>
      <c r="R56" s="55">
        <f ca="1">IFERROR(__xludf.DUMMYFUNCTION("IFERROR(VLOOKUP($B$2,IMPORTRANGE(""https://docs.google.com/spreadsheets/d/1iVgg6Mw12RULLujzHmfOFIY8Q_KaAD8anoZzgtVAQ74/edit#gid=1503384807"",""Second Star - Summary!A1:AD2000""),9,FALSE),"""")"),720)</f>
        <v>720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2</v>
      </c>
      <c r="V56" s="55">
        <f t="shared" si="58"/>
        <v>9.5238095238095233E-2</v>
      </c>
      <c r="W56" s="55">
        <f t="shared" si="59"/>
        <v>5.5150000000000015</v>
      </c>
      <c r="X56" s="55">
        <v>4</v>
      </c>
      <c r="Y56" s="55" t="s">
        <v>35</v>
      </c>
      <c r="Z56" s="56">
        <f t="shared" si="65"/>
        <v>-2.4</v>
      </c>
      <c r="AA56" s="55">
        <v>0.14499999999999999</v>
      </c>
      <c r="AB56" s="55">
        <f t="shared" si="61"/>
        <v>-21.923999999999999</v>
      </c>
      <c r="AC56" s="55">
        <v>-5.42</v>
      </c>
      <c r="AD56" s="55">
        <v>-11.464779145299101</v>
      </c>
      <c r="AE56" s="55">
        <v>0</v>
      </c>
      <c r="AF56" s="55">
        <v>2.2512562814070298</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E183" s="2"/>
      <c r="P183" s="2"/>
      <c r="AF183" s="23"/>
    </row>
    <row r="184" spans="1:32" ht="15.75" customHeight="1">
      <c r="E184" s="2"/>
      <c r="P184" s="2"/>
      <c r="AF184" s="23"/>
    </row>
    <row r="185" spans="1:32" ht="15.75" customHeight="1">
      <c r="E185" s="2"/>
      <c r="P185" s="2"/>
      <c r="AF185" s="23"/>
    </row>
    <row r="186" spans="1:32" ht="15.75" customHeight="1">
      <c r="E186" s="2"/>
      <c r="P186" s="2"/>
      <c r="AF186" s="23"/>
    </row>
    <row r="187" spans="1:32" ht="15.75" customHeight="1">
      <c r="E187" s="2"/>
      <c r="P187" s="2"/>
      <c r="AF187" s="23"/>
    </row>
    <row r="188" spans="1:32" ht="15.75" customHeight="1">
      <c r="E188" s="2"/>
      <c r="P188" s="2"/>
      <c r="AF188" s="23"/>
    </row>
    <row r="189" spans="1:32" ht="15.75" customHeight="1">
      <c r="E189" s="2"/>
      <c r="P189" s="2"/>
      <c r="AF189" s="23"/>
    </row>
    <row r="190" spans="1:32" ht="15.75" customHeight="1">
      <c r="E190" s="2"/>
      <c r="P190" s="2"/>
      <c r="AF190" s="23"/>
    </row>
    <row r="191" spans="1:32" ht="15.75" customHeight="1">
      <c r="E191" s="2"/>
      <c r="P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422" priority="1" operator="lessThan">
      <formula>100</formula>
    </cfRule>
  </conditionalFormatting>
  <conditionalFormatting sqref="Q1:Q3 Q57:Q1000">
    <cfRule type="cellIs" dxfId="421" priority="2" operator="lessThan">
      <formula>100</formula>
    </cfRule>
  </conditionalFormatting>
  <conditionalFormatting sqref="I1:I3 I57:I1000">
    <cfRule type="cellIs" dxfId="420" priority="3" operator="lessThan">
      <formula>0.05</formula>
    </cfRule>
  </conditionalFormatting>
  <conditionalFormatting sqref="I4:I17">
    <cfRule type="cellIs" dxfId="419" priority="4" operator="lessThan">
      <formula>0.05</formula>
    </cfRule>
  </conditionalFormatting>
  <conditionalFormatting sqref="I18:I56">
    <cfRule type="cellIs" dxfId="418" priority="5" operator="lessThan">
      <formula>0.05</formula>
    </cfRule>
  </conditionalFormatting>
  <conditionalFormatting sqref="Q4:Q56">
    <cfRule type="cellIs" dxfId="417" priority="6" operator="lessThan">
      <formula>100</formula>
    </cfRule>
  </conditionalFormatting>
  <conditionalFormatting sqref="Q4:Q56">
    <cfRule type="cellIs" dxfId="416" priority="7" operator="lessThan">
      <formula>100</formula>
    </cfRule>
  </conditionalFormatting>
  <pageMargins left="0.7" right="0.7" top="0.75" bottom="0.75" header="0" footer="0"/>
  <pageSetup orientation="portrait"/>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42.332031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Info!B1:BJ5000""),4,FALSE),"""")"),"Dry Defender Waterproof Saddle Pad with Tuck-in Tails- 34 x 36""")</f>
        <v>Dry Defender Waterproof Saddle Pad with Tuck-in Tails- 34 x 36"</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Info!B1:BJ5000""),3,FALSE),"""")"),"B001T4UNNU")</f>
        <v>B001T4UNNU</v>
      </c>
      <c r="B2" s="4" t="s">
        <v>601</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11.755203619909494</v>
      </c>
      <c r="D3" s="8">
        <f>SUM(D4:D99819)</f>
        <v>522</v>
      </c>
      <c r="E3" s="8"/>
      <c r="F3" s="9">
        <f t="shared" ref="F3:G3" si="0">SUM(F4:F99819)</f>
        <v>8392.61</v>
      </c>
      <c r="G3" s="9">
        <f t="shared" si="0"/>
        <v>-211.31999999999996</v>
      </c>
      <c r="H3" s="10">
        <f t="shared" ref="H3:H39" si="1">G3/F3*-1</f>
        <v>2.5179294641357094E-2</v>
      </c>
      <c r="I3" s="11">
        <f t="shared" ref="I3:I39" si="2">J3/F3</f>
        <v>0.12651208833314065</v>
      </c>
      <c r="J3" s="9">
        <f>SUM(J4:J99819)</f>
        <v>1061.7666176655996</v>
      </c>
      <c r="K3" s="9">
        <f t="shared" ref="K3:K39" si="3">J3/D3</f>
        <v>2.0340356660260528</v>
      </c>
      <c r="L3" s="8"/>
      <c r="M3" s="12"/>
      <c r="N3" s="13"/>
      <c r="O3" s="8" t="str">
        <f ca="1">IFERROR(__xludf.DUMMYFUNCTION("IFERROR(VLOOKUP(B2,IMPORTRANGE(""https://docs.google.com/spreadsheets/d/1owCo6kL_VFQ5nPTdNogErmCBLjNiktT1m3SzTrxu3R0/edit#gid=2146806407"",""Second Star - Compiled!b1:g5000""),2,FALSE),"""")"),"1.5 - March
2 - April
4 - May
4 - Jun
4 - Jul
4 - Aug
1.5 - Sept
1.5 - Oct
1.5 - Nov
2 - Dec
2 - Jan
1.5 - Feb")</f>
        <v>1.5 - March
2 - April
4 - May
4 - Jun
4 - Jul
4 - Aug
1.5 - Sept
1.5 - Oct
1.5 - Nov
2 - Dec
2 - Jan
1.5 - Feb</v>
      </c>
      <c r="P3" s="8"/>
      <c r="Q3" s="14"/>
      <c r="R3" s="13"/>
      <c r="S3" s="13"/>
      <c r="T3" s="13"/>
      <c r="U3" s="8">
        <f>SUM(U4:U99819)</f>
        <v>7</v>
      </c>
      <c r="V3" s="10">
        <f>AVERAGE(V4:V99819)</f>
        <v>1.5675624166190203E-2</v>
      </c>
      <c r="W3" s="9">
        <f>ROUND(AVERAGE(W4:W99819),2)</f>
        <v>1.23</v>
      </c>
      <c r="X3" s="8"/>
      <c r="Y3" s="8"/>
      <c r="Z3" s="8"/>
      <c r="AA3" s="8"/>
      <c r="AB3" s="8"/>
      <c r="AC3" s="15"/>
      <c r="AD3" s="9"/>
      <c r="AE3" s="9">
        <f>SUM(AE4:AE99819)</f>
        <v>-8.9</v>
      </c>
      <c r="AF3" s="16"/>
    </row>
    <row r="4" spans="1:32" s="57" customFormat="1">
      <c r="A4" s="17" t="s">
        <v>48</v>
      </c>
      <c r="B4" s="17"/>
      <c r="C4" s="50">
        <v>14.99</v>
      </c>
      <c r="D4" s="51">
        <v>9</v>
      </c>
      <c r="E4" s="51">
        <v>0</v>
      </c>
      <c r="F4" s="51">
        <v>141.91</v>
      </c>
      <c r="G4" s="51">
        <v>-26.990000000000002</v>
      </c>
      <c r="H4" s="51">
        <f t="shared" si="1"/>
        <v>0.19019096610527803</v>
      </c>
      <c r="I4" s="51">
        <f t="shared" si="2"/>
        <v>-4.5013258486027323E-2</v>
      </c>
      <c r="J4" s="51">
        <f t="shared" ref="J4:J38" si="4">F4*0.85+G4+AD4*D4+D4*AC4+AE4+AB4</f>
        <v>-6.3878315117521369</v>
      </c>
      <c r="K4" s="51">
        <f t="shared" si="3"/>
        <v>-0.70975905686134855</v>
      </c>
      <c r="L4" s="51">
        <v>113</v>
      </c>
      <c r="M4" s="51">
        <f t="shared" ref="M4:M39" si="5">IFERROR(D4/L4,"-")</f>
        <v>7.9646017699115043E-2</v>
      </c>
      <c r="N4" s="51">
        <v>217</v>
      </c>
      <c r="O4" s="51">
        <f t="shared" ref="O4:P4" si="6">D4/7</f>
        <v>1.2857142857142858</v>
      </c>
      <c r="P4" s="51">
        <f t="shared" si="6"/>
        <v>0</v>
      </c>
      <c r="Q4" s="51">
        <f t="shared" ref="Q4:Q39" si="7">ROUNDDOWN(N4/(O4+P4),0)</f>
        <v>168</v>
      </c>
      <c r="R4" s="52">
        <v>0</v>
      </c>
      <c r="S4" s="53" t="s">
        <v>34</v>
      </c>
      <c r="T4" s="54" t="s">
        <v>34</v>
      </c>
      <c r="U4" s="52">
        <v>0</v>
      </c>
      <c r="V4" s="55">
        <f t="shared" ref="V4:V39" si="8">IFERROR(U4/D4,0)</f>
        <v>0</v>
      </c>
      <c r="W4" s="55">
        <f t="shared" ref="W4:W39" si="9">IFERROR(G4/(U4+X4)*-1,0)</f>
        <v>0</v>
      </c>
      <c r="X4" s="52">
        <v>0</v>
      </c>
      <c r="Y4" s="56" t="s">
        <v>35</v>
      </c>
      <c r="Z4" s="56">
        <f t="shared" ref="Z4:Z10" si="10">IF(OR(Y4="UsLargeStandardSize",Y4="UsSmallStandardSize"),-0.69,-0.48)</f>
        <v>-0.69</v>
      </c>
      <c r="AA4" s="55">
        <v>0.12660185185185188</v>
      </c>
      <c r="AB4" s="55">
        <f t="shared" ref="AB4:AB17" si="11">IFERROR((Z4*AA4*N4)/4,0)</f>
        <v>-4.7390238194444452</v>
      </c>
      <c r="AC4" s="55">
        <v>-4.76</v>
      </c>
      <c r="AD4" s="55">
        <v>-5.8269230769230766</v>
      </c>
      <c r="AE4" s="55">
        <v>0</v>
      </c>
      <c r="AF4" s="55"/>
    </row>
    <row r="5" spans="1:32" s="57" customFormat="1" ht="15.75" customHeight="1">
      <c r="A5" s="2" t="s">
        <v>49</v>
      </c>
      <c r="B5" s="2" t="s">
        <v>602</v>
      </c>
      <c r="C5" s="51">
        <v>16.989999999999998</v>
      </c>
      <c r="D5" s="51">
        <v>12</v>
      </c>
      <c r="E5" s="51">
        <v>0</v>
      </c>
      <c r="F5" s="51">
        <v>186.88000000000002</v>
      </c>
      <c r="G5" s="51">
        <v>-17.36</v>
      </c>
      <c r="H5" s="51">
        <f t="shared" si="1"/>
        <v>9.2893835616438339E-2</v>
      </c>
      <c r="I5" s="51">
        <f t="shared" si="2"/>
        <v>5.2637693568842583E-2</v>
      </c>
      <c r="J5" s="51">
        <f t="shared" si="4"/>
        <v>9.8369321741453035</v>
      </c>
      <c r="K5" s="51">
        <f t="shared" si="3"/>
        <v>0.81974434784544192</v>
      </c>
      <c r="L5" s="51">
        <v>124</v>
      </c>
      <c r="M5" s="51">
        <f t="shared" si="5"/>
        <v>9.6774193548387094E-2</v>
      </c>
      <c r="N5" s="51">
        <v>211</v>
      </c>
      <c r="O5" s="51">
        <f t="shared" ref="O5:P5" si="12">D5/7</f>
        <v>1.7142857142857142</v>
      </c>
      <c r="P5" s="51">
        <f t="shared" si="12"/>
        <v>0</v>
      </c>
      <c r="Q5" s="51">
        <f t="shared" si="7"/>
        <v>123</v>
      </c>
      <c r="R5" s="55">
        <v>0</v>
      </c>
      <c r="S5" s="53" t="s">
        <v>34</v>
      </c>
      <c r="T5" s="54" t="s">
        <v>34</v>
      </c>
      <c r="U5" s="55">
        <v>1</v>
      </c>
      <c r="V5" s="55">
        <f t="shared" si="8"/>
        <v>8.3333333333333329E-2</v>
      </c>
      <c r="W5" s="55">
        <f t="shared" si="9"/>
        <v>5.7866666666666662</v>
      </c>
      <c r="X5" s="55">
        <v>2</v>
      </c>
      <c r="Y5" s="55" t="s">
        <v>35</v>
      </c>
      <c r="Z5" s="56">
        <f t="shared" si="10"/>
        <v>-0.69</v>
      </c>
      <c r="AA5" s="55">
        <v>0.12660185185185188</v>
      </c>
      <c r="AB5" s="55">
        <f t="shared" si="11"/>
        <v>-4.6079909027777788</v>
      </c>
      <c r="AC5" s="55">
        <v>-4.76</v>
      </c>
      <c r="AD5" s="55">
        <v>-5.8269230769230766</v>
      </c>
      <c r="AE5" s="55">
        <v>0</v>
      </c>
      <c r="AF5" s="55"/>
    </row>
    <row r="6" spans="1:32" s="57" customFormat="1" ht="15.75" customHeight="1">
      <c r="A6" s="2" t="s">
        <v>51</v>
      </c>
      <c r="B6" s="2" t="s">
        <v>603</v>
      </c>
      <c r="C6" s="51">
        <v>15.99</v>
      </c>
      <c r="D6" s="51">
        <v>14</v>
      </c>
      <c r="E6" s="51">
        <v>0</v>
      </c>
      <c r="F6" s="51">
        <v>232.85999999999999</v>
      </c>
      <c r="G6" s="51">
        <v>-0.64</v>
      </c>
      <c r="H6" s="51">
        <f t="shared" si="1"/>
        <v>2.7484325345701281E-3</v>
      </c>
      <c r="I6" s="51">
        <f t="shared" si="2"/>
        <v>0.19264444202653591</v>
      </c>
      <c r="J6" s="51">
        <f t="shared" si="4"/>
        <v>44.859184770299152</v>
      </c>
      <c r="K6" s="51">
        <f t="shared" si="3"/>
        <v>3.2042274835927964</v>
      </c>
      <c r="L6" s="51">
        <v>133</v>
      </c>
      <c r="M6" s="51">
        <f t="shared" si="5"/>
        <v>0.10526315789473684</v>
      </c>
      <c r="N6" s="51">
        <v>193</v>
      </c>
      <c r="O6" s="51">
        <f t="shared" ref="O6:P6" si="13">D6/7</f>
        <v>2</v>
      </c>
      <c r="P6" s="51">
        <f t="shared" si="13"/>
        <v>0</v>
      </c>
      <c r="Q6" s="51">
        <f t="shared" si="7"/>
        <v>96</v>
      </c>
      <c r="R6" s="55">
        <v>0</v>
      </c>
      <c r="S6" s="53" t="s">
        <v>34</v>
      </c>
      <c r="T6" s="54" t="s">
        <v>34</v>
      </c>
      <c r="U6" s="55">
        <v>0</v>
      </c>
      <c r="V6" s="55">
        <f t="shared" si="8"/>
        <v>0</v>
      </c>
      <c r="W6" s="55">
        <f t="shared" si="9"/>
        <v>0</v>
      </c>
      <c r="X6" s="55">
        <v>0</v>
      </c>
      <c r="Y6" s="55" t="s">
        <v>35</v>
      </c>
      <c r="Z6" s="56">
        <f t="shared" si="10"/>
        <v>-0.69</v>
      </c>
      <c r="AA6" s="55">
        <v>0.12660185185185188</v>
      </c>
      <c r="AB6" s="55">
        <f t="shared" si="11"/>
        <v>-4.2148921527777787</v>
      </c>
      <c r="AC6" s="55">
        <v>-4.76</v>
      </c>
      <c r="AD6" s="55">
        <v>-5.8269230769230766</v>
      </c>
      <c r="AE6" s="55">
        <v>0</v>
      </c>
      <c r="AF6" s="55"/>
    </row>
    <row r="7" spans="1:32" s="57" customFormat="1" ht="15.75" customHeight="1">
      <c r="A7" s="2" t="s">
        <v>53</v>
      </c>
      <c r="B7" s="2"/>
      <c r="C7" s="51">
        <v>14.99</v>
      </c>
      <c r="D7" s="51">
        <v>2</v>
      </c>
      <c r="E7" s="51">
        <v>0</v>
      </c>
      <c r="F7" s="51">
        <v>31.979999999999997</v>
      </c>
      <c r="G7" s="51">
        <v>-2.19</v>
      </c>
      <c r="H7" s="51">
        <f t="shared" si="1"/>
        <v>6.8480300187617263E-2</v>
      </c>
      <c r="I7" s="51">
        <f t="shared" si="2"/>
        <v>1.835548994296634E-2</v>
      </c>
      <c r="J7" s="51">
        <f t="shared" si="4"/>
        <v>0.58700856837606352</v>
      </c>
      <c r="K7" s="51">
        <f t="shared" si="3"/>
        <v>0.29350428418803176</v>
      </c>
      <c r="L7" s="51">
        <v>83</v>
      </c>
      <c r="M7" s="51">
        <f t="shared" si="5"/>
        <v>2.4096385542168676E-2</v>
      </c>
      <c r="N7" s="51">
        <v>148</v>
      </c>
      <c r="O7" s="51">
        <f t="shared" ref="O7:P7" si="14">D7/7</f>
        <v>0.2857142857142857</v>
      </c>
      <c r="P7" s="51">
        <f t="shared" si="14"/>
        <v>0</v>
      </c>
      <c r="Q7" s="51">
        <f t="shared" si="7"/>
        <v>518</v>
      </c>
      <c r="R7" s="55">
        <v>0</v>
      </c>
      <c r="S7" s="53" t="s">
        <v>34</v>
      </c>
      <c r="T7" s="54" t="s">
        <v>34</v>
      </c>
      <c r="U7" s="55">
        <v>0</v>
      </c>
      <c r="V7" s="55">
        <f t="shared" si="8"/>
        <v>0</v>
      </c>
      <c r="W7" s="55">
        <f t="shared" si="9"/>
        <v>0</v>
      </c>
      <c r="X7" s="55">
        <v>0</v>
      </c>
      <c r="Y7" s="55" t="s">
        <v>35</v>
      </c>
      <c r="Z7" s="56">
        <f t="shared" si="10"/>
        <v>-0.69</v>
      </c>
      <c r="AA7" s="55">
        <v>0.12660185185185188</v>
      </c>
      <c r="AB7" s="55">
        <f t="shared" si="11"/>
        <v>-3.2321452777777786</v>
      </c>
      <c r="AC7" s="55">
        <v>-4.76</v>
      </c>
      <c r="AD7" s="55">
        <v>-5.8269230769230766</v>
      </c>
      <c r="AE7" s="55">
        <v>0</v>
      </c>
      <c r="AF7" s="55"/>
    </row>
    <row r="8" spans="1:32" s="57" customFormat="1" ht="15.75" customHeight="1">
      <c r="A8" s="2" t="s">
        <v>54</v>
      </c>
      <c r="B8" s="2" t="s">
        <v>604</v>
      </c>
      <c r="C8" s="51">
        <v>15.99</v>
      </c>
      <c r="D8" s="51">
        <v>19</v>
      </c>
      <c r="E8" s="51">
        <v>0</v>
      </c>
      <c r="F8" s="51">
        <v>295.81</v>
      </c>
      <c r="G8" s="51">
        <v>-6.52</v>
      </c>
      <c r="H8" s="51">
        <f t="shared" si="1"/>
        <v>2.2041175078597746E-2</v>
      </c>
      <c r="I8" s="51">
        <f t="shared" si="2"/>
        <v>0.13858027608605894</v>
      </c>
      <c r="J8" s="51">
        <f t="shared" si="4"/>
        <v>40.993431469017096</v>
      </c>
      <c r="K8" s="51">
        <f t="shared" si="3"/>
        <v>2.1575490246851103</v>
      </c>
      <c r="L8" s="51">
        <v>81</v>
      </c>
      <c r="M8" s="51">
        <f t="shared" si="5"/>
        <v>0.23456790123456789</v>
      </c>
      <c r="N8" s="51">
        <v>127</v>
      </c>
      <c r="O8" s="51">
        <f t="shared" ref="O8:P8" si="15">D8/7</f>
        <v>2.7142857142857144</v>
      </c>
      <c r="P8" s="51">
        <f t="shared" si="15"/>
        <v>0</v>
      </c>
      <c r="Q8" s="51">
        <f t="shared" si="7"/>
        <v>46</v>
      </c>
      <c r="R8" s="55">
        <v>0</v>
      </c>
      <c r="S8" s="53" t="s">
        <v>34</v>
      </c>
      <c r="T8" s="54" t="s">
        <v>34</v>
      </c>
      <c r="U8" s="55">
        <v>0</v>
      </c>
      <c r="V8" s="55">
        <f t="shared" si="8"/>
        <v>0</v>
      </c>
      <c r="W8" s="55">
        <f t="shared" si="9"/>
        <v>6.52</v>
      </c>
      <c r="X8" s="55">
        <v>1</v>
      </c>
      <c r="Y8" s="55" t="s">
        <v>35</v>
      </c>
      <c r="Z8" s="56">
        <f t="shared" si="10"/>
        <v>-0.69</v>
      </c>
      <c r="AA8" s="55">
        <v>0.12660185185185188</v>
      </c>
      <c r="AB8" s="55">
        <f t="shared" si="11"/>
        <v>-2.7735300694444449</v>
      </c>
      <c r="AC8" s="55">
        <v>-4.76</v>
      </c>
      <c r="AD8" s="55">
        <v>-5.8269230769230766</v>
      </c>
      <c r="AE8" s="55">
        <v>0</v>
      </c>
      <c r="AF8" s="55"/>
    </row>
    <row r="9" spans="1:32" s="57" customFormat="1" ht="15.75" customHeight="1">
      <c r="A9" s="2" t="s">
        <v>56</v>
      </c>
      <c r="B9" s="2" t="s">
        <v>605</v>
      </c>
      <c r="C9" s="51">
        <v>17.989999999999998</v>
      </c>
      <c r="D9" s="51">
        <v>6</v>
      </c>
      <c r="E9" s="51">
        <v>0</v>
      </c>
      <c r="F9" s="51">
        <v>95.94</v>
      </c>
      <c r="G9" s="51">
        <v>-3.9499999999999997</v>
      </c>
      <c r="H9" s="51">
        <f t="shared" si="1"/>
        <v>4.117156556180946E-2</v>
      </c>
      <c r="I9" s="51">
        <f t="shared" si="2"/>
        <v>0.11873344534912303</v>
      </c>
      <c r="J9" s="51">
        <f t="shared" si="4"/>
        <v>11.391286746794863</v>
      </c>
      <c r="K9" s="51">
        <f t="shared" si="3"/>
        <v>1.8985477911324773</v>
      </c>
      <c r="L9" s="51">
        <v>44</v>
      </c>
      <c r="M9" s="51">
        <f t="shared" si="5"/>
        <v>0.13636363636363635</v>
      </c>
      <c r="N9" s="51">
        <v>123</v>
      </c>
      <c r="O9" s="51">
        <f t="shared" ref="O9:P9" si="16">D9/7</f>
        <v>0.8571428571428571</v>
      </c>
      <c r="P9" s="51">
        <f t="shared" si="16"/>
        <v>0</v>
      </c>
      <c r="Q9" s="51">
        <f t="shared" si="7"/>
        <v>143</v>
      </c>
      <c r="R9" s="55">
        <v>0</v>
      </c>
      <c r="S9" s="53" t="s">
        <v>34</v>
      </c>
      <c r="T9" s="54" t="s">
        <v>34</v>
      </c>
      <c r="U9" s="55">
        <v>0</v>
      </c>
      <c r="V9" s="55">
        <f t="shared" si="8"/>
        <v>0</v>
      </c>
      <c r="W9" s="55">
        <f t="shared" si="9"/>
        <v>0</v>
      </c>
      <c r="X9" s="55">
        <v>0</v>
      </c>
      <c r="Y9" s="55" t="s">
        <v>35</v>
      </c>
      <c r="Z9" s="56">
        <f t="shared" si="10"/>
        <v>-0.69</v>
      </c>
      <c r="AA9" s="55">
        <v>0.12660185185185188</v>
      </c>
      <c r="AB9" s="55">
        <f t="shared" si="11"/>
        <v>-2.6861747916666672</v>
      </c>
      <c r="AC9" s="55">
        <v>-4.76</v>
      </c>
      <c r="AD9" s="55">
        <v>-5.8269230769230766</v>
      </c>
      <c r="AE9" s="55">
        <v>0</v>
      </c>
      <c r="AF9" s="55"/>
    </row>
    <row r="10" spans="1:32" s="57" customFormat="1" ht="15.75" customHeight="1">
      <c r="A10" s="2" t="s">
        <v>58</v>
      </c>
      <c r="B10" s="2" t="s">
        <v>606</v>
      </c>
      <c r="C10" s="51">
        <v>15.99</v>
      </c>
      <c r="D10" s="51">
        <v>8</v>
      </c>
      <c r="E10" s="51">
        <v>0</v>
      </c>
      <c r="F10" s="51">
        <v>135.91999999999999</v>
      </c>
      <c r="G10" s="51">
        <v>-2.6900000000000004</v>
      </c>
      <c r="H10" s="51">
        <f t="shared" si="1"/>
        <v>1.9791053560918193E-2</v>
      </c>
      <c r="I10" s="51">
        <f t="shared" si="2"/>
        <v>0.18860470238746516</v>
      </c>
      <c r="J10" s="51">
        <f t="shared" si="4"/>
        <v>25.63515114850426</v>
      </c>
      <c r="K10" s="51">
        <f t="shared" si="3"/>
        <v>3.2043938935630325</v>
      </c>
      <c r="L10" s="51">
        <v>40</v>
      </c>
      <c r="M10" s="51">
        <f t="shared" si="5"/>
        <v>0.2</v>
      </c>
      <c r="N10" s="51">
        <v>115</v>
      </c>
      <c r="O10" s="51">
        <f t="shared" ref="O10:P10" si="17">D10/7</f>
        <v>1.1428571428571428</v>
      </c>
      <c r="P10" s="51">
        <f t="shared" si="17"/>
        <v>0</v>
      </c>
      <c r="Q10" s="51">
        <f t="shared" si="7"/>
        <v>100</v>
      </c>
      <c r="R10" s="55">
        <v>0</v>
      </c>
      <c r="S10" s="53" t="s">
        <v>34</v>
      </c>
      <c r="T10" s="54" t="s">
        <v>34</v>
      </c>
      <c r="U10" s="55">
        <v>0</v>
      </c>
      <c r="V10" s="55">
        <f t="shared" si="8"/>
        <v>0</v>
      </c>
      <c r="W10" s="55">
        <f t="shared" si="9"/>
        <v>0</v>
      </c>
      <c r="X10" s="55">
        <v>0</v>
      </c>
      <c r="Y10" s="55" t="s">
        <v>35</v>
      </c>
      <c r="Z10" s="56">
        <f t="shared" si="10"/>
        <v>-0.69</v>
      </c>
      <c r="AA10" s="55">
        <v>0.12660185185185188</v>
      </c>
      <c r="AB10" s="55">
        <f t="shared" si="11"/>
        <v>-2.5114642361111117</v>
      </c>
      <c r="AC10" s="55">
        <v>-4.76</v>
      </c>
      <c r="AD10" s="55">
        <v>-5.8269230769230766</v>
      </c>
      <c r="AE10" s="55">
        <v>0</v>
      </c>
      <c r="AF10" s="55"/>
    </row>
    <row r="11" spans="1:32" s="57" customFormat="1" ht="15.75" customHeight="1">
      <c r="A11" s="2" t="s">
        <v>60</v>
      </c>
      <c r="B11" s="2" t="s">
        <v>607</v>
      </c>
      <c r="C11" s="51">
        <v>16.989999999999998</v>
      </c>
      <c r="D11" s="51">
        <v>5</v>
      </c>
      <c r="E11" s="51">
        <v>0</v>
      </c>
      <c r="F11" s="51">
        <v>87.949999999999989</v>
      </c>
      <c r="G11" s="51">
        <v>0</v>
      </c>
      <c r="H11" s="51">
        <f t="shared" si="1"/>
        <v>0</v>
      </c>
      <c r="I11" s="51">
        <f t="shared" si="2"/>
        <v>0.21048006163661359</v>
      </c>
      <c r="J11" s="51">
        <f t="shared" si="4"/>
        <v>18.511721420940162</v>
      </c>
      <c r="K11" s="51">
        <f t="shared" si="3"/>
        <v>3.7023442841880323</v>
      </c>
      <c r="L11" s="51">
        <v>56</v>
      </c>
      <c r="M11" s="51">
        <f t="shared" si="5"/>
        <v>8.9285714285714288E-2</v>
      </c>
      <c r="N11" s="51">
        <v>110</v>
      </c>
      <c r="O11" s="51">
        <f t="shared" ref="O11:P11" si="18">D11/7</f>
        <v>0.7142857142857143</v>
      </c>
      <c r="P11" s="51">
        <f t="shared" si="18"/>
        <v>0</v>
      </c>
      <c r="Q11" s="51">
        <f t="shared" si="7"/>
        <v>154</v>
      </c>
      <c r="R11" s="55">
        <v>0</v>
      </c>
      <c r="S11" s="53" t="s">
        <v>34</v>
      </c>
      <c r="T11" s="54" t="s">
        <v>34</v>
      </c>
      <c r="U11" s="55">
        <v>0</v>
      </c>
      <c r="V11" s="55">
        <f t="shared" si="8"/>
        <v>0</v>
      </c>
      <c r="W11" s="55">
        <f t="shared" si="9"/>
        <v>0</v>
      </c>
      <c r="X11" s="55">
        <v>0</v>
      </c>
      <c r="Y11" s="55" t="s">
        <v>35</v>
      </c>
      <c r="Z11" s="56">
        <f t="shared" ref="Z11:Z39" si="19">IF(OR(Y11="UsLargeStandardSize",Y11="UsSmallStandardSize"),-0.75,-0.48)</f>
        <v>-0.75</v>
      </c>
      <c r="AA11" s="55">
        <v>0.12660185185185188</v>
      </c>
      <c r="AB11" s="55">
        <f t="shared" si="11"/>
        <v>-2.6111631944444449</v>
      </c>
      <c r="AC11" s="55">
        <v>-4.9000000000000004</v>
      </c>
      <c r="AD11" s="55">
        <v>-5.8269230769230766</v>
      </c>
      <c r="AE11" s="55">
        <v>0</v>
      </c>
      <c r="AF11" s="55"/>
    </row>
    <row r="12" spans="1:32" s="57" customFormat="1" ht="15.75" customHeight="1">
      <c r="A12" s="2" t="s">
        <v>62</v>
      </c>
      <c r="B12" s="2" t="s">
        <v>608</v>
      </c>
      <c r="C12" s="51">
        <v>19.989999999999998</v>
      </c>
      <c r="D12" s="51">
        <v>5</v>
      </c>
      <c r="E12" s="51">
        <v>0</v>
      </c>
      <c r="F12" s="51">
        <v>87.949999999999989</v>
      </c>
      <c r="G12" s="51">
        <v>-0.02</v>
      </c>
      <c r="H12" s="51">
        <f t="shared" si="1"/>
        <v>2.2740193291642983E-4</v>
      </c>
      <c r="I12" s="51">
        <f t="shared" si="2"/>
        <v>0.21214197102326005</v>
      </c>
      <c r="J12" s="51">
        <f t="shared" si="4"/>
        <v>18.657886351495719</v>
      </c>
      <c r="K12" s="51">
        <f t="shared" si="3"/>
        <v>3.7315772702991437</v>
      </c>
      <c r="L12" s="51">
        <v>77</v>
      </c>
      <c r="M12" s="51">
        <f t="shared" si="5"/>
        <v>6.4935064935064929E-2</v>
      </c>
      <c r="N12" s="51">
        <v>103</v>
      </c>
      <c r="O12" s="51">
        <f t="shared" ref="O12:P12" si="20">D12/7</f>
        <v>0.7142857142857143</v>
      </c>
      <c r="P12" s="51">
        <f t="shared" si="20"/>
        <v>0</v>
      </c>
      <c r="Q12" s="51">
        <f t="shared" si="7"/>
        <v>144</v>
      </c>
      <c r="R12" s="55">
        <v>0</v>
      </c>
      <c r="S12" s="53" t="s">
        <v>34</v>
      </c>
      <c r="T12" s="54" t="s">
        <v>34</v>
      </c>
      <c r="U12" s="55">
        <v>0</v>
      </c>
      <c r="V12" s="55">
        <f t="shared" si="8"/>
        <v>0</v>
      </c>
      <c r="W12" s="55">
        <f t="shared" si="9"/>
        <v>0</v>
      </c>
      <c r="X12" s="55">
        <v>0</v>
      </c>
      <c r="Y12" s="55" t="s">
        <v>35</v>
      </c>
      <c r="Z12" s="56">
        <f t="shared" si="19"/>
        <v>-0.75</v>
      </c>
      <c r="AA12" s="55">
        <v>0.12660185185185188</v>
      </c>
      <c r="AB12" s="55">
        <f t="shared" si="11"/>
        <v>-2.4449982638888894</v>
      </c>
      <c r="AC12" s="55">
        <v>-4.9000000000000004</v>
      </c>
      <c r="AD12" s="55">
        <v>-5.8269230769230766</v>
      </c>
      <c r="AE12" s="55">
        <v>0</v>
      </c>
      <c r="AF12" s="55"/>
    </row>
    <row r="13" spans="1:32" s="57" customFormat="1" ht="15.75" customHeight="1">
      <c r="A13" s="2" t="s">
        <v>63</v>
      </c>
      <c r="B13" s="2" t="s">
        <v>174</v>
      </c>
      <c r="C13" s="51">
        <v>17.989999999999998</v>
      </c>
      <c r="D13" s="51">
        <v>10</v>
      </c>
      <c r="E13" s="51">
        <v>0</v>
      </c>
      <c r="F13" s="51">
        <v>185.9</v>
      </c>
      <c r="G13" s="51">
        <v>0</v>
      </c>
      <c r="H13" s="51">
        <f t="shared" si="1"/>
        <v>0</v>
      </c>
      <c r="I13" s="51">
        <f t="shared" si="2"/>
        <v>0.26084278507078068</v>
      </c>
      <c r="J13" s="51">
        <f t="shared" si="4"/>
        <v>48.490673744658132</v>
      </c>
      <c r="K13" s="51">
        <f t="shared" si="3"/>
        <v>4.8490673744658128</v>
      </c>
      <c r="L13" s="51">
        <v>59</v>
      </c>
      <c r="M13" s="51">
        <f t="shared" si="5"/>
        <v>0.16949152542372881</v>
      </c>
      <c r="N13" s="51">
        <v>95</v>
      </c>
      <c r="O13" s="51">
        <f t="shared" ref="O13:P13" si="21">D13/7</f>
        <v>1.4285714285714286</v>
      </c>
      <c r="P13" s="51">
        <f t="shared" si="21"/>
        <v>0</v>
      </c>
      <c r="Q13" s="51">
        <f t="shared" si="7"/>
        <v>66</v>
      </c>
      <c r="R13" s="55">
        <v>0</v>
      </c>
      <c r="S13" s="53" t="s">
        <v>34</v>
      </c>
      <c r="T13" s="54" t="s">
        <v>34</v>
      </c>
      <c r="U13" s="55">
        <v>0</v>
      </c>
      <c r="V13" s="55">
        <f t="shared" si="8"/>
        <v>0</v>
      </c>
      <c r="W13" s="55">
        <f t="shared" si="9"/>
        <v>0</v>
      </c>
      <c r="X13" s="55">
        <v>0</v>
      </c>
      <c r="Y13" s="55" t="s">
        <v>35</v>
      </c>
      <c r="Z13" s="56">
        <f t="shared" si="19"/>
        <v>-0.75</v>
      </c>
      <c r="AA13" s="55">
        <v>0.12660185185185188</v>
      </c>
      <c r="AB13" s="55">
        <f t="shared" si="11"/>
        <v>-2.2550954861111117</v>
      </c>
      <c r="AC13" s="55">
        <v>-4.9000000000000004</v>
      </c>
      <c r="AD13" s="55">
        <v>-5.8269230769230766</v>
      </c>
      <c r="AE13" s="55">
        <v>0</v>
      </c>
      <c r="AF13" s="55"/>
    </row>
    <row r="14" spans="1:32" s="57" customFormat="1" ht="15.75" customHeight="1">
      <c r="A14" s="2" t="s">
        <v>64</v>
      </c>
      <c r="B14" s="2" t="s">
        <v>174</v>
      </c>
      <c r="C14" s="51">
        <v>17.989999999999998</v>
      </c>
      <c r="D14" s="51">
        <v>5</v>
      </c>
      <c r="E14" s="51">
        <v>0</v>
      </c>
      <c r="F14" s="51">
        <v>91.949999999999989</v>
      </c>
      <c r="G14" s="51">
        <v>0</v>
      </c>
      <c r="H14" s="51">
        <f t="shared" si="1"/>
        <v>0</v>
      </c>
      <c r="I14" s="51">
        <f t="shared" si="2"/>
        <v>0.24397992452233871</v>
      </c>
      <c r="J14" s="51">
        <f t="shared" si="4"/>
        <v>22.433954059829041</v>
      </c>
      <c r="K14" s="51">
        <f t="shared" si="3"/>
        <v>4.4867908119658084</v>
      </c>
      <c r="L14" s="51">
        <v>58</v>
      </c>
      <c r="M14" s="51">
        <f t="shared" si="5"/>
        <v>8.6206896551724144E-2</v>
      </c>
      <c r="N14" s="51">
        <v>88</v>
      </c>
      <c r="O14" s="51">
        <f t="shared" ref="O14:P14" si="22">D14/7</f>
        <v>0.7142857142857143</v>
      </c>
      <c r="P14" s="51">
        <f t="shared" si="22"/>
        <v>0</v>
      </c>
      <c r="Q14" s="51">
        <f t="shared" si="7"/>
        <v>123</v>
      </c>
      <c r="R14" s="55">
        <v>0</v>
      </c>
      <c r="S14" s="53" t="s">
        <v>34</v>
      </c>
      <c r="T14" s="54" t="s">
        <v>34</v>
      </c>
      <c r="U14" s="55">
        <v>0</v>
      </c>
      <c r="V14" s="55">
        <f t="shared" si="8"/>
        <v>0</v>
      </c>
      <c r="W14" s="55">
        <f t="shared" si="9"/>
        <v>0</v>
      </c>
      <c r="X14" s="55">
        <v>0</v>
      </c>
      <c r="Y14" s="55" t="s">
        <v>35</v>
      </c>
      <c r="Z14" s="56">
        <f t="shared" si="19"/>
        <v>-0.75</v>
      </c>
      <c r="AA14" s="55">
        <v>0.12660185185185188</v>
      </c>
      <c r="AB14" s="55">
        <f t="shared" si="11"/>
        <v>-2.0889305555555557</v>
      </c>
      <c r="AC14" s="55">
        <v>-4.9000000000000004</v>
      </c>
      <c r="AD14" s="55">
        <v>-5.8269230769230766</v>
      </c>
      <c r="AE14" s="55">
        <v>0</v>
      </c>
      <c r="AF14" s="55"/>
    </row>
    <row r="15" spans="1:32" s="57" customFormat="1" ht="15.75" customHeight="1">
      <c r="A15" s="2" t="s">
        <v>65</v>
      </c>
      <c r="B15" s="2" t="s">
        <v>174</v>
      </c>
      <c r="C15" s="51">
        <v>18.989999999999998</v>
      </c>
      <c r="D15" s="51">
        <v>5</v>
      </c>
      <c r="E15" s="51">
        <v>0</v>
      </c>
      <c r="F15" s="51">
        <v>91.949999999999989</v>
      </c>
      <c r="G15" s="51">
        <v>0</v>
      </c>
      <c r="H15" s="51">
        <f t="shared" si="1"/>
        <v>0</v>
      </c>
      <c r="I15" s="51">
        <f t="shared" si="2"/>
        <v>0.24475440567151396</v>
      </c>
      <c r="J15" s="51">
        <f t="shared" si="4"/>
        <v>22.505167601495707</v>
      </c>
      <c r="K15" s="51">
        <f t="shared" si="3"/>
        <v>4.5010335202991412</v>
      </c>
      <c r="L15" s="51">
        <v>40</v>
      </c>
      <c r="M15" s="51">
        <f t="shared" si="5"/>
        <v>0.125</v>
      </c>
      <c r="N15" s="51">
        <v>85</v>
      </c>
      <c r="O15" s="51">
        <f t="shared" ref="O15:P15" si="23">D15/7</f>
        <v>0.7142857142857143</v>
      </c>
      <c r="P15" s="51">
        <f t="shared" si="23"/>
        <v>0</v>
      </c>
      <c r="Q15" s="51">
        <f t="shared" si="7"/>
        <v>119</v>
      </c>
      <c r="R15" s="55">
        <v>0</v>
      </c>
      <c r="S15" s="53" t="s">
        <v>34</v>
      </c>
      <c r="T15" s="54" t="s">
        <v>34</v>
      </c>
      <c r="U15" s="55">
        <v>0</v>
      </c>
      <c r="V15" s="55">
        <f t="shared" si="8"/>
        <v>0</v>
      </c>
      <c r="W15" s="55">
        <f t="shared" si="9"/>
        <v>0</v>
      </c>
      <c r="X15" s="55">
        <v>0</v>
      </c>
      <c r="Y15" s="55" t="s">
        <v>35</v>
      </c>
      <c r="Z15" s="56">
        <f t="shared" si="19"/>
        <v>-0.75</v>
      </c>
      <c r="AA15" s="55">
        <v>0.12660185185185188</v>
      </c>
      <c r="AB15" s="55">
        <f t="shared" si="11"/>
        <v>-2.0177170138888894</v>
      </c>
      <c r="AC15" s="55">
        <v>-4.9000000000000004</v>
      </c>
      <c r="AD15" s="55">
        <v>-5.8269230769230766</v>
      </c>
      <c r="AE15" s="55">
        <v>0</v>
      </c>
      <c r="AF15" s="55"/>
    </row>
    <row r="16" spans="1:32" s="57" customFormat="1" ht="15.75" customHeight="1">
      <c r="A16" s="2" t="s">
        <v>66</v>
      </c>
      <c r="B16" s="2" t="s">
        <v>609</v>
      </c>
      <c r="C16" s="51">
        <v>17.989999999999998</v>
      </c>
      <c r="D16" s="51">
        <v>6</v>
      </c>
      <c r="E16" s="51">
        <v>0</v>
      </c>
      <c r="F16" s="51">
        <v>122.93999999999998</v>
      </c>
      <c r="G16" s="51">
        <v>0</v>
      </c>
      <c r="H16" s="51">
        <f t="shared" si="1"/>
        <v>0</v>
      </c>
      <c r="I16" s="51">
        <f t="shared" si="2"/>
        <v>0.31180563811267792</v>
      </c>
      <c r="J16" s="51">
        <f t="shared" si="4"/>
        <v>38.333385149572621</v>
      </c>
      <c r="K16" s="51">
        <f t="shared" si="3"/>
        <v>6.3888975249287698</v>
      </c>
      <c r="L16" s="51">
        <v>34</v>
      </c>
      <c r="M16" s="51">
        <f t="shared" si="5"/>
        <v>0.17647058823529413</v>
      </c>
      <c r="N16" s="51">
        <v>76</v>
      </c>
      <c r="O16" s="51">
        <f t="shared" ref="O16:P16" si="24">D16/7</f>
        <v>0.8571428571428571</v>
      </c>
      <c r="P16" s="51">
        <f t="shared" si="24"/>
        <v>0</v>
      </c>
      <c r="Q16" s="51">
        <f t="shared" si="7"/>
        <v>88</v>
      </c>
      <c r="R16" s="55">
        <v>0</v>
      </c>
      <c r="S16" s="53" t="s">
        <v>34</v>
      </c>
      <c r="T16" s="54" t="s">
        <v>34</v>
      </c>
      <c r="U16" s="55">
        <v>0</v>
      </c>
      <c r="V16" s="55">
        <f t="shared" si="8"/>
        <v>0</v>
      </c>
      <c r="W16" s="55">
        <f t="shared" si="9"/>
        <v>0</v>
      </c>
      <c r="X16" s="55">
        <v>0</v>
      </c>
      <c r="Y16" s="55" t="s">
        <v>35</v>
      </c>
      <c r="Z16" s="56">
        <f t="shared" si="19"/>
        <v>-0.75</v>
      </c>
      <c r="AA16" s="55">
        <v>0.12660185185185188</v>
      </c>
      <c r="AB16" s="55">
        <f t="shared" si="11"/>
        <v>-1.8040763888888891</v>
      </c>
      <c r="AC16" s="55">
        <v>-4.9000000000000004</v>
      </c>
      <c r="AD16" s="55">
        <v>-5.8269230769230766</v>
      </c>
      <c r="AE16" s="55">
        <v>0</v>
      </c>
      <c r="AF16" s="55"/>
    </row>
    <row r="17" spans="1:32" s="57" customFormat="1" ht="15.75" customHeight="1">
      <c r="A17" s="2" t="s">
        <v>67</v>
      </c>
      <c r="B17" s="2" t="s">
        <v>610</v>
      </c>
      <c r="C17" s="51">
        <v>17.989999999999998</v>
      </c>
      <c r="D17" s="51">
        <v>5</v>
      </c>
      <c r="E17" s="51">
        <v>0</v>
      </c>
      <c r="F17" s="51">
        <v>89.949999999999989</v>
      </c>
      <c r="G17" s="51">
        <v>0</v>
      </c>
      <c r="H17" s="51">
        <f t="shared" si="1"/>
        <v>0</v>
      </c>
      <c r="I17" s="51">
        <f t="shared" si="2"/>
        <v>0.23419993241734469</v>
      </c>
      <c r="J17" s="51">
        <f t="shared" si="4"/>
        <v>21.066283920940151</v>
      </c>
      <c r="K17" s="51">
        <f t="shared" si="3"/>
        <v>4.2132567841880304</v>
      </c>
      <c r="L17" s="51">
        <v>68</v>
      </c>
      <c r="M17" s="51">
        <f t="shared" si="5"/>
        <v>7.3529411764705885E-2</v>
      </c>
      <c r="N17" s="51">
        <v>74</v>
      </c>
      <c r="O17" s="51">
        <f t="shared" ref="O17:P17" si="25">D17/7</f>
        <v>0.7142857142857143</v>
      </c>
      <c r="P17" s="51">
        <f t="shared" si="25"/>
        <v>0</v>
      </c>
      <c r="Q17" s="51">
        <f t="shared" si="7"/>
        <v>103</v>
      </c>
      <c r="R17" s="55">
        <v>0</v>
      </c>
      <c r="S17" s="53" t="s">
        <v>34</v>
      </c>
      <c r="T17" s="54" t="s">
        <v>34</v>
      </c>
      <c r="U17" s="55">
        <v>0</v>
      </c>
      <c r="V17" s="55">
        <f t="shared" si="8"/>
        <v>0</v>
      </c>
      <c r="W17" s="55">
        <f t="shared" si="9"/>
        <v>0</v>
      </c>
      <c r="X17" s="55">
        <v>0</v>
      </c>
      <c r="Y17" s="55" t="s">
        <v>35</v>
      </c>
      <c r="Z17" s="56">
        <f t="shared" si="19"/>
        <v>-0.75</v>
      </c>
      <c r="AA17" s="55">
        <v>0.12660185185185188</v>
      </c>
      <c r="AB17" s="55">
        <f t="shared" si="11"/>
        <v>-1.7566006944444448</v>
      </c>
      <c r="AC17" s="55">
        <v>-4.9000000000000004</v>
      </c>
      <c r="AD17" s="55">
        <v>-5.8269230769230766</v>
      </c>
      <c r="AE17" s="55">
        <v>0</v>
      </c>
      <c r="AF17" s="55"/>
    </row>
    <row r="18" spans="1:32" s="57" customFormat="1" ht="15.75" customHeight="1">
      <c r="A18" s="2" t="s">
        <v>69</v>
      </c>
      <c r="B18" s="2" t="s">
        <v>611</v>
      </c>
      <c r="C18" s="51">
        <v>14.99</v>
      </c>
      <c r="D18" s="51">
        <v>1</v>
      </c>
      <c r="E18" s="51">
        <v>0</v>
      </c>
      <c r="F18" s="51">
        <v>14.99</v>
      </c>
      <c r="G18" s="51">
        <v>0</v>
      </c>
      <c r="H18" s="51">
        <f t="shared" si="1"/>
        <v>0</v>
      </c>
      <c r="I18" s="51">
        <f t="shared" si="2"/>
        <v>0.11539177827953678</v>
      </c>
      <c r="J18" s="51">
        <f t="shared" si="4"/>
        <v>1.7297227564102564</v>
      </c>
      <c r="K18" s="51">
        <f t="shared" si="3"/>
        <v>1.7297227564102564</v>
      </c>
      <c r="L18" s="51">
        <v>74</v>
      </c>
      <c r="M18" s="51">
        <f t="shared" si="5"/>
        <v>1.3513513513513514E-2</v>
      </c>
      <c r="N18" s="51">
        <v>70</v>
      </c>
      <c r="O18" s="51">
        <f t="shared" ref="O18:P18" si="26">D18/7</f>
        <v>0.14285714285714285</v>
      </c>
      <c r="P18" s="51">
        <f t="shared" si="26"/>
        <v>0</v>
      </c>
      <c r="Q18" s="51">
        <f t="shared" si="7"/>
        <v>490</v>
      </c>
      <c r="R18" s="55">
        <v>0</v>
      </c>
      <c r="S18" s="53" t="s">
        <v>34</v>
      </c>
      <c r="T18" s="54" t="s">
        <v>34</v>
      </c>
      <c r="U18" s="55">
        <v>0</v>
      </c>
      <c r="V18" s="55">
        <f t="shared" si="8"/>
        <v>0</v>
      </c>
      <c r="W18" s="55">
        <f t="shared" si="9"/>
        <v>0</v>
      </c>
      <c r="X18" s="55">
        <v>0</v>
      </c>
      <c r="Y18" s="55" t="s">
        <v>35</v>
      </c>
      <c r="Z18" s="56">
        <f t="shared" si="19"/>
        <v>-0.75</v>
      </c>
      <c r="AA18" s="55">
        <v>0.12660185185185188</v>
      </c>
      <c r="AB18" s="58">
        <f t="shared" ref="AB18:AB39" si="27">IFERROR(Z18*AA18*D18*3,0)</f>
        <v>-0.28485416666666674</v>
      </c>
      <c r="AC18" s="55">
        <v>-4.9000000000000004</v>
      </c>
      <c r="AD18" s="55">
        <v>-5.8269230769230766</v>
      </c>
      <c r="AE18" s="55">
        <v>0</v>
      </c>
      <c r="AF18" s="55"/>
    </row>
    <row r="19" spans="1:32" s="57" customFormat="1" ht="15.75" customHeight="1">
      <c r="A19" s="2" t="s">
        <v>71</v>
      </c>
      <c r="B19" s="2" t="s">
        <v>612</v>
      </c>
      <c r="C19" s="51">
        <v>13.54</v>
      </c>
      <c r="D19" s="51">
        <v>9</v>
      </c>
      <c r="E19" s="51">
        <v>0</v>
      </c>
      <c r="F19" s="51">
        <v>136.91</v>
      </c>
      <c r="G19" s="51">
        <v>0</v>
      </c>
      <c r="H19" s="51">
        <f t="shared" si="1"/>
        <v>0</v>
      </c>
      <c r="I19" s="51">
        <f t="shared" si="2"/>
        <v>0.126123035626998</v>
      </c>
      <c r="J19" s="51">
        <f t="shared" si="4"/>
        <v>17.267504807692298</v>
      </c>
      <c r="K19" s="51">
        <f t="shared" si="3"/>
        <v>1.9186116452991442</v>
      </c>
      <c r="L19" s="51">
        <v>80</v>
      </c>
      <c r="M19" s="51">
        <f t="shared" si="5"/>
        <v>0.1125</v>
      </c>
      <c r="N19" s="51">
        <v>63</v>
      </c>
      <c r="O19" s="51">
        <f t="shared" ref="O19:P19" si="28">D19/7</f>
        <v>1.2857142857142858</v>
      </c>
      <c r="P19" s="51">
        <f t="shared" si="28"/>
        <v>0</v>
      </c>
      <c r="Q19" s="51">
        <f t="shared" si="7"/>
        <v>49</v>
      </c>
      <c r="R19" s="55">
        <v>0</v>
      </c>
      <c r="S19" s="53" t="s">
        <v>34</v>
      </c>
      <c r="T19" s="54" t="s">
        <v>34</v>
      </c>
      <c r="U19" s="55">
        <v>0</v>
      </c>
      <c r="V19" s="55">
        <f t="shared" si="8"/>
        <v>0</v>
      </c>
      <c r="W19" s="55">
        <f t="shared" si="9"/>
        <v>0</v>
      </c>
      <c r="X19" s="55">
        <v>0</v>
      </c>
      <c r="Y19" s="55" t="s">
        <v>35</v>
      </c>
      <c r="Z19" s="56">
        <f t="shared" si="19"/>
        <v>-0.75</v>
      </c>
      <c r="AA19" s="55">
        <v>0.12660185185185188</v>
      </c>
      <c r="AB19" s="55">
        <f t="shared" si="27"/>
        <v>-2.5636875000000003</v>
      </c>
      <c r="AC19" s="55">
        <v>-4.9000000000000004</v>
      </c>
      <c r="AD19" s="55">
        <v>-5.8269230769230766</v>
      </c>
      <c r="AE19" s="55">
        <v>0</v>
      </c>
      <c r="AF19" s="55"/>
    </row>
    <row r="20" spans="1:32" s="57" customFormat="1" ht="15.75" customHeight="1">
      <c r="A20" s="2" t="s">
        <v>73</v>
      </c>
      <c r="B20" s="2" t="s">
        <v>613</v>
      </c>
      <c r="C20" s="51">
        <v>16.18</v>
      </c>
      <c r="D20" s="51">
        <v>3</v>
      </c>
      <c r="E20" s="51">
        <v>0</v>
      </c>
      <c r="F20" s="51">
        <v>43.77</v>
      </c>
      <c r="G20" s="51">
        <v>-0.06</v>
      </c>
      <c r="H20" s="51">
        <f t="shared" si="1"/>
        <v>1.3708019191226866E-3</v>
      </c>
      <c r="I20" s="51">
        <f t="shared" si="2"/>
        <v>9.3880929157659804E-2</v>
      </c>
      <c r="J20" s="51">
        <f t="shared" si="4"/>
        <v>4.1091682692307696</v>
      </c>
      <c r="K20" s="51">
        <f t="shared" si="3"/>
        <v>1.3697227564102565</v>
      </c>
      <c r="L20" s="51">
        <v>78</v>
      </c>
      <c r="M20" s="51">
        <f t="shared" si="5"/>
        <v>3.8461538461538464E-2</v>
      </c>
      <c r="N20" s="51">
        <v>59</v>
      </c>
      <c r="O20" s="51">
        <f t="shared" ref="O20:P20" si="29">D20/7</f>
        <v>0.42857142857142855</v>
      </c>
      <c r="P20" s="51">
        <f t="shared" si="29"/>
        <v>0</v>
      </c>
      <c r="Q20" s="51">
        <f t="shared" si="7"/>
        <v>137</v>
      </c>
      <c r="R20" s="55">
        <v>228</v>
      </c>
      <c r="S20" s="53" t="s">
        <v>34</v>
      </c>
      <c r="T20" s="54" t="s">
        <v>34</v>
      </c>
      <c r="U20" s="55">
        <v>0</v>
      </c>
      <c r="V20" s="55">
        <f t="shared" si="8"/>
        <v>0</v>
      </c>
      <c r="W20" s="55">
        <f t="shared" si="9"/>
        <v>0</v>
      </c>
      <c r="X20" s="55">
        <v>0</v>
      </c>
      <c r="Y20" s="55" t="s">
        <v>35</v>
      </c>
      <c r="Z20" s="56">
        <f t="shared" si="19"/>
        <v>-0.75</v>
      </c>
      <c r="AA20" s="55">
        <v>0.12660185185185188</v>
      </c>
      <c r="AB20" s="55">
        <f t="shared" si="27"/>
        <v>-0.85456250000000022</v>
      </c>
      <c r="AC20" s="55">
        <v>-4.9000000000000004</v>
      </c>
      <c r="AD20" s="55">
        <v>-5.8269230769230766</v>
      </c>
      <c r="AE20" s="55">
        <v>0</v>
      </c>
      <c r="AF20" s="55"/>
    </row>
    <row r="21" spans="1:32" s="57" customFormat="1" ht="15.75" customHeight="1">
      <c r="A21" s="2" t="s">
        <v>75</v>
      </c>
      <c r="B21" s="2" t="s">
        <v>614</v>
      </c>
      <c r="C21" s="51">
        <v>16.82</v>
      </c>
      <c r="D21" s="51">
        <v>4</v>
      </c>
      <c r="E21" s="51">
        <v>0</v>
      </c>
      <c r="F21" s="51">
        <v>67.150000000000006</v>
      </c>
      <c r="G21" s="51">
        <v>0</v>
      </c>
      <c r="H21" s="51">
        <f t="shared" si="1"/>
        <v>0</v>
      </c>
      <c r="I21" s="51">
        <f t="shared" si="2"/>
        <v>0.19404901006166828</v>
      </c>
      <c r="J21" s="51">
        <f t="shared" si="4"/>
        <v>13.030391025641025</v>
      </c>
      <c r="K21" s="51">
        <f t="shared" si="3"/>
        <v>3.2575977564102563</v>
      </c>
      <c r="L21" s="51">
        <v>135</v>
      </c>
      <c r="M21" s="51">
        <f t="shared" si="5"/>
        <v>2.9629629629629631E-2</v>
      </c>
      <c r="N21" s="51">
        <v>57</v>
      </c>
      <c r="O21" s="51">
        <f t="shared" ref="O21:P21" si="30">D21/7</f>
        <v>0.5714285714285714</v>
      </c>
      <c r="P21" s="51">
        <f t="shared" si="30"/>
        <v>0</v>
      </c>
      <c r="Q21" s="51">
        <f t="shared" si="7"/>
        <v>99</v>
      </c>
      <c r="R21" s="55">
        <v>228</v>
      </c>
      <c r="S21" s="53">
        <v>228</v>
      </c>
      <c r="T21" s="54">
        <v>43969</v>
      </c>
      <c r="U21" s="55">
        <v>0</v>
      </c>
      <c r="V21" s="55">
        <f t="shared" si="8"/>
        <v>0</v>
      </c>
      <c r="W21" s="55">
        <f t="shared" si="9"/>
        <v>0</v>
      </c>
      <c r="X21" s="55">
        <v>0</v>
      </c>
      <c r="Y21" s="55" t="s">
        <v>35</v>
      </c>
      <c r="Z21" s="56">
        <f t="shared" si="19"/>
        <v>-0.75</v>
      </c>
      <c r="AA21" s="55">
        <v>0.12660185185185188</v>
      </c>
      <c r="AB21" s="55">
        <f t="shared" si="27"/>
        <v>-1.139416666666667</v>
      </c>
      <c r="AC21" s="55">
        <v>-4.9000000000000004</v>
      </c>
      <c r="AD21" s="55">
        <v>-5.8269230769230766</v>
      </c>
      <c r="AE21" s="55">
        <v>0</v>
      </c>
      <c r="AF21" s="55"/>
    </row>
    <row r="22" spans="1:32" s="57" customFormat="1" ht="15.75" customHeight="1">
      <c r="A22" s="2" t="s">
        <v>77</v>
      </c>
      <c r="B22" s="2" t="s">
        <v>615</v>
      </c>
      <c r="C22" s="51">
        <v>16.489999999999998</v>
      </c>
      <c r="D22" s="51">
        <v>11</v>
      </c>
      <c r="E22" s="51">
        <v>0</v>
      </c>
      <c r="F22" s="51">
        <v>192.26000000000002</v>
      </c>
      <c r="G22" s="51">
        <v>0</v>
      </c>
      <c r="H22" s="51">
        <f t="shared" si="1"/>
        <v>0</v>
      </c>
      <c r="I22" s="51">
        <f t="shared" si="2"/>
        <v>0.21997009425004077</v>
      </c>
      <c r="J22" s="51">
        <f t="shared" si="4"/>
        <v>42.291450320512844</v>
      </c>
      <c r="K22" s="51">
        <f t="shared" si="3"/>
        <v>3.8446773018648042</v>
      </c>
      <c r="L22" s="51">
        <v>130</v>
      </c>
      <c r="M22" s="51">
        <f t="shared" si="5"/>
        <v>8.461538461538462E-2</v>
      </c>
      <c r="N22" s="51">
        <v>46</v>
      </c>
      <c r="O22" s="51">
        <f t="shared" ref="O22:P22" si="31">D22/7</f>
        <v>1.5714285714285714</v>
      </c>
      <c r="P22" s="51">
        <f t="shared" si="31"/>
        <v>0</v>
      </c>
      <c r="Q22" s="51">
        <f t="shared" si="7"/>
        <v>29</v>
      </c>
      <c r="R22" s="55">
        <v>228</v>
      </c>
      <c r="S22" s="53">
        <v>228</v>
      </c>
      <c r="T22" s="54">
        <v>43969</v>
      </c>
      <c r="U22" s="55">
        <v>0</v>
      </c>
      <c r="V22" s="55">
        <f t="shared" si="8"/>
        <v>0</v>
      </c>
      <c r="W22" s="55">
        <f t="shared" si="9"/>
        <v>0</v>
      </c>
      <c r="X22" s="55">
        <v>0</v>
      </c>
      <c r="Y22" s="55" t="s">
        <v>35</v>
      </c>
      <c r="Z22" s="56">
        <f t="shared" si="19"/>
        <v>-0.75</v>
      </c>
      <c r="AA22" s="55">
        <v>0.12660185185185188</v>
      </c>
      <c r="AB22" s="55">
        <f t="shared" si="27"/>
        <v>-3.1333958333333336</v>
      </c>
      <c r="AC22" s="55">
        <v>-4.9000000000000004</v>
      </c>
      <c r="AD22" s="55">
        <v>-5.8269230769230766</v>
      </c>
      <c r="AE22" s="55">
        <v>0</v>
      </c>
      <c r="AF22" s="55"/>
    </row>
    <row r="23" spans="1:32" s="57" customFormat="1" ht="15.75" customHeight="1">
      <c r="A23" s="2" t="s">
        <v>79</v>
      </c>
      <c r="B23" s="2" t="s">
        <v>616</v>
      </c>
      <c r="C23" s="51">
        <v>15.78</v>
      </c>
      <c r="D23" s="51">
        <v>12</v>
      </c>
      <c r="E23" s="51">
        <v>0</v>
      </c>
      <c r="F23" s="51">
        <v>200.67000000000002</v>
      </c>
      <c r="G23" s="51">
        <v>0</v>
      </c>
      <c r="H23" s="51">
        <f t="shared" si="1"/>
        <v>0</v>
      </c>
      <c r="I23" s="51">
        <f t="shared" si="2"/>
        <v>0.19149934258694912</v>
      </c>
      <c r="J23" s="51">
        <f t="shared" si="4"/>
        <v>38.42817307692308</v>
      </c>
      <c r="K23" s="51">
        <f t="shared" si="3"/>
        <v>3.2023477564102567</v>
      </c>
      <c r="L23" s="51">
        <v>99</v>
      </c>
      <c r="M23" s="51">
        <f t="shared" si="5"/>
        <v>0.12121212121212122</v>
      </c>
      <c r="N23" s="51">
        <v>33</v>
      </c>
      <c r="O23" s="51">
        <f t="shared" ref="O23:P23" si="32">D23/7</f>
        <v>1.7142857142857142</v>
      </c>
      <c r="P23" s="51">
        <f t="shared" si="32"/>
        <v>0</v>
      </c>
      <c r="Q23" s="51">
        <f t="shared" si="7"/>
        <v>19</v>
      </c>
      <c r="R23" s="55">
        <v>228</v>
      </c>
      <c r="S23" s="53">
        <v>228</v>
      </c>
      <c r="T23" s="54">
        <v>43969</v>
      </c>
      <c r="U23" s="55">
        <v>0</v>
      </c>
      <c r="V23" s="55">
        <f t="shared" si="8"/>
        <v>0</v>
      </c>
      <c r="W23" s="55">
        <f t="shared" si="9"/>
        <v>0</v>
      </c>
      <c r="X23" s="55">
        <v>0</v>
      </c>
      <c r="Y23" s="55" t="s">
        <v>35</v>
      </c>
      <c r="Z23" s="56">
        <f t="shared" si="19"/>
        <v>-0.75</v>
      </c>
      <c r="AA23" s="55">
        <v>0.12660185185185188</v>
      </c>
      <c r="AB23" s="55">
        <f t="shared" si="27"/>
        <v>-3.4182500000000009</v>
      </c>
      <c r="AC23" s="55">
        <v>-4.9000000000000004</v>
      </c>
      <c r="AD23" s="55">
        <v>-5.8269230769230766</v>
      </c>
      <c r="AE23" s="55">
        <v>0</v>
      </c>
      <c r="AF23" s="55"/>
    </row>
    <row r="24" spans="1:32" s="57" customFormat="1" ht="15.75" customHeight="1">
      <c r="A24" s="2" t="s">
        <v>80</v>
      </c>
      <c r="B24" s="2" t="s">
        <v>617</v>
      </c>
      <c r="C24" s="51"/>
      <c r="D24" s="51">
        <v>13</v>
      </c>
      <c r="E24" s="51">
        <v>0</v>
      </c>
      <c r="F24" s="51">
        <v>209.98</v>
      </c>
      <c r="G24" s="51">
        <v>0</v>
      </c>
      <c r="H24" s="51">
        <f t="shared" si="1"/>
        <v>0</v>
      </c>
      <c r="I24" s="51">
        <f t="shared" si="2"/>
        <v>0.16825362336095487</v>
      </c>
      <c r="J24" s="51">
        <f t="shared" si="4"/>
        <v>35.329895833333303</v>
      </c>
      <c r="K24" s="51">
        <f t="shared" si="3"/>
        <v>2.7176842948717925</v>
      </c>
      <c r="L24" s="51">
        <v>92</v>
      </c>
      <c r="M24" s="51">
        <f t="shared" si="5"/>
        <v>0.14130434782608695</v>
      </c>
      <c r="N24" s="51">
        <v>7</v>
      </c>
      <c r="O24" s="51">
        <f t="shared" ref="O24:P24" si="33">D24/7</f>
        <v>1.8571428571428572</v>
      </c>
      <c r="P24" s="51">
        <f t="shared" si="33"/>
        <v>0</v>
      </c>
      <c r="Q24" s="51">
        <f t="shared" si="7"/>
        <v>3</v>
      </c>
      <c r="R24" s="55">
        <v>228</v>
      </c>
      <c r="S24" s="53">
        <v>228</v>
      </c>
      <c r="T24" s="54">
        <v>43969</v>
      </c>
      <c r="U24" s="55">
        <v>0</v>
      </c>
      <c r="V24" s="55">
        <f t="shared" si="8"/>
        <v>0</v>
      </c>
      <c r="W24" s="55">
        <f t="shared" si="9"/>
        <v>0</v>
      </c>
      <c r="X24" s="55">
        <v>0</v>
      </c>
      <c r="Y24" s="55" t="s">
        <v>35</v>
      </c>
      <c r="Z24" s="56">
        <f t="shared" si="19"/>
        <v>-0.75</v>
      </c>
      <c r="AA24" s="55">
        <v>0.12660185185185188</v>
      </c>
      <c r="AB24" s="55">
        <f t="shared" si="27"/>
        <v>-3.7031041666666678</v>
      </c>
      <c r="AC24" s="55">
        <v>-4.9000000000000004</v>
      </c>
      <c r="AD24" s="55">
        <v>-5.8269230769230766</v>
      </c>
      <c r="AE24" s="55">
        <v>0</v>
      </c>
      <c r="AF24" s="55"/>
    </row>
    <row r="25" spans="1:32" s="57" customFormat="1" ht="15.75" customHeight="1">
      <c r="A25" s="2" t="s">
        <v>81</v>
      </c>
      <c r="B25" s="2" t="s">
        <v>618</v>
      </c>
      <c r="C25" s="51"/>
      <c r="D25" s="51">
        <v>21</v>
      </c>
      <c r="E25" s="51">
        <v>0</v>
      </c>
      <c r="F25" s="51">
        <v>400.35</v>
      </c>
      <c r="G25" s="51">
        <v>0</v>
      </c>
      <c r="H25" s="51">
        <f t="shared" si="1"/>
        <v>0</v>
      </c>
      <c r="I25" s="51">
        <f t="shared" si="2"/>
        <v>0.2723871059937939</v>
      </c>
      <c r="J25" s="51">
        <f t="shared" si="4"/>
        <v>109.05017788461539</v>
      </c>
      <c r="K25" s="51">
        <f t="shared" si="3"/>
        <v>5.1928656135531144</v>
      </c>
      <c r="L25" s="51">
        <v>55</v>
      </c>
      <c r="M25" s="51">
        <f t="shared" si="5"/>
        <v>0.38181818181818183</v>
      </c>
      <c r="N25" s="51">
        <v>1</v>
      </c>
      <c r="O25" s="51">
        <f t="shared" ref="O25:P25" si="34">D25/7</f>
        <v>3</v>
      </c>
      <c r="P25" s="51">
        <f t="shared" si="34"/>
        <v>0</v>
      </c>
      <c r="Q25" s="51">
        <f t="shared" si="7"/>
        <v>0</v>
      </c>
      <c r="R25" s="55">
        <v>200</v>
      </c>
      <c r="S25" s="53">
        <v>200</v>
      </c>
      <c r="T25" s="54">
        <v>43990</v>
      </c>
      <c r="U25" s="55">
        <v>0</v>
      </c>
      <c r="V25" s="55">
        <f t="shared" si="8"/>
        <v>0</v>
      </c>
      <c r="W25" s="55">
        <f t="shared" si="9"/>
        <v>0</v>
      </c>
      <c r="X25" s="55">
        <v>0</v>
      </c>
      <c r="Y25" s="55" t="s">
        <v>35</v>
      </c>
      <c r="Z25" s="56">
        <f t="shared" si="19"/>
        <v>-0.75</v>
      </c>
      <c r="AA25" s="55">
        <v>0.12660185185185188</v>
      </c>
      <c r="AB25" s="55">
        <f t="shared" si="27"/>
        <v>-5.9819375000000008</v>
      </c>
      <c r="AC25" s="55">
        <v>-4.9000000000000004</v>
      </c>
      <c r="AD25" s="55">
        <v>-5.8269230769230766</v>
      </c>
      <c r="AE25" s="55">
        <v>0</v>
      </c>
      <c r="AF25" s="55"/>
    </row>
    <row r="26" spans="1:32" s="57" customFormat="1" ht="15.75" customHeight="1">
      <c r="A26" s="2" t="s">
        <v>83</v>
      </c>
      <c r="B26" s="2" t="s">
        <v>619</v>
      </c>
      <c r="C26" s="51">
        <f t="shared" ref="C26:C39" si="35">IFERROR(F26/D26," - ")</f>
        <v>19.004999999999999</v>
      </c>
      <c r="D26" s="51">
        <v>4</v>
      </c>
      <c r="E26" s="51">
        <v>0</v>
      </c>
      <c r="F26" s="51">
        <v>76.02</v>
      </c>
      <c r="G26" s="51">
        <v>0</v>
      </c>
      <c r="H26" s="51">
        <f t="shared" si="1"/>
        <v>0</v>
      </c>
      <c r="I26" s="51">
        <f t="shared" si="2"/>
        <v>0.27058525421785079</v>
      </c>
      <c r="J26" s="51">
        <f t="shared" si="4"/>
        <v>20.569891025641017</v>
      </c>
      <c r="K26" s="51">
        <f t="shared" si="3"/>
        <v>5.1424727564102541</v>
      </c>
      <c r="L26" s="51">
        <v>56</v>
      </c>
      <c r="M26" s="51">
        <f t="shared" si="5"/>
        <v>7.1428571428571425E-2</v>
      </c>
      <c r="N26" s="51">
        <v>224</v>
      </c>
      <c r="O26" s="51">
        <f t="shared" ref="O26:P26" si="36">D26/7</f>
        <v>0.5714285714285714</v>
      </c>
      <c r="P26" s="51">
        <f t="shared" si="36"/>
        <v>0</v>
      </c>
      <c r="Q26" s="51">
        <f t="shared" si="7"/>
        <v>392</v>
      </c>
      <c r="R26" s="55">
        <v>200</v>
      </c>
      <c r="S26" s="53">
        <v>200</v>
      </c>
      <c r="T26" s="54">
        <v>43990</v>
      </c>
      <c r="U26" s="55">
        <v>0</v>
      </c>
      <c r="V26" s="55">
        <f t="shared" si="8"/>
        <v>0</v>
      </c>
      <c r="W26" s="55">
        <f t="shared" si="9"/>
        <v>0</v>
      </c>
      <c r="X26" s="55">
        <v>0</v>
      </c>
      <c r="Y26" s="55" t="s">
        <v>35</v>
      </c>
      <c r="Z26" s="56">
        <f t="shared" si="19"/>
        <v>-0.75</v>
      </c>
      <c r="AA26" s="55">
        <v>0.12660185185185188</v>
      </c>
      <c r="AB26" s="55">
        <f t="shared" si="27"/>
        <v>-1.139416666666667</v>
      </c>
      <c r="AC26" s="55">
        <v>-4.9000000000000004</v>
      </c>
      <c r="AD26" s="55">
        <v>-5.8269230769230766</v>
      </c>
      <c r="AE26" s="55">
        <v>0</v>
      </c>
      <c r="AF26" s="55"/>
    </row>
    <row r="27" spans="1:32" s="57" customFormat="1" ht="15.75" customHeight="1">
      <c r="A27" s="2" t="s">
        <v>84</v>
      </c>
      <c r="B27" s="2" t="s">
        <v>620</v>
      </c>
      <c r="C27" s="51">
        <f t="shared" si="35"/>
        <v>17.053750000000001</v>
      </c>
      <c r="D27" s="51">
        <v>8</v>
      </c>
      <c r="E27" s="51">
        <v>0</v>
      </c>
      <c r="F27" s="51">
        <v>136.43</v>
      </c>
      <c r="G27" s="51">
        <v>-8.870000000000001</v>
      </c>
      <c r="H27" s="51">
        <f t="shared" si="1"/>
        <v>6.5015026020669942E-2</v>
      </c>
      <c r="I27" s="51">
        <f t="shared" si="2"/>
        <v>0.13927495456484681</v>
      </c>
      <c r="J27" s="51">
        <f t="shared" si="4"/>
        <v>19.00128205128205</v>
      </c>
      <c r="K27" s="51">
        <f t="shared" si="3"/>
        <v>2.3751602564102563</v>
      </c>
      <c r="L27" s="51">
        <v>72</v>
      </c>
      <c r="M27" s="51">
        <f t="shared" si="5"/>
        <v>0.1111111111111111</v>
      </c>
      <c r="N27" s="51">
        <v>218</v>
      </c>
      <c r="O27" s="51">
        <f t="shared" ref="O27:P27" si="37">D27/7</f>
        <v>1.1428571428571428</v>
      </c>
      <c r="P27" s="51">
        <f t="shared" si="37"/>
        <v>0</v>
      </c>
      <c r="Q27" s="51">
        <f t="shared" si="7"/>
        <v>190</v>
      </c>
      <c r="R27" s="55">
        <v>200</v>
      </c>
      <c r="S27" s="53">
        <v>200</v>
      </c>
      <c r="T27" s="54">
        <v>43992</v>
      </c>
      <c r="U27" s="55">
        <v>0</v>
      </c>
      <c r="V27" s="55">
        <f t="shared" si="8"/>
        <v>0</v>
      </c>
      <c r="W27" s="55">
        <f t="shared" si="9"/>
        <v>0</v>
      </c>
      <c r="X27" s="55">
        <v>0</v>
      </c>
      <c r="Y27" s="55" t="s">
        <v>35</v>
      </c>
      <c r="Z27" s="56">
        <f t="shared" si="19"/>
        <v>-0.75</v>
      </c>
      <c r="AA27" s="55">
        <v>0.12660185185185188</v>
      </c>
      <c r="AB27" s="55">
        <f t="shared" si="27"/>
        <v>-2.2788333333333339</v>
      </c>
      <c r="AC27" s="55">
        <v>-4.9000000000000004</v>
      </c>
      <c r="AD27" s="55">
        <v>-5.8269230769230766</v>
      </c>
      <c r="AE27" s="55">
        <v>0</v>
      </c>
      <c r="AF27" s="55"/>
    </row>
    <row r="28" spans="1:32" s="57" customFormat="1" ht="15.75" customHeight="1">
      <c r="A28" s="2" t="s">
        <v>86</v>
      </c>
      <c r="B28" s="2" t="s">
        <v>621</v>
      </c>
      <c r="C28" s="51">
        <f t="shared" si="35"/>
        <v>16.237142857142857</v>
      </c>
      <c r="D28" s="51">
        <v>14</v>
      </c>
      <c r="E28" s="51">
        <v>0</v>
      </c>
      <c r="F28" s="51">
        <v>227.32</v>
      </c>
      <c r="G28" s="51">
        <v>-23.75</v>
      </c>
      <c r="H28" s="51">
        <f t="shared" si="1"/>
        <v>0.10447826852014781</v>
      </c>
      <c r="I28" s="51">
        <f t="shared" si="2"/>
        <v>6.7337315633219999E-2</v>
      </c>
      <c r="J28" s="51">
        <f t="shared" si="4"/>
        <v>15.30711858974357</v>
      </c>
      <c r="K28" s="51">
        <f t="shared" si="3"/>
        <v>1.0933656135531122</v>
      </c>
      <c r="L28" s="51">
        <v>96</v>
      </c>
      <c r="M28" s="51">
        <f t="shared" si="5"/>
        <v>0.14583333333333334</v>
      </c>
      <c r="N28" s="51">
        <v>403</v>
      </c>
      <c r="O28" s="51">
        <f t="shared" ref="O28:P28" si="38">D28/7</f>
        <v>2</v>
      </c>
      <c r="P28" s="51">
        <f t="shared" si="38"/>
        <v>0</v>
      </c>
      <c r="Q28" s="51">
        <f t="shared" si="7"/>
        <v>201</v>
      </c>
      <c r="R28" s="55">
        <v>200</v>
      </c>
      <c r="S28" s="53">
        <v>200</v>
      </c>
      <c r="T28" s="54">
        <v>43992</v>
      </c>
      <c r="U28" s="55">
        <v>0</v>
      </c>
      <c r="V28" s="55">
        <f t="shared" si="8"/>
        <v>0</v>
      </c>
      <c r="W28" s="55">
        <f t="shared" si="9"/>
        <v>0</v>
      </c>
      <c r="X28" s="55">
        <v>0</v>
      </c>
      <c r="Y28" s="55" t="s">
        <v>35</v>
      </c>
      <c r="Z28" s="56">
        <f t="shared" si="19"/>
        <v>-0.75</v>
      </c>
      <c r="AA28" s="55">
        <v>0.12660185185185188</v>
      </c>
      <c r="AB28" s="55">
        <f t="shared" si="27"/>
        <v>-3.9879583333333342</v>
      </c>
      <c r="AC28" s="55">
        <v>-4.9000000000000004</v>
      </c>
      <c r="AD28" s="55">
        <v>-5.8269230769230766</v>
      </c>
      <c r="AE28" s="55">
        <v>0</v>
      </c>
      <c r="AF28" s="55"/>
    </row>
    <row r="29" spans="1:32" s="57" customFormat="1" ht="15.75" customHeight="1">
      <c r="A29" s="2" t="s">
        <v>87</v>
      </c>
      <c r="B29" s="2" t="s">
        <v>622</v>
      </c>
      <c r="C29" s="51">
        <f t="shared" si="35"/>
        <v>16.154999999999998</v>
      </c>
      <c r="D29" s="51">
        <v>4</v>
      </c>
      <c r="E29" s="51">
        <v>0</v>
      </c>
      <c r="F29" s="51">
        <v>64.61999999999999</v>
      </c>
      <c r="G29" s="51">
        <v>-11.36</v>
      </c>
      <c r="H29" s="51">
        <f t="shared" si="1"/>
        <v>0.17579696688331786</v>
      </c>
      <c r="I29" s="51">
        <f t="shared" si="2"/>
        <v>-7.4297272417050758E-3</v>
      </c>
      <c r="J29" s="51">
        <f t="shared" si="4"/>
        <v>-0.48010897435898192</v>
      </c>
      <c r="K29" s="51">
        <f t="shared" si="3"/>
        <v>-0.12002724358974548</v>
      </c>
      <c r="L29" s="51">
        <v>74</v>
      </c>
      <c r="M29" s="51">
        <f t="shared" si="5"/>
        <v>5.4054054054054057E-2</v>
      </c>
      <c r="N29" s="51">
        <v>409</v>
      </c>
      <c r="O29" s="51">
        <f t="shared" ref="O29:P29" si="39">D29/7</f>
        <v>0.5714285714285714</v>
      </c>
      <c r="P29" s="51">
        <f t="shared" si="39"/>
        <v>0</v>
      </c>
      <c r="Q29" s="51">
        <f t="shared" si="7"/>
        <v>715</v>
      </c>
      <c r="R29" s="55">
        <v>0</v>
      </c>
      <c r="S29" s="53" t="s">
        <v>34</v>
      </c>
      <c r="T29" s="54" t="s">
        <v>34</v>
      </c>
      <c r="U29" s="55">
        <v>1</v>
      </c>
      <c r="V29" s="55">
        <f t="shared" si="8"/>
        <v>0.25</v>
      </c>
      <c r="W29" s="55">
        <f t="shared" si="9"/>
        <v>11.36</v>
      </c>
      <c r="X29" s="55">
        <v>0</v>
      </c>
      <c r="Y29" s="55" t="s">
        <v>35</v>
      </c>
      <c r="Z29" s="56">
        <f t="shared" si="19"/>
        <v>-0.75</v>
      </c>
      <c r="AA29" s="55">
        <v>0.12660185185185188</v>
      </c>
      <c r="AB29" s="55">
        <f t="shared" si="27"/>
        <v>-1.139416666666667</v>
      </c>
      <c r="AC29" s="55">
        <v>-4.9000000000000004</v>
      </c>
      <c r="AD29" s="55">
        <v>-5.8269230769230766</v>
      </c>
      <c r="AE29" s="55">
        <v>0</v>
      </c>
      <c r="AF29" s="55"/>
    </row>
    <row r="30" spans="1:32" s="57" customFormat="1" ht="15.75" customHeight="1">
      <c r="A30" s="2" t="s">
        <v>89</v>
      </c>
      <c r="B30" s="2" t="s">
        <v>623</v>
      </c>
      <c r="C30" s="51">
        <f t="shared" si="35"/>
        <v>16.587499999999999</v>
      </c>
      <c r="D30" s="51">
        <v>8</v>
      </c>
      <c r="E30" s="51">
        <v>0</v>
      </c>
      <c r="F30" s="51">
        <v>132.69999999999999</v>
      </c>
      <c r="G30" s="51">
        <v>-0.02</v>
      </c>
      <c r="H30" s="51">
        <f t="shared" si="1"/>
        <v>1.5071590052750567E-4</v>
      </c>
      <c r="I30" s="51">
        <f t="shared" si="2"/>
        <v>0.18598931462910356</v>
      </c>
      <c r="J30" s="51">
        <f t="shared" si="4"/>
        <v>24.680782051282041</v>
      </c>
      <c r="K30" s="51">
        <f t="shared" si="3"/>
        <v>3.0850977564102551</v>
      </c>
      <c r="L30" s="51">
        <v>71</v>
      </c>
      <c r="M30" s="51">
        <f t="shared" si="5"/>
        <v>0.11267605633802817</v>
      </c>
      <c r="N30" s="51">
        <v>390</v>
      </c>
      <c r="O30" s="51">
        <f t="shared" ref="O30:P30" si="40">D30/7</f>
        <v>1.1428571428571428</v>
      </c>
      <c r="P30" s="51">
        <f t="shared" si="40"/>
        <v>0</v>
      </c>
      <c r="Q30" s="51">
        <f t="shared" si="7"/>
        <v>341</v>
      </c>
      <c r="R30" s="55">
        <v>0</v>
      </c>
      <c r="S30" s="53" t="s">
        <v>34</v>
      </c>
      <c r="T30" s="54" t="s">
        <v>34</v>
      </c>
      <c r="U30" s="55">
        <v>0</v>
      </c>
      <c r="V30" s="55">
        <f t="shared" si="8"/>
        <v>0</v>
      </c>
      <c r="W30" s="55">
        <f t="shared" si="9"/>
        <v>0.02</v>
      </c>
      <c r="X30" s="55">
        <v>1</v>
      </c>
      <c r="Y30" s="55" t="s">
        <v>35</v>
      </c>
      <c r="Z30" s="56">
        <f t="shared" si="19"/>
        <v>-0.75</v>
      </c>
      <c r="AA30" s="55">
        <v>0.12660185185185188</v>
      </c>
      <c r="AB30" s="55">
        <f t="shared" si="27"/>
        <v>-2.2788333333333339</v>
      </c>
      <c r="AC30" s="55">
        <v>-4.9000000000000004</v>
      </c>
      <c r="AD30" s="55">
        <v>-5.8269230769230766</v>
      </c>
      <c r="AE30" s="55">
        <v>0</v>
      </c>
      <c r="AF30" s="55"/>
    </row>
    <row r="31" spans="1:32" s="57" customFormat="1" ht="15.75" customHeight="1">
      <c r="A31" s="2" t="s">
        <v>90</v>
      </c>
      <c r="B31" s="2" t="s">
        <v>624</v>
      </c>
      <c r="C31" s="51">
        <f t="shared" si="35"/>
        <v>15.682999999999998</v>
      </c>
      <c r="D31" s="51">
        <v>10</v>
      </c>
      <c r="E31" s="51">
        <v>0</v>
      </c>
      <c r="F31" s="51">
        <v>156.82999999999998</v>
      </c>
      <c r="G31" s="51">
        <v>0</v>
      </c>
      <c r="H31" s="51">
        <f t="shared" si="1"/>
        <v>0</v>
      </c>
      <c r="I31" s="51">
        <f t="shared" si="2"/>
        <v>0.14785262745713548</v>
      </c>
      <c r="J31" s="51">
        <f t="shared" si="4"/>
        <v>23.187727564102556</v>
      </c>
      <c r="K31" s="51">
        <f t="shared" si="3"/>
        <v>2.3187727564102554</v>
      </c>
      <c r="L31" s="51">
        <v>89</v>
      </c>
      <c r="M31" s="51">
        <f t="shared" si="5"/>
        <v>0.11235955056179775</v>
      </c>
      <c r="N31" s="51">
        <v>386</v>
      </c>
      <c r="O31" s="51">
        <f t="shared" ref="O31:P31" si="41">D31/7</f>
        <v>1.4285714285714286</v>
      </c>
      <c r="P31" s="51">
        <f t="shared" si="41"/>
        <v>0</v>
      </c>
      <c r="Q31" s="51">
        <f t="shared" si="7"/>
        <v>270</v>
      </c>
      <c r="R31" s="55">
        <v>0</v>
      </c>
      <c r="S31" s="53" t="s">
        <v>34</v>
      </c>
      <c r="T31" s="54" t="s">
        <v>34</v>
      </c>
      <c r="U31" s="55">
        <v>0</v>
      </c>
      <c r="V31" s="55">
        <f t="shared" si="8"/>
        <v>0</v>
      </c>
      <c r="W31" s="55">
        <f t="shared" si="9"/>
        <v>0</v>
      </c>
      <c r="X31" s="55">
        <v>0</v>
      </c>
      <c r="Y31" s="55" t="s">
        <v>35</v>
      </c>
      <c r="Z31" s="56">
        <f t="shared" si="19"/>
        <v>-0.75</v>
      </c>
      <c r="AA31" s="55">
        <v>0.12660185185185188</v>
      </c>
      <c r="AB31" s="55">
        <f t="shared" si="27"/>
        <v>-2.8485416666666667</v>
      </c>
      <c r="AC31" s="55">
        <v>-4.9000000000000004</v>
      </c>
      <c r="AD31" s="55">
        <v>-5.8269230769230766</v>
      </c>
      <c r="AE31" s="55">
        <v>0</v>
      </c>
      <c r="AF31" s="55"/>
    </row>
    <row r="32" spans="1:32" s="57" customFormat="1" ht="15.75" customHeight="1">
      <c r="A32" s="2" t="s">
        <v>92</v>
      </c>
      <c r="B32" s="2" t="s">
        <v>290</v>
      </c>
      <c r="C32" s="51">
        <f t="shared" si="35"/>
        <v>14.421428571428569</v>
      </c>
      <c r="D32" s="51">
        <v>7</v>
      </c>
      <c r="E32" s="51">
        <v>0</v>
      </c>
      <c r="F32" s="51">
        <v>100.94999999999999</v>
      </c>
      <c r="G32" s="51">
        <v>0</v>
      </c>
      <c r="H32" s="51">
        <f t="shared" si="1"/>
        <v>0</v>
      </c>
      <c r="I32" s="51">
        <f t="shared" si="2"/>
        <v>8.6429512579215315E-2</v>
      </c>
      <c r="J32" s="51">
        <f t="shared" si="4"/>
        <v>8.7250592948717856</v>
      </c>
      <c r="K32" s="51">
        <f t="shared" si="3"/>
        <v>1.2464370421245408</v>
      </c>
      <c r="L32" s="51">
        <v>103</v>
      </c>
      <c r="M32" s="51">
        <f t="shared" si="5"/>
        <v>6.7961165048543687E-2</v>
      </c>
      <c r="N32" s="51">
        <v>376</v>
      </c>
      <c r="O32" s="51">
        <f t="shared" ref="O32:P32" si="42">D32/7</f>
        <v>1</v>
      </c>
      <c r="P32" s="51">
        <f t="shared" si="42"/>
        <v>0</v>
      </c>
      <c r="Q32" s="51">
        <f t="shared" si="7"/>
        <v>376</v>
      </c>
      <c r="R32" s="55">
        <v>0</v>
      </c>
      <c r="S32" s="53" t="s">
        <v>34</v>
      </c>
      <c r="T32" s="54" t="s">
        <v>34</v>
      </c>
      <c r="U32" s="55">
        <v>0</v>
      </c>
      <c r="V32" s="55">
        <f t="shared" si="8"/>
        <v>0</v>
      </c>
      <c r="W32" s="55">
        <f t="shared" si="9"/>
        <v>0</v>
      </c>
      <c r="X32" s="55">
        <v>0</v>
      </c>
      <c r="Y32" s="55" t="s">
        <v>35</v>
      </c>
      <c r="Z32" s="56">
        <f t="shared" si="19"/>
        <v>-0.75</v>
      </c>
      <c r="AA32" s="55">
        <v>0.12660185185185188</v>
      </c>
      <c r="AB32" s="55">
        <f t="shared" si="27"/>
        <v>-1.9939791666666671</v>
      </c>
      <c r="AC32" s="55">
        <v>-4.9000000000000004</v>
      </c>
      <c r="AD32" s="55">
        <v>-5.8269230769230766</v>
      </c>
      <c r="AE32" s="55">
        <v>0</v>
      </c>
      <c r="AF32" s="52">
        <v>0.71554252199413404</v>
      </c>
    </row>
    <row r="33" spans="1:32" s="57" customFormat="1" ht="15.75" customHeight="1">
      <c r="A33" s="2" t="s">
        <v>94</v>
      </c>
      <c r="B33" s="2" t="s">
        <v>625</v>
      </c>
      <c r="C33" s="51">
        <f t="shared" si="35"/>
        <v>14.325000000000001</v>
      </c>
      <c r="D33" s="51">
        <v>8</v>
      </c>
      <c r="E33" s="51">
        <v>0</v>
      </c>
      <c r="F33" s="51">
        <v>114.60000000000001</v>
      </c>
      <c r="G33" s="51">
        <v>0</v>
      </c>
      <c r="H33" s="51">
        <f t="shared" si="1"/>
        <v>0</v>
      </c>
      <c r="I33" s="51">
        <f t="shared" si="2"/>
        <v>8.1289546695305928E-2</v>
      </c>
      <c r="J33" s="51">
        <f t="shared" si="4"/>
        <v>9.3157820512820599</v>
      </c>
      <c r="K33" s="51">
        <f t="shared" si="3"/>
        <v>1.1644727564102575</v>
      </c>
      <c r="L33" s="51">
        <v>90</v>
      </c>
      <c r="M33" s="51">
        <f t="shared" si="5"/>
        <v>8.8888888888888892E-2</v>
      </c>
      <c r="N33" s="51">
        <v>371</v>
      </c>
      <c r="O33" s="51">
        <f t="shared" ref="O33:P33" si="43">D33/7</f>
        <v>1.1428571428571428</v>
      </c>
      <c r="P33" s="51">
        <f t="shared" si="43"/>
        <v>0</v>
      </c>
      <c r="Q33" s="51">
        <f t="shared" si="7"/>
        <v>324</v>
      </c>
      <c r="R33" s="55">
        <v>0</v>
      </c>
      <c r="S33" s="53" t="s">
        <v>34</v>
      </c>
      <c r="T33" s="54" t="s">
        <v>34</v>
      </c>
      <c r="U33" s="55">
        <v>0</v>
      </c>
      <c r="V33" s="55">
        <f t="shared" si="8"/>
        <v>0</v>
      </c>
      <c r="W33" s="55">
        <f t="shared" si="9"/>
        <v>0</v>
      </c>
      <c r="X33" s="55">
        <v>0</v>
      </c>
      <c r="Y33" s="55" t="s">
        <v>35</v>
      </c>
      <c r="Z33" s="56">
        <f t="shared" si="19"/>
        <v>-0.75</v>
      </c>
      <c r="AA33" s="55">
        <v>0.12660185185185188</v>
      </c>
      <c r="AB33" s="55">
        <f t="shared" si="27"/>
        <v>-2.2788333333333339</v>
      </c>
      <c r="AC33" s="55">
        <v>-4.9000000000000004</v>
      </c>
      <c r="AD33" s="55">
        <v>-5.8269230769230766</v>
      </c>
      <c r="AE33" s="55">
        <v>0</v>
      </c>
      <c r="AF33" s="55">
        <v>0.55835240274599496</v>
      </c>
    </row>
    <row r="34" spans="1:32" s="57" customFormat="1" ht="15.75" customHeight="1">
      <c r="A34" s="2" t="s">
        <v>95</v>
      </c>
      <c r="B34" s="2"/>
      <c r="C34" s="51">
        <f t="shared" si="35"/>
        <v>14.546250000000002</v>
      </c>
      <c r="D34" s="51">
        <v>8</v>
      </c>
      <c r="E34" s="51">
        <v>0</v>
      </c>
      <c r="F34" s="51">
        <v>116.37000000000002</v>
      </c>
      <c r="G34" s="51">
        <v>0</v>
      </c>
      <c r="H34" s="51">
        <f t="shared" si="1"/>
        <v>0</v>
      </c>
      <c r="I34" s="51">
        <f t="shared" si="2"/>
        <v>9.2981713940724117E-2</v>
      </c>
      <c r="J34" s="51">
        <f t="shared" si="4"/>
        <v>10.820282051282067</v>
      </c>
      <c r="K34" s="51">
        <f t="shared" si="3"/>
        <v>1.3525352564102584</v>
      </c>
      <c r="L34" s="51">
        <v>81</v>
      </c>
      <c r="M34" s="51">
        <f t="shared" si="5"/>
        <v>9.8765432098765427E-2</v>
      </c>
      <c r="N34" s="51">
        <v>354</v>
      </c>
      <c r="O34" s="51">
        <f t="shared" ref="O34:P34" si="44">D34/7</f>
        <v>1.1428571428571428</v>
      </c>
      <c r="P34" s="51">
        <f t="shared" si="44"/>
        <v>0</v>
      </c>
      <c r="Q34" s="51">
        <f t="shared" si="7"/>
        <v>309</v>
      </c>
      <c r="R34" s="55">
        <v>0</v>
      </c>
      <c r="S34" s="53" t="s">
        <v>34</v>
      </c>
      <c r="T34" s="54" t="s">
        <v>34</v>
      </c>
      <c r="U34" s="55">
        <v>0</v>
      </c>
      <c r="V34" s="55">
        <f t="shared" si="8"/>
        <v>0</v>
      </c>
      <c r="W34" s="55">
        <f t="shared" si="9"/>
        <v>0</v>
      </c>
      <c r="X34" s="55">
        <v>0</v>
      </c>
      <c r="Y34" s="55" t="s">
        <v>35</v>
      </c>
      <c r="Z34" s="56">
        <f t="shared" si="19"/>
        <v>-0.75</v>
      </c>
      <c r="AA34" s="55">
        <v>0.12660185185185188</v>
      </c>
      <c r="AB34" s="55">
        <f t="shared" si="27"/>
        <v>-2.2788333333333339</v>
      </c>
      <c r="AC34" s="55">
        <v>-4.9000000000000004</v>
      </c>
      <c r="AD34" s="55">
        <v>-5.8269230769230766</v>
      </c>
      <c r="AE34" s="55">
        <v>0</v>
      </c>
      <c r="AF34" s="55">
        <v>0.50094876660341503</v>
      </c>
    </row>
    <row r="35" spans="1:32" s="57" customFormat="1" ht="15.75" customHeight="1">
      <c r="A35" s="2" t="s">
        <v>96</v>
      </c>
      <c r="B35" s="2" t="s">
        <v>626</v>
      </c>
      <c r="C35" s="51">
        <f t="shared" si="35"/>
        <v>13.646000000000001</v>
      </c>
      <c r="D35" s="51">
        <v>10</v>
      </c>
      <c r="E35" s="51">
        <v>1</v>
      </c>
      <c r="F35" s="51">
        <v>136.46</v>
      </c>
      <c r="G35" s="51">
        <v>0</v>
      </c>
      <c r="H35" s="51">
        <f t="shared" si="1"/>
        <v>0</v>
      </c>
      <c r="I35" s="51">
        <f t="shared" si="2"/>
        <v>4.3039920592866522E-2</v>
      </c>
      <c r="J35" s="51">
        <f t="shared" si="4"/>
        <v>5.8732275641025664</v>
      </c>
      <c r="K35" s="51">
        <f t="shared" si="3"/>
        <v>0.58732275641025666</v>
      </c>
      <c r="L35" s="51">
        <v>45</v>
      </c>
      <c r="M35" s="51">
        <f t="shared" si="5"/>
        <v>0.22222222222222221</v>
      </c>
      <c r="N35" s="51">
        <v>349</v>
      </c>
      <c r="O35" s="51">
        <f t="shared" ref="O35:P35" si="45">D35/7</f>
        <v>1.4285714285714286</v>
      </c>
      <c r="P35" s="51">
        <f t="shared" si="45"/>
        <v>0.14285714285714285</v>
      </c>
      <c r="Q35" s="51">
        <f t="shared" si="7"/>
        <v>222</v>
      </c>
      <c r="R35" s="55">
        <v>0</v>
      </c>
      <c r="S35" s="53" t="s">
        <v>34</v>
      </c>
      <c r="T35" s="54" t="s">
        <v>34</v>
      </c>
      <c r="U35" s="55">
        <v>0</v>
      </c>
      <c r="V35" s="55">
        <f t="shared" si="8"/>
        <v>0</v>
      </c>
      <c r="W35" s="55">
        <f t="shared" si="9"/>
        <v>0</v>
      </c>
      <c r="X35" s="55">
        <v>0</v>
      </c>
      <c r="Y35" s="55" t="s">
        <v>35</v>
      </c>
      <c r="Z35" s="56">
        <f t="shared" si="19"/>
        <v>-0.75</v>
      </c>
      <c r="AA35" s="55">
        <v>0.12660185185185188</v>
      </c>
      <c r="AB35" s="55">
        <f t="shared" si="27"/>
        <v>-2.8485416666666667</v>
      </c>
      <c r="AC35" s="55">
        <v>-4.9000000000000004</v>
      </c>
      <c r="AD35" s="55">
        <v>-5.8269230769230766</v>
      </c>
      <c r="AE35" s="55">
        <v>0</v>
      </c>
      <c r="AF35" s="55">
        <v>0.50731707317073105</v>
      </c>
    </row>
    <row r="36" spans="1:32" s="57" customFormat="1" ht="15.75" customHeight="1">
      <c r="A36" s="2" t="s">
        <v>98</v>
      </c>
      <c r="B36" s="2" t="s">
        <v>627</v>
      </c>
      <c r="C36" s="51">
        <f t="shared" si="35"/>
        <v>18.124615384615385</v>
      </c>
      <c r="D36" s="51">
        <v>13</v>
      </c>
      <c r="E36" s="51">
        <v>1</v>
      </c>
      <c r="F36" s="51">
        <v>235.62</v>
      </c>
      <c r="G36" s="51">
        <v>-7.1999999999999993</v>
      </c>
      <c r="H36" s="51">
        <f t="shared" si="1"/>
        <v>3.0557677616501144E-2</v>
      </c>
      <c r="I36" s="51">
        <f t="shared" si="2"/>
        <v>0.21188309919927564</v>
      </c>
      <c r="J36" s="51">
        <f t="shared" si="4"/>
        <v>49.923895833333326</v>
      </c>
      <c r="K36" s="51">
        <f t="shared" si="3"/>
        <v>3.8402996794871789</v>
      </c>
      <c r="L36" s="51">
        <v>54</v>
      </c>
      <c r="M36" s="51">
        <f t="shared" si="5"/>
        <v>0.24074074074074073</v>
      </c>
      <c r="N36" s="51">
        <v>336</v>
      </c>
      <c r="O36" s="51">
        <f t="shared" ref="O36:P36" si="46">D36/7</f>
        <v>1.8571428571428572</v>
      </c>
      <c r="P36" s="51">
        <f t="shared" si="46"/>
        <v>0.14285714285714285</v>
      </c>
      <c r="Q36" s="51">
        <f t="shared" si="7"/>
        <v>168</v>
      </c>
      <c r="R36" s="55">
        <v>0</v>
      </c>
      <c r="S36" s="53"/>
      <c r="T36" s="54" t="s">
        <v>34</v>
      </c>
      <c r="U36" s="55"/>
      <c r="V36" s="55">
        <f t="shared" si="8"/>
        <v>0</v>
      </c>
      <c r="W36" s="55">
        <f t="shared" si="9"/>
        <v>0</v>
      </c>
      <c r="X36" s="55"/>
      <c r="Y36" s="55" t="s">
        <v>35</v>
      </c>
      <c r="Z36" s="56">
        <f t="shared" si="19"/>
        <v>-0.75</v>
      </c>
      <c r="AA36" s="55">
        <v>0.12660185185185188</v>
      </c>
      <c r="AB36" s="55">
        <f t="shared" si="27"/>
        <v>-3.7031041666666678</v>
      </c>
      <c r="AC36" s="55">
        <v>-4.9000000000000004</v>
      </c>
      <c r="AD36" s="55">
        <v>-5.8269230769230766</v>
      </c>
      <c r="AE36" s="55">
        <v>0</v>
      </c>
      <c r="AF36" s="55">
        <v>0.51680672268907502</v>
      </c>
    </row>
    <row r="37" spans="1:32" s="57" customFormat="1" ht="15.75" customHeight="1">
      <c r="A37" s="2" t="s">
        <v>99</v>
      </c>
      <c r="B37" s="2" t="s">
        <v>628</v>
      </c>
      <c r="C37" s="51">
        <f t="shared" si="35"/>
        <v>17.605384615384615</v>
      </c>
      <c r="D37" s="51">
        <v>13</v>
      </c>
      <c r="E37" s="51">
        <v>0</v>
      </c>
      <c r="F37" s="51">
        <v>228.87</v>
      </c>
      <c r="G37" s="51">
        <v>-22.47</v>
      </c>
      <c r="H37" s="51">
        <f t="shared" si="1"/>
        <v>9.8178004980993563E-2</v>
      </c>
      <c r="I37" s="51">
        <f t="shared" si="2"/>
        <v>0.12634419466655014</v>
      </c>
      <c r="J37" s="51">
        <f t="shared" si="4"/>
        <v>28.916395833333333</v>
      </c>
      <c r="K37" s="51">
        <f t="shared" si="3"/>
        <v>2.2243381410256409</v>
      </c>
      <c r="L37" s="51">
        <v>76</v>
      </c>
      <c r="M37" s="51">
        <f t="shared" si="5"/>
        <v>0.17105263157894737</v>
      </c>
      <c r="N37" s="51">
        <v>324</v>
      </c>
      <c r="O37" s="51">
        <f t="shared" ref="O37:P37" si="47">D37/7</f>
        <v>1.8571428571428572</v>
      </c>
      <c r="P37" s="51">
        <f t="shared" si="47"/>
        <v>0</v>
      </c>
      <c r="Q37" s="51">
        <f t="shared" si="7"/>
        <v>174</v>
      </c>
      <c r="R37" s="55">
        <v>0</v>
      </c>
      <c r="S37" s="53" t="s">
        <v>34</v>
      </c>
      <c r="T37" s="54" t="s">
        <v>34</v>
      </c>
      <c r="U37" s="55">
        <v>0</v>
      </c>
      <c r="V37" s="55">
        <f t="shared" si="8"/>
        <v>0</v>
      </c>
      <c r="W37" s="55">
        <f t="shared" si="9"/>
        <v>22.47</v>
      </c>
      <c r="X37" s="55">
        <v>1</v>
      </c>
      <c r="Y37" s="55" t="s">
        <v>35</v>
      </c>
      <c r="Z37" s="56">
        <f t="shared" si="19"/>
        <v>-0.75</v>
      </c>
      <c r="AA37" s="55">
        <v>0.12660185185185188</v>
      </c>
      <c r="AB37" s="55">
        <f t="shared" si="27"/>
        <v>-3.7031041666666678</v>
      </c>
      <c r="AC37" s="55">
        <v>-4.9000000000000004</v>
      </c>
      <c r="AD37" s="55">
        <v>-5.8269230769230766</v>
      </c>
      <c r="AE37" s="55">
        <v>0</v>
      </c>
      <c r="AF37" s="55">
        <v>0.45734388742304299</v>
      </c>
    </row>
    <row r="38" spans="1:32" s="57" customFormat="1" ht="15.75" customHeight="1">
      <c r="A38" s="2" t="s">
        <v>100</v>
      </c>
      <c r="B38" s="2" t="s">
        <v>629</v>
      </c>
      <c r="C38" s="51">
        <f t="shared" si="35"/>
        <v>15.797777777777778</v>
      </c>
      <c r="D38" s="51">
        <v>9</v>
      </c>
      <c r="E38" s="51">
        <v>0</v>
      </c>
      <c r="F38" s="51">
        <v>142.18</v>
      </c>
      <c r="G38" s="51">
        <v>-21.73</v>
      </c>
      <c r="H38" s="51">
        <f t="shared" si="1"/>
        <v>0.15283443522295681</v>
      </c>
      <c r="I38" s="51">
        <f t="shared" si="2"/>
        <v>1.1960056050295047E-4</v>
      </c>
      <c r="J38" s="51">
        <f t="shared" si="4"/>
        <v>1.7004807692309498E-2</v>
      </c>
      <c r="K38" s="51">
        <f t="shared" si="3"/>
        <v>1.8894230769232775E-3</v>
      </c>
      <c r="L38" s="51">
        <v>93</v>
      </c>
      <c r="M38" s="51">
        <f t="shared" si="5"/>
        <v>9.6774193548387094E-2</v>
      </c>
      <c r="N38" s="51">
        <v>314</v>
      </c>
      <c r="O38" s="51">
        <f t="shared" ref="O38:P38" si="48">D38/7</f>
        <v>1.2857142857142858</v>
      </c>
      <c r="P38" s="51">
        <f t="shared" si="48"/>
        <v>0</v>
      </c>
      <c r="Q38" s="51">
        <f t="shared" si="7"/>
        <v>244</v>
      </c>
      <c r="R38" s="55">
        <v>0</v>
      </c>
      <c r="S38" s="53"/>
      <c r="T38" s="54" t="s">
        <v>34</v>
      </c>
      <c r="U38" s="55">
        <v>1</v>
      </c>
      <c r="V38" s="55">
        <f t="shared" si="8"/>
        <v>0.1111111111111111</v>
      </c>
      <c r="W38" s="55">
        <f t="shared" si="9"/>
        <v>4.3460000000000001</v>
      </c>
      <c r="X38" s="55">
        <v>4</v>
      </c>
      <c r="Y38" s="55" t="s">
        <v>35</v>
      </c>
      <c r="Z38" s="56">
        <f t="shared" si="19"/>
        <v>-0.75</v>
      </c>
      <c r="AA38" s="55">
        <v>0.12660185185185188</v>
      </c>
      <c r="AB38" s="55">
        <f t="shared" si="27"/>
        <v>-2.5636875000000003</v>
      </c>
      <c r="AC38" s="55">
        <v>-4.9000000000000004</v>
      </c>
      <c r="AD38" s="55">
        <v>-5.8269230769230766</v>
      </c>
      <c r="AE38" s="55">
        <v>0</v>
      </c>
      <c r="AF38" s="55">
        <v>0.36418816388467301</v>
      </c>
    </row>
    <row r="39" spans="1:32" s="57" customFormat="1" ht="15.75" customHeight="1">
      <c r="A39" s="2" t="s">
        <v>101</v>
      </c>
      <c r="B39" s="2" t="s">
        <v>630</v>
      </c>
      <c r="C39" s="51">
        <f t="shared" si="35"/>
        <v>14.834</v>
      </c>
      <c r="D39" s="51">
        <v>5</v>
      </c>
      <c r="E39" s="51">
        <v>0</v>
      </c>
      <c r="F39" s="51">
        <v>74.17</v>
      </c>
      <c r="G39" s="51">
        <v>-15.309999999999999</v>
      </c>
      <c r="H39" s="51">
        <f t="shared" si="1"/>
        <v>0.20641768909262503</v>
      </c>
      <c r="I39" s="51">
        <f t="shared" si="2"/>
        <v>-9.8751330968702811E-2</v>
      </c>
      <c r="J39" s="51">
        <f>F39*0.85+G39+AD39*D39+D39*AC39+AE40+AB39</f>
        <v>-7.3243862179486872</v>
      </c>
      <c r="K39" s="51">
        <f t="shared" si="3"/>
        <v>-1.4648772435897375</v>
      </c>
      <c r="L39" s="51">
        <v>51</v>
      </c>
      <c r="M39" s="51">
        <f t="shared" si="5"/>
        <v>9.8039215686274508E-2</v>
      </c>
      <c r="N39" s="51">
        <v>312</v>
      </c>
      <c r="O39" s="51">
        <f t="shared" ref="O39:P39" si="49">D39/7</f>
        <v>0.7142857142857143</v>
      </c>
      <c r="P39" s="51">
        <f t="shared" si="49"/>
        <v>0</v>
      </c>
      <c r="Q39" s="51">
        <f t="shared" si="7"/>
        <v>436</v>
      </c>
      <c r="R39" s="55">
        <v>0</v>
      </c>
      <c r="S39" s="53" t="s">
        <v>34</v>
      </c>
      <c r="T39" s="54" t="s">
        <v>34</v>
      </c>
      <c r="U39" s="55">
        <v>0</v>
      </c>
      <c r="V39" s="55">
        <f t="shared" si="8"/>
        <v>0</v>
      </c>
      <c r="W39" s="55">
        <f t="shared" si="9"/>
        <v>5.1033333333333326</v>
      </c>
      <c r="X39" s="55">
        <v>3</v>
      </c>
      <c r="Y39" s="55" t="s">
        <v>35</v>
      </c>
      <c r="Z39" s="56">
        <f t="shared" si="19"/>
        <v>-0.75</v>
      </c>
      <c r="AA39" s="55">
        <v>0.12660185185185188</v>
      </c>
      <c r="AB39" s="55">
        <f t="shared" si="27"/>
        <v>-1.4242708333333334</v>
      </c>
      <c r="AC39" s="55">
        <v>-4.9000000000000004</v>
      </c>
      <c r="AD39" s="55">
        <v>-5.8269230769230704</v>
      </c>
      <c r="AE39" s="55">
        <v>0</v>
      </c>
      <c r="AF39" s="55">
        <v>0.38214565387627197</v>
      </c>
    </row>
    <row r="40" spans="1:32" s="57" customFormat="1" ht="15.75" customHeight="1">
      <c r="A40" s="2" t="s">
        <v>102</v>
      </c>
      <c r="B40" s="2" t="s">
        <v>631</v>
      </c>
      <c r="C40" s="51">
        <v>14.501428571428573</v>
      </c>
      <c r="D40" s="51">
        <v>7</v>
      </c>
      <c r="E40" s="51">
        <v>0</v>
      </c>
      <c r="F40" s="51">
        <v>101.51</v>
      </c>
      <c r="G40" s="51">
        <v>0</v>
      </c>
      <c r="H40" s="51">
        <v>0</v>
      </c>
      <c r="I40" s="51">
        <v>9.0641900254869873E-2</v>
      </c>
      <c r="J40" s="51">
        <v>9.2010592948718415</v>
      </c>
      <c r="K40" s="51">
        <v>1.3144370421245488</v>
      </c>
      <c r="L40" s="51">
        <v>61</v>
      </c>
      <c r="M40" s="51">
        <v>0.11475409836065574</v>
      </c>
      <c r="N40" s="51">
        <v>302</v>
      </c>
      <c r="O40" s="51">
        <v>1</v>
      </c>
      <c r="P40" s="51">
        <v>0</v>
      </c>
      <c r="Q40" s="51">
        <v>302</v>
      </c>
      <c r="R40" s="55">
        <v>0</v>
      </c>
      <c r="S40" s="53" t="s">
        <v>34</v>
      </c>
      <c r="T40" s="54" t="s">
        <v>34</v>
      </c>
      <c r="U40" s="55">
        <v>0</v>
      </c>
      <c r="V40" s="55">
        <v>0</v>
      </c>
      <c r="W40" s="55">
        <v>0</v>
      </c>
      <c r="X40" s="55">
        <v>0</v>
      </c>
      <c r="Y40" s="55" t="s">
        <v>35</v>
      </c>
      <c r="Z40" s="56">
        <v>-0.75</v>
      </c>
      <c r="AA40" s="55">
        <v>0.12660185185185188</v>
      </c>
      <c r="AB40" s="55">
        <v>-1.9939791666666671</v>
      </c>
      <c r="AC40" s="55">
        <v>-4.9000000000000004</v>
      </c>
      <c r="AD40" s="55">
        <v>-5.8269230769230704</v>
      </c>
      <c r="AE40" s="55">
        <v>0</v>
      </c>
      <c r="AF40" s="55">
        <v>0.371497197758206</v>
      </c>
    </row>
    <row r="41" spans="1:32" s="57" customFormat="1" ht="15.75" customHeight="1">
      <c r="A41" s="2" t="s">
        <v>105</v>
      </c>
      <c r="B41" s="2" t="s">
        <v>632</v>
      </c>
      <c r="C41" s="51">
        <f t="shared" ref="C41:C56" si="50">IFERROR(F41/D41," - ")</f>
        <v>14.7525</v>
      </c>
      <c r="D41" s="51">
        <v>4</v>
      </c>
      <c r="E41" s="51">
        <v>0</v>
      </c>
      <c r="F41" s="51">
        <v>59.01</v>
      </c>
      <c r="G41" s="51">
        <v>-22.169999999999998</v>
      </c>
      <c r="H41" s="51">
        <f t="shared" ref="H41:H56" si="51">G41/F41*-1</f>
        <v>0.37569903406202337</v>
      </c>
      <c r="I41" s="51">
        <f t="shared" ref="I41:I56" si="52">J41/F41</f>
        <v>-0.32195575282763855</v>
      </c>
      <c r="J41" s="51">
        <f t="shared" ref="J41:J48" si="53">F41*0.85+G41+AD41*D41+D41*AC41+AE42+AB41</f>
        <v>-18.998608974358952</v>
      </c>
      <c r="K41" s="51">
        <f t="shared" ref="K41:K56" si="54">J41/D41</f>
        <v>-4.7496522435897379</v>
      </c>
      <c r="L41" s="51">
        <v>58</v>
      </c>
      <c r="M41" s="51">
        <f t="shared" ref="M41:M56" si="55">IFERROR(D41/L41,"-")</f>
        <v>6.8965517241379309E-2</v>
      </c>
      <c r="N41" s="51">
        <v>285</v>
      </c>
      <c r="O41" s="51">
        <f t="shared" ref="O41:P41" si="56">D41/7</f>
        <v>0.5714285714285714</v>
      </c>
      <c r="P41" s="51">
        <f t="shared" si="56"/>
        <v>0</v>
      </c>
      <c r="Q41" s="51">
        <f t="shared" ref="Q41:Q56" si="57">ROUNDDOWN(N41/(O41+P41),0)</f>
        <v>498</v>
      </c>
      <c r="R41" s="55">
        <v>0</v>
      </c>
      <c r="S41" s="53" t="s">
        <v>34</v>
      </c>
      <c r="T41" s="54" t="s">
        <v>34</v>
      </c>
      <c r="U41" s="55">
        <v>1</v>
      </c>
      <c r="V41" s="55">
        <f t="shared" ref="V41:V56" si="58">IFERROR(U41/D41,0)</f>
        <v>0.25</v>
      </c>
      <c r="W41" s="55">
        <f t="shared" ref="W41:W56" si="59">IFERROR(G41/(U41+X41)*-1,0)</f>
        <v>5.5424999999999995</v>
      </c>
      <c r="X41" s="55">
        <v>3</v>
      </c>
      <c r="Y41" s="52" t="s">
        <v>35</v>
      </c>
      <c r="Z41" s="56">
        <f t="shared" ref="Z41:Z43" si="60">IF(OR(Y41="UsLargeStandardSize",Y41="UsSmallStandardSize"),-0.75,-0.48)</f>
        <v>-0.75</v>
      </c>
      <c r="AA41" s="55">
        <v>0.12660185185185188</v>
      </c>
      <c r="AB41" s="55">
        <f t="shared" ref="AB41:AB56" si="61">IFERROR(Z41*AA41*D41*3,0)</f>
        <v>-1.139416666666667</v>
      </c>
      <c r="AC41" s="55">
        <v>-4.9000000000000004</v>
      </c>
      <c r="AD41" s="55">
        <v>-5.8269230769230704</v>
      </c>
      <c r="AE41" s="55">
        <v>0</v>
      </c>
      <c r="AF41" s="55">
        <v>0.32386363636363602</v>
      </c>
    </row>
    <row r="42" spans="1:32" s="57" customFormat="1" ht="15.75" customHeight="1">
      <c r="A42" s="2" t="s">
        <v>106</v>
      </c>
      <c r="B42" s="2" t="s">
        <v>633</v>
      </c>
      <c r="C42" s="51">
        <f t="shared" si="50"/>
        <v>13.990909090909092</v>
      </c>
      <c r="D42" s="51">
        <v>22</v>
      </c>
      <c r="E42" s="51">
        <v>0</v>
      </c>
      <c r="F42" s="51">
        <v>307.8</v>
      </c>
      <c r="G42" s="51">
        <v>-15.4</v>
      </c>
      <c r="H42" s="51">
        <f t="shared" si="51"/>
        <v>5.0032488628979854E-2</v>
      </c>
      <c r="I42" s="51">
        <f t="shared" si="52"/>
        <v>3.2842775861786034E-3</v>
      </c>
      <c r="J42" s="51">
        <f t="shared" si="53"/>
        <v>1.0109006410257741</v>
      </c>
      <c r="K42" s="51">
        <f t="shared" si="54"/>
        <v>4.5950029137535188E-2</v>
      </c>
      <c r="L42" s="51">
        <v>53</v>
      </c>
      <c r="M42" s="51">
        <f t="shared" si="55"/>
        <v>0.41509433962264153</v>
      </c>
      <c r="N42" s="51">
        <v>269</v>
      </c>
      <c r="O42" s="51">
        <f t="shared" ref="O42:P42" si="62">D42/7</f>
        <v>3.1428571428571428</v>
      </c>
      <c r="P42" s="51">
        <f t="shared" si="62"/>
        <v>0</v>
      </c>
      <c r="Q42" s="51">
        <f t="shared" si="57"/>
        <v>85</v>
      </c>
      <c r="R42" s="55">
        <f ca="1">IFERROR(__xludf.DUMMYFUNCTION("IFERROR(VLOOKUP($B$2,IMPORTRANGE(""https://docs.google.com/spreadsheets/d/1iVgg6Mw12RULLujzHmfOFIY8Q_KaAD8anoZzgtVAQ74/edit#gid=1503384807"",""Second Star - Summary!A1:AD2000""),9,FALSE),"""")"),912)</f>
        <v>912</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3</v>
      </c>
      <c r="V42" s="55">
        <f t="shared" si="58"/>
        <v>0.13636363636363635</v>
      </c>
      <c r="W42" s="55">
        <f t="shared" si="59"/>
        <v>3.85</v>
      </c>
      <c r="X42" s="55">
        <v>1</v>
      </c>
      <c r="Y42" s="55" t="s">
        <v>35</v>
      </c>
      <c r="Z42" s="56">
        <f t="shared" si="60"/>
        <v>-0.75</v>
      </c>
      <c r="AA42" s="55">
        <v>0.12660185185185188</v>
      </c>
      <c r="AB42" s="55">
        <f t="shared" si="61"/>
        <v>-6.2667916666666672</v>
      </c>
      <c r="AC42" s="55">
        <v>-4.9000000000000004</v>
      </c>
      <c r="AD42" s="55">
        <v>-5.8269230769230704</v>
      </c>
      <c r="AE42" s="55">
        <v>-2.94</v>
      </c>
      <c r="AF42" s="55">
        <v>0.38388278388278302</v>
      </c>
    </row>
    <row r="43" spans="1:32" s="57" customFormat="1" ht="15.75" customHeight="1">
      <c r="A43" s="2" t="s">
        <v>107</v>
      </c>
      <c r="B43" s="2" t="s">
        <v>634</v>
      </c>
      <c r="C43" s="51">
        <f t="shared" si="50"/>
        <v>14.049999999999999</v>
      </c>
      <c r="D43" s="51">
        <v>16</v>
      </c>
      <c r="E43" s="51">
        <v>0</v>
      </c>
      <c r="F43" s="51">
        <v>224.79999999999998</v>
      </c>
      <c r="G43" s="51">
        <v>0</v>
      </c>
      <c r="H43" s="51">
        <f t="shared" si="51"/>
        <v>0</v>
      </c>
      <c r="I43" s="51">
        <f t="shared" si="52"/>
        <v>6.6243612555890508E-2</v>
      </c>
      <c r="J43" s="51">
        <f t="shared" si="53"/>
        <v>14.891564102564184</v>
      </c>
      <c r="K43" s="51">
        <f t="shared" si="54"/>
        <v>0.93072275641026148</v>
      </c>
      <c r="L43" s="51">
        <v>54</v>
      </c>
      <c r="M43" s="51">
        <f t="shared" si="55"/>
        <v>0.29629629629629628</v>
      </c>
      <c r="N43" s="51">
        <v>249</v>
      </c>
      <c r="O43" s="51">
        <f t="shared" ref="O43:P43" si="63">D43/7</f>
        <v>2.2857142857142856</v>
      </c>
      <c r="P43" s="51">
        <f t="shared" si="63"/>
        <v>0</v>
      </c>
      <c r="Q43" s="51">
        <f t="shared" si="57"/>
        <v>108</v>
      </c>
      <c r="R43" s="55">
        <v>0</v>
      </c>
      <c r="S43" s="53" t="s">
        <v>34</v>
      </c>
      <c r="T43" s="54" t="s">
        <v>34</v>
      </c>
      <c r="U43" s="55">
        <v>0</v>
      </c>
      <c r="V43" s="55">
        <f t="shared" si="58"/>
        <v>0</v>
      </c>
      <c r="W43" s="55">
        <f t="shared" si="59"/>
        <v>0</v>
      </c>
      <c r="X43" s="55">
        <v>0</v>
      </c>
      <c r="Y43" s="55" t="s">
        <v>35</v>
      </c>
      <c r="Z43" s="56">
        <f t="shared" si="60"/>
        <v>-0.75</v>
      </c>
      <c r="AA43" s="55">
        <v>0.12660185185185188</v>
      </c>
      <c r="AB43" s="55">
        <f t="shared" si="61"/>
        <v>-4.5576666666666679</v>
      </c>
      <c r="AC43" s="55">
        <v>-4.9000000000000004</v>
      </c>
      <c r="AD43" s="55">
        <v>-5.8269230769230704</v>
      </c>
      <c r="AE43" s="55">
        <v>-2.96</v>
      </c>
      <c r="AF43" s="55">
        <v>0.41368821292775598</v>
      </c>
    </row>
    <row r="44" spans="1:32" s="57" customFormat="1" ht="15.75" customHeight="1">
      <c r="A44" s="2" t="s">
        <v>108</v>
      </c>
      <c r="B44" s="2" t="s">
        <v>635</v>
      </c>
      <c r="C44" s="51">
        <f t="shared" si="50"/>
        <v>14.286153846153848</v>
      </c>
      <c r="D44" s="51">
        <v>26</v>
      </c>
      <c r="E44" s="51">
        <v>0</v>
      </c>
      <c r="F44" s="51">
        <v>371.44000000000005</v>
      </c>
      <c r="G44" s="51">
        <v>0</v>
      </c>
      <c r="H44" s="51">
        <f t="shared" si="51"/>
        <v>0</v>
      </c>
      <c r="I44" s="51">
        <f t="shared" si="52"/>
        <v>3.5333117955345515E-2</v>
      </c>
      <c r="J44" s="51">
        <f t="shared" si="53"/>
        <v>13.124133333333539</v>
      </c>
      <c r="K44" s="51">
        <f t="shared" si="54"/>
        <v>0.50477435897436684</v>
      </c>
      <c r="L44" s="51">
        <v>71</v>
      </c>
      <c r="M44" s="51">
        <f t="shared" si="55"/>
        <v>0.36619718309859156</v>
      </c>
      <c r="N44" s="51">
        <v>223</v>
      </c>
      <c r="O44" s="51">
        <f t="shared" ref="O44:P44" si="64">D44/7</f>
        <v>3.7142857142857144</v>
      </c>
      <c r="P44" s="51">
        <f t="shared" si="64"/>
        <v>0</v>
      </c>
      <c r="Q44" s="51">
        <f t="shared" si="57"/>
        <v>60</v>
      </c>
      <c r="R44" s="55">
        <v>0</v>
      </c>
      <c r="S44" s="53" t="s">
        <v>34</v>
      </c>
      <c r="T44" s="54" t="s">
        <v>34</v>
      </c>
      <c r="U44" s="55">
        <v>0</v>
      </c>
      <c r="V44" s="55">
        <f t="shared" si="58"/>
        <v>0</v>
      </c>
      <c r="W44" s="55">
        <f t="shared" si="59"/>
        <v>0</v>
      </c>
      <c r="X44" s="55">
        <v>0</v>
      </c>
      <c r="Y44" s="55" t="s">
        <v>35</v>
      </c>
      <c r="Z44" s="56">
        <f t="shared" ref="Z44:Z56" si="65">IF(OR(Y44="UsLargeStandardSize",Y44="UsSmallStandardSize"),-2.4,-1.2)</f>
        <v>-2.4</v>
      </c>
      <c r="AA44" s="55">
        <v>0.12660185185185188</v>
      </c>
      <c r="AB44" s="55">
        <f t="shared" si="61"/>
        <v>-23.699866666666672</v>
      </c>
      <c r="AC44" s="55">
        <v>-4.9000000000000004</v>
      </c>
      <c r="AD44" s="55">
        <v>-5.8269230769230704</v>
      </c>
      <c r="AE44" s="55">
        <v>0</v>
      </c>
      <c r="AF44" s="55">
        <v>0.487341772151898</v>
      </c>
    </row>
    <row r="45" spans="1:32" s="57" customFormat="1" ht="15.75" customHeight="1">
      <c r="A45" s="2" t="s">
        <v>109</v>
      </c>
      <c r="B45" s="2" t="s">
        <v>636</v>
      </c>
      <c r="C45" s="51">
        <f t="shared" si="50"/>
        <v>15.501904761904763</v>
      </c>
      <c r="D45" s="51">
        <v>42</v>
      </c>
      <c r="E45" s="51">
        <v>0</v>
      </c>
      <c r="F45" s="51">
        <v>651.08000000000004</v>
      </c>
      <c r="G45" s="51">
        <v>0</v>
      </c>
      <c r="H45" s="51">
        <f t="shared" si="51"/>
        <v>0</v>
      </c>
      <c r="I45" s="51">
        <f t="shared" si="52"/>
        <v>9.9224105746192545E-2</v>
      </c>
      <c r="J45" s="51">
        <f t="shared" si="53"/>
        <v>64.602830769231048</v>
      </c>
      <c r="K45" s="51">
        <f t="shared" si="54"/>
        <v>1.538162637362644</v>
      </c>
      <c r="L45" s="51">
        <v>71</v>
      </c>
      <c r="M45" s="51">
        <f t="shared" si="55"/>
        <v>0.59154929577464788</v>
      </c>
      <c r="N45" s="51">
        <v>184</v>
      </c>
      <c r="O45" s="51">
        <f t="shared" ref="O45:P45" si="66">D45/7</f>
        <v>6</v>
      </c>
      <c r="P45" s="51">
        <f t="shared" si="66"/>
        <v>0</v>
      </c>
      <c r="Q45" s="51">
        <f t="shared" si="57"/>
        <v>30</v>
      </c>
      <c r="R45" s="55">
        <v>0</v>
      </c>
      <c r="S45" s="53" t="s">
        <v>34</v>
      </c>
      <c r="T45" s="54" t="s">
        <v>34</v>
      </c>
      <c r="U45" s="55">
        <v>0</v>
      </c>
      <c r="V45" s="55">
        <f t="shared" si="58"/>
        <v>0</v>
      </c>
      <c r="W45" s="55">
        <f t="shared" si="59"/>
        <v>0</v>
      </c>
      <c r="X45" s="55">
        <v>0</v>
      </c>
      <c r="Y45" s="55" t="s">
        <v>35</v>
      </c>
      <c r="Z45" s="56">
        <f t="shared" si="65"/>
        <v>-2.4</v>
      </c>
      <c r="AA45" s="55">
        <v>0.12660185185185188</v>
      </c>
      <c r="AB45" s="55">
        <f t="shared" si="61"/>
        <v>-38.284400000000012</v>
      </c>
      <c r="AC45" s="55">
        <v>-4.9000000000000004</v>
      </c>
      <c r="AD45" s="55">
        <v>-5.8269230769230704</v>
      </c>
      <c r="AE45" s="55">
        <v>0</v>
      </c>
      <c r="AF45" s="55">
        <v>0.62861869313482199</v>
      </c>
    </row>
    <row r="46" spans="1:32" s="57" customFormat="1" ht="15.75" customHeight="1">
      <c r="A46" s="2" t="s">
        <v>111</v>
      </c>
      <c r="B46" s="2" t="s">
        <v>637</v>
      </c>
      <c r="C46" s="51">
        <f t="shared" si="50"/>
        <v>16.717999999999996</v>
      </c>
      <c r="D46" s="51">
        <v>20</v>
      </c>
      <c r="E46" s="51">
        <v>0</v>
      </c>
      <c r="F46" s="51">
        <v>334.35999999999996</v>
      </c>
      <c r="G46" s="51">
        <v>0</v>
      </c>
      <c r="H46" s="51">
        <f t="shared" si="51"/>
        <v>0</v>
      </c>
      <c r="I46" s="51">
        <f t="shared" si="52"/>
        <v>0.15383679804663206</v>
      </c>
      <c r="J46" s="51">
        <f t="shared" si="53"/>
        <v>51.436871794871884</v>
      </c>
      <c r="K46" s="51">
        <f t="shared" si="54"/>
        <v>2.5718435897435943</v>
      </c>
      <c r="L46" s="51">
        <v>48</v>
      </c>
      <c r="M46" s="51">
        <f t="shared" si="55"/>
        <v>0.41666666666666669</v>
      </c>
      <c r="N46" s="51">
        <v>161</v>
      </c>
      <c r="O46" s="51">
        <f t="shared" ref="O46:P46" si="67">D46/7</f>
        <v>2.8571428571428572</v>
      </c>
      <c r="P46" s="51">
        <f t="shared" si="67"/>
        <v>0</v>
      </c>
      <c r="Q46" s="51">
        <f t="shared" si="57"/>
        <v>56</v>
      </c>
      <c r="R46" s="55">
        <v>0</v>
      </c>
      <c r="S46" s="53" t="s">
        <v>34</v>
      </c>
      <c r="T46" s="54" t="s">
        <v>34</v>
      </c>
      <c r="U46" s="55">
        <v>0</v>
      </c>
      <c r="V46" s="55">
        <f t="shared" si="58"/>
        <v>0</v>
      </c>
      <c r="W46" s="55">
        <f t="shared" si="59"/>
        <v>0</v>
      </c>
      <c r="X46" s="55">
        <v>0</v>
      </c>
      <c r="Y46" s="55" t="s">
        <v>35</v>
      </c>
      <c r="Z46" s="56">
        <f t="shared" si="65"/>
        <v>-2.4</v>
      </c>
      <c r="AA46" s="55">
        <v>0.12660185185185188</v>
      </c>
      <c r="AB46" s="55">
        <f t="shared" si="61"/>
        <v>-18.230666666666671</v>
      </c>
      <c r="AC46" s="55">
        <v>-4.9000000000000004</v>
      </c>
      <c r="AD46" s="55">
        <v>-5.8269230769230704</v>
      </c>
      <c r="AE46" s="55">
        <v>0</v>
      </c>
      <c r="AF46" s="55">
        <v>0.73179396092362303</v>
      </c>
    </row>
    <row r="47" spans="1:32" s="57" customFormat="1" ht="15.75" customHeight="1">
      <c r="A47" s="2" t="s">
        <v>113</v>
      </c>
      <c r="B47" s="2" t="s">
        <v>638</v>
      </c>
      <c r="C47" s="51">
        <f t="shared" si="50"/>
        <v>16.893750000000001</v>
      </c>
      <c r="D47" s="51">
        <v>16</v>
      </c>
      <c r="E47" s="51">
        <v>0</v>
      </c>
      <c r="F47" s="51">
        <v>270.3</v>
      </c>
      <c r="G47" s="51">
        <v>0</v>
      </c>
      <c r="H47" s="51">
        <f t="shared" si="51"/>
        <v>0</v>
      </c>
      <c r="I47" s="51">
        <f t="shared" si="52"/>
        <v>0.16107916180502233</v>
      </c>
      <c r="J47" s="51">
        <f t="shared" si="53"/>
        <v>43.539697435897537</v>
      </c>
      <c r="K47" s="51">
        <f t="shared" si="54"/>
        <v>2.7212310897435961</v>
      </c>
      <c r="L47" s="51">
        <v>56</v>
      </c>
      <c r="M47" s="51">
        <f t="shared" si="55"/>
        <v>0.2857142857142857</v>
      </c>
      <c r="N47" s="51">
        <v>146</v>
      </c>
      <c r="O47" s="51">
        <f t="shared" ref="O47:P47" si="68">D47/7</f>
        <v>2.2857142857142856</v>
      </c>
      <c r="P47" s="51">
        <f t="shared" si="68"/>
        <v>0</v>
      </c>
      <c r="Q47" s="51">
        <f t="shared" si="57"/>
        <v>63</v>
      </c>
      <c r="R47" s="55">
        <v>0</v>
      </c>
      <c r="S47" s="53" t="s">
        <v>34</v>
      </c>
      <c r="T47" s="54" t="s">
        <v>34</v>
      </c>
      <c r="U47" s="55">
        <v>0</v>
      </c>
      <c r="V47" s="55">
        <f t="shared" si="58"/>
        <v>0</v>
      </c>
      <c r="W47" s="55">
        <f t="shared" si="59"/>
        <v>0</v>
      </c>
      <c r="X47" s="55">
        <v>0</v>
      </c>
      <c r="Y47" s="55" t="s">
        <v>35</v>
      </c>
      <c r="Z47" s="56">
        <f t="shared" si="65"/>
        <v>-2.4</v>
      </c>
      <c r="AA47" s="55">
        <v>0.12660185185185188</v>
      </c>
      <c r="AB47" s="55">
        <f t="shared" si="61"/>
        <v>-14.584533333333336</v>
      </c>
      <c r="AC47" s="55">
        <v>-4.9000000000000004</v>
      </c>
      <c r="AD47" s="55">
        <v>-5.8269230769230704</v>
      </c>
      <c r="AE47" s="55">
        <v>0</v>
      </c>
      <c r="AF47" s="55">
        <v>0.75944700460829495</v>
      </c>
    </row>
    <row r="48" spans="1:32" s="57" customFormat="1" ht="15.75" customHeight="1">
      <c r="A48" s="2" t="s">
        <v>115</v>
      </c>
      <c r="B48" s="2" t="s">
        <v>639</v>
      </c>
      <c r="C48" s="51">
        <f t="shared" si="50"/>
        <v>16.155000000000001</v>
      </c>
      <c r="D48" s="51">
        <v>8</v>
      </c>
      <c r="E48" s="51">
        <v>0</v>
      </c>
      <c r="F48" s="51">
        <v>129.24</v>
      </c>
      <c r="G48" s="51">
        <v>0</v>
      </c>
      <c r="H48" s="51">
        <f t="shared" si="51"/>
        <v>0</v>
      </c>
      <c r="I48" s="51">
        <f t="shared" si="52"/>
        <v>0.12957558587085083</v>
      </c>
      <c r="J48" s="51">
        <f t="shared" si="53"/>
        <v>16.746348717948763</v>
      </c>
      <c r="K48" s="51">
        <f t="shared" si="54"/>
        <v>2.0932935897435954</v>
      </c>
      <c r="L48" s="51">
        <v>52</v>
      </c>
      <c r="M48" s="51">
        <f t="shared" si="55"/>
        <v>0.15384615384615385</v>
      </c>
      <c r="N48" s="51">
        <v>144</v>
      </c>
      <c r="O48" s="51">
        <f t="shared" ref="O48:P48" si="69">D48/7</f>
        <v>1.1428571428571428</v>
      </c>
      <c r="P48" s="51">
        <f t="shared" si="69"/>
        <v>0</v>
      </c>
      <c r="Q48" s="51">
        <f t="shared" si="57"/>
        <v>126</v>
      </c>
      <c r="R48" s="55">
        <f ca="1">IFERROR(__xludf.DUMMYFUNCTION("IFERROR(VLOOKUP($B$2,IMPORTRANGE(""https://docs.google.com/spreadsheets/d/1iVgg6Mw12RULLujzHmfOFIY8Q_KaAD8anoZzgtVAQ74/edit#gid=1503384807"",""Second Star - Summary!A1:AD2000""),9,FALSE),"""")"),912)</f>
        <v>912</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si="58"/>
        <v>0</v>
      </c>
      <c r="W48" s="55">
        <f t="shared" si="59"/>
        <v>0</v>
      </c>
      <c r="X48" s="55">
        <v>0</v>
      </c>
      <c r="Y48" s="55" t="s">
        <v>35</v>
      </c>
      <c r="Z48" s="56">
        <f t="shared" si="65"/>
        <v>-2.4</v>
      </c>
      <c r="AA48" s="55">
        <v>0.12660185185185188</v>
      </c>
      <c r="AB48" s="55">
        <f t="shared" si="61"/>
        <v>-7.2922666666666682</v>
      </c>
      <c r="AC48" s="55">
        <v>-4.9000000000000004</v>
      </c>
      <c r="AD48" s="55">
        <v>-5.8269230769230704</v>
      </c>
      <c r="AE48" s="55">
        <v>0</v>
      </c>
      <c r="AF48" s="55">
        <v>0.75593542260208901</v>
      </c>
    </row>
    <row r="49" spans="1:32" s="57" customFormat="1" ht="15.75" customHeight="1">
      <c r="A49" s="2" t="s">
        <v>117</v>
      </c>
      <c r="B49" s="2" t="s">
        <v>640</v>
      </c>
      <c r="C49" s="51">
        <f t="shared" si="50"/>
        <v>15.99</v>
      </c>
      <c r="D49" s="51">
        <v>4</v>
      </c>
      <c r="E49" s="51">
        <v>0</v>
      </c>
      <c r="F49" s="51">
        <v>63.96</v>
      </c>
      <c r="G49" s="51">
        <v>0</v>
      </c>
      <c r="H49" s="51">
        <f t="shared" si="51"/>
        <v>0</v>
      </c>
      <c r="I49" s="51">
        <f t="shared" si="52"/>
        <v>0.12088296371129433</v>
      </c>
      <c r="J49" s="51">
        <f t="shared" ref="J49:J56" si="70">F49*0.85+G49+AD49*D49+D49*AC49+AE49+AB49</f>
        <v>7.7316743589743853</v>
      </c>
      <c r="K49" s="51">
        <f t="shared" si="54"/>
        <v>1.9329185897435963</v>
      </c>
      <c r="L49" s="51">
        <v>47</v>
      </c>
      <c r="M49" s="51">
        <f t="shared" si="55"/>
        <v>8.5106382978723402E-2</v>
      </c>
      <c r="N49" s="51">
        <v>140</v>
      </c>
      <c r="O49" s="51">
        <f t="shared" ref="O49:P49" si="71">D49/7</f>
        <v>0.5714285714285714</v>
      </c>
      <c r="P49" s="51">
        <f t="shared" si="71"/>
        <v>0</v>
      </c>
      <c r="Q49" s="51">
        <f t="shared" si="57"/>
        <v>245</v>
      </c>
      <c r="R49" s="55">
        <f ca="1">IFERROR(__xludf.DUMMYFUNCTION("IFERROR(VLOOKUP($B$2,IMPORTRANGE(""https://docs.google.com/spreadsheets/d/1iVgg6Mw12RULLujzHmfOFIY8Q_KaAD8anoZzgtVAQ74/edit#gid=1503384807"",""Second Star - Summary!A1:AD2000""),9,FALSE),"""")"),912)</f>
        <v>912</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58"/>
        <v>0</v>
      </c>
      <c r="W49" s="55">
        <f t="shared" si="59"/>
        <v>0</v>
      </c>
      <c r="X49" s="55">
        <v>0</v>
      </c>
      <c r="Y49" s="55" t="s">
        <v>35</v>
      </c>
      <c r="Z49" s="56">
        <f t="shared" si="65"/>
        <v>-2.4</v>
      </c>
      <c r="AA49" s="55">
        <v>0.12660185185185188</v>
      </c>
      <c r="AB49" s="55">
        <f t="shared" si="61"/>
        <v>-3.6461333333333341</v>
      </c>
      <c r="AC49" s="55">
        <v>-4.9000000000000004</v>
      </c>
      <c r="AD49" s="55">
        <v>-5.8470480769230697</v>
      </c>
      <c r="AE49" s="55">
        <v>0</v>
      </c>
      <c r="AF49" s="55">
        <v>0.76646706586826296</v>
      </c>
    </row>
    <row r="50" spans="1:32" s="57" customFormat="1" ht="15.75" customHeight="1">
      <c r="A50" s="2" t="s">
        <v>119</v>
      </c>
      <c r="B50" s="2" t="s">
        <v>528</v>
      </c>
      <c r="C50" s="51">
        <f t="shared" si="50"/>
        <v>15.99</v>
      </c>
      <c r="D50" s="51">
        <v>9</v>
      </c>
      <c r="E50" s="51">
        <v>0</v>
      </c>
      <c r="F50" s="51">
        <v>143.91</v>
      </c>
      <c r="G50" s="51">
        <v>-1.67</v>
      </c>
      <c r="H50" s="51">
        <f t="shared" si="51"/>
        <v>1.1604475019109165E-2</v>
      </c>
      <c r="I50" s="51">
        <f t="shared" si="52"/>
        <v>0.10927848869218511</v>
      </c>
      <c r="J50" s="51">
        <f t="shared" si="70"/>
        <v>15.726267307692359</v>
      </c>
      <c r="K50" s="51">
        <f t="shared" si="54"/>
        <v>1.74736303418804</v>
      </c>
      <c r="L50" s="51">
        <v>65</v>
      </c>
      <c r="M50" s="51">
        <f t="shared" si="55"/>
        <v>0.13846153846153847</v>
      </c>
      <c r="N50" s="51">
        <v>134</v>
      </c>
      <c r="O50" s="51">
        <f t="shared" ref="O50:P50" si="72">D50/7</f>
        <v>1.2857142857142858</v>
      </c>
      <c r="P50" s="51">
        <f t="shared" si="72"/>
        <v>0</v>
      </c>
      <c r="Q50" s="51">
        <f t="shared" si="57"/>
        <v>104</v>
      </c>
      <c r="R50" s="55">
        <f ca="1">IFERROR(__xludf.DUMMYFUNCTION("IFERROR(VLOOKUP($B$2,IMPORTRANGE(""https://docs.google.com/spreadsheets/d/1iVgg6Mw12RULLujzHmfOFIY8Q_KaAD8anoZzgtVAQ74/edit#gid=1503384807"",""Second Star - Summary!A1:AD2000""),9,FALSE),"""")"),912)</f>
        <v>912</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58"/>
        <v>0</v>
      </c>
      <c r="W50" s="55">
        <f t="shared" si="59"/>
        <v>0</v>
      </c>
      <c r="X50" s="55">
        <v>0</v>
      </c>
      <c r="Y50" s="55" t="s">
        <v>35</v>
      </c>
      <c r="Z50" s="56">
        <f t="shared" si="65"/>
        <v>-2.4</v>
      </c>
      <c r="AA50" s="55">
        <v>0.12660185185185188</v>
      </c>
      <c r="AB50" s="55">
        <f t="shared" si="61"/>
        <v>-8.2038000000000029</v>
      </c>
      <c r="AC50" s="55">
        <v>-4.9000000000000004</v>
      </c>
      <c r="AD50" s="55">
        <v>-5.8470480769230697</v>
      </c>
      <c r="AE50" s="55">
        <v>0</v>
      </c>
      <c r="AF50" s="55">
        <v>0.77244258872651295</v>
      </c>
    </row>
    <row r="51" spans="1:32" s="57" customFormat="1" ht="15.75" customHeight="1">
      <c r="A51" s="2" t="s">
        <v>121</v>
      </c>
      <c r="B51" s="2" t="s">
        <v>528</v>
      </c>
      <c r="C51" s="51">
        <f t="shared" si="50"/>
        <v>16.006363636363634</v>
      </c>
      <c r="D51" s="51">
        <v>11</v>
      </c>
      <c r="E51" s="51">
        <v>0</v>
      </c>
      <c r="F51" s="51">
        <v>176.07</v>
      </c>
      <c r="G51" s="51">
        <v>0</v>
      </c>
      <c r="H51" s="51">
        <f t="shared" si="51"/>
        <v>0</v>
      </c>
      <c r="I51" s="51">
        <f t="shared" si="52"/>
        <v>0.12162835512682195</v>
      </c>
      <c r="J51" s="51">
        <f t="shared" si="70"/>
        <v>21.415104487179541</v>
      </c>
      <c r="K51" s="51">
        <f t="shared" si="54"/>
        <v>1.9468276806526854</v>
      </c>
      <c r="L51" s="51">
        <v>51</v>
      </c>
      <c r="M51" s="51">
        <f t="shared" si="55"/>
        <v>0.21568627450980393</v>
      </c>
      <c r="N51" s="51">
        <v>119</v>
      </c>
      <c r="O51" s="51">
        <f t="shared" ref="O51:P51" si="73">D51/7</f>
        <v>1.5714285714285714</v>
      </c>
      <c r="P51" s="51">
        <f t="shared" si="73"/>
        <v>0</v>
      </c>
      <c r="Q51" s="51">
        <f t="shared" si="57"/>
        <v>75</v>
      </c>
      <c r="R51" s="55">
        <f ca="1">IFERROR(__xludf.DUMMYFUNCTION("IFERROR(VLOOKUP($B$2,IMPORTRANGE(""https://docs.google.com/spreadsheets/d/1iVgg6Mw12RULLujzHmfOFIY8Q_KaAD8anoZzgtVAQ74/edit#gid=1503384807"",""Second Star - Summary!A1:AD2000""),9,FALSE),"""")"),912)</f>
        <v>912</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58"/>
        <v>0</v>
      </c>
      <c r="W51" s="55">
        <f t="shared" si="59"/>
        <v>0</v>
      </c>
      <c r="X51" s="55">
        <v>0</v>
      </c>
      <c r="Y51" s="55" t="s">
        <v>35</v>
      </c>
      <c r="Z51" s="56">
        <f t="shared" si="65"/>
        <v>-2.4</v>
      </c>
      <c r="AA51" s="55">
        <v>0.12660185185185188</v>
      </c>
      <c r="AB51" s="55">
        <f t="shared" si="61"/>
        <v>-10.02686666666667</v>
      </c>
      <c r="AC51" s="55">
        <v>-4.9000000000000004</v>
      </c>
      <c r="AD51" s="55">
        <v>-5.8470480769230697</v>
      </c>
      <c r="AE51" s="55">
        <v>0</v>
      </c>
      <c r="AF51" s="55">
        <v>0.86265607264472099</v>
      </c>
    </row>
    <row r="52" spans="1:32" s="57" customFormat="1" ht="15.75" customHeight="1">
      <c r="A52" s="2" t="s">
        <v>123</v>
      </c>
      <c r="B52" s="2" t="s">
        <v>624</v>
      </c>
      <c r="C52" s="51">
        <f t="shared" si="50"/>
        <v>15.99</v>
      </c>
      <c r="D52" s="51">
        <v>6</v>
      </c>
      <c r="E52" s="51">
        <v>0</v>
      </c>
      <c r="F52" s="51">
        <v>95.94</v>
      </c>
      <c r="G52" s="51">
        <v>0</v>
      </c>
      <c r="H52" s="51">
        <f t="shared" si="51"/>
        <v>0</v>
      </c>
      <c r="I52" s="51">
        <f t="shared" si="52"/>
        <v>0.12088296371129426</v>
      </c>
      <c r="J52" s="51">
        <f t="shared" si="70"/>
        <v>11.597511538461571</v>
      </c>
      <c r="K52" s="51">
        <f t="shared" si="54"/>
        <v>1.9329185897435952</v>
      </c>
      <c r="L52" s="51">
        <v>46</v>
      </c>
      <c r="M52" s="51">
        <f t="shared" si="55"/>
        <v>0.13043478260869565</v>
      </c>
      <c r="N52" s="51">
        <v>172</v>
      </c>
      <c r="O52" s="51">
        <f t="shared" ref="O52:P52" si="74">D52/7</f>
        <v>0.8571428571428571</v>
      </c>
      <c r="P52" s="51">
        <f t="shared" si="74"/>
        <v>0</v>
      </c>
      <c r="Q52" s="51">
        <f t="shared" si="57"/>
        <v>200</v>
      </c>
      <c r="R52" s="55">
        <f ca="1">IFERROR(__xludf.DUMMYFUNCTION("IFERROR(VLOOKUP($B$2,IMPORTRANGE(""https://docs.google.com/spreadsheets/d/1iVgg6Mw12RULLujzHmfOFIY8Q_KaAD8anoZzgtVAQ74/edit#gid=1503384807"",""Second Star - Summary!A1:AD2000""),9,FALSE),"""")"),912)</f>
        <v>912</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58"/>
        <v>0</v>
      </c>
      <c r="W52" s="55">
        <f t="shared" si="59"/>
        <v>0</v>
      </c>
      <c r="X52" s="55">
        <v>0</v>
      </c>
      <c r="Y52" s="55" t="s">
        <v>35</v>
      </c>
      <c r="Z52" s="56">
        <f t="shared" si="65"/>
        <v>-2.4</v>
      </c>
      <c r="AA52" s="55">
        <v>0.12660185185185188</v>
      </c>
      <c r="AB52" s="55">
        <f t="shared" si="61"/>
        <v>-5.4692000000000007</v>
      </c>
      <c r="AC52" s="55">
        <v>-4.9000000000000004</v>
      </c>
      <c r="AD52" s="55">
        <v>-5.8470480769230697</v>
      </c>
      <c r="AE52" s="55">
        <v>0</v>
      </c>
      <c r="AF52" s="55">
        <v>0.824295010845987</v>
      </c>
    </row>
    <row r="53" spans="1:32" s="57" customFormat="1">
      <c r="A53" s="2" t="s">
        <v>38</v>
      </c>
      <c r="B53" s="2" t="s">
        <v>641</v>
      </c>
      <c r="C53" s="51">
        <f t="shared" si="50"/>
        <v>15.715999999999999</v>
      </c>
      <c r="D53" s="51">
        <v>10</v>
      </c>
      <c r="E53" s="51">
        <v>0</v>
      </c>
      <c r="F53" s="51">
        <v>157.16</v>
      </c>
      <c r="G53" s="51">
        <v>-0.95</v>
      </c>
      <c r="H53" s="51">
        <f t="shared" si="51"/>
        <v>6.0447951132603711E-3</v>
      </c>
      <c r="I53" s="51">
        <f t="shared" si="52"/>
        <v>0.10340694768030007</v>
      </c>
      <c r="J53" s="51">
        <f t="shared" si="70"/>
        <v>16.251435897435957</v>
      </c>
      <c r="K53" s="51">
        <f t="shared" si="54"/>
        <v>1.6251435897435957</v>
      </c>
      <c r="L53" s="51">
        <v>41</v>
      </c>
      <c r="M53" s="51">
        <f t="shared" si="55"/>
        <v>0.24390243902439024</v>
      </c>
      <c r="N53" s="51">
        <v>165</v>
      </c>
      <c r="O53" s="51">
        <f t="shared" ref="O53:P53" si="75">D53/7</f>
        <v>1.4285714285714286</v>
      </c>
      <c r="P53" s="51">
        <f t="shared" si="75"/>
        <v>0</v>
      </c>
      <c r="Q53" s="51">
        <f t="shared" si="57"/>
        <v>115</v>
      </c>
      <c r="R53" s="55">
        <f ca="1">IFERROR(__xludf.DUMMYFUNCTION("IFERROR(VLOOKUP($B$2,IMPORTRANGE(""https://docs.google.com/spreadsheets/d/1iVgg6Mw12RULLujzHmfOFIY8Q_KaAD8anoZzgtVAQ74/edit#gid=1503384807"",""Second Star - Summary!A1:AD2000""),9,FALSE),"""")"),912)</f>
        <v>912</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58"/>
        <v>0</v>
      </c>
      <c r="W53" s="55">
        <f t="shared" si="59"/>
        <v>0</v>
      </c>
      <c r="X53" s="55">
        <v>0</v>
      </c>
      <c r="Y53" s="55" t="s">
        <v>35</v>
      </c>
      <c r="Z53" s="56">
        <f t="shared" si="65"/>
        <v>-2.4</v>
      </c>
      <c r="AA53" s="55">
        <v>0.12660185185185188</v>
      </c>
      <c r="AB53" s="55">
        <f t="shared" si="61"/>
        <v>-9.1153333333333357</v>
      </c>
      <c r="AC53" s="55">
        <v>-4.9000000000000004</v>
      </c>
      <c r="AD53" s="55">
        <v>-5.8269230769230704</v>
      </c>
      <c r="AE53" s="55">
        <v>0</v>
      </c>
      <c r="AF53" s="55">
        <v>0.87962962962962898</v>
      </c>
    </row>
    <row r="54" spans="1:32" s="57" customFormat="1">
      <c r="A54" s="2" t="s">
        <v>40</v>
      </c>
      <c r="B54" s="2" t="s">
        <v>642</v>
      </c>
      <c r="C54" s="51">
        <f t="shared" si="50"/>
        <v>14.346666666666666</v>
      </c>
      <c r="D54" s="51">
        <v>3</v>
      </c>
      <c r="E54" s="51">
        <v>0</v>
      </c>
      <c r="F54" s="51">
        <v>43.04</v>
      </c>
      <c r="G54" s="51">
        <v>0</v>
      </c>
      <c r="H54" s="51">
        <f t="shared" si="51"/>
        <v>0</v>
      </c>
      <c r="I54" s="51">
        <f t="shared" si="52"/>
        <v>-3.0933299971403753E-2</v>
      </c>
      <c r="J54" s="51">
        <f t="shared" si="70"/>
        <v>-1.3313692307692175</v>
      </c>
      <c r="K54" s="51">
        <f t="shared" si="54"/>
        <v>-0.44378974358973916</v>
      </c>
      <c r="L54" s="51">
        <v>51</v>
      </c>
      <c r="M54" s="51">
        <f t="shared" si="55"/>
        <v>5.8823529411764705E-2</v>
      </c>
      <c r="N54" s="51">
        <v>157</v>
      </c>
      <c r="O54" s="51">
        <f t="shared" ref="O54:P54" si="76">D54/7</f>
        <v>0.42857142857142855</v>
      </c>
      <c r="P54" s="51">
        <f t="shared" si="76"/>
        <v>0</v>
      </c>
      <c r="Q54" s="51">
        <f t="shared" si="57"/>
        <v>366</v>
      </c>
      <c r="R54" s="55">
        <f ca="1">IFERROR(__xludf.DUMMYFUNCTION("IFERROR(VLOOKUP($B$2,IMPORTRANGE(""https://docs.google.com/spreadsheets/d/1iVgg6Mw12RULLujzHmfOFIY8Q_KaAD8anoZzgtVAQ74/edit#gid=1503384807"",""Second Star - Summary!A1:AD2000""),9,FALSE),"""")"),912)</f>
        <v>912</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58"/>
        <v>0</v>
      </c>
      <c r="W54" s="55">
        <f t="shared" si="59"/>
        <v>0</v>
      </c>
      <c r="X54" s="55">
        <v>0</v>
      </c>
      <c r="Y54" s="55" t="s">
        <v>35</v>
      </c>
      <c r="Z54" s="56">
        <f t="shared" si="65"/>
        <v>-2.4</v>
      </c>
      <c r="AA54" s="55">
        <v>0.12660185185185188</v>
      </c>
      <c r="AB54" s="55">
        <f t="shared" si="61"/>
        <v>-2.7346000000000004</v>
      </c>
      <c r="AC54" s="55">
        <v>-4.9000000000000004</v>
      </c>
      <c r="AD54" s="55">
        <v>-5.8269230769230704</v>
      </c>
      <c r="AE54" s="55">
        <v>-3</v>
      </c>
      <c r="AF54" s="55">
        <v>0.95696202531645502</v>
      </c>
    </row>
    <row r="55" spans="1:32" s="57" customFormat="1" ht="15.75" customHeight="1">
      <c r="A55" s="2" t="s">
        <v>32</v>
      </c>
      <c r="B55" s="2" t="s">
        <v>643</v>
      </c>
      <c r="C55" s="51">
        <f t="shared" si="50"/>
        <v>13.99</v>
      </c>
      <c r="D55" s="51">
        <v>4</v>
      </c>
      <c r="E55" s="51">
        <v>0</v>
      </c>
      <c r="F55" s="51">
        <v>55.96</v>
      </c>
      <c r="G55" s="51">
        <v>0</v>
      </c>
      <c r="H55" s="51">
        <f t="shared" si="51"/>
        <v>0</v>
      </c>
      <c r="I55" s="51">
        <f t="shared" si="52"/>
        <v>1.8087461740071215E-2</v>
      </c>
      <c r="J55" s="51">
        <f t="shared" si="70"/>
        <v>1.0121743589743852</v>
      </c>
      <c r="K55" s="51">
        <f t="shared" si="54"/>
        <v>0.25304358974359631</v>
      </c>
      <c r="L55" s="51">
        <v>56</v>
      </c>
      <c r="M55" s="51">
        <f t="shared" si="55"/>
        <v>7.1428571428571425E-2</v>
      </c>
      <c r="N55" s="51">
        <v>156</v>
      </c>
      <c r="O55" s="51">
        <f t="shared" ref="O55:P55" si="77">D55/7</f>
        <v>0.5714285714285714</v>
      </c>
      <c r="P55" s="51">
        <f t="shared" si="77"/>
        <v>0</v>
      </c>
      <c r="Q55" s="51">
        <f t="shared" si="57"/>
        <v>273</v>
      </c>
      <c r="R55" s="55">
        <v>0</v>
      </c>
      <c r="S55" s="53" t="s">
        <v>34</v>
      </c>
      <c r="T55" s="54" t="s">
        <v>34</v>
      </c>
      <c r="U55" s="55">
        <v>0</v>
      </c>
      <c r="V55" s="55">
        <f t="shared" si="58"/>
        <v>0</v>
      </c>
      <c r="W55" s="55">
        <f t="shared" si="59"/>
        <v>0</v>
      </c>
      <c r="X55" s="55">
        <v>0</v>
      </c>
      <c r="Y55" s="55" t="s">
        <v>35</v>
      </c>
      <c r="Z55" s="56">
        <f t="shared" si="65"/>
        <v>-2.4</v>
      </c>
      <c r="AA55" s="55">
        <v>0.12660185185185188</v>
      </c>
      <c r="AB55" s="55">
        <f t="shared" si="61"/>
        <v>-3.6461333333333341</v>
      </c>
      <c r="AC55" s="55">
        <v>-4.9000000000000004</v>
      </c>
      <c r="AD55" s="55">
        <v>-5.8269230769230704</v>
      </c>
      <c r="AE55" s="55">
        <v>0</v>
      </c>
      <c r="AF55" s="55">
        <v>0.97450424929178403</v>
      </c>
    </row>
    <row r="56" spans="1:32" s="57" customFormat="1" ht="15.75" customHeight="1">
      <c r="A56" s="2" t="s">
        <v>36</v>
      </c>
      <c r="B56" s="2"/>
      <c r="C56" s="51">
        <f t="shared" si="50"/>
        <v>14.74</v>
      </c>
      <c r="D56" s="51">
        <v>8</v>
      </c>
      <c r="E56" s="51">
        <v>0</v>
      </c>
      <c r="F56" s="51">
        <v>117.92</v>
      </c>
      <c r="G56" s="51">
        <v>0</v>
      </c>
      <c r="H56" s="51">
        <f t="shared" si="51"/>
        <v>0</v>
      </c>
      <c r="I56" s="51">
        <f t="shared" si="52"/>
        <v>6.041679713321544E-2</v>
      </c>
      <c r="J56" s="51">
        <f t="shared" si="70"/>
        <v>7.1243487179487648</v>
      </c>
      <c r="K56" s="51">
        <f t="shared" si="54"/>
        <v>0.8905435897435956</v>
      </c>
      <c r="L56" s="51">
        <v>49</v>
      </c>
      <c r="M56" s="51">
        <f t="shared" si="55"/>
        <v>0.16326530612244897</v>
      </c>
      <c r="N56" s="51">
        <v>145</v>
      </c>
      <c r="O56" s="51">
        <f t="shared" ref="O56:P56" si="78">D56/7</f>
        <v>1.1428571428571428</v>
      </c>
      <c r="P56" s="51">
        <f t="shared" si="78"/>
        <v>0</v>
      </c>
      <c r="Q56" s="51">
        <f t="shared" si="57"/>
        <v>126</v>
      </c>
      <c r="R56" s="55">
        <f ca="1">IFERROR(__xludf.DUMMYFUNCTION("IFERROR(VLOOKUP($B$2,IMPORTRANGE(""https://docs.google.com/spreadsheets/d/1iVgg6Mw12RULLujzHmfOFIY8Q_KaAD8anoZzgtVAQ74/edit#gid=1503384807"",""Second Star - Summary!A1:AD2000""),9,FALSE),"""")"),912)</f>
        <v>912</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58"/>
        <v>0</v>
      </c>
      <c r="W56" s="55">
        <f t="shared" si="59"/>
        <v>0</v>
      </c>
      <c r="X56" s="55">
        <v>0</v>
      </c>
      <c r="Y56" s="55" t="s">
        <v>35</v>
      </c>
      <c r="Z56" s="56">
        <f t="shared" si="65"/>
        <v>-2.4</v>
      </c>
      <c r="AA56" s="55">
        <v>0.12660185185185188</v>
      </c>
      <c r="AB56" s="55">
        <f t="shared" si="61"/>
        <v>-7.2922666666666682</v>
      </c>
      <c r="AC56" s="55">
        <v>-4.9000000000000004</v>
      </c>
      <c r="AD56" s="55">
        <v>-5.8269230769230704</v>
      </c>
      <c r="AE56" s="55">
        <v>0</v>
      </c>
      <c r="AF56" s="55">
        <v>0.87534626038781105</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E187" s="2"/>
      <c r="P187" s="2"/>
      <c r="AF187" s="23"/>
    </row>
    <row r="188" spans="1:32" ht="15.75" customHeight="1">
      <c r="E188" s="2"/>
      <c r="P188" s="2"/>
      <c r="AF188" s="23"/>
    </row>
    <row r="189" spans="1:32" ht="15.75" customHeight="1">
      <c r="E189" s="2"/>
      <c r="P189" s="2"/>
      <c r="AF189" s="23"/>
    </row>
    <row r="190" spans="1:32" ht="15.75" customHeight="1">
      <c r="E190" s="2"/>
      <c r="P190" s="2"/>
      <c r="AF190" s="23"/>
    </row>
    <row r="191" spans="1:32" ht="15.75" customHeight="1">
      <c r="E191" s="2"/>
      <c r="P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415" priority="1" operator="lessThan">
      <formula>100</formula>
    </cfRule>
  </conditionalFormatting>
  <conditionalFormatting sqref="Q1:Q3 Q57:Q1000">
    <cfRule type="cellIs" dxfId="414" priority="2" operator="lessThan">
      <formula>100</formula>
    </cfRule>
  </conditionalFormatting>
  <conditionalFormatting sqref="I1:I3 I57:I1000">
    <cfRule type="cellIs" dxfId="413" priority="3" operator="lessThan">
      <formula>0.05</formula>
    </cfRule>
  </conditionalFormatting>
  <conditionalFormatting sqref="I4:I17">
    <cfRule type="cellIs" dxfId="412" priority="4" operator="lessThan">
      <formula>0.05</formula>
    </cfRule>
  </conditionalFormatting>
  <conditionalFormatting sqref="I18:I56">
    <cfRule type="cellIs" dxfId="411" priority="5" operator="lessThan">
      <formula>0.05</formula>
    </cfRule>
  </conditionalFormatting>
  <conditionalFormatting sqref="Q4:Q56">
    <cfRule type="cellIs" dxfId="410" priority="6" operator="lessThan">
      <formula>100</formula>
    </cfRule>
  </conditionalFormatting>
  <conditionalFormatting sqref="Q4:Q56">
    <cfRule type="cellIs" dxfId="409" priority="7" operator="lessThan">
      <formula>100</formula>
    </cfRule>
  </conditionalFormatting>
  <pageMargins left="0.7" right="0.7" top="0.75" bottom="0.75" header="0" footer="0"/>
  <pageSetup orientation="portrait"/>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22.332031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Info!B1:BJ5000""),4,FALSE),"""")"),"Washable Waterproof Mattress Sheet Protector Bed Underpad - Large 36 x 54 inches with Tuck-Ins")</f>
        <v>Washable Waterproof Mattress Sheet Protector Bed Underpad - Large 36 x 54 inches with Tuck-Ins</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Info!B1:BJ5000""),3,FALSE),"""")"),"B00IOQLOXY")</f>
        <v>B00IOQLOXY</v>
      </c>
      <c r="B2" s="4" t="s">
        <v>644</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3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14.395075414781294</v>
      </c>
      <c r="D3" s="8">
        <f>SUM(D4:D99819)</f>
        <v>670</v>
      </c>
      <c r="E3" s="8"/>
      <c r="F3" s="9">
        <f t="shared" ref="F3:G3" si="0">SUM(F4:F99819)</f>
        <v>13731.989999999994</v>
      </c>
      <c r="G3" s="9">
        <f t="shared" si="0"/>
        <v>-1544.8799999999992</v>
      </c>
      <c r="H3" s="10">
        <f t="shared" ref="H3:H39" si="1">G3/F3*-1</f>
        <v>0.11250226660520433</v>
      </c>
      <c r="I3" s="11">
        <f t="shared" ref="I3:I39" si="2">J3/F3</f>
        <v>8.988317712196503E-2</v>
      </c>
      <c r="J3" s="9">
        <f>SUM(J4:J99819)</f>
        <v>1234.2748894070521</v>
      </c>
      <c r="K3" s="9">
        <f t="shared" ref="K3:K39" si="3">J3/D3</f>
        <v>1.8422013274732121</v>
      </c>
      <c r="L3" s="8"/>
      <c r="M3" s="12"/>
      <c r="N3" s="13"/>
      <c r="O3" s="8" t="str">
        <f ca="1">IFERROR(__xludf.DUMMYFUNCTION("IFERROR(VLOOKUP(B2,IMPORTRANGE(""https://docs.google.com/spreadsheets/d/1owCo6kL_VFQ5nPTdNogErmCBLjNiktT1m3SzTrxu3R0/edit#gid=2146806407"",""Second Star - Compiled!b1:g5000""),2,FALSE),"""")"),"3 - March
4 - April
4.5 - May
4.5 - Jun
4.5 - Jul
4.5 - Aug
3 - Sept
3 - Oct
3 - Nov
4 - Dec
4 - Jan
3 - Feb")</f>
        <v>3 - March
4 - April
4.5 - May
4.5 - Jun
4.5 - Jul
4.5 - Aug
3 - Sept
3 - Oct
3 - Nov
4 - Dec
4 - Jan
3 - Feb</v>
      </c>
      <c r="P3" s="8"/>
      <c r="Q3" s="14"/>
      <c r="R3" s="13"/>
      <c r="S3" s="13"/>
      <c r="T3" s="13"/>
      <c r="U3" s="8">
        <f>SUM(U4:U99819)</f>
        <v>79</v>
      </c>
      <c r="V3" s="10">
        <f>AVERAGE(V4:V99819)</f>
        <v>7.8492851512972514E-2</v>
      </c>
      <c r="W3" s="9">
        <f>ROUND(AVERAGE(W4:W99819),2)</f>
        <v>3.51</v>
      </c>
      <c r="X3" s="8"/>
      <c r="Y3" s="8"/>
      <c r="Z3" s="8"/>
      <c r="AA3" s="8"/>
      <c r="AB3" s="8"/>
      <c r="AC3" s="15"/>
      <c r="AD3" s="9"/>
      <c r="AE3" s="9">
        <f>SUM(AE4:AE99819)</f>
        <v>-3.61</v>
      </c>
      <c r="AF3" s="16"/>
    </row>
    <row r="4" spans="1:32" s="57" customFormat="1">
      <c r="A4" s="17" t="s">
        <v>48</v>
      </c>
      <c r="B4" s="17"/>
      <c r="C4" s="50">
        <v>19.989999999999998</v>
      </c>
      <c r="D4" s="51">
        <v>31</v>
      </c>
      <c r="E4" s="51">
        <v>0</v>
      </c>
      <c r="F4" s="51">
        <v>633.69000000000017</v>
      </c>
      <c r="G4" s="51">
        <v>-231.62999999999997</v>
      </c>
      <c r="H4" s="51">
        <f t="shared" si="1"/>
        <v>0.36552573024665042</v>
      </c>
      <c r="I4" s="51">
        <f t="shared" si="2"/>
        <v>-0.15573937915934757</v>
      </c>
      <c r="J4" s="51">
        <f t="shared" ref="J4:J38" si="4">F4*0.85+G4+AD4*D4+D4*AC4+AE4+AB4</f>
        <v>-98.690487179486993</v>
      </c>
      <c r="K4" s="51">
        <f t="shared" si="3"/>
        <v>-3.1835641025640964</v>
      </c>
      <c r="L4" s="51">
        <v>320</v>
      </c>
      <c r="M4" s="51">
        <f t="shared" ref="M4:M39" si="5">IFERROR(D4/L4,"-")</f>
        <v>9.6875000000000003E-2</v>
      </c>
      <c r="N4" s="51">
        <v>200</v>
      </c>
      <c r="O4" s="51">
        <f t="shared" ref="O4:P4" si="6">D4/7</f>
        <v>4.4285714285714288</v>
      </c>
      <c r="P4" s="51">
        <f t="shared" si="6"/>
        <v>0</v>
      </c>
      <c r="Q4" s="51">
        <f t="shared" ref="Q4:Q39" si="7">ROUNDDOWN(N4/(O4+P4),0)</f>
        <v>45</v>
      </c>
      <c r="R4" s="52">
        <v>0</v>
      </c>
      <c r="S4" s="53" t="s">
        <v>34</v>
      </c>
      <c r="T4" s="54" t="s">
        <v>34</v>
      </c>
      <c r="U4" s="52">
        <v>12</v>
      </c>
      <c r="V4" s="55">
        <f t="shared" ref="V4:V39" si="8">IFERROR(U4/D4,0)</f>
        <v>0.38709677419354838</v>
      </c>
      <c r="W4" s="55">
        <f t="shared" ref="W4:W39" si="9">IFERROR(G4/(U4+X4)*-1,0)</f>
        <v>6.4341666666666661</v>
      </c>
      <c r="X4" s="52">
        <v>24</v>
      </c>
      <c r="Y4" s="56" t="s">
        <v>35</v>
      </c>
      <c r="Z4" s="56">
        <f t="shared" ref="Z4:Z10" si="10">IF(OR(Y4="UsLargeStandardSize",Y4="UsSmallStandardSize"),-0.69,-0.48)</f>
        <v>-0.69</v>
      </c>
      <c r="AA4" s="55">
        <v>0.20166666666666669</v>
      </c>
      <c r="AB4" s="55">
        <f t="shared" ref="AB4:AB17" si="11">IFERROR((Z4*AA4*N4)/4,0)</f>
        <v>-6.9574999999999996</v>
      </c>
      <c r="AC4" s="55">
        <v>-5.26</v>
      </c>
      <c r="AD4" s="55">
        <v>-7.6025641025641022</v>
      </c>
      <c r="AE4" s="55">
        <v>0</v>
      </c>
      <c r="AF4" s="55"/>
    </row>
    <row r="5" spans="1:32" s="57" customFormat="1" ht="15.75" customHeight="1">
      <c r="A5" s="2" t="s">
        <v>49</v>
      </c>
      <c r="B5" s="2" t="s">
        <v>645</v>
      </c>
      <c r="C5" s="51">
        <v>20.99</v>
      </c>
      <c r="D5" s="51">
        <v>51</v>
      </c>
      <c r="E5" s="51">
        <v>0</v>
      </c>
      <c r="F5" s="51">
        <v>1054.4900000000002</v>
      </c>
      <c r="G5" s="51">
        <v>-216.71999999999997</v>
      </c>
      <c r="H5" s="51">
        <f t="shared" si="1"/>
        <v>0.20552115240542815</v>
      </c>
      <c r="I5" s="51">
        <f t="shared" si="2"/>
        <v>1.6348773595985629E-2</v>
      </c>
      <c r="J5" s="51">
        <f t="shared" si="4"/>
        <v>17.239618269230888</v>
      </c>
      <c r="K5" s="51">
        <f t="shared" si="3"/>
        <v>0.3380317307692331</v>
      </c>
      <c r="L5" s="51">
        <v>298</v>
      </c>
      <c r="M5" s="51">
        <f t="shared" si="5"/>
        <v>0.17114093959731544</v>
      </c>
      <c r="N5" s="51">
        <v>183</v>
      </c>
      <c r="O5" s="51">
        <f t="shared" ref="O5:P5" si="12">D5/7</f>
        <v>7.2857142857142856</v>
      </c>
      <c r="P5" s="51">
        <f t="shared" si="12"/>
        <v>0</v>
      </c>
      <c r="Q5" s="51">
        <f t="shared" si="7"/>
        <v>25</v>
      </c>
      <c r="R5" s="55">
        <v>0</v>
      </c>
      <c r="S5" s="53" t="s">
        <v>34</v>
      </c>
      <c r="T5" s="54" t="s">
        <v>34</v>
      </c>
      <c r="U5" s="55">
        <v>18</v>
      </c>
      <c r="V5" s="55">
        <f t="shared" si="8"/>
        <v>0.35294117647058826</v>
      </c>
      <c r="W5" s="55">
        <f t="shared" si="9"/>
        <v>3.1870588235294113</v>
      </c>
      <c r="X5" s="55">
        <v>50</v>
      </c>
      <c r="Y5" s="55" t="s">
        <v>35</v>
      </c>
      <c r="Z5" s="56">
        <f t="shared" si="10"/>
        <v>-0.69</v>
      </c>
      <c r="AA5" s="55">
        <v>0.20166666666666669</v>
      </c>
      <c r="AB5" s="55">
        <f t="shared" si="11"/>
        <v>-6.3661124999999998</v>
      </c>
      <c r="AC5" s="55">
        <v>-5.26</v>
      </c>
      <c r="AD5" s="55">
        <v>-7.6025641025641022</v>
      </c>
      <c r="AE5" s="55">
        <v>0</v>
      </c>
      <c r="AF5" s="55"/>
    </row>
    <row r="6" spans="1:32" s="57" customFormat="1" ht="15.75" customHeight="1">
      <c r="A6" s="2" t="s">
        <v>51</v>
      </c>
      <c r="B6" s="2" t="s">
        <v>646</v>
      </c>
      <c r="C6" s="51">
        <v>21.99</v>
      </c>
      <c r="D6" s="51">
        <v>31</v>
      </c>
      <c r="E6" s="51">
        <v>0</v>
      </c>
      <c r="F6" s="51">
        <v>655.69000000000017</v>
      </c>
      <c r="G6" s="51">
        <v>-180.71</v>
      </c>
      <c r="H6" s="51">
        <f t="shared" si="1"/>
        <v>0.27560280010370747</v>
      </c>
      <c r="I6" s="51">
        <f t="shared" si="2"/>
        <v>-3.7743594045184618E-2</v>
      </c>
      <c r="J6" s="51">
        <f t="shared" si="4"/>
        <v>-24.748097179487107</v>
      </c>
      <c r="K6" s="51">
        <f t="shared" si="3"/>
        <v>-0.798325715467326</v>
      </c>
      <c r="L6" s="51">
        <v>292</v>
      </c>
      <c r="M6" s="51">
        <f t="shared" si="5"/>
        <v>0.10616438356164383</v>
      </c>
      <c r="N6" s="51">
        <v>144</v>
      </c>
      <c r="O6" s="51">
        <f t="shared" ref="O6:P6" si="13">D6/7</f>
        <v>4.4285714285714288</v>
      </c>
      <c r="P6" s="51">
        <f t="shared" si="13"/>
        <v>0</v>
      </c>
      <c r="Q6" s="51">
        <f t="shared" si="7"/>
        <v>32</v>
      </c>
      <c r="R6" s="55">
        <v>24</v>
      </c>
      <c r="S6" s="53" t="s">
        <v>34</v>
      </c>
      <c r="T6" s="54" t="s">
        <v>34</v>
      </c>
      <c r="U6" s="55">
        <v>9</v>
      </c>
      <c r="V6" s="55">
        <f t="shared" si="8"/>
        <v>0.29032258064516131</v>
      </c>
      <c r="W6" s="55">
        <f t="shared" si="9"/>
        <v>4.7555263157894743</v>
      </c>
      <c r="X6" s="55">
        <v>29</v>
      </c>
      <c r="Y6" s="55" t="s">
        <v>35</v>
      </c>
      <c r="Z6" s="56">
        <f t="shared" si="10"/>
        <v>-0.69</v>
      </c>
      <c r="AA6" s="55">
        <v>0.10608333333333334</v>
      </c>
      <c r="AB6" s="55">
        <f t="shared" si="11"/>
        <v>-2.6351100000000001</v>
      </c>
      <c r="AC6" s="55">
        <v>-5.26</v>
      </c>
      <c r="AD6" s="55">
        <v>-7.6025641025641022</v>
      </c>
      <c r="AE6" s="55">
        <v>0</v>
      </c>
      <c r="AF6" s="55"/>
    </row>
    <row r="7" spans="1:32" s="57" customFormat="1" ht="15.75" customHeight="1">
      <c r="A7" s="2" t="s">
        <v>53</v>
      </c>
      <c r="B7" s="2"/>
      <c r="C7" s="51">
        <v>23.99</v>
      </c>
      <c r="D7" s="51">
        <v>26</v>
      </c>
      <c r="E7" s="51">
        <v>0</v>
      </c>
      <c r="F7" s="51">
        <v>582.74</v>
      </c>
      <c r="G7" s="51">
        <v>-119.82999999999998</v>
      </c>
      <c r="H7" s="51">
        <f t="shared" si="1"/>
        <v>0.20563201427737926</v>
      </c>
      <c r="I7" s="51">
        <f t="shared" si="2"/>
        <v>6.7309771867957197E-2</v>
      </c>
      <c r="J7" s="51">
        <f t="shared" si="4"/>
        <v>39.224096458333378</v>
      </c>
      <c r="K7" s="51">
        <f t="shared" si="3"/>
        <v>1.5086190945512838</v>
      </c>
      <c r="L7" s="51">
        <v>203</v>
      </c>
      <c r="M7" s="51">
        <f t="shared" si="5"/>
        <v>0.12807881773399016</v>
      </c>
      <c r="N7" s="51">
        <v>101</v>
      </c>
      <c r="O7" s="51">
        <f t="shared" ref="O7:P7" si="14">D7/7</f>
        <v>3.7142857142857144</v>
      </c>
      <c r="P7" s="51">
        <f t="shared" si="14"/>
        <v>0</v>
      </c>
      <c r="Q7" s="51">
        <f t="shared" si="7"/>
        <v>27</v>
      </c>
      <c r="R7" s="55">
        <v>24</v>
      </c>
      <c r="S7" s="53" t="s">
        <v>34</v>
      </c>
      <c r="T7" s="54" t="s">
        <v>34</v>
      </c>
      <c r="U7" s="55">
        <v>8</v>
      </c>
      <c r="V7" s="55">
        <f t="shared" si="8"/>
        <v>0.30769230769230771</v>
      </c>
      <c r="W7" s="55">
        <f t="shared" si="9"/>
        <v>4.992916666666666</v>
      </c>
      <c r="X7" s="55">
        <v>16</v>
      </c>
      <c r="Y7" s="55" t="s">
        <v>35</v>
      </c>
      <c r="Z7" s="56">
        <f t="shared" si="10"/>
        <v>-0.69</v>
      </c>
      <c r="AA7" s="55">
        <v>0.10608333333333334</v>
      </c>
      <c r="AB7" s="55">
        <f t="shared" si="11"/>
        <v>-1.848236875</v>
      </c>
      <c r="AC7" s="55">
        <v>-5.26</v>
      </c>
      <c r="AD7" s="55">
        <v>-7.6025641025641022</v>
      </c>
      <c r="AE7" s="55">
        <v>0</v>
      </c>
      <c r="AF7" s="55"/>
    </row>
    <row r="8" spans="1:32" s="57" customFormat="1" ht="15.75" customHeight="1">
      <c r="A8" s="2" t="s">
        <v>54</v>
      </c>
      <c r="B8" s="2" t="s">
        <v>647</v>
      </c>
      <c r="C8" s="51">
        <v>23.99</v>
      </c>
      <c r="D8" s="51">
        <v>20</v>
      </c>
      <c r="E8" s="51">
        <v>0</v>
      </c>
      <c r="F8" s="51">
        <v>460.80000000000007</v>
      </c>
      <c r="G8" s="51">
        <v>-83.179999999999993</v>
      </c>
      <c r="H8" s="51">
        <f t="shared" si="1"/>
        <v>0.18051215277777774</v>
      </c>
      <c r="I8" s="51">
        <f t="shared" si="2"/>
        <v>0.107205905107895</v>
      </c>
      <c r="J8" s="51">
        <f t="shared" si="4"/>
        <v>49.400481073718026</v>
      </c>
      <c r="K8" s="51">
        <f t="shared" si="3"/>
        <v>2.4700240536859015</v>
      </c>
      <c r="L8" s="51">
        <v>156</v>
      </c>
      <c r="M8" s="51">
        <f t="shared" si="5"/>
        <v>0.12820512820512819</v>
      </c>
      <c r="N8" s="51">
        <v>101</v>
      </c>
      <c r="O8" s="51">
        <f t="shared" ref="O8:P8" si="15">D8/7</f>
        <v>2.8571428571428572</v>
      </c>
      <c r="P8" s="51">
        <f t="shared" si="15"/>
        <v>0</v>
      </c>
      <c r="Q8" s="51">
        <f t="shared" si="7"/>
        <v>35</v>
      </c>
      <c r="R8" s="55">
        <v>24</v>
      </c>
      <c r="S8" s="53">
        <v>24</v>
      </c>
      <c r="T8" s="54">
        <v>43865</v>
      </c>
      <c r="U8" s="55">
        <v>2</v>
      </c>
      <c r="V8" s="55">
        <f t="shared" si="8"/>
        <v>0.1</v>
      </c>
      <c r="W8" s="55">
        <f t="shared" si="9"/>
        <v>9.242222222222221</v>
      </c>
      <c r="X8" s="55">
        <v>7</v>
      </c>
      <c r="Y8" s="55" t="s">
        <v>35</v>
      </c>
      <c r="Z8" s="56">
        <f t="shared" si="10"/>
        <v>-0.69</v>
      </c>
      <c r="AA8" s="55">
        <v>0.10608333333333334</v>
      </c>
      <c r="AB8" s="55">
        <f t="shared" si="11"/>
        <v>-1.848236875</v>
      </c>
      <c r="AC8" s="55">
        <v>-5.26</v>
      </c>
      <c r="AD8" s="55">
        <v>-7.6025641025641022</v>
      </c>
      <c r="AE8" s="55">
        <v>0</v>
      </c>
      <c r="AF8" s="55"/>
    </row>
    <row r="9" spans="1:32" s="57" customFormat="1" ht="15.75" customHeight="1">
      <c r="A9" s="2" t="s">
        <v>56</v>
      </c>
      <c r="B9" s="2" t="s">
        <v>648</v>
      </c>
      <c r="C9" s="51">
        <v>21.99</v>
      </c>
      <c r="D9" s="51">
        <v>13</v>
      </c>
      <c r="E9" s="51">
        <v>0</v>
      </c>
      <c r="F9" s="51">
        <v>306.87000000000006</v>
      </c>
      <c r="G9" s="51">
        <v>-85.879999999999981</v>
      </c>
      <c r="H9" s="51">
        <f t="shared" si="1"/>
        <v>0.2798579202919802</v>
      </c>
      <c r="I9" s="51">
        <f t="shared" si="2"/>
        <v>8.5290792246447162E-3</v>
      </c>
      <c r="J9" s="51">
        <f t="shared" si="4"/>
        <v>2.6173185416667248</v>
      </c>
      <c r="K9" s="51">
        <f t="shared" si="3"/>
        <v>0.201332195512825</v>
      </c>
      <c r="L9" s="51">
        <v>157</v>
      </c>
      <c r="M9" s="51">
        <f t="shared" si="5"/>
        <v>8.2802547770700632E-2</v>
      </c>
      <c r="N9" s="51">
        <v>83</v>
      </c>
      <c r="O9" s="51">
        <f t="shared" ref="O9:P9" si="16">D9/7</f>
        <v>1.8571428571428572</v>
      </c>
      <c r="P9" s="51">
        <f t="shared" si="16"/>
        <v>0</v>
      </c>
      <c r="Q9" s="51">
        <f t="shared" si="7"/>
        <v>44</v>
      </c>
      <c r="R9" s="55">
        <v>144</v>
      </c>
      <c r="S9" s="53" t="s">
        <v>34</v>
      </c>
      <c r="T9" s="54" t="s">
        <v>34</v>
      </c>
      <c r="U9" s="55">
        <v>2</v>
      </c>
      <c r="V9" s="55">
        <f t="shared" si="8"/>
        <v>0.15384615384615385</v>
      </c>
      <c r="W9" s="55">
        <f t="shared" si="9"/>
        <v>5.3674999999999988</v>
      </c>
      <c r="X9" s="55">
        <v>14</v>
      </c>
      <c r="Y9" s="55" t="s">
        <v>35</v>
      </c>
      <c r="Z9" s="56">
        <f t="shared" si="10"/>
        <v>-0.69</v>
      </c>
      <c r="AA9" s="55">
        <v>0.10608333333333334</v>
      </c>
      <c r="AB9" s="55">
        <f t="shared" si="11"/>
        <v>-1.5188481249999999</v>
      </c>
      <c r="AC9" s="55">
        <v>-5.26</v>
      </c>
      <c r="AD9" s="55">
        <v>-7.6025641025641022</v>
      </c>
      <c r="AE9" s="55">
        <v>-3.61</v>
      </c>
      <c r="AF9" s="55"/>
    </row>
    <row r="10" spans="1:32" s="57" customFormat="1" ht="15.75" customHeight="1">
      <c r="A10" s="2" t="s">
        <v>58</v>
      </c>
      <c r="B10" s="2" t="s">
        <v>264</v>
      </c>
      <c r="C10" s="51">
        <v>22.99</v>
      </c>
      <c r="D10" s="51">
        <v>14</v>
      </c>
      <c r="E10" s="51">
        <v>0</v>
      </c>
      <c r="F10" s="51">
        <v>313.86000000000007</v>
      </c>
      <c r="G10" s="51">
        <v>-79.540000000000006</v>
      </c>
      <c r="H10" s="51">
        <f t="shared" si="1"/>
        <v>0.25342509399095137</v>
      </c>
      <c r="I10" s="51">
        <f t="shared" si="2"/>
        <v>1.8922591088710285E-2</v>
      </c>
      <c r="J10" s="51">
        <f t="shared" si="4"/>
        <v>5.9390444391026112</v>
      </c>
      <c r="K10" s="51">
        <f t="shared" si="3"/>
        <v>0.42421745993590082</v>
      </c>
      <c r="L10" s="51">
        <v>151</v>
      </c>
      <c r="M10" s="51">
        <f t="shared" si="5"/>
        <v>9.2715231788079472E-2</v>
      </c>
      <c r="N10" s="51">
        <v>67</v>
      </c>
      <c r="O10" s="51">
        <f t="shared" ref="O10:P10" si="17">D10/7</f>
        <v>2</v>
      </c>
      <c r="P10" s="51">
        <f t="shared" si="17"/>
        <v>0</v>
      </c>
      <c r="Q10" s="51">
        <f t="shared" si="7"/>
        <v>33</v>
      </c>
      <c r="R10" s="55">
        <v>144</v>
      </c>
      <c r="S10" s="53" t="s">
        <v>34</v>
      </c>
      <c r="T10" s="54" t="s">
        <v>34</v>
      </c>
      <c r="U10" s="55">
        <v>1</v>
      </c>
      <c r="V10" s="55">
        <f t="shared" si="8"/>
        <v>7.1428571428571425E-2</v>
      </c>
      <c r="W10" s="55">
        <f t="shared" si="9"/>
        <v>7.9540000000000006</v>
      </c>
      <c r="X10" s="55">
        <v>9</v>
      </c>
      <c r="Y10" s="55" t="s">
        <v>35</v>
      </c>
      <c r="Z10" s="56">
        <f t="shared" si="10"/>
        <v>-0.69</v>
      </c>
      <c r="AA10" s="55">
        <v>0.10608333333333334</v>
      </c>
      <c r="AB10" s="55">
        <f t="shared" si="11"/>
        <v>-1.226058125</v>
      </c>
      <c r="AC10" s="55">
        <v>-5.26</v>
      </c>
      <c r="AD10" s="55">
        <v>-7.6025641025641022</v>
      </c>
      <c r="AE10" s="55">
        <v>0</v>
      </c>
      <c r="AF10" s="55"/>
    </row>
    <row r="11" spans="1:32" s="57" customFormat="1" ht="15.75" customHeight="1">
      <c r="A11" s="2" t="s">
        <v>60</v>
      </c>
      <c r="B11" s="2" t="s">
        <v>649</v>
      </c>
      <c r="C11" s="51">
        <v>21.99</v>
      </c>
      <c r="D11" s="51">
        <v>8</v>
      </c>
      <c r="E11" s="51">
        <v>0</v>
      </c>
      <c r="F11" s="51">
        <v>182.92000000000002</v>
      </c>
      <c r="G11" s="51">
        <v>-70.48</v>
      </c>
      <c r="H11" s="51">
        <f t="shared" si="1"/>
        <v>0.38530505138858517</v>
      </c>
      <c r="I11" s="51">
        <f t="shared" si="2"/>
        <v>-0.11169703802488969</v>
      </c>
      <c r="J11" s="51">
        <f t="shared" si="4"/>
        <v>-20.431622195512823</v>
      </c>
      <c r="K11" s="51">
        <f t="shared" si="3"/>
        <v>-2.5539527744391028</v>
      </c>
      <c r="L11" s="51">
        <v>149</v>
      </c>
      <c r="M11" s="51">
        <f t="shared" si="5"/>
        <v>5.3691275167785234E-2</v>
      </c>
      <c r="N11" s="51">
        <v>63</v>
      </c>
      <c r="O11" s="51">
        <f t="shared" ref="O11:P11" si="18">D11/7</f>
        <v>1.1428571428571428</v>
      </c>
      <c r="P11" s="51">
        <f t="shared" si="18"/>
        <v>0</v>
      </c>
      <c r="Q11" s="51">
        <f t="shared" si="7"/>
        <v>55</v>
      </c>
      <c r="R11" s="55">
        <v>168</v>
      </c>
      <c r="S11" s="53" t="s">
        <v>34</v>
      </c>
      <c r="T11" s="54" t="s">
        <v>34</v>
      </c>
      <c r="U11" s="55">
        <v>1</v>
      </c>
      <c r="V11" s="55">
        <f t="shared" si="8"/>
        <v>0.125</v>
      </c>
      <c r="W11" s="55">
        <f t="shared" si="9"/>
        <v>5.0342857142857147</v>
      </c>
      <c r="X11" s="55">
        <v>13</v>
      </c>
      <c r="Y11" s="55" t="s">
        <v>35</v>
      </c>
      <c r="Z11" s="56">
        <f t="shared" ref="Z11:Z39" si="19">IF(OR(Y11="UsLargeStandardSize",Y11="UsSmallStandardSize"),-0.75,-0.48)</f>
        <v>-0.75</v>
      </c>
      <c r="AA11" s="55">
        <v>0.10608333333333334</v>
      </c>
      <c r="AB11" s="55">
        <f t="shared" si="11"/>
        <v>-1.2531093750000002</v>
      </c>
      <c r="AC11" s="55">
        <v>-5.42</v>
      </c>
      <c r="AD11" s="55">
        <v>-7.6025641025641022</v>
      </c>
      <c r="AE11" s="55">
        <v>0</v>
      </c>
      <c r="AF11" s="55"/>
    </row>
    <row r="12" spans="1:32" s="57" customFormat="1" ht="15.75" customHeight="1">
      <c r="A12" s="2" t="s">
        <v>62</v>
      </c>
      <c r="B12" s="2" t="s">
        <v>650</v>
      </c>
      <c r="C12" s="51">
        <v>22.99</v>
      </c>
      <c r="D12" s="51">
        <v>11</v>
      </c>
      <c r="E12" s="51">
        <v>0</v>
      </c>
      <c r="F12" s="51">
        <v>249.89000000000001</v>
      </c>
      <c r="G12" s="51">
        <v>-67.150000000000006</v>
      </c>
      <c r="H12" s="51">
        <f t="shared" si="1"/>
        <v>0.26871823602385048</v>
      </c>
      <c r="I12" s="51">
        <f t="shared" si="2"/>
        <v>3.9772419736478718E-3</v>
      </c>
      <c r="J12" s="51">
        <f t="shared" si="4"/>
        <v>0.99387299679486674</v>
      </c>
      <c r="K12" s="51">
        <f t="shared" si="3"/>
        <v>9.0352090617715153E-2</v>
      </c>
      <c r="L12" s="51">
        <v>173</v>
      </c>
      <c r="M12" s="51">
        <f t="shared" si="5"/>
        <v>6.358381502890173E-2</v>
      </c>
      <c r="N12" s="51">
        <v>51</v>
      </c>
      <c r="O12" s="51">
        <f t="shared" ref="O12:P12" si="20">D12/7</f>
        <v>1.5714285714285714</v>
      </c>
      <c r="P12" s="51">
        <f t="shared" si="20"/>
        <v>0</v>
      </c>
      <c r="Q12" s="51">
        <f t="shared" si="7"/>
        <v>32</v>
      </c>
      <c r="R12" s="55">
        <v>168</v>
      </c>
      <c r="S12" s="53">
        <v>144</v>
      </c>
      <c r="T12" s="54">
        <v>43896</v>
      </c>
      <c r="U12" s="55">
        <v>2</v>
      </c>
      <c r="V12" s="55">
        <f t="shared" si="8"/>
        <v>0.18181818181818182</v>
      </c>
      <c r="W12" s="55">
        <f t="shared" si="9"/>
        <v>7.4611111111111121</v>
      </c>
      <c r="X12" s="55">
        <v>7</v>
      </c>
      <c r="Y12" s="55" t="s">
        <v>35</v>
      </c>
      <c r="Z12" s="56">
        <f t="shared" si="19"/>
        <v>-0.75</v>
      </c>
      <c r="AA12" s="55">
        <v>0.10608333333333334</v>
      </c>
      <c r="AB12" s="55">
        <f t="shared" si="11"/>
        <v>-1.014421875</v>
      </c>
      <c r="AC12" s="55">
        <v>-5.42</v>
      </c>
      <c r="AD12" s="55">
        <v>-7.6025641025641022</v>
      </c>
      <c r="AE12" s="55">
        <v>0</v>
      </c>
      <c r="AF12" s="55"/>
    </row>
    <row r="13" spans="1:32" s="57" customFormat="1" ht="15.75" customHeight="1">
      <c r="A13" s="2" t="s">
        <v>63</v>
      </c>
      <c r="B13" s="2" t="s">
        <v>651</v>
      </c>
      <c r="C13" s="51">
        <v>24.99</v>
      </c>
      <c r="D13" s="51">
        <v>11</v>
      </c>
      <c r="E13" s="51">
        <v>0</v>
      </c>
      <c r="F13" s="51">
        <v>252.89000000000004</v>
      </c>
      <c r="G13" s="51">
        <v>-59.49</v>
      </c>
      <c r="H13" s="51">
        <f t="shared" si="1"/>
        <v>0.23524061845070976</v>
      </c>
      <c r="I13" s="51">
        <f t="shared" si="2"/>
        <v>4.4696611656431261E-2</v>
      </c>
      <c r="J13" s="51">
        <f t="shared" si="4"/>
        <v>11.303326121794903</v>
      </c>
      <c r="K13" s="51">
        <f t="shared" si="3"/>
        <v>1.0275751019813548</v>
      </c>
      <c r="L13" s="51">
        <v>137</v>
      </c>
      <c r="M13" s="51">
        <f t="shared" si="5"/>
        <v>8.0291970802919707E-2</v>
      </c>
      <c r="N13" s="51">
        <v>46</v>
      </c>
      <c r="O13" s="51">
        <f t="shared" ref="O13:P13" si="21">D13/7</f>
        <v>1.5714285714285714</v>
      </c>
      <c r="P13" s="51">
        <f t="shared" si="21"/>
        <v>0</v>
      </c>
      <c r="Q13" s="51">
        <f t="shared" si="7"/>
        <v>29</v>
      </c>
      <c r="R13" s="55">
        <v>24</v>
      </c>
      <c r="S13" s="53" t="s">
        <v>34</v>
      </c>
      <c r="T13" s="54" t="s">
        <v>34</v>
      </c>
      <c r="U13" s="55">
        <v>1</v>
      </c>
      <c r="V13" s="55">
        <f t="shared" si="8"/>
        <v>9.0909090909090912E-2</v>
      </c>
      <c r="W13" s="55">
        <f t="shared" si="9"/>
        <v>6.61</v>
      </c>
      <c r="X13" s="55">
        <v>8</v>
      </c>
      <c r="Y13" s="55" t="s">
        <v>35</v>
      </c>
      <c r="Z13" s="56">
        <f t="shared" si="19"/>
        <v>-0.75</v>
      </c>
      <c r="AA13" s="55">
        <v>0.10608333333333334</v>
      </c>
      <c r="AB13" s="55">
        <f t="shared" si="11"/>
        <v>-0.91496875000000011</v>
      </c>
      <c r="AC13" s="55">
        <v>-5.42</v>
      </c>
      <c r="AD13" s="55">
        <v>-7.6025641025641022</v>
      </c>
      <c r="AE13" s="55">
        <v>0</v>
      </c>
      <c r="AF13" s="55"/>
    </row>
    <row r="14" spans="1:32" s="57" customFormat="1" ht="15.75" customHeight="1">
      <c r="A14" s="2" t="s">
        <v>64</v>
      </c>
      <c r="B14" s="2"/>
      <c r="C14" s="51">
        <v>19.989999999999998</v>
      </c>
      <c r="D14" s="51">
        <v>17</v>
      </c>
      <c r="E14" s="51">
        <v>0</v>
      </c>
      <c r="F14" s="51">
        <v>372.84000000000009</v>
      </c>
      <c r="G14" s="51">
        <v>-52.94</v>
      </c>
      <c r="H14" s="51">
        <f t="shared" si="1"/>
        <v>0.14199120266065868</v>
      </c>
      <c r="I14" s="51">
        <f t="shared" si="2"/>
        <v>0.1052164323340047</v>
      </c>
      <c r="J14" s="51">
        <f t="shared" si="4"/>
        <v>39.22889463141032</v>
      </c>
      <c r="K14" s="51">
        <f t="shared" si="3"/>
        <v>2.3075820371417834</v>
      </c>
      <c r="L14" s="51">
        <v>149</v>
      </c>
      <c r="M14" s="51">
        <f t="shared" si="5"/>
        <v>0.11409395973154363</v>
      </c>
      <c r="N14" s="51">
        <v>169</v>
      </c>
      <c r="O14" s="51">
        <f t="shared" ref="O14:P14" si="22">D14/7</f>
        <v>2.4285714285714284</v>
      </c>
      <c r="P14" s="51">
        <f t="shared" si="22"/>
        <v>0</v>
      </c>
      <c r="Q14" s="51">
        <f t="shared" si="7"/>
        <v>69</v>
      </c>
      <c r="R14" s="55">
        <v>24</v>
      </c>
      <c r="S14" s="53" t="s">
        <v>34</v>
      </c>
      <c r="T14" s="54" t="s">
        <v>34</v>
      </c>
      <c r="U14" s="55">
        <v>0</v>
      </c>
      <c r="V14" s="55">
        <f t="shared" si="8"/>
        <v>0</v>
      </c>
      <c r="W14" s="55">
        <f t="shared" si="9"/>
        <v>8.8233333333333324</v>
      </c>
      <c r="X14" s="55">
        <v>6</v>
      </c>
      <c r="Y14" s="55" t="s">
        <v>35</v>
      </c>
      <c r="Z14" s="56">
        <f t="shared" si="19"/>
        <v>-0.75</v>
      </c>
      <c r="AA14" s="55">
        <v>0.10608333333333334</v>
      </c>
      <c r="AB14" s="55">
        <f t="shared" si="11"/>
        <v>-3.3615156250000005</v>
      </c>
      <c r="AC14" s="55">
        <v>-5.42</v>
      </c>
      <c r="AD14" s="55">
        <v>-7.6025641025641022</v>
      </c>
      <c r="AE14" s="55">
        <v>0</v>
      </c>
      <c r="AF14" s="55"/>
    </row>
    <row r="15" spans="1:32" s="57" customFormat="1" ht="15.75" customHeight="1">
      <c r="A15" s="2" t="s">
        <v>65</v>
      </c>
      <c r="B15" s="2" t="s">
        <v>652</v>
      </c>
      <c r="C15" s="51">
        <v>22.99</v>
      </c>
      <c r="D15" s="51">
        <v>8</v>
      </c>
      <c r="E15" s="51">
        <v>0</v>
      </c>
      <c r="F15" s="51">
        <v>167.92000000000002</v>
      </c>
      <c r="G15" s="51">
        <v>-42.629999999999995</v>
      </c>
      <c r="H15" s="51">
        <f t="shared" si="1"/>
        <v>0.25387089090042875</v>
      </c>
      <c r="I15" s="51">
        <f t="shared" si="2"/>
        <v>-4.4070076200052481E-2</v>
      </c>
      <c r="J15" s="51">
        <f t="shared" si="4"/>
        <v>-7.4002471955128133</v>
      </c>
      <c r="K15" s="51">
        <f t="shared" si="3"/>
        <v>-0.92503089943910166</v>
      </c>
      <c r="L15" s="51">
        <v>126</v>
      </c>
      <c r="M15" s="51">
        <f t="shared" si="5"/>
        <v>6.3492063492063489E-2</v>
      </c>
      <c r="N15" s="51">
        <v>167</v>
      </c>
      <c r="O15" s="51">
        <f t="shared" ref="O15:P15" si="23">D15/7</f>
        <v>1.1428571428571428</v>
      </c>
      <c r="P15" s="51">
        <f t="shared" si="23"/>
        <v>0</v>
      </c>
      <c r="Q15" s="51">
        <f t="shared" si="7"/>
        <v>146</v>
      </c>
      <c r="R15" s="55">
        <v>0</v>
      </c>
      <c r="S15" s="53" t="s">
        <v>34</v>
      </c>
      <c r="T15" s="54" t="s">
        <v>34</v>
      </c>
      <c r="U15" s="55">
        <v>6</v>
      </c>
      <c r="V15" s="55">
        <f t="shared" si="8"/>
        <v>0.75</v>
      </c>
      <c r="W15" s="55">
        <f t="shared" si="9"/>
        <v>3.2792307692307689</v>
      </c>
      <c r="X15" s="55">
        <v>7</v>
      </c>
      <c r="Y15" s="55" t="s">
        <v>35</v>
      </c>
      <c r="Z15" s="56">
        <f t="shared" si="19"/>
        <v>-0.75</v>
      </c>
      <c r="AA15" s="55">
        <v>0.10608333333333334</v>
      </c>
      <c r="AB15" s="55">
        <f t="shared" si="11"/>
        <v>-3.3217343750000001</v>
      </c>
      <c r="AC15" s="55">
        <v>-5.42</v>
      </c>
      <c r="AD15" s="55">
        <v>-7.6025641025641022</v>
      </c>
      <c r="AE15" s="55">
        <v>0</v>
      </c>
      <c r="AF15" s="55"/>
    </row>
    <row r="16" spans="1:32" s="57" customFormat="1" ht="15.75" customHeight="1">
      <c r="A16" s="2" t="s">
        <v>66</v>
      </c>
      <c r="B16" s="2" t="s">
        <v>653</v>
      </c>
      <c r="C16" s="51">
        <v>18.989999999999998</v>
      </c>
      <c r="D16" s="51">
        <v>17</v>
      </c>
      <c r="E16" s="51">
        <v>0</v>
      </c>
      <c r="F16" s="51">
        <v>353.83000000000004</v>
      </c>
      <c r="G16" s="51">
        <v>-28.32</v>
      </c>
      <c r="H16" s="51">
        <f t="shared" si="1"/>
        <v>8.0038436537320179E-2</v>
      </c>
      <c r="I16" s="51">
        <f t="shared" si="2"/>
        <v>0.13590765941669819</v>
      </c>
      <c r="J16" s="51">
        <f t="shared" si="4"/>
        <v>48.088207131410321</v>
      </c>
      <c r="K16" s="51">
        <f t="shared" si="3"/>
        <v>2.8287180665535483</v>
      </c>
      <c r="L16" s="51">
        <v>108</v>
      </c>
      <c r="M16" s="51">
        <f t="shared" si="5"/>
        <v>0.15740740740740741</v>
      </c>
      <c r="N16" s="51">
        <v>149</v>
      </c>
      <c r="O16" s="51">
        <f t="shared" ref="O16:P16" si="24">D16/7</f>
        <v>2.4285714285714284</v>
      </c>
      <c r="P16" s="51">
        <f t="shared" si="24"/>
        <v>0</v>
      </c>
      <c r="Q16" s="51">
        <f t="shared" si="7"/>
        <v>61</v>
      </c>
      <c r="R16" s="55">
        <v>0</v>
      </c>
      <c r="S16" s="53" t="s">
        <v>34</v>
      </c>
      <c r="T16" s="54" t="s">
        <v>34</v>
      </c>
      <c r="U16" s="55">
        <v>7</v>
      </c>
      <c r="V16" s="55">
        <f t="shared" si="8"/>
        <v>0.41176470588235292</v>
      </c>
      <c r="W16" s="55">
        <f t="shared" si="9"/>
        <v>1.2872727272727273</v>
      </c>
      <c r="X16" s="55">
        <v>15</v>
      </c>
      <c r="Y16" s="55" t="s">
        <v>35</v>
      </c>
      <c r="Z16" s="56">
        <f t="shared" si="19"/>
        <v>-0.75</v>
      </c>
      <c r="AA16" s="55">
        <v>0.10608333333333334</v>
      </c>
      <c r="AB16" s="55">
        <f t="shared" si="11"/>
        <v>-2.9637031250000003</v>
      </c>
      <c r="AC16" s="55">
        <v>-5.42</v>
      </c>
      <c r="AD16" s="55">
        <v>-7.6025641025641022</v>
      </c>
      <c r="AE16" s="55">
        <v>0</v>
      </c>
      <c r="AF16" s="55"/>
    </row>
    <row r="17" spans="1:32" s="57" customFormat="1" ht="15.75" customHeight="1">
      <c r="A17" s="2" t="s">
        <v>67</v>
      </c>
      <c r="B17" s="2" t="s">
        <v>654</v>
      </c>
      <c r="C17" s="51">
        <v>23.99</v>
      </c>
      <c r="D17" s="51">
        <v>14</v>
      </c>
      <c r="E17" s="51">
        <v>0</v>
      </c>
      <c r="F17" s="51">
        <v>299.86000000000007</v>
      </c>
      <c r="G17" s="51">
        <v>0</v>
      </c>
      <c r="H17" s="51">
        <f t="shared" si="1"/>
        <v>0</v>
      </c>
      <c r="I17" s="51">
        <f t="shared" si="2"/>
        <v>0.23284264761589613</v>
      </c>
      <c r="J17" s="51">
        <f t="shared" si="4"/>
        <v>69.820196314102631</v>
      </c>
      <c r="K17" s="51">
        <f t="shared" si="3"/>
        <v>4.9871568795787597</v>
      </c>
      <c r="L17" s="51">
        <v>115</v>
      </c>
      <c r="M17" s="51">
        <f t="shared" si="5"/>
        <v>0.12173913043478261</v>
      </c>
      <c r="N17" s="51">
        <v>138</v>
      </c>
      <c r="O17" s="51">
        <f t="shared" ref="O17:P17" si="25">D17/7</f>
        <v>2</v>
      </c>
      <c r="P17" s="51">
        <f t="shared" si="25"/>
        <v>0</v>
      </c>
      <c r="Q17" s="51">
        <f t="shared" si="7"/>
        <v>69</v>
      </c>
      <c r="R17" s="55">
        <v>0</v>
      </c>
      <c r="S17" s="53" t="s">
        <v>34</v>
      </c>
      <c r="T17" s="54" t="s">
        <v>34</v>
      </c>
      <c r="U17" s="55">
        <v>0</v>
      </c>
      <c r="V17" s="55">
        <f t="shared" si="8"/>
        <v>0</v>
      </c>
      <c r="W17" s="55">
        <f t="shared" si="9"/>
        <v>0</v>
      </c>
      <c r="X17" s="55">
        <v>0</v>
      </c>
      <c r="Y17" s="55" t="s">
        <v>35</v>
      </c>
      <c r="Z17" s="56">
        <f t="shared" si="19"/>
        <v>-0.75</v>
      </c>
      <c r="AA17" s="55">
        <v>0.10608333333333334</v>
      </c>
      <c r="AB17" s="55">
        <f t="shared" si="11"/>
        <v>-2.7449062500000001</v>
      </c>
      <c r="AC17" s="55">
        <v>-5.42</v>
      </c>
      <c r="AD17" s="55">
        <v>-7.6025641025641022</v>
      </c>
      <c r="AE17" s="55">
        <v>0</v>
      </c>
      <c r="AF17" s="55"/>
    </row>
    <row r="18" spans="1:32" s="57" customFormat="1" ht="15.75" customHeight="1">
      <c r="A18" s="2" t="s">
        <v>69</v>
      </c>
      <c r="B18" s="2" t="s">
        <v>655</v>
      </c>
      <c r="C18" s="51">
        <v>22.99</v>
      </c>
      <c r="D18" s="51">
        <v>9</v>
      </c>
      <c r="E18" s="51">
        <v>0</v>
      </c>
      <c r="F18" s="51">
        <v>190.91</v>
      </c>
      <c r="G18" s="51">
        <v>-0.32</v>
      </c>
      <c r="H18" s="51">
        <f t="shared" si="1"/>
        <v>1.6761824943690746E-3</v>
      </c>
      <c r="I18" s="51">
        <f t="shared" si="2"/>
        <v>0.22315350467195574</v>
      </c>
      <c r="J18" s="51">
        <f t="shared" si="4"/>
        <v>42.602235576923071</v>
      </c>
      <c r="K18" s="51">
        <f t="shared" si="3"/>
        <v>4.7335817307692301</v>
      </c>
      <c r="L18" s="51">
        <v>121</v>
      </c>
      <c r="M18" s="51">
        <f t="shared" si="5"/>
        <v>7.43801652892562E-2</v>
      </c>
      <c r="N18" s="51">
        <v>122</v>
      </c>
      <c r="O18" s="51">
        <f t="shared" ref="O18:P18" si="26">D18/7</f>
        <v>1.2857142857142858</v>
      </c>
      <c r="P18" s="51">
        <f t="shared" si="26"/>
        <v>0</v>
      </c>
      <c r="Q18" s="51">
        <f t="shared" si="7"/>
        <v>94</v>
      </c>
      <c r="R18" s="55">
        <v>0</v>
      </c>
      <c r="S18" s="53" t="s">
        <v>34</v>
      </c>
      <c r="T18" s="54" t="s">
        <v>34</v>
      </c>
      <c r="U18" s="55">
        <v>0</v>
      </c>
      <c r="V18" s="55">
        <f t="shared" si="8"/>
        <v>0</v>
      </c>
      <c r="W18" s="55">
        <f t="shared" si="9"/>
        <v>0</v>
      </c>
      <c r="X18" s="55">
        <v>0</v>
      </c>
      <c r="Y18" s="55" t="s">
        <v>35</v>
      </c>
      <c r="Z18" s="56">
        <f t="shared" si="19"/>
        <v>-0.75</v>
      </c>
      <c r="AA18" s="55">
        <v>0.10608333333333334</v>
      </c>
      <c r="AB18" s="58">
        <f t="shared" ref="AB18:AB39" si="27">IFERROR(Z18*AA18*D18*3,0)</f>
        <v>-2.1481875000000001</v>
      </c>
      <c r="AC18" s="55">
        <v>-5.42</v>
      </c>
      <c r="AD18" s="55">
        <v>-7.6025641025641022</v>
      </c>
      <c r="AE18" s="55">
        <v>0</v>
      </c>
      <c r="AF18" s="55"/>
    </row>
    <row r="19" spans="1:32" s="57" customFormat="1" ht="15.75" customHeight="1">
      <c r="A19" s="2" t="s">
        <v>71</v>
      </c>
      <c r="B19" s="2" t="s">
        <v>656</v>
      </c>
      <c r="C19" s="51">
        <v>20.99</v>
      </c>
      <c r="D19" s="51">
        <v>14</v>
      </c>
      <c r="E19" s="51">
        <v>0</v>
      </c>
      <c r="F19" s="51">
        <v>275.82000000000005</v>
      </c>
      <c r="G19" s="51">
        <v>-0.06</v>
      </c>
      <c r="H19" s="51">
        <f t="shared" si="1"/>
        <v>2.1753317380900582E-4</v>
      </c>
      <c r="I19" s="51">
        <f t="shared" si="2"/>
        <v>0.1766712985428997</v>
      </c>
      <c r="J19" s="51">
        <f t="shared" si="4"/>
        <v>48.729477564102602</v>
      </c>
      <c r="K19" s="51">
        <f t="shared" si="3"/>
        <v>3.4806769688644716</v>
      </c>
      <c r="L19" s="51">
        <v>126</v>
      </c>
      <c r="M19" s="51">
        <f t="shared" si="5"/>
        <v>0.1111111111111111</v>
      </c>
      <c r="N19" s="51">
        <v>113</v>
      </c>
      <c r="O19" s="51">
        <f t="shared" ref="O19:P19" si="28">D19/7</f>
        <v>2</v>
      </c>
      <c r="P19" s="51">
        <f t="shared" si="28"/>
        <v>0</v>
      </c>
      <c r="Q19" s="51">
        <f t="shared" si="7"/>
        <v>56</v>
      </c>
      <c r="R19" s="55">
        <v>0</v>
      </c>
      <c r="S19" s="53" t="s">
        <v>34</v>
      </c>
      <c r="T19" s="54" t="s">
        <v>34</v>
      </c>
      <c r="U19" s="55">
        <v>0</v>
      </c>
      <c r="V19" s="55">
        <f t="shared" si="8"/>
        <v>0</v>
      </c>
      <c r="W19" s="55">
        <f t="shared" si="9"/>
        <v>0</v>
      </c>
      <c r="X19" s="55">
        <v>0</v>
      </c>
      <c r="Y19" s="55" t="s">
        <v>35</v>
      </c>
      <c r="Z19" s="56">
        <f t="shared" si="19"/>
        <v>-0.75</v>
      </c>
      <c r="AA19" s="55">
        <v>0.10608333333333334</v>
      </c>
      <c r="AB19" s="55">
        <f t="shared" si="27"/>
        <v>-3.3416250000000005</v>
      </c>
      <c r="AC19" s="55">
        <v>-5.42</v>
      </c>
      <c r="AD19" s="55">
        <v>-7.6025641025641022</v>
      </c>
      <c r="AE19" s="55">
        <v>0</v>
      </c>
      <c r="AF19" s="55"/>
    </row>
    <row r="20" spans="1:32" s="57" customFormat="1" ht="15.75" customHeight="1">
      <c r="A20" s="2" t="s">
        <v>73</v>
      </c>
      <c r="B20" s="2" t="s">
        <v>657</v>
      </c>
      <c r="C20" s="51">
        <v>19.96</v>
      </c>
      <c r="D20" s="51">
        <v>11</v>
      </c>
      <c r="E20" s="51">
        <v>0</v>
      </c>
      <c r="F20" s="51">
        <v>225.78000000000003</v>
      </c>
      <c r="G20" s="51">
        <v>-0.32</v>
      </c>
      <c r="H20" s="51">
        <f t="shared" si="1"/>
        <v>1.4173088847550712E-3</v>
      </c>
      <c r="I20" s="51">
        <f t="shared" si="2"/>
        <v>0.20249460701477054</v>
      </c>
      <c r="J20" s="51">
        <f t="shared" si="4"/>
        <v>45.719232371794895</v>
      </c>
      <c r="K20" s="51">
        <f t="shared" si="3"/>
        <v>4.1562938519813537</v>
      </c>
      <c r="L20" s="51">
        <v>119</v>
      </c>
      <c r="M20" s="51">
        <f t="shared" si="5"/>
        <v>9.2436974789915971E-2</v>
      </c>
      <c r="N20" s="51">
        <v>93</v>
      </c>
      <c r="O20" s="51">
        <f t="shared" ref="O20:P20" si="29">D20/7</f>
        <v>1.5714285714285714</v>
      </c>
      <c r="P20" s="51">
        <f t="shared" si="29"/>
        <v>0</v>
      </c>
      <c r="Q20" s="51">
        <f t="shared" si="7"/>
        <v>59</v>
      </c>
      <c r="R20" s="55">
        <v>162</v>
      </c>
      <c r="S20" s="53" t="s">
        <v>34</v>
      </c>
      <c r="T20" s="54" t="s">
        <v>34</v>
      </c>
      <c r="U20" s="55">
        <v>0</v>
      </c>
      <c r="V20" s="55">
        <f t="shared" si="8"/>
        <v>0</v>
      </c>
      <c r="W20" s="55">
        <f t="shared" si="9"/>
        <v>0</v>
      </c>
      <c r="X20" s="55">
        <v>0</v>
      </c>
      <c r="Y20" s="55" t="s">
        <v>35</v>
      </c>
      <c r="Z20" s="56">
        <f t="shared" si="19"/>
        <v>-0.75</v>
      </c>
      <c r="AA20" s="55">
        <v>0.10608333333333334</v>
      </c>
      <c r="AB20" s="55">
        <f t="shared" si="27"/>
        <v>-2.6255625000000005</v>
      </c>
      <c r="AC20" s="55">
        <v>-5.42</v>
      </c>
      <c r="AD20" s="55">
        <v>-7.6025641025641022</v>
      </c>
      <c r="AE20" s="55">
        <v>0</v>
      </c>
      <c r="AF20" s="55"/>
    </row>
    <row r="21" spans="1:32" s="57" customFormat="1" ht="15.75" customHeight="1">
      <c r="A21" s="2" t="s">
        <v>75</v>
      </c>
      <c r="B21" s="2" t="s">
        <v>658</v>
      </c>
      <c r="C21" s="51">
        <v>20.57</v>
      </c>
      <c r="D21" s="51">
        <v>15</v>
      </c>
      <c r="E21" s="51">
        <v>0</v>
      </c>
      <c r="F21" s="51">
        <v>330.63999999999987</v>
      </c>
      <c r="G21" s="51">
        <v>-0.08</v>
      </c>
      <c r="H21" s="51">
        <f t="shared" si="1"/>
        <v>2.4195499637067516E-4</v>
      </c>
      <c r="I21" s="51">
        <f t="shared" si="2"/>
        <v>0.24814065437194038</v>
      </c>
      <c r="J21" s="51">
        <f t="shared" si="4"/>
        <v>82.045225961538335</v>
      </c>
      <c r="K21" s="51">
        <f t="shared" si="3"/>
        <v>5.4696817307692225</v>
      </c>
      <c r="L21" s="51">
        <v>194</v>
      </c>
      <c r="M21" s="51">
        <f t="shared" si="5"/>
        <v>7.7319587628865982E-2</v>
      </c>
      <c r="N21" s="51">
        <v>88</v>
      </c>
      <c r="O21" s="51">
        <f t="shared" ref="O21:P21" si="30">D21/7</f>
        <v>2.1428571428571428</v>
      </c>
      <c r="P21" s="51">
        <f t="shared" si="30"/>
        <v>0</v>
      </c>
      <c r="Q21" s="51">
        <f t="shared" si="7"/>
        <v>41</v>
      </c>
      <c r="R21" s="55">
        <v>150</v>
      </c>
      <c r="S21" s="53">
        <v>150</v>
      </c>
      <c r="T21" s="54">
        <v>43969</v>
      </c>
      <c r="U21" s="55">
        <v>0</v>
      </c>
      <c r="V21" s="55">
        <f t="shared" si="8"/>
        <v>0</v>
      </c>
      <c r="W21" s="55">
        <f t="shared" si="9"/>
        <v>0</v>
      </c>
      <c r="X21" s="55">
        <v>0</v>
      </c>
      <c r="Y21" s="55" t="s">
        <v>35</v>
      </c>
      <c r="Z21" s="56">
        <f t="shared" si="19"/>
        <v>-0.75</v>
      </c>
      <c r="AA21" s="55">
        <v>0.10608333333333334</v>
      </c>
      <c r="AB21" s="55">
        <f t="shared" si="27"/>
        <v>-3.5803125000000007</v>
      </c>
      <c r="AC21" s="55">
        <v>-5.42</v>
      </c>
      <c r="AD21" s="55">
        <v>-7.6025641025641022</v>
      </c>
      <c r="AE21" s="55">
        <v>0</v>
      </c>
      <c r="AF21" s="55"/>
    </row>
    <row r="22" spans="1:32" s="57" customFormat="1" ht="15.75" customHeight="1">
      <c r="A22" s="2" t="s">
        <v>77</v>
      </c>
      <c r="B22" s="2" t="s">
        <v>659</v>
      </c>
      <c r="C22" s="51">
        <v>20.62</v>
      </c>
      <c r="D22" s="51">
        <v>33</v>
      </c>
      <c r="E22" s="51">
        <v>0</v>
      </c>
      <c r="F22" s="51">
        <v>691.56000000000017</v>
      </c>
      <c r="G22" s="51">
        <v>-0.32</v>
      </c>
      <c r="H22" s="51">
        <f t="shared" si="1"/>
        <v>4.6272196194111853E-4</v>
      </c>
      <c r="I22" s="51">
        <f t="shared" si="2"/>
        <v>0.21673419098181604</v>
      </c>
      <c r="J22" s="51">
        <f t="shared" si="4"/>
        <v>149.88469711538474</v>
      </c>
      <c r="K22" s="51">
        <f t="shared" si="3"/>
        <v>4.5419605186480227</v>
      </c>
      <c r="L22" s="51">
        <v>183</v>
      </c>
      <c r="M22" s="51">
        <f t="shared" si="5"/>
        <v>0.18032786885245902</v>
      </c>
      <c r="N22" s="51">
        <v>48</v>
      </c>
      <c r="O22" s="51">
        <f t="shared" ref="O22:P22" si="31">D22/7</f>
        <v>4.7142857142857144</v>
      </c>
      <c r="P22" s="51">
        <f t="shared" si="31"/>
        <v>0</v>
      </c>
      <c r="Q22" s="51">
        <f t="shared" si="7"/>
        <v>10</v>
      </c>
      <c r="R22" s="55">
        <v>150</v>
      </c>
      <c r="S22" s="53">
        <v>150</v>
      </c>
      <c r="T22" s="54">
        <v>43969</v>
      </c>
      <c r="U22" s="55">
        <v>0</v>
      </c>
      <c r="V22" s="55">
        <f t="shared" si="8"/>
        <v>0</v>
      </c>
      <c r="W22" s="55">
        <f t="shared" si="9"/>
        <v>0</v>
      </c>
      <c r="X22" s="55">
        <v>0</v>
      </c>
      <c r="Y22" s="55" t="s">
        <v>35</v>
      </c>
      <c r="Z22" s="56">
        <f t="shared" si="19"/>
        <v>-0.75</v>
      </c>
      <c r="AA22" s="55">
        <v>0.10608333333333334</v>
      </c>
      <c r="AB22" s="55">
        <f t="shared" si="27"/>
        <v>-7.876687500000001</v>
      </c>
      <c r="AC22" s="55">
        <v>-5.42</v>
      </c>
      <c r="AD22" s="55">
        <v>-7.6025641025641022</v>
      </c>
      <c r="AE22" s="55">
        <v>0</v>
      </c>
      <c r="AF22" s="55"/>
    </row>
    <row r="23" spans="1:32" s="57" customFormat="1" ht="15.75" customHeight="1">
      <c r="A23" s="2" t="s">
        <v>79</v>
      </c>
      <c r="B23" s="2" t="s">
        <v>660</v>
      </c>
      <c r="C23" s="51">
        <v>18.989999999999998</v>
      </c>
      <c r="D23" s="51">
        <v>21</v>
      </c>
      <c r="E23" s="51">
        <v>0</v>
      </c>
      <c r="F23" s="51">
        <v>424.03000000000003</v>
      </c>
      <c r="G23" s="51">
        <v>-0.1</v>
      </c>
      <c r="H23" s="51">
        <f t="shared" si="1"/>
        <v>2.3583237035115439E-4</v>
      </c>
      <c r="I23" s="51">
        <f t="shared" si="2"/>
        <v>0.19300336378594402</v>
      </c>
      <c r="J23" s="51">
        <f t="shared" si="4"/>
        <v>81.839216346153847</v>
      </c>
      <c r="K23" s="51">
        <f t="shared" si="3"/>
        <v>3.8971055402930403</v>
      </c>
      <c r="L23" s="51">
        <v>175</v>
      </c>
      <c r="M23" s="51">
        <f t="shared" si="5"/>
        <v>0.12</v>
      </c>
      <c r="N23" s="51">
        <v>30</v>
      </c>
      <c r="O23" s="51">
        <f t="shared" ref="O23:P23" si="32">D23/7</f>
        <v>3</v>
      </c>
      <c r="P23" s="51">
        <f t="shared" si="32"/>
        <v>0</v>
      </c>
      <c r="Q23" s="51">
        <f t="shared" si="7"/>
        <v>10</v>
      </c>
      <c r="R23" s="55">
        <v>162</v>
      </c>
      <c r="S23" s="53">
        <v>162</v>
      </c>
      <c r="T23" s="54">
        <v>43969</v>
      </c>
      <c r="U23" s="55">
        <v>0</v>
      </c>
      <c r="V23" s="55">
        <f t="shared" si="8"/>
        <v>0</v>
      </c>
      <c r="W23" s="55">
        <f t="shared" si="9"/>
        <v>0</v>
      </c>
      <c r="X23" s="55">
        <v>0</v>
      </c>
      <c r="Y23" s="55" t="s">
        <v>35</v>
      </c>
      <c r="Z23" s="56">
        <f t="shared" si="19"/>
        <v>-0.75</v>
      </c>
      <c r="AA23" s="55">
        <v>0.10608333333333334</v>
      </c>
      <c r="AB23" s="55">
        <f t="shared" si="27"/>
        <v>-5.0124375000000008</v>
      </c>
      <c r="AC23" s="55">
        <v>-5.42</v>
      </c>
      <c r="AD23" s="55">
        <v>-7.6025641025641022</v>
      </c>
      <c r="AE23" s="55">
        <v>0</v>
      </c>
      <c r="AF23" s="55"/>
    </row>
    <row r="24" spans="1:32" s="57" customFormat="1" ht="15.75" customHeight="1">
      <c r="A24" s="2" t="s">
        <v>80</v>
      </c>
      <c r="B24" s="2" t="s">
        <v>617</v>
      </c>
      <c r="C24" s="51"/>
      <c r="D24" s="51">
        <v>15</v>
      </c>
      <c r="E24" s="51">
        <v>0</v>
      </c>
      <c r="F24" s="51">
        <v>284.97000000000003</v>
      </c>
      <c r="G24" s="51">
        <v>-0.16</v>
      </c>
      <c r="H24" s="51">
        <f t="shared" si="1"/>
        <v>5.6146261009930862E-4</v>
      </c>
      <c r="I24" s="51">
        <f t="shared" si="2"/>
        <v>0.15140444945621806</v>
      </c>
      <c r="J24" s="51">
        <f t="shared" si="4"/>
        <v>43.145725961538467</v>
      </c>
      <c r="K24" s="51">
        <f t="shared" si="3"/>
        <v>2.8763817307692312</v>
      </c>
      <c r="L24" s="51">
        <v>179</v>
      </c>
      <c r="M24" s="51">
        <f t="shared" si="5"/>
        <v>8.3798882681564241E-2</v>
      </c>
      <c r="N24" s="51">
        <v>12</v>
      </c>
      <c r="O24" s="51">
        <f t="shared" ref="O24:P24" si="33">D24/7</f>
        <v>2.1428571428571428</v>
      </c>
      <c r="P24" s="51">
        <f t="shared" si="33"/>
        <v>0</v>
      </c>
      <c r="Q24" s="51">
        <f t="shared" si="7"/>
        <v>5</v>
      </c>
      <c r="R24" s="55">
        <v>162</v>
      </c>
      <c r="S24" s="53">
        <v>162</v>
      </c>
      <c r="T24" s="54">
        <v>43969</v>
      </c>
      <c r="U24" s="55">
        <v>0</v>
      </c>
      <c r="V24" s="55">
        <f t="shared" si="8"/>
        <v>0</v>
      </c>
      <c r="W24" s="55">
        <f t="shared" si="9"/>
        <v>0</v>
      </c>
      <c r="X24" s="55">
        <v>0</v>
      </c>
      <c r="Y24" s="55" t="s">
        <v>35</v>
      </c>
      <c r="Z24" s="56">
        <f t="shared" si="19"/>
        <v>-0.75</v>
      </c>
      <c r="AA24" s="55">
        <v>0.10608333333333334</v>
      </c>
      <c r="AB24" s="55">
        <f t="shared" si="27"/>
        <v>-3.5803125000000007</v>
      </c>
      <c r="AC24" s="55">
        <v>-5.42</v>
      </c>
      <c r="AD24" s="55">
        <v>-7.6025641025641022</v>
      </c>
      <c r="AE24" s="55">
        <v>0</v>
      </c>
      <c r="AF24" s="55"/>
    </row>
    <row r="25" spans="1:32" s="57" customFormat="1" ht="15.75" customHeight="1">
      <c r="A25" s="2" t="s">
        <v>81</v>
      </c>
      <c r="B25" s="2" t="s">
        <v>661</v>
      </c>
      <c r="C25" s="51"/>
      <c r="D25" s="51">
        <v>19</v>
      </c>
      <c r="E25" s="51">
        <v>0</v>
      </c>
      <c r="F25" s="51">
        <v>371.25000000000006</v>
      </c>
      <c r="G25" s="51">
        <v>0</v>
      </c>
      <c r="H25" s="51">
        <f t="shared" si="1"/>
        <v>0</v>
      </c>
      <c r="I25" s="51">
        <f t="shared" si="2"/>
        <v>0.17130968229301571</v>
      </c>
      <c r="J25" s="51">
        <f t="shared" si="4"/>
        <v>63.598719551282095</v>
      </c>
      <c r="K25" s="51">
        <f t="shared" si="3"/>
        <v>3.3473010290148473</v>
      </c>
      <c r="L25" s="51">
        <v>122</v>
      </c>
      <c r="M25" s="51">
        <f t="shared" si="5"/>
        <v>0.15573770491803279</v>
      </c>
      <c r="N25" s="51">
        <v>2</v>
      </c>
      <c r="O25" s="51">
        <f t="shared" ref="O25:P25" si="34">D25/7</f>
        <v>2.7142857142857144</v>
      </c>
      <c r="P25" s="51">
        <f t="shared" si="34"/>
        <v>0</v>
      </c>
      <c r="Q25" s="51">
        <f t="shared" si="7"/>
        <v>0</v>
      </c>
      <c r="R25" s="55">
        <v>0</v>
      </c>
      <c r="S25" s="53" t="s">
        <v>34</v>
      </c>
      <c r="T25" s="54" t="s">
        <v>34</v>
      </c>
      <c r="U25" s="55">
        <v>0</v>
      </c>
      <c r="V25" s="55">
        <f t="shared" si="8"/>
        <v>0</v>
      </c>
      <c r="W25" s="55">
        <f t="shared" si="9"/>
        <v>0</v>
      </c>
      <c r="X25" s="55">
        <v>0</v>
      </c>
      <c r="Y25" s="55" t="s">
        <v>35</v>
      </c>
      <c r="Z25" s="56">
        <f t="shared" si="19"/>
        <v>-0.75</v>
      </c>
      <c r="AA25" s="55">
        <v>0.10608333333333334</v>
      </c>
      <c r="AB25" s="55">
        <f t="shared" si="27"/>
        <v>-4.5350625000000004</v>
      </c>
      <c r="AC25" s="55">
        <v>-5.42</v>
      </c>
      <c r="AD25" s="55">
        <v>-7.6025641025641022</v>
      </c>
      <c r="AE25" s="55">
        <v>0</v>
      </c>
      <c r="AF25" s="55"/>
    </row>
    <row r="26" spans="1:32" s="57" customFormat="1" ht="15.75" customHeight="1">
      <c r="A26" s="2" t="s">
        <v>83</v>
      </c>
      <c r="B26" s="2" t="s">
        <v>662</v>
      </c>
      <c r="C26" s="51">
        <f t="shared" ref="C26:C39" si="35">IFERROR(F26/D26," - ")</f>
        <v>20.34</v>
      </c>
      <c r="D26" s="51">
        <v>8</v>
      </c>
      <c r="E26" s="51">
        <v>0</v>
      </c>
      <c r="F26" s="51">
        <v>162.72</v>
      </c>
      <c r="G26" s="51">
        <v>-9.5500000000000007</v>
      </c>
      <c r="H26" s="51">
        <f t="shared" si="1"/>
        <v>5.8689773844641108E-2</v>
      </c>
      <c r="I26" s="51">
        <f t="shared" si="2"/>
        <v>0.13933128797619931</v>
      </c>
      <c r="J26" s="51">
        <f t="shared" si="4"/>
        <v>22.671987179487154</v>
      </c>
      <c r="K26" s="51">
        <f t="shared" si="3"/>
        <v>2.8339983974358942</v>
      </c>
      <c r="L26" s="51">
        <v>169</v>
      </c>
      <c r="M26" s="51">
        <f t="shared" si="5"/>
        <v>4.7337278106508875E-2</v>
      </c>
      <c r="N26" s="51">
        <v>99</v>
      </c>
      <c r="O26" s="51">
        <f t="shared" ref="O26:P26" si="36">D26/7</f>
        <v>1.1428571428571428</v>
      </c>
      <c r="P26" s="51">
        <f t="shared" si="36"/>
        <v>0</v>
      </c>
      <c r="Q26" s="51">
        <f t="shared" si="7"/>
        <v>86</v>
      </c>
      <c r="R26" s="55">
        <v>258</v>
      </c>
      <c r="S26" s="53">
        <v>258</v>
      </c>
      <c r="T26" s="54">
        <v>44040</v>
      </c>
      <c r="U26" s="55">
        <v>0</v>
      </c>
      <c r="V26" s="55">
        <f t="shared" si="8"/>
        <v>0</v>
      </c>
      <c r="W26" s="55">
        <f t="shared" si="9"/>
        <v>3.1833333333333336</v>
      </c>
      <c r="X26" s="55">
        <v>3</v>
      </c>
      <c r="Y26" s="55" t="s">
        <v>35</v>
      </c>
      <c r="Z26" s="56">
        <f t="shared" si="19"/>
        <v>-0.75</v>
      </c>
      <c r="AA26" s="55">
        <v>0.10608333333333334</v>
      </c>
      <c r="AB26" s="55">
        <f t="shared" si="27"/>
        <v>-1.9095000000000002</v>
      </c>
      <c r="AC26" s="55">
        <v>-5.42</v>
      </c>
      <c r="AD26" s="55">
        <v>-7.6025641025641022</v>
      </c>
      <c r="AE26" s="55">
        <v>0</v>
      </c>
      <c r="AF26" s="55"/>
    </row>
    <row r="27" spans="1:32" s="57" customFormat="1" ht="15.75" customHeight="1">
      <c r="A27" s="2" t="s">
        <v>84</v>
      </c>
      <c r="B27" s="2" t="s">
        <v>663</v>
      </c>
      <c r="C27" s="51">
        <f t="shared" si="35"/>
        <v>19.588749999999997</v>
      </c>
      <c r="D27" s="51">
        <v>8</v>
      </c>
      <c r="E27" s="51">
        <v>0</v>
      </c>
      <c r="F27" s="51">
        <v>156.70999999999998</v>
      </c>
      <c r="G27" s="51">
        <v>-24.470000000000002</v>
      </c>
      <c r="H27" s="51">
        <f t="shared" si="1"/>
        <v>0.15614829940654715</v>
      </c>
      <c r="I27" s="51">
        <f t="shared" si="2"/>
        <v>1.686865662361799E-2</v>
      </c>
      <c r="J27" s="51">
        <f t="shared" si="4"/>
        <v>2.6434871794871748</v>
      </c>
      <c r="K27" s="51">
        <f t="shared" si="3"/>
        <v>0.33043589743589685</v>
      </c>
      <c r="L27" s="51">
        <v>174</v>
      </c>
      <c r="M27" s="51">
        <f t="shared" si="5"/>
        <v>4.5977011494252873E-2</v>
      </c>
      <c r="N27" s="51">
        <v>95</v>
      </c>
      <c r="O27" s="51">
        <f t="shared" ref="O27:P27" si="37">D27/7</f>
        <v>1.1428571428571428</v>
      </c>
      <c r="P27" s="51">
        <f t="shared" si="37"/>
        <v>0</v>
      </c>
      <c r="Q27" s="51">
        <f t="shared" si="7"/>
        <v>83</v>
      </c>
      <c r="R27" s="55">
        <v>258</v>
      </c>
      <c r="S27" s="53">
        <v>258</v>
      </c>
      <c r="T27" s="54">
        <v>44039</v>
      </c>
      <c r="U27" s="55">
        <v>0</v>
      </c>
      <c r="V27" s="55">
        <f t="shared" si="8"/>
        <v>0</v>
      </c>
      <c r="W27" s="55">
        <f t="shared" si="9"/>
        <v>4.8940000000000001</v>
      </c>
      <c r="X27" s="55">
        <v>5</v>
      </c>
      <c r="Y27" s="55" t="s">
        <v>35</v>
      </c>
      <c r="Z27" s="56">
        <f t="shared" si="19"/>
        <v>-0.75</v>
      </c>
      <c r="AA27" s="55">
        <v>0.10608333333333334</v>
      </c>
      <c r="AB27" s="55">
        <f t="shared" si="27"/>
        <v>-1.9095000000000002</v>
      </c>
      <c r="AC27" s="55">
        <v>-5.42</v>
      </c>
      <c r="AD27" s="55">
        <v>-7.6025641025641022</v>
      </c>
      <c r="AE27" s="55">
        <v>0</v>
      </c>
      <c r="AF27" s="55"/>
    </row>
    <row r="28" spans="1:32" s="57" customFormat="1" ht="15.75" customHeight="1">
      <c r="A28" s="2" t="s">
        <v>86</v>
      </c>
      <c r="B28" s="2" t="s">
        <v>664</v>
      </c>
      <c r="C28" s="51">
        <f t="shared" si="35"/>
        <v>19.100000000000001</v>
      </c>
      <c r="D28" s="51">
        <v>16</v>
      </c>
      <c r="E28" s="51">
        <v>0</v>
      </c>
      <c r="F28" s="51">
        <v>305.60000000000002</v>
      </c>
      <c r="G28" s="51">
        <v>-32.83</v>
      </c>
      <c r="H28" s="51">
        <f t="shared" si="1"/>
        <v>0.10742801047120418</v>
      </c>
      <c r="I28" s="51">
        <f t="shared" si="2"/>
        <v>4.8265622902403049E-2</v>
      </c>
      <c r="J28" s="51">
        <f t="shared" si="4"/>
        <v>14.749974358974372</v>
      </c>
      <c r="K28" s="51">
        <f t="shared" si="3"/>
        <v>0.92187339743589825</v>
      </c>
      <c r="L28" s="51">
        <v>163</v>
      </c>
      <c r="M28" s="51">
        <f t="shared" si="5"/>
        <v>9.815950920245399E-2</v>
      </c>
      <c r="N28" s="51">
        <v>63</v>
      </c>
      <c r="O28" s="51">
        <f t="shared" ref="O28:P28" si="38">D28/7</f>
        <v>2.2857142857142856</v>
      </c>
      <c r="P28" s="51">
        <f t="shared" si="38"/>
        <v>0</v>
      </c>
      <c r="Q28" s="51">
        <f t="shared" si="7"/>
        <v>27</v>
      </c>
      <c r="R28" s="55">
        <v>258</v>
      </c>
      <c r="S28" s="53">
        <v>258</v>
      </c>
      <c r="T28" s="54">
        <v>44039</v>
      </c>
      <c r="U28" s="55">
        <v>0</v>
      </c>
      <c r="V28" s="55">
        <f t="shared" si="8"/>
        <v>0</v>
      </c>
      <c r="W28" s="55">
        <f t="shared" si="9"/>
        <v>16.414999999999999</v>
      </c>
      <c r="X28" s="55">
        <v>2</v>
      </c>
      <c r="Y28" s="55" t="s">
        <v>35</v>
      </c>
      <c r="Z28" s="56">
        <f t="shared" si="19"/>
        <v>-0.75</v>
      </c>
      <c r="AA28" s="55">
        <v>0.10608333333333334</v>
      </c>
      <c r="AB28" s="55">
        <f t="shared" si="27"/>
        <v>-3.8190000000000004</v>
      </c>
      <c r="AC28" s="55">
        <v>-5.42</v>
      </c>
      <c r="AD28" s="55">
        <v>-7.6025641025641022</v>
      </c>
      <c r="AE28" s="55">
        <v>0</v>
      </c>
      <c r="AF28" s="55"/>
    </row>
    <row r="29" spans="1:32" s="57" customFormat="1" ht="15.75" customHeight="1">
      <c r="A29" s="2" t="s">
        <v>87</v>
      </c>
      <c r="B29" s="2" t="s">
        <v>665</v>
      </c>
      <c r="C29" s="51">
        <f t="shared" si="35"/>
        <v>18.407222222222217</v>
      </c>
      <c r="D29" s="51">
        <v>18</v>
      </c>
      <c r="E29" s="51">
        <v>0</v>
      </c>
      <c r="F29" s="51">
        <v>331.32999999999993</v>
      </c>
      <c r="G29" s="51">
        <v>-13.559999999999999</v>
      </c>
      <c r="H29" s="51">
        <f t="shared" si="1"/>
        <v>4.0925965049950205E-2</v>
      </c>
      <c r="I29" s="51">
        <f t="shared" si="2"/>
        <v>8.8636619545003736E-2</v>
      </c>
      <c r="J29" s="51">
        <f t="shared" si="4"/>
        <v>29.367971153846081</v>
      </c>
      <c r="K29" s="51">
        <f t="shared" si="3"/>
        <v>1.6315539529914489</v>
      </c>
      <c r="L29" s="51">
        <v>144</v>
      </c>
      <c r="M29" s="51">
        <f t="shared" si="5"/>
        <v>0.125</v>
      </c>
      <c r="N29" s="51">
        <v>66</v>
      </c>
      <c r="O29" s="51">
        <f t="shared" ref="O29:P29" si="39">D29/7</f>
        <v>2.5714285714285716</v>
      </c>
      <c r="P29" s="51">
        <f t="shared" si="39"/>
        <v>0</v>
      </c>
      <c r="Q29" s="51">
        <f t="shared" si="7"/>
        <v>25</v>
      </c>
      <c r="R29" s="55">
        <v>258</v>
      </c>
      <c r="S29" s="53">
        <v>258</v>
      </c>
      <c r="T29" s="54">
        <v>44039</v>
      </c>
      <c r="U29" s="55">
        <v>0</v>
      </c>
      <c r="V29" s="55">
        <f t="shared" si="8"/>
        <v>0</v>
      </c>
      <c r="W29" s="55">
        <f t="shared" si="9"/>
        <v>0</v>
      </c>
      <c r="X29" s="55">
        <v>0</v>
      </c>
      <c r="Y29" s="55" t="s">
        <v>35</v>
      </c>
      <c r="Z29" s="56">
        <f t="shared" si="19"/>
        <v>-0.75</v>
      </c>
      <c r="AA29" s="55">
        <v>0.10608333333333334</v>
      </c>
      <c r="AB29" s="55">
        <f t="shared" si="27"/>
        <v>-4.2963750000000003</v>
      </c>
      <c r="AC29" s="55">
        <v>-5.42</v>
      </c>
      <c r="AD29" s="55">
        <v>-7.6025641025641022</v>
      </c>
      <c r="AE29" s="55">
        <v>0</v>
      </c>
      <c r="AF29" s="55"/>
    </row>
    <row r="30" spans="1:32" s="57" customFormat="1" ht="15.75" customHeight="1">
      <c r="A30" s="2" t="s">
        <v>89</v>
      </c>
      <c r="B30" s="2" t="s">
        <v>666</v>
      </c>
      <c r="C30" s="51">
        <f t="shared" si="35"/>
        <v>19.884</v>
      </c>
      <c r="D30" s="51">
        <v>20</v>
      </c>
      <c r="E30" s="51">
        <v>0</v>
      </c>
      <c r="F30" s="51">
        <v>397.68</v>
      </c>
      <c r="G30" s="51">
        <v>0</v>
      </c>
      <c r="H30" s="51">
        <f t="shared" si="1"/>
        <v>0</v>
      </c>
      <c r="I30" s="51">
        <f t="shared" si="2"/>
        <v>0.18306922135565773</v>
      </c>
      <c r="J30" s="51">
        <f t="shared" si="4"/>
        <v>72.802967948717964</v>
      </c>
      <c r="K30" s="51">
        <f t="shared" si="3"/>
        <v>3.6401483974358984</v>
      </c>
      <c r="L30" s="51">
        <v>135</v>
      </c>
      <c r="M30" s="51">
        <f t="shared" si="5"/>
        <v>0.14814814814814814</v>
      </c>
      <c r="N30" s="51">
        <v>43</v>
      </c>
      <c r="O30" s="51">
        <f t="shared" ref="O30:P30" si="40">D30/7</f>
        <v>2.8571428571428572</v>
      </c>
      <c r="P30" s="51">
        <f t="shared" si="40"/>
        <v>0</v>
      </c>
      <c r="Q30" s="51">
        <f t="shared" si="7"/>
        <v>15</v>
      </c>
      <c r="R30" s="55">
        <v>258</v>
      </c>
      <c r="S30" s="53">
        <v>258</v>
      </c>
      <c r="T30" s="54">
        <v>44039</v>
      </c>
      <c r="U30" s="55">
        <v>0</v>
      </c>
      <c r="V30" s="55">
        <f t="shared" si="8"/>
        <v>0</v>
      </c>
      <c r="W30" s="55">
        <f t="shared" si="9"/>
        <v>0</v>
      </c>
      <c r="X30" s="55">
        <v>0</v>
      </c>
      <c r="Y30" s="55" t="s">
        <v>35</v>
      </c>
      <c r="Z30" s="56">
        <f t="shared" si="19"/>
        <v>-0.75</v>
      </c>
      <c r="AA30" s="55">
        <v>0.10608333333333334</v>
      </c>
      <c r="AB30" s="55">
        <f t="shared" si="27"/>
        <v>-4.7737499999999997</v>
      </c>
      <c r="AC30" s="55">
        <v>-5.42</v>
      </c>
      <c r="AD30" s="55">
        <v>-7.6025641025641022</v>
      </c>
      <c r="AE30" s="55">
        <v>0</v>
      </c>
      <c r="AF30" s="55"/>
    </row>
    <row r="31" spans="1:32" s="57" customFormat="1" ht="15.75" customHeight="1">
      <c r="A31" s="2" t="s">
        <v>90</v>
      </c>
      <c r="B31" s="2" t="s">
        <v>667</v>
      </c>
      <c r="C31" s="51">
        <f t="shared" si="35"/>
        <v>21.208181818181814</v>
      </c>
      <c r="D31" s="51">
        <v>11</v>
      </c>
      <c r="E31" s="51">
        <v>0</v>
      </c>
      <c r="F31" s="51">
        <v>233.28999999999996</v>
      </c>
      <c r="G31" s="51">
        <v>-0.08</v>
      </c>
      <c r="H31" s="51">
        <f t="shared" si="1"/>
        <v>3.4292082815380007E-4</v>
      </c>
      <c r="I31" s="51">
        <f t="shared" si="2"/>
        <v>0.22436766415960746</v>
      </c>
      <c r="J31" s="51">
        <f t="shared" si="4"/>
        <v>52.342732371794817</v>
      </c>
      <c r="K31" s="51">
        <f t="shared" si="3"/>
        <v>4.758430215617711</v>
      </c>
      <c r="L31" s="51">
        <v>142</v>
      </c>
      <c r="M31" s="51">
        <f t="shared" si="5"/>
        <v>7.746478873239436E-2</v>
      </c>
      <c r="N31" s="51">
        <v>34</v>
      </c>
      <c r="O31" s="51">
        <f t="shared" ref="O31:P31" si="41">D31/7</f>
        <v>1.5714285714285714</v>
      </c>
      <c r="P31" s="51">
        <f t="shared" si="41"/>
        <v>0</v>
      </c>
      <c r="Q31" s="51">
        <f t="shared" si="7"/>
        <v>21</v>
      </c>
      <c r="R31" s="55">
        <v>258</v>
      </c>
      <c r="S31" s="53">
        <v>258</v>
      </c>
      <c r="T31" s="54">
        <v>44039</v>
      </c>
      <c r="U31" s="55">
        <v>0</v>
      </c>
      <c r="V31" s="55">
        <f t="shared" si="8"/>
        <v>0</v>
      </c>
      <c r="W31" s="55">
        <f t="shared" si="9"/>
        <v>0</v>
      </c>
      <c r="X31" s="55">
        <v>0</v>
      </c>
      <c r="Y31" s="55" t="s">
        <v>35</v>
      </c>
      <c r="Z31" s="56">
        <f t="shared" si="19"/>
        <v>-0.75</v>
      </c>
      <c r="AA31" s="55">
        <v>0.10608333333333334</v>
      </c>
      <c r="AB31" s="55">
        <f t="shared" si="27"/>
        <v>-2.6255625000000005</v>
      </c>
      <c r="AC31" s="55">
        <v>-5.42</v>
      </c>
      <c r="AD31" s="55">
        <v>-7.6025641025641022</v>
      </c>
      <c r="AE31" s="55">
        <v>0</v>
      </c>
      <c r="AF31" s="55"/>
    </row>
    <row r="32" spans="1:32" s="57" customFormat="1" ht="15.75" customHeight="1">
      <c r="A32" s="2" t="s">
        <v>92</v>
      </c>
      <c r="B32" s="2" t="s">
        <v>668</v>
      </c>
      <c r="C32" s="51">
        <f t="shared" si="35"/>
        <v>21.497</v>
      </c>
      <c r="D32" s="51">
        <v>10</v>
      </c>
      <c r="E32" s="51">
        <v>0</v>
      </c>
      <c r="F32" s="51">
        <v>214.97</v>
      </c>
      <c r="G32" s="51">
        <v>0</v>
      </c>
      <c r="H32" s="51">
        <f t="shared" si="1"/>
        <v>0</v>
      </c>
      <c r="I32" s="51">
        <f t="shared" si="2"/>
        <v>0.23311152241875135</v>
      </c>
      <c r="J32" s="51">
        <f t="shared" si="4"/>
        <v>50.111983974358978</v>
      </c>
      <c r="K32" s="51">
        <f t="shared" si="3"/>
        <v>5.0111983974358978</v>
      </c>
      <c r="L32" s="51">
        <v>158</v>
      </c>
      <c r="M32" s="51">
        <f t="shared" si="5"/>
        <v>6.3291139240506333E-2</v>
      </c>
      <c r="N32" s="51">
        <v>17</v>
      </c>
      <c r="O32" s="51">
        <f t="shared" ref="O32:P32" si="42">D32/7</f>
        <v>1.4285714285714286</v>
      </c>
      <c r="P32" s="51">
        <f t="shared" si="42"/>
        <v>0</v>
      </c>
      <c r="Q32" s="51">
        <f t="shared" si="7"/>
        <v>11</v>
      </c>
      <c r="R32" s="55">
        <v>258</v>
      </c>
      <c r="S32" s="53">
        <v>258</v>
      </c>
      <c r="T32" s="54" t="s">
        <v>34</v>
      </c>
      <c r="U32" s="55">
        <v>0</v>
      </c>
      <c r="V32" s="55">
        <f t="shared" si="8"/>
        <v>0</v>
      </c>
      <c r="W32" s="55">
        <f t="shared" si="9"/>
        <v>0</v>
      </c>
      <c r="X32" s="55">
        <v>0</v>
      </c>
      <c r="Y32" s="55" t="s">
        <v>35</v>
      </c>
      <c r="Z32" s="56">
        <f t="shared" si="19"/>
        <v>-0.75</v>
      </c>
      <c r="AA32" s="55">
        <v>0.10608333333333334</v>
      </c>
      <c r="AB32" s="55">
        <f t="shared" si="27"/>
        <v>-2.3868749999999999</v>
      </c>
      <c r="AC32" s="55">
        <v>-5.42</v>
      </c>
      <c r="AD32" s="55">
        <v>-7.6025641025641022</v>
      </c>
      <c r="AE32" s="55">
        <v>0</v>
      </c>
      <c r="AF32" s="52">
        <v>3.0874524714828899</v>
      </c>
    </row>
    <row r="33" spans="1:32" s="57" customFormat="1" ht="15.75" customHeight="1">
      <c r="A33" s="2" t="s">
        <v>94</v>
      </c>
      <c r="B33" s="2" t="s">
        <v>669</v>
      </c>
      <c r="C33" s="51">
        <f t="shared" si="35"/>
        <v>19.895833333333332</v>
      </c>
      <c r="D33" s="51">
        <v>12</v>
      </c>
      <c r="E33" s="51">
        <v>0</v>
      </c>
      <c r="F33" s="51">
        <v>238.74999999999997</v>
      </c>
      <c r="G33" s="51">
        <v>0</v>
      </c>
      <c r="H33" s="51">
        <f t="shared" si="1"/>
        <v>0</v>
      </c>
      <c r="I33" s="51">
        <f t="shared" si="2"/>
        <v>0.18346588803866287</v>
      </c>
      <c r="J33" s="51">
        <f t="shared" si="4"/>
        <v>43.802480769230755</v>
      </c>
      <c r="K33" s="51">
        <f t="shared" si="3"/>
        <v>3.6502067307692294</v>
      </c>
      <c r="L33" s="51">
        <v>159</v>
      </c>
      <c r="M33" s="51">
        <f t="shared" si="5"/>
        <v>7.5471698113207544E-2</v>
      </c>
      <c r="N33" s="51">
        <v>12</v>
      </c>
      <c r="O33" s="51">
        <f t="shared" ref="O33:P33" si="43">D33/7</f>
        <v>1.7142857142857142</v>
      </c>
      <c r="P33" s="51">
        <f t="shared" si="43"/>
        <v>0</v>
      </c>
      <c r="Q33" s="51">
        <f t="shared" si="7"/>
        <v>7</v>
      </c>
      <c r="R33" s="55">
        <v>258</v>
      </c>
      <c r="S33" s="53">
        <v>258</v>
      </c>
      <c r="T33" s="54">
        <v>44047</v>
      </c>
      <c r="U33" s="55">
        <v>0</v>
      </c>
      <c r="V33" s="55">
        <f t="shared" si="8"/>
        <v>0</v>
      </c>
      <c r="W33" s="55">
        <f t="shared" si="9"/>
        <v>0</v>
      </c>
      <c r="X33" s="55">
        <v>0</v>
      </c>
      <c r="Y33" s="55" t="s">
        <v>35</v>
      </c>
      <c r="Z33" s="56">
        <f t="shared" si="19"/>
        <v>-0.75</v>
      </c>
      <c r="AA33" s="55">
        <v>0.10608333333333334</v>
      </c>
      <c r="AB33" s="55">
        <f t="shared" si="27"/>
        <v>-2.8642500000000002</v>
      </c>
      <c r="AC33" s="55">
        <v>-5.42</v>
      </c>
      <c r="AD33" s="55">
        <v>-7.6025641025641022</v>
      </c>
      <c r="AE33" s="55">
        <v>0</v>
      </c>
      <c r="AF33" s="55">
        <v>3.7788018433179702</v>
      </c>
    </row>
    <row r="34" spans="1:32" s="57" customFormat="1" ht="15.75" customHeight="1">
      <c r="A34" s="2" t="s">
        <v>95</v>
      </c>
      <c r="B34" s="2" t="s">
        <v>670</v>
      </c>
      <c r="C34" s="51">
        <f t="shared" si="35"/>
        <v>19.23</v>
      </c>
      <c r="D34" s="51">
        <v>9</v>
      </c>
      <c r="E34" s="51">
        <v>0</v>
      </c>
      <c r="F34" s="51">
        <v>173.07</v>
      </c>
      <c r="G34" s="51">
        <v>-0.02</v>
      </c>
      <c r="H34" s="51">
        <f t="shared" si="1"/>
        <v>1.1556017796267407E-4</v>
      </c>
      <c r="I34" s="51">
        <f t="shared" si="2"/>
        <v>0.16027177198199033</v>
      </c>
      <c r="J34" s="51">
        <f t="shared" si="4"/>
        <v>27.738235576923067</v>
      </c>
      <c r="K34" s="51">
        <f t="shared" si="3"/>
        <v>3.0820261752136742</v>
      </c>
      <c r="L34" s="51">
        <v>145</v>
      </c>
      <c r="M34" s="51">
        <f t="shared" si="5"/>
        <v>6.2068965517241378E-2</v>
      </c>
      <c r="N34" s="51">
        <v>1</v>
      </c>
      <c r="O34" s="51">
        <f t="shared" ref="O34:P34" si="44">D34/7</f>
        <v>1.2857142857142858</v>
      </c>
      <c r="P34" s="51">
        <f t="shared" si="44"/>
        <v>0</v>
      </c>
      <c r="Q34" s="51">
        <f t="shared" si="7"/>
        <v>0</v>
      </c>
      <c r="R34" s="55">
        <v>258</v>
      </c>
      <c r="S34" s="53">
        <v>258</v>
      </c>
      <c r="T34" s="54">
        <v>44047</v>
      </c>
      <c r="U34" s="55">
        <v>0</v>
      </c>
      <c r="V34" s="55">
        <f t="shared" si="8"/>
        <v>0</v>
      </c>
      <c r="W34" s="55">
        <f t="shared" si="9"/>
        <v>0</v>
      </c>
      <c r="X34" s="55">
        <v>0</v>
      </c>
      <c r="Y34" s="55" t="s">
        <v>35</v>
      </c>
      <c r="Z34" s="56">
        <f t="shared" si="19"/>
        <v>-0.75</v>
      </c>
      <c r="AA34" s="55">
        <v>0.10608333333333334</v>
      </c>
      <c r="AB34" s="55">
        <f t="shared" si="27"/>
        <v>-2.1481875000000001</v>
      </c>
      <c r="AC34" s="55">
        <v>-5.42</v>
      </c>
      <c r="AD34" s="55">
        <v>-7.6025641025641022</v>
      </c>
      <c r="AE34" s="55">
        <v>0</v>
      </c>
      <c r="AF34" s="55">
        <v>3.1707317073170702</v>
      </c>
    </row>
    <row r="35" spans="1:32" s="57" customFormat="1" ht="15.75" customHeight="1">
      <c r="A35" s="2" t="s">
        <v>96</v>
      </c>
      <c r="B35" s="2" t="s">
        <v>179</v>
      </c>
      <c r="C35" s="51">
        <f t="shared" si="35"/>
        <v>20.399999999999999</v>
      </c>
      <c r="D35" s="51">
        <v>1</v>
      </c>
      <c r="E35" s="51">
        <v>0</v>
      </c>
      <c r="F35" s="51">
        <v>20.399999999999999</v>
      </c>
      <c r="G35" s="51">
        <v>0</v>
      </c>
      <c r="H35" s="51">
        <f t="shared" si="1"/>
        <v>0</v>
      </c>
      <c r="I35" s="51">
        <f t="shared" si="2"/>
        <v>0.19993864693313224</v>
      </c>
      <c r="J35" s="51">
        <f t="shared" si="4"/>
        <v>4.0787483974358976</v>
      </c>
      <c r="K35" s="51">
        <f t="shared" si="3"/>
        <v>4.0787483974358976</v>
      </c>
      <c r="L35" s="51">
        <v>14</v>
      </c>
      <c r="M35" s="51">
        <f t="shared" si="5"/>
        <v>7.1428571428571425E-2</v>
      </c>
      <c r="N35" s="51">
        <v>1</v>
      </c>
      <c r="O35" s="51">
        <f t="shared" ref="O35:P35" si="45">D35/7</f>
        <v>0.14285714285714285</v>
      </c>
      <c r="P35" s="51">
        <f t="shared" si="45"/>
        <v>0</v>
      </c>
      <c r="Q35" s="51">
        <f t="shared" si="7"/>
        <v>7</v>
      </c>
      <c r="R35" s="55">
        <v>258</v>
      </c>
      <c r="S35" s="53">
        <v>258</v>
      </c>
      <c r="T35" s="54">
        <v>44047</v>
      </c>
      <c r="U35" s="55">
        <v>0</v>
      </c>
      <c r="V35" s="55">
        <f t="shared" si="8"/>
        <v>0</v>
      </c>
      <c r="W35" s="55">
        <f t="shared" si="9"/>
        <v>0</v>
      </c>
      <c r="X35" s="55">
        <v>0</v>
      </c>
      <c r="Y35" s="55" t="s">
        <v>35</v>
      </c>
      <c r="Z35" s="56">
        <f t="shared" si="19"/>
        <v>-0.75</v>
      </c>
      <c r="AA35" s="55">
        <v>0.10608333333333334</v>
      </c>
      <c r="AB35" s="55">
        <f t="shared" si="27"/>
        <v>-0.23868750000000002</v>
      </c>
      <c r="AC35" s="55">
        <v>-5.42</v>
      </c>
      <c r="AD35" s="55">
        <v>-7.6025641025641022</v>
      </c>
      <c r="AE35" s="55">
        <v>0</v>
      </c>
      <c r="AF35" s="55" t="e">
        <v>#N/A</v>
      </c>
    </row>
    <row r="36" spans="1:32" s="57" customFormat="1" ht="15.75" customHeight="1">
      <c r="A36" s="2" t="s">
        <v>98</v>
      </c>
      <c r="B36" s="2" t="s">
        <v>670</v>
      </c>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v>258</v>
      </c>
      <c r="S36" s="53"/>
      <c r="T36" s="54">
        <v>44064</v>
      </c>
      <c r="U36" s="55"/>
      <c r="V36" s="55">
        <f t="shared" si="8"/>
        <v>0</v>
      </c>
      <c r="W36" s="55">
        <f t="shared" si="9"/>
        <v>0</v>
      </c>
      <c r="X36" s="55"/>
      <c r="Y36" s="55" t="e">
        <v>#N/A</v>
      </c>
      <c r="Z36" s="56" t="e">
        <f t="shared" si="19"/>
        <v>#N/A</v>
      </c>
      <c r="AA36" s="55" t="e">
        <v>#N/A</v>
      </c>
      <c r="AB36" s="55">
        <f t="shared" si="27"/>
        <v>0</v>
      </c>
      <c r="AC36" s="55">
        <v>0</v>
      </c>
      <c r="AD36" s="55">
        <v>-7.6025641025641022</v>
      </c>
      <c r="AE36" s="55">
        <v>0</v>
      </c>
      <c r="AF36" s="55" t="e">
        <v>#N/A</v>
      </c>
    </row>
    <row r="37" spans="1:32" s="57" customFormat="1" ht="15.75" customHeight="1">
      <c r="A37" s="2" t="s">
        <v>99</v>
      </c>
      <c r="B37" s="2"/>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v>186</v>
      </c>
      <c r="S37" s="53">
        <v>186</v>
      </c>
      <c r="T37" s="54">
        <v>44075</v>
      </c>
      <c r="U37" s="55">
        <v>0</v>
      </c>
      <c r="V37" s="55">
        <f t="shared" si="8"/>
        <v>0</v>
      </c>
      <c r="W37" s="55">
        <f t="shared" si="9"/>
        <v>0</v>
      </c>
      <c r="X37" s="55">
        <v>0</v>
      </c>
      <c r="Y37" s="55" t="e">
        <v>#N/A</v>
      </c>
      <c r="Z37" s="56" t="e">
        <f t="shared" si="19"/>
        <v>#N/A</v>
      </c>
      <c r="AA37" s="55" t="e">
        <v>#N/A</v>
      </c>
      <c r="AB37" s="55">
        <f t="shared" si="27"/>
        <v>0</v>
      </c>
      <c r="AC37" s="55">
        <v>0</v>
      </c>
      <c r="AD37" s="55">
        <v>-7.6025641025641022</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5">
        <v>186</v>
      </c>
      <c r="S38" s="53"/>
      <c r="T38" s="54">
        <v>44075</v>
      </c>
      <c r="U38" s="55">
        <v>0</v>
      </c>
      <c r="V38" s="55">
        <f t="shared" si="8"/>
        <v>0</v>
      </c>
      <c r="W38" s="55">
        <f t="shared" si="9"/>
        <v>0</v>
      </c>
      <c r="X38" s="55">
        <v>0</v>
      </c>
      <c r="Y38" s="55" t="e">
        <v>#N/A</v>
      </c>
      <c r="Z38" s="56" t="e">
        <f t="shared" si="19"/>
        <v>#N/A</v>
      </c>
      <c r="AA38" s="55" t="e">
        <v>#N/A</v>
      </c>
      <c r="AB38" s="55">
        <f t="shared" si="27"/>
        <v>0</v>
      </c>
      <c r="AC38" s="55">
        <v>0</v>
      </c>
      <c r="AD38" s="55">
        <v>-7.6025641025641022</v>
      </c>
      <c r="AE38" s="55">
        <v>0</v>
      </c>
      <c r="AF38" s="55" t="e">
        <v>#N/A</v>
      </c>
    </row>
    <row r="39" spans="1:32" s="57" customFormat="1" ht="15.75" customHeight="1">
      <c r="A39" s="2" t="s">
        <v>101</v>
      </c>
      <c r="B39" s="2" t="s">
        <v>671</v>
      </c>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0</v>
      </c>
      <c r="O39" s="51">
        <f t="shared" ref="O39:P39" si="49">D39/7</f>
        <v>0</v>
      </c>
      <c r="P39" s="51">
        <f t="shared" si="49"/>
        <v>0</v>
      </c>
      <c r="Q39" s="51" t="e">
        <f t="shared" si="7"/>
        <v>#DIV/0!</v>
      </c>
      <c r="R39" s="55">
        <v>0</v>
      </c>
      <c r="S39" s="53" t="s">
        <v>34</v>
      </c>
      <c r="T39" s="54" t="s">
        <v>34</v>
      </c>
      <c r="U39" s="55">
        <v>0</v>
      </c>
      <c r="V39" s="55">
        <f t="shared" si="8"/>
        <v>0</v>
      </c>
      <c r="W39" s="55">
        <f t="shared" si="9"/>
        <v>0</v>
      </c>
      <c r="X39" s="55">
        <v>0</v>
      </c>
      <c r="Y39" s="55" t="s">
        <v>35</v>
      </c>
      <c r="Z39" s="56">
        <f t="shared" si="19"/>
        <v>-0.75</v>
      </c>
      <c r="AA39" s="55">
        <v>0.10608333333333334</v>
      </c>
      <c r="AB39" s="55">
        <f t="shared" si="27"/>
        <v>0</v>
      </c>
      <c r="AC39" s="55">
        <v>-5.42</v>
      </c>
      <c r="AD39" s="55">
        <v>-7.6025641025641004</v>
      </c>
      <c r="AE39" s="55">
        <v>0</v>
      </c>
      <c r="AF39" s="55">
        <v>1.3374233128834301</v>
      </c>
    </row>
    <row r="40" spans="1:32" s="57" customFormat="1" ht="15.75" customHeight="1">
      <c r="A40" s="2" t="s">
        <v>102</v>
      </c>
      <c r="B40" s="2" t="s">
        <v>672</v>
      </c>
      <c r="C40" s="51">
        <v>19.796363636363637</v>
      </c>
      <c r="D40" s="51">
        <v>11</v>
      </c>
      <c r="E40" s="51">
        <v>0</v>
      </c>
      <c r="F40" s="51">
        <v>217.76000000000002</v>
      </c>
      <c r="G40" s="51">
        <v>0</v>
      </c>
      <c r="H40" s="51">
        <v>0</v>
      </c>
      <c r="I40" s="51">
        <v>0.18011679083300372</v>
      </c>
      <c r="J40" s="51">
        <v>39.222232371794895</v>
      </c>
      <c r="K40" s="51">
        <v>3.5656574883449905</v>
      </c>
      <c r="L40" s="51">
        <v>90</v>
      </c>
      <c r="M40" s="51">
        <v>0.12222222222222222</v>
      </c>
      <c r="N40" s="51">
        <v>168</v>
      </c>
      <c r="O40" s="51">
        <v>1.5714285714285714</v>
      </c>
      <c r="P40" s="51">
        <v>0</v>
      </c>
      <c r="Q40" s="51">
        <v>106</v>
      </c>
      <c r="R40" s="55">
        <v>0</v>
      </c>
      <c r="S40" s="53" t="s">
        <v>34</v>
      </c>
      <c r="T40" s="54" t="s">
        <v>34</v>
      </c>
      <c r="U40" s="55">
        <v>0</v>
      </c>
      <c r="V40" s="55">
        <v>0</v>
      </c>
      <c r="W40" s="55">
        <v>0</v>
      </c>
      <c r="X40" s="55">
        <v>0</v>
      </c>
      <c r="Y40" s="55" t="s">
        <v>35</v>
      </c>
      <c r="Z40" s="56">
        <v>-0.75</v>
      </c>
      <c r="AA40" s="55">
        <v>0.10608333333333334</v>
      </c>
      <c r="AB40" s="55">
        <v>-2.6255625000000005</v>
      </c>
      <c r="AC40" s="55">
        <v>-5.42</v>
      </c>
      <c r="AD40" s="55">
        <v>-7.6025641025641004</v>
      </c>
      <c r="AE40" s="55">
        <v>0</v>
      </c>
      <c r="AF40" s="55">
        <v>1.45573770491803</v>
      </c>
    </row>
    <row r="41" spans="1:32" s="57" customFormat="1" ht="15.75" customHeight="1">
      <c r="A41" s="2" t="s">
        <v>105</v>
      </c>
      <c r="B41" s="2" t="s">
        <v>673</v>
      </c>
      <c r="C41" s="51">
        <f t="shared" ref="C41:C56" si="50">IFERROR(F41/D41," - ")</f>
        <v>18.782499999999999</v>
      </c>
      <c r="D41" s="51">
        <v>12</v>
      </c>
      <c r="E41" s="51">
        <v>0</v>
      </c>
      <c r="F41" s="51">
        <v>225.39</v>
      </c>
      <c r="G41" s="51">
        <v>-0.02</v>
      </c>
      <c r="H41" s="51">
        <f t="shared" ref="H41:H56" si="51">G41/F41*-1</f>
        <v>8.87350814144372E-5</v>
      </c>
      <c r="I41" s="51">
        <f t="shared" ref="I41:I56" si="52">J41/F41</f>
        <v>0.14386832055206877</v>
      </c>
      <c r="J41" s="51">
        <f t="shared" ref="J41:J48" si="53">F41*0.85+G41+AD41*D41+D41*AC41+AE42+AB41</f>
        <v>32.426480769230778</v>
      </c>
      <c r="K41" s="51">
        <f t="shared" ref="K41:K56" si="54">J41/D41</f>
        <v>2.7022067307692317</v>
      </c>
      <c r="L41" s="51">
        <v>76</v>
      </c>
      <c r="M41" s="51">
        <f t="shared" ref="M41:M56" si="55">IFERROR(D41/L41,"-")</f>
        <v>0.15789473684210525</v>
      </c>
      <c r="N41" s="51">
        <v>156</v>
      </c>
      <c r="O41" s="51">
        <f t="shared" ref="O41:P41" si="56">D41/7</f>
        <v>1.7142857142857142</v>
      </c>
      <c r="P41" s="51">
        <f t="shared" si="56"/>
        <v>0</v>
      </c>
      <c r="Q41" s="51">
        <f t="shared" ref="Q41:Q56" si="57">ROUNDDOWN(N41/(O41+P41),0)</f>
        <v>91</v>
      </c>
      <c r="R41" s="55">
        <v>0</v>
      </c>
      <c r="S41" s="53" t="s">
        <v>34</v>
      </c>
      <c r="T41" s="54" t="s">
        <v>34</v>
      </c>
      <c r="U41" s="55">
        <v>0</v>
      </c>
      <c r="V41" s="55">
        <f t="shared" ref="V41:V56" si="58">IFERROR(U41/D41,0)</f>
        <v>0</v>
      </c>
      <c r="W41" s="55">
        <f t="shared" ref="W41:W56" si="59">IFERROR(G41/(U41+X41)*-1,0)</f>
        <v>0</v>
      </c>
      <c r="X41" s="55">
        <v>0</v>
      </c>
      <c r="Y41" s="52" t="s">
        <v>35</v>
      </c>
      <c r="Z41" s="56">
        <f t="shared" ref="Z41:Z43" si="60">IF(OR(Y41="UsLargeStandardSize",Y41="UsSmallStandardSize"),-0.75,-0.48)</f>
        <v>-0.75</v>
      </c>
      <c r="AA41" s="55">
        <v>0.10608333333333334</v>
      </c>
      <c r="AB41" s="55">
        <f t="shared" ref="AB41:AB56" si="61">IFERROR(Z41*AA41*D41*3,0)</f>
        <v>-2.8642500000000002</v>
      </c>
      <c r="AC41" s="55">
        <v>-5.42</v>
      </c>
      <c r="AD41" s="55">
        <v>-7.6025641025641004</v>
      </c>
      <c r="AE41" s="55">
        <v>0</v>
      </c>
      <c r="AF41" s="55">
        <v>1.5742971887550199</v>
      </c>
    </row>
    <row r="42" spans="1:32" s="57" customFormat="1" ht="15.75" customHeight="1">
      <c r="A42" s="2" t="s">
        <v>106</v>
      </c>
      <c r="B42" s="2" t="s">
        <v>674</v>
      </c>
      <c r="C42" s="51">
        <f t="shared" si="50"/>
        <v>17.733333333333331</v>
      </c>
      <c r="D42" s="51">
        <v>3</v>
      </c>
      <c r="E42" s="51">
        <v>0</v>
      </c>
      <c r="F42" s="51">
        <v>53.199999999999996</v>
      </c>
      <c r="G42" s="51">
        <v>-0.02</v>
      </c>
      <c r="H42" s="51">
        <f t="shared" si="51"/>
        <v>3.7593984962406017E-4</v>
      </c>
      <c r="I42" s="51">
        <f t="shared" si="52"/>
        <v>0.10180912015615963</v>
      </c>
      <c r="J42" s="51">
        <f t="shared" si="53"/>
        <v>5.4162451923076915</v>
      </c>
      <c r="K42" s="51">
        <f t="shared" si="54"/>
        <v>1.8054150641025639</v>
      </c>
      <c r="L42" s="51">
        <v>88</v>
      </c>
      <c r="M42" s="51">
        <f t="shared" si="55"/>
        <v>3.4090909090909088E-2</v>
      </c>
      <c r="N42" s="51">
        <v>154</v>
      </c>
      <c r="O42" s="51">
        <f t="shared" ref="O42:P42" si="62">D42/7</f>
        <v>0.42857142857142855</v>
      </c>
      <c r="P42" s="51">
        <f t="shared" si="62"/>
        <v>0</v>
      </c>
      <c r="Q42" s="51">
        <f t="shared" si="57"/>
        <v>359</v>
      </c>
      <c r="R42" s="55">
        <f ca="1">IFERROR(__xludf.DUMMYFUNCTION("IFERROR(VLOOKUP($B$2,IMPORTRANGE(""https://docs.google.com/spreadsheets/d/1iVgg6Mw12RULLujzHmfOFIY8Q_KaAD8anoZzgtVAQ74/edit#gid=1503384807"",""Second Star - Summary!A1:AD2000""),9,FALSE),"""")"),1362)</f>
        <v>1362</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0</v>
      </c>
      <c r="V42" s="55">
        <f t="shared" si="58"/>
        <v>0</v>
      </c>
      <c r="W42" s="55">
        <f t="shared" si="59"/>
        <v>0</v>
      </c>
      <c r="X42" s="55">
        <v>0</v>
      </c>
      <c r="Y42" s="55" t="s">
        <v>35</v>
      </c>
      <c r="Z42" s="56">
        <f t="shared" si="60"/>
        <v>-0.75</v>
      </c>
      <c r="AA42" s="55">
        <v>0.10608333333333334</v>
      </c>
      <c r="AB42" s="55">
        <f t="shared" si="61"/>
        <v>-0.71606250000000005</v>
      </c>
      <c r="AC42" s="55">
        <v>-5.42</v>
      </c>
      <c r="AD42" s="55">
        <v>-7.6025641025641004</v>
      </c>
      <c r="AE42" s="55">
        <v>0</v>
      </c>
      <c r="AF42" s="55">
        <v>1.45614035087719</v>
      </c>
    </row>
    <row r="43" spans="1:32" s="57" customFormat="1" ht="15.75" customHeight="1">
      <c r="A43" s="2" t="s">
        <v>107</v>
      </c>
      <c r="B43" s="2" t="s">
        <v>675</v>
      </c>
      <c r="C43" s="51">
        <f t="shared" si="50"/>
        <v>17.876249999999995</v>
      </c>
      <c r="D43" s="51">
        <v>8</v>
      </c>
      <c r="E43" s="51">
        <v>1</v>
      </c>
      <c r="F43" s="51">
        <v>143.00999999999996</v>
      </c>
      <c r="G43" s="51">
        <v>0</v>
      </c>
      <c r="H43" s="51">
        <f t="shared" si="51"/>
        <v>0</v>
      </c>
      <c r="I43" s="51">
        <f t="shared" si="52"/>
        <v>0.10816367512402747</v>
      </c>
      <c r="J43" s="51">
        <f t="shared" si="53"/>
        <v>15.468487179487164</v>
      </c>
      <c r="K43" s="51">
        <f t="shared" si="54"/>
        <v>1.9335608974358955</v>
      </c>
      <c r="L43" s="51">
        <v>94</v>
      </c>
      <c r="M43" s="51">
        <f t="shared" si="55"/>
        <v>8.5106382978723402E-2</v>
      </c>
      <c r="N43" s="51">
        <v>161</v>
      </c>
      <c r="O43" s="51">
        <f t="shared" ref="O43:P43" si="63">D43/7</f>
        <v>1.1428571428571428</v>
      </c>
      <c r="P43" s="51">
        <f t="shared" si="63"/>
        <v>0.14285714285714285</v>
      </c>
      <c r="Q43" s="51">
        <f t="shared" si="57"/>
        <v>125</v>
      </c>
      <c r="R43" s="55">
        <v>36</v>
      </c>
      <c r="S43" s="53">
        <v>36</v>
      </c>
      <c r="T43" s="54">
        <v>44137</v>
      </c>
      <c r="U43" s="55">
        <v>0</v>
      </c>
      <c r="V43" s="55">
        <f t="shared" si="58"/>
        <v>0</v>
      </c>
      <c r="W43" s="55">
        <f t="shared" si="59"/>
        <v>0</v>
      </c>
      <c r="X43" s="55">
        <v>0</v>
      </c>
      <c r="Y43" s="55" t="s">
        <v>35</v>
      </c>
      <c r="Z43" s="56">
        <f t="shared" si="60"/>
        <v>-0.75</v>
      </c>
      <c r="AA43" s="55">
        <v>0.10608333333333334</v>
      </c>
      <c r="AB43" s="55">
        <f t="shared" si="61"/>
        <v>-1.9095000000000002</v>
      </c>
      <c r="AC43" s="55">
        <v>-5.42</v>
      </c>
      <c r="AD43" s="55">
        <v>-7.6025641025641004</v>
      </c>
      <c r="AE43" s="55">
        <v>0</v>
      </c>
      <c r="AF43" s="55">
        <v>0.78</v>
      </c>
    </row>
    <row r="44" spans="1:32" s="57" customFormat="1" ht="15.75" customHeight="1">
      <c r="A44" s="2" t="s">
        <v>108</v>
      </c>
      <c r="B44" s="2" t="s">
        <v>676</v>
      </c>
      <c r="C44" s="51">
        <f t="shared" si="50"/>
        <v>17.057000000000002</v>
      </c>
      <c r="D44" s="51">
        <v>10</v>
      </c>
      <c r="E44" s="51">
        <v>0</v>
      </c>
      <c r="F44" s="51">
        <v>170.57000000000002</v>
      </c>
      <c r="G44" s="51">
        <v>-11.030000000000001</v>
      </c>
      <c r="H44" s="51">
        <f t="shared" si="51"/>
        <v>6.4665533212170959E-2</v>
      </c>
      <c r="I44" s="51">
        <f t="shared" si="52"/>
        <v>-2.2918104154546436E-2</v>
      </c>
      <c r="J44" s="51">
        <f t="shared" si="53"/>
        <v>-3.9091410256409862</v>
      </c>
      <c r="K44" s="51">
        <f t="shared" si="54"/>
        <v>-0.39091410256409864</v>
      </c>
      <c r="L44" s="51">
        <v>99</v>
      </c>
      <c r="M44" s="51">
        <f t="shared" si="55"/>
        <v>0.10101010101010101</v>
      </c>
      <c r="N44" s="51">
        <v>138</v>
      </c>
      <c r="O44" s="51">
        <f t="shared" ref="O44:P44" si="64">D44/7</f>
        <v>1.4285714285714286</v>
      </c>
      <c r="P44" s="51">
        <f t="shared" si="64"/>
        <v>0</v>
      </c>
      <c r="Q44" s="51">
        <f t="shared" si="57"/>
        <v>96</v>
      </c>
      <c r="R44" s="55">
        <v>36</v>
      </c>
      <c r="S44" s="53">
        <v>36</v>
      </c>
      <c r="T44" s="54">
        <v>44137</v>
      </c>
      <c r="U44" s="55">
        <v>0</v>
      </c>
      <c r="V44" s="55">
        <f t="shared" si="58"/>
        <v>0</v>
      </c>
      <c r="W44" s="55">
        <f t="shared" si="59"/>
        <v>0</v>
      </c>
      <c r="X44" s="55">
        <v>0</v>
      </c>
      <c r="Y44" s="55" t="s">
        <v>35</v>
      </c>
      <c r="Z44" s="56">
        <f t="shared" ref="Z44:Z56" si="65">IF(OR(Y44="UsLargeStandardSize",Y44="UsSmallStandardSize"),-2.4,-1.2)</f>
        <v>-2.4</v>
      </c>
      <c r="AA44" s="55">
        <v>0.10608333333333334</v>
      </c>
      <c r="AB44" s="55">
        <f t="shared" si="61"/>
        <v>-7.6379999999999999</v>
      </c>
      <c r="AC44" s="55">
        <v>-5.42</v>
      </c>
      <c r="AD44" s="55">
        <v>-7.6025641025641004</v>
      </c>
      <c r="AE44" s="55">
        <v>0</v>
      </c>
      <c r="AF44" s="55">
        <v>0.95774647887323905</v>
      </c>
    </row>
    <row r="45" spans="1:32" s="57" customFormat="1" ht="15.75" customHeight="1">
      <c r="A45" s="2" t="s">
        <v>109</v>
      </c>
      <c r="B45" s="2" t="s">
        <v>677</v>
      </c>
      <c r="C45" s="51">
        <f t="shared" si="50"/>
        <v>18.491428571428575</v>
      </c>
      <c r="D45" s="51">
        <v>28</v>
      </c>
      <c r="E45" s="51">
        <v>0</v>
      </c>
      <c r="F45" s="51">
        <v>517.7600000000001</v>
      </c>
      <c r="G45" s="51">
        <v>-32.06</v>
      </c>
      <c r="H45" s="51">
        <f t="shared" si="51"/>
        <v>6.1920580964153267E-2</v>
      </c>
      <c r="I45" s="51">
        <f t="shared" si="52"/>
        <v>4.2525118062819174E-2</v>
      </c>
      <c r="J45" s="51">
        <f t="shared" si="53"/>
        <v>22.017805128205261</v>
      </c>
      <c r="K45" s="51">
        <f t="shared" si="54"/>
        <v>0.7863501831501879</v>
      </c>
      <c r="L45" s="51">
        <v>133</v>
      </c>
      <c r="M45" s="51">
        <f t="shared" si="55"/>
        <v>0.21052631578947367</v>
      </c>
      <c r="N45" s="51">
        <v>121</v>
      </c>
      <c r="O45" s="51">
        <f t="shared" ref="O45:P45" si="66">D45/7</f>
        <v>4</v>
      </c>
      <c r="P45" s="51">
        <f t="shared" si="66"/>
        <v>0</v>
      </c>
      <c r="Q45" s="51">
        <f t="shared" si="57"/>
        <v>30</v>
      </c>
      <c r="R45" s="55">
        <v>36</v>
      </c>
      <c r="S45" s="53">
        <v>36</v>
      </c>
      <c r="T45" s="54">
        <v>44137</v>
      </c>
      <c r="U45" s="55">
        <v>3</v>
      </c>
      <c r="V45" s="55">
        <f t="shared" si="58"/>
        <v>0.10714285714285714</v>
      </c>
      <c r="W45" s="55">
        <f t="shared" si="59"/>
        <v>10.686666666666667</v>
      </c>
      <c r="X45" s="55">
        <v>0</v>
      </c>
      <c r="Y45" s="55" t="s">
        <v>35</v>
      </c>
      <c r="Z45" s="56">
        <f t="shared" si="65"/>
        <v>-2.4</v>
      </c>
      <c r="AA45" s="55">
        <v>0.10608333333333334</v>
      </c>
      <c r="AB45" s="55">
        <f t="shared" si="61"/>
        <v>-21.386400000000002</v>
      </c>
      <c r="AC45" s="55">
        <v>-5.42</v>
      </c>
      <c r="AD45" s="55">
        <v>-7.6025641025641004</v>
      </c>
      <c r="AE45" s="55">
        <v>0</v>
      </c>
      <c r="AF45" s="55">
        <v>1.2179487179487101</v>
      </c>
    </row>
    <row r="46" spans="1:32" s="57" customFormat="1" ht="15.75" customHeight="1">
      <c r="A46" s="2" t="s">
        <v>111</v>
      </c>
      <c r="B46" s="2" t="s">
        <v>678</v>
      </c>
      <c r="C46" s="51">
        <f t="shared" si="50"/>
        <v>19.515999999999998</v>
      </c>
      <c r="D46" s="51">
        <v>10</v>
      </c>
      <c r="E46" s="51">
        <v>0</v>
      </c>
      <c r="F46" s="51">
        <v>195.16</v>
      </c>
      <c r="G46" s="51">
        <v>-13.5</v>
      </c>
      <c r="H46" s="51">
        <f t="shared" si="51"/>
        <v>6.9174011067841767E-2</v>
      </c>
      <c r="I46" s="51">
        <f t="shared" si="52"/>
        <v>7.4412579290628125E-2</v>
      </c>
      <c r="J46" s="51">
        <f t="shared" si="53"/>
        <v>14.522358974358985</v>
      </c>
      <c r="K46" s="51">
        <f t="shared" si="54"/>
        <v>1.4522358974358984</v>
      </c>
      <c r="L46" s="51">
        <v>86</v>
      </c>
      <c r="M46" s="51">
        <f t="shared" si="55"/>
        <v>0.11627906976744186</v>
      </c>
      <c r="N46" s="51">
        <v>109</v>
      </c>
      <c r="O46" s="51">
        <f t="shared" ref="O46:P46" si="67">D46/7</f>
        <v>1.4285714285714286</v>
      </c>
      <c r="P46" s="51">
        <f t="shared" si="67"/>
        <v>0</v>
      </c>
      <c r="Q46" s="51">
        <f t="shared" si="57"/>
        <v>76</v>
      </c>
      <c r="R46" s="55">
        <v>0</v>
      </c>
      <c r="S46" s="53" t="s">
        <v>34</v>
      </c>
      <c r="T46" s="54" t="s">
        <v>34</v>
      </c>
      <c r="U46" s="55">
        <v>1</v>
      </c>
      <c r="V46" s="55">
        <f t="shared" si="58"/>
        <v>0.1</v>
      </c>
      <c r="W46" s="55">
        <f t="shared" si="59"/>
        <v>13.5</v>
      </c>
      <c r="X46" s="55">
        <v>0</v>
      </c>
      <c r="Y46" s="55" t="s">
        <v>35</v>
      </c>
      <c r="Z46" s="56">
        <f t="shared" si="65"/>
        <v>-2.4</v>
      </c>
      <c r="AA46" s="55">
        <v>0.10608333333333334</v>
      </c>
      <c r="AB46" s="55">
        <f t="shared" si="61"/>
        <v>-7.6379999999999999</v>
      </c>
      <c r="AC46" s="55">
        <v>-5.42</v>
      </c>
      <c r="AD46" s="55">
        <v>-7.6025641025641004</v>
      </c>
      <c r="AE46" s="55">
        <v>0</v>
      </c>
      <c r="AF46" s="55">
        <v>1.36619718309859</v>
      </c>
    </row>
    <row r="47" spans="1:32" s="57" customFormat="1" ht="15.75" customHeight="1">
      <c r="A47" s="2" t="s">
        <v>113</v>
      </c>
      <c r="B47" s="2" t="s">
        <v>561</v>
      </c>
      <c r="C47" s="51">
        <f t="shared" si="50"/>
        <v>19.504166666666666</v>
      </c>
      <c r="D47" s="51">
        <v>12</v>
      </c>
      <c r="E47" s="51">
        <v>0</v>
      </c>
      <c r="F47" s="51">
        <v>234.05</v>
      </c>
      <c r="G47" s="51">
        <v>0</v>
      </c>
      <c r="H47" s="51">
        <f t="shared" si="51"/>
        <v>0</v>
      </c>
      <c r="I47" s="51">
        <f t="shared" si="52"/>
        <v>0.143158003713868</v>
      </c>
      <c r="J47" s="51">
        <f t="shared" si="53"/>
        <v>33.506130769230808</v>
      </c>
      <c r="K47" s="51">
        <f t="shared" si="54"/>
        <v>2.7921775641025675</v>
      </c>
      <c r="L47" s="51">
        <v>117</v>
      </c>
      <c r="M47" s="51">
        <f t="shared" si="55"/>
        <v>0.10256410256410256</v>
      </c>
      <c r="N47" s="51">
        <v>137</v>
      </c>
      <c r="O47" s="51">
        <f t="shared" ref="O47:P47" si="68">D47/7</f>
        <v>1.7142857142857142</v>
      </c>
      <c r="P47" s="51">
        <f t="shared" si="68"/>
        <v>0</v>
      </c>
      <c r="Q47" s="51">
        <f t="shared" si="57"/>
        <v>79</v>
      </c>
      <c r="R47" s="55">
        <v>0</v>
      </c>
      <c r="S47" s="53" t="s">
        <v>34</v>
      </c>
      <c r="T47" s="54" t="s">
        <v>34</v>
      </c>
      <c r="U47" s="55">
        <v>0</v>
      </c>
      <c r="V47" s="55">
        <f t="shared" si="58"/>
        <v>0</v>
      </c>
      <c r="W47" s="55">
        <f t="shared" si="59"/>
        <v>0</v>
      </c>
      <c r="X47" s="55">
        <v>0</v>
      </c>
      <c r="Y47" s="55" t="s">
        <v>35</v>
      </c>
      <c r="Z47" s="56">
        <f t="shared" si="65"/>
        <v>-2.4</v>
      </c>
      <c r="AA47" s="55">
        <v>0.10608333333333334</v>
      </c>
      <c r="AB47" s="55">
        <f t="shared" si="61"/>
        <v>-9.1656000000000013</v>
      </c>
      <c r="AC47" s="55">
        <v>-5.42</v>
      </c>
      <c r="AD47" s="55">
        <v>-7.6025641025641004</v>
      </c>
      <c r="AE47" s="55">
        <v>0</v>
      </c>
      <c r="AF47" s="55">
        <v>1.2467532467532401</v>
      </c>
    </row>
    <row r="48" spans="1:32" s="57" customFormat="1" ht="15.75" customHeight="1">
      <c r="A48" s="2" t="s">
        <v>115</v>
      </c>
      <c r="B48" s="2" t="s">
        <v>679</v>
      </c>
      <c r="C48" s="51">
        <f t="shared" si="50"/>
        <v>18.245714285714286</v>
      </c>
      <c r="D48" s="51">
        <v>7</v>
      </c>
      <c r="E48" s="51">
        <v>0</v>
      </c>
      <c r="F48" s="51">
        <v>127.72</v>
      </c>
      <c r="G48" s="51">
        <v>0</v>
      </c>
      <c r="H48" s="51">
        <f t="shared" si="51"/>
        <v>0</v>
      </c>
      <c r="I48" s="51">
        <f t="shared" si="52"/>
        <v>9.4405349843809105E-2</v>
      </c>
      <c r="J48" s="51">
        <f t="shared" si="53"/>
        <v>12.057451282051298</v>
      </c>
      <c r="K48" s="51">
        <f t="shared" si="54"/>
        <v>1.7224930402930425</v>
      </c>
      <c r="L48" s="51">
        <v>105</v>
      </c>
      <c r="M48" s="51">
        <f t="shared" si="55"/>
        <v>6.6666666666666666E-2</v>
      </c>
      <c r="N48" s="51">
        <v>133</v>
      </c>
      <c r="O48" s="51">
        <f t="shared" ref="O48:P48" si="69">D48/7</f>
        <v>1</v>
      </c>
      <c r="P48" s="51">
        <f t="shared" si="69"/>
        <v>0</v>
      </c>
      <c r="Q48" s="51">
        <f t="shared" si="57"/>
        <v>133</v>
      </c>
      <c r="R48" s="55">
        <f ca="1">IFERROR(__xludf.DUMMYFUNCTION("IFERROR(VLOOKUP($B$2,IMPORTRANGE(""https://docs.google.com/spreadsheets/d/1iVgg6Mw12RULLujzHmfOFIY8Q_KaAD8anoZzgtVAQ74/edit#gid=1503384807"",""Second Star - Summary!A1:AD2000""),9,FALSE),"""")"),1362)</f>
        <v>1362</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si="58"/>
        <v>0</v>
      </c>
      <c r="W48" s="55">
        <f t="shared" si="59"/>
        <v>0</v>
      </c>
      <c r="X48" s="55">
        <v>0</v>
      </c>
      <c r="Y48" s="55" t="s">
        <v>35</v>
      </c>
      <c r="Z48" s="56">
        <f t="shared" si="65"/>
        <v>-2.4</v>
      </c>
      <c r="AA48" s="55">
        <v>0.10608333333333334</v>
      </c>
      <c r="AB48" s="55">
        <f t="shared" si="61"/>
        <v>-5.3466000000000005</v>
      </c>
      <c r="AC48" s="55">
        <v>-5.42</v>
      </c>
      <c r="AD48" s="55">
        <v>-7.6025641025641004</v>
      </c>
      <c r="AE48" s="55">
        <v>0</v>
      </c>
      <c r="AF48" s="55">
        <v>0.84472049689440998</v>
      </c>
    </row>
    <row r="49" spans="1:32" s="57" customFormat="1" ht="15.75" customHeight="1">
      <c r="A49" s="2" t="s">
        <v>117</v>
      </c>
      <c r="B49" s="2" t="s">
        <v>680</v>
      </c>
      <c r="C49" s="51">
        <f t="shared" si="50"/>
        <v>18.056666666666665</v>
      </c>
      <c r="D49" s="51">
        <v>6</v>
      </c>
      <c r="E49" s="51">
        <v>0</v>
      </c>
      <c r="F49" s="51">
        <v>108.33999999999999</v>
      </c>
      <c r="G49" s="51">
        <v>0</v>
      </c>
      <c r="H49" s="51">
        <f t="shared" si="51"/>
        <v>0</v>
      </c>
      <c r="I49" s="51">
        <f t="shared" si="52"/>
        <v>8.5040754888456624E-2</v>
      </c>
      <c r="J49" s="51">
        <f t="shared" ref="J49:J56" si="70">F49*0.85+G49+AD49*D49+D49*AC49+AE49+AB49</f>
        <v>9.2133153846153899</v>
      </c>
      <c r="K49" s="51">
        <f t="shared" si="54"/>
        <v>1.5355525641025649</v>
      </c>
      <c r="L49" s="51">
        <v>76</v>
      </c>
      <c r="M49" s="51">
        <f t="shared" si="55"/>
        <v>7.8947368421052627E-2</v>
      </c>
      <c r="N49" s="51">
        <v>126</v>
      </c>
      <c r="O49" s="51">
        <f t="shared" ref="O49:P49" si="71">D49/7</f>
        <v>0.8571428571428571</v>
      </c>
      <c r="P49" s="51">
        <f t="shared" si="71"/>
        <v>0</v>
      </c>
      <c r="Q49" s="51">
        <f t="shared" si="57"/>
        <v>147</v>
      </c>
      <c r="R49" s="55">
        <f ca="1">IFERROR(__xludf.DUMMYFUNCTION("IFERROR(VLOOKUP($B$2,IMPORTRANGE(""https://docs.google.com/spreadsheets/d/1iVgg6Mw12RULLujzHmfOFIY8Q_KaAD8anoZzgtVAQ74/edit#gid=1503384807"",""Second Star - Summary!A1:AD2000""),9,FALSE),"""")"),1362)</f>
        <v>1362</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58"/>
        <v>0</v>
      </c>
      <c r="W49" s="55">
        <f t="shared" si="59"/>
        <v>0</v>
      </c>
      <c r="X49" s="55">
        <v>0</v>
      </c>
      <c r="Y49" s="55" t="s">
        <v>35</v>
      </c>
      <c r="Z49" s="56">
        <f t="shared" si="65"/>
        <v>-2.4</v>
      </c>
      <c r="AA49" s="55">
        <v>0.10608333333333334</v>
      </c>
      <c r="AB49" s="55">
        <f t="shared" si="61"/>
        <v>-4.5828000000000007</v>
      </c>
      <c r="AC49" s="55">
        <v>-5.42</v>
      </c>
      <c r="AD49" s="55">
        <v>-7.6288141025640996</v>
      </c>
      <c r="AE49" s="55">
        <v>0</v>
      </c>
      <c r="AF49" s="55">
        <v>0.977168949771689</v>
      </c>
    </row>
    <row r="50" spans="1:32" s="57" customFormat="1" ht="15.75" customHeight="1">
      <c r="A50" s="2" t="s">
        <v>119</v>
      </c>
      <c r="B50" s="2" t="s">
        <v>681</v>
      </c>
      <c r="C50" s="51">
        <f t="shared" si="50"/>
        <v>19.101428571428574</v>
      </c>
      <c r="D50" s="51">
        <v>7</v>
      </c>
      <c r="E50" s="51">
        <v>0</v>
      </c>
      <c r="F50" s="51">
        <v>133.71</v>
      </c>
      <c r="G50" s="51">
        <v>-7.75</v>
      </c>
      <c r="H50" s="51">
        <f t="shared" si="51"/>
        <v>5.7961259442076134E-2</v>
      </c>
      <c r="I50" s="51">
        <f t="shared" si="52"/>
        <v>6.8919312557410156E-2</v>
      </c>
      <c r="J50" s="51">
        <f t="shared" si="70"/>
        <v>9.2152012820513125</v>
      </c>
      <c r="K50" s="51">
        <f t="shared" si="54"/>
        <v>1.3164573260073305</v>
      </c>
      <c r="L50" s="51">
        <v>101</v>
      </c>
      <c r="M50" s="51">
        <f t="shared" si="55"/>
        <v>6.9306930693069313E-2</v>
      </c>
      <c r="N50" s="51">
        <v>120</v>
      </c>
      <c r="O50" s="51">
        <f t="shared" ref="O50:P50" si="72">D50/7</f>
        <v>1</v>
      </c>
      <c r="P50" s="51">
        <f t="shared" si="72"/>
        <v>0</v>
      </c>
      <c r="Q50" s="51">
        <f t="shared" si="57"/>
        <v>120</v>
      </c>
      <c r="R50" s="55">
        <f ca="1">IFERROR(__xludf.DUMMYFUNCTION("IFERROR(VLOOKUP($B$2,IMPORTRANGE(""https://docs.google.com/spreadsheets/d/1iVgg6Mw12RULLujzHmfOFIY8Q_KaAD8anoZzgtVAQ74/edit#gid=1503384807"",""Second Star - Summary!A1:AD2000""),9,FALSE),"""")"),1362)</f>
        <v>1362</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2</v>
      </c>
      <c r="V50" s="55">
        <f t="shared" si="58"/>
        <v>0.2857142857142857</v>
      </c>
      <c r="W50" s="55">
        <f t="shared" si="59"/>
        <v>1.9375</v>
      </c>
      <c r="X50" s="55">
        <v>2</v>
      </c>
      <c r="Y50" s="55" t="s">
        <v>35</v>
      </c>
      <c r="Z50" s="56">
        <f t="shared" si="65"/>
        <v>-2.4</v>
      </c>
      <c r="AA50" s="55">
        <v>0.10608333333333334</v>
      </c>
      <c r="AB50" s="55">
        <f t="shared" si="61"/>
        <v>-5.3466000000000005</v>
      </c>
      <c r="AC50" s="55">
        <v>-5.42</v>
      </c>
      <c r="AD50" s="55">
        <v>-7.6288141025640996</v>
      </c>
      <c r="AE50" s="55">
        <v>0</v>
      </c>
      <c r="AF50" s="55">
        <v>1.0750605326876499</v>
      </c>
    </row>
    <row r="51" spans="1:32" s="57" customFormat="1" ht="15.75" customHeight="1">
      <c r="A51" s="2" t="s">
        <v>121</v>
      </c>
      <c r="B51" s="2" t="s">
        <v>252</v>
      </c>
      <c r="C51" s="51">
        <f t="shared" si="50"/>
        <v>18.833333333333332</v>
      </c>
      <c r="D51" s="51">
        <v>9</v>
      </c>
      <c r="E51" s="51">
        <v>0</v>
      </c>
      <c r="F51" s="51">
        <v>169.5</v>
      </c>
      <c r="G51" s="51">
        <v>0</v>
      </c>
      <c r="H51" s="51">
        <f t="shared" si="51"/>
        <v>0</v>
      </c>
      <c r="I51" s="51">
        <f t="shared" si="52"/>
        <v>0.11658686181075573</v>
      </c>
      <c r="J51" s="51">
        <f t="shared" si="70"/>
        <v>19.761473076923096</v>
      </c>
      <c r="K51" s="51">
        <f t="shared" si="54"/>
        <v>2.195719230769233</v>
      </c>
      <c r="L51" s="51">
        <v>90</v>
      </c>
      <c r="M51" s="51">
        <f t="shared" si="55"/>
        <v>0.1</v>
      </c>
      <c r="N51" s="51">
        <v>111</v>
      </c>
      <c r="O51" s="51">
        <f t="shared" ref="O51:P51" si="73">D51/7</f>
        <v>1.2857142857142858</v>
      </c>
      <c r="P51" s="51">
        <f t="shared" si="73"/>
        <v>0</v>
      </c>
      <c r="Q51" s="51">
        <f t="shared" si="57"/>
        <v>86</v>
      </c>
      <c r="R51" s="55">
        <f ca="1">IFERROR(__xludf.DUMMYFUNCTION("IFERROR(VLOOKUP($B$2,IMPORTRANGE(""https://docs.google.com/spreadsheets/d/1iVgg6Mw12RULLujzHmfOFIY8Q_KaAD8anoZzgtVAQ74/edit#gid=1503384807"",""Second Star - Summary!A1:AD2000""),9,FALSE),"""")"),1362)</f>
        <v>1362</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4</v>
      </c>
      <c r="V51" s="55">
        <f t="shared" si="58"/>
        <v>0.44444444444444442</v>
      </c>
      <c r="W51" s="55">
        <f t="shared" si="59"/>
        <v>0</v>
      </c>
      <c r="X51" s="55">
        <v>4</v>
      </c>
      <c r="Y51" s="55" t="s">
        <v>35</v>
      </c>
      <c r="Z51" s="56">
        <f t="shared" si="65"/>
        <v>-2.4</v>
      </c>
      <c r="AA51" s="55">
        <v>0.10608333333333334</v>
      </c>
      <c r="AB51" s="55">
        <f t="shared" si="61"/>
        <v>-6.8742000000000001</v>
      </c>
      <c r="AC51" s="55">
        <v>-5.42</v>
      </c>
      <c r="AD51" s="55">
        <v>-7.6288141025640996</v>
      </c>
      <c r="AE51" s="55">
        <v>0</v>
      </c>
      <c r="AF51" s="55">
        <v>1.2403100775193701</v>
      </c>
    </row>
    <row r="52" spans="1:32" s="57" customFormat="1" ht="15.75" customHeight="1">
      <c r="A52" s="2" t="s">
        <v>123</v>
      </c>
      <c r="B52" s="2" t="s">
        <v>682</v>
      </c>
      <c r="C52" s="51">
        <f t="shared" si="50"/>
        <v>18.706</v>
      </c>
      <c r="D52" s="51">
        <v>5</v>
      </c>
      <c r="E52" s="51">
        <v>0</v>
      </c>
      <c r="F52" s="51">
        <v>93.53</v>
      </c>
      <c r="G52" s="51">
        <v>-41.94</v>
      </c>
      <c r="H52" s="51">
        <f t="shared" si="51"/>
        <v>0.44841227413664064</v>
      </c>
      <c r="I52" s="51">
        <f t="shared" si="52"/>
        <v>-0.33681781794954019</v>
      </c>
      <c r="J52" s="51">
        <f t="shared" si="70"/>
        <v>-31.502570512820494</v>
      </c>
      <c r="K52" s="51">
        <f t="shared" si="54"/>
        <v>-6.3005141025640992</v>
      </c>
      <c r="L52" s="51">
        <v>95</v>
      </c>
      <c r="M52" s="51">
        <f t="shared" si="55"/>
        <v>5.2631578947368418E-2</v>
      </c>
      <c r="N52" s="51">
        <v>171</v>
      </c>
      <c r="O52" s="51">
        <f t="shared" ref="O52:P52" si="74">D52/7</f>
        <v>0.7142857142857143</v>
      </c>
      <c r="P52" s="51">
        <f t="shared" si="74"/>
        <v>0</v>
      </c>
      <c r="Q52" s="51">
        <f t="shared" si="57"/>
        <v>239</v>
      </c>
      <c r="R52" s="55">
        <f ca="1">IFERROR(__xludf.DUMMYFUNCTION("IFERROR(VLOOKUP($B$2,IMPORTRANGE(""https://docs.google.com/spreadsheets/d/1iVgg6Mw12RULLujzHmfOFIY8Q_KaAD8anoZzgtVAQ74/edit#gid=1503384807"",""Second Star - Summary!A1:AD2000""),9,FALSE),"""")"),1362)</f>
        <v>1362</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58"/>
        <v>0</v>
      </c>
      <c r="W52" s="55">
        <f t="shared" si="59"/>
        <v>41.94</v>
      </c>
      <c r="X52" s="55">
        <v>1</v>
      </c>
      <c r="Y52" s="55" t="s">
        <v>35</v>
      </c>
      <c r="Z52" s="56">
        <f t="shared" si="65"/>
        <v>-2.4</v>
      </c>
      <c r="AA52" s="55">
        <v>0.10608333333333334</v>
      </c>
      <c r="AB52" s="55">
        <f t="shared" si="61"/>
        <v>-3.819</v>
      </c>
      <c r="AC52" s="55">
        <v>-5.42</v>
      </c>
      <c r="AD52" s="55">
        <v>-7.6288141025640996</v>
      </c>
      <c r="AE52" s="55">
        <v>0</v>
      </c>
      <c r="AF52" s="55">
        <v>1.0456431535269699</v>
      </c>
    </row>
    <row r="53" spans="1:32" s="57" customFormat="1">
      <c r="A53" s="2" t="s">
        <v>38</v>
      </c>
      <c r="B53" s="2" t="s">
        <v>683</v>
      </c>
      <c r="C53" s="51">
        <f t="shared" si="50"/>
        <v>21.188333333333333</v>
      </c>
      <c r="D53" s="51">
        <v>6</v>
      </c>
      <c r="E53" s="51">
        <v>0</v>
      </c>
      <c r="F53" s="51">
        <v>127.13</v>
      </c>
      <c r="G53" s="51">
        <v>-38.130000000000003</v>
      </c>
      <c r="H53" s="51">
        <f t="shared" si="51"/>
        <v>0.29992920632423509</v>
      </c>
      <c r="I53" s="51">
        <f t="shared" si="52"/>
        <v>-0.10182635581990561</v>
      </c>
      <c r="J53" s="51">
        <f t="shared" si="70"/>
        <v>-12.9451846153846</v>
      </c>
      <c r="K53" s="51">
        <f t="shared" si="54"/>
        <v>-2.1575307692307666</v>
      </c>
      <c r="L53" s="51">
        <v>88</v>
      </c>
      <c r="M53" s="51">
        <f t="shared" si="55"/>
        <v>6.8181818181818177E-2</v>
      </c>
      <c r="N53" s="51">
        <v>162</v>
      </c>
      <c r="O53" s="51">
        <f t="shared" ref="O53:P53" si="75">D53/7</f>
        <v>0.8571428571428571</v>
      </c>
      <c r="P53" s="51">
        <f t="shared" si="75"/>
        <v>0</v>
      </c>
      <c r="Q53" s="51">
        <f t="shared" si="57"/>
        <v>189</v>
      </c>
      <c r="R53" s="55">
        <f ca="1">IFERROR(__xludf.DUMMYFUNCTION("IFERROR(VLOOKUP($B$2,IMPORTRANGE(""https://docs.google.com/spreadsheets/d/1iVgg6Mw12RULLujzHmfOFIY8Q_KaAD8anoZzgtVAQ74/edit#gid=1503384807"",""Second Star - Summary!A1:AD2000""),9,FALSE),"""")"),1362)</f>
        <v>1362</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58"/>
        <v>0</v>
      </c>
      <c r="W53" s="55">
        <f t="shared" si="59"/>
        <v>19.065000000000001</v>
      </c>
      <c r="X53" s="55">
        <v>2</v>
      </c>
      <c r="Y53" s="55" t="s">
        <v>35</v>
      </c>
      <c r="Z53" s="56">
        <f t="shared" si="65"/>
        <v>-2.4</v>
      </c>
      <c r="AA53" s="55">
        <v>0.10608333333333334</v>
      </c>
      <c r="AB53" s="55">
        <f t="shared" si="61"/>
        <v>-4.5828000000000007</v>
      </c>
      <c r="AC53" s="55">
        <v>-5.42</v>
      </c>
      <c r="AD53" s="55">
        <v>-7.6288141025640996</v>
      </c>
      <c r="AE53" s="55">
        <v>0</v>
      </c>
      <c r="AF53" s="55">
        <v>0.80252764612954097</v>
      </c>
    </row>
    <row r="54" spans="1:32" s="57" customFormat="1">
      <c r="A54" s="2" t="s">
        <v>40</v>
      </c>
      <c r="B54" s="2" t="s">
        <v>684</v>
      </c>
      <c r="C54" s="51">
        <f t="shared" si="50"/>
        <v>21.213333333333335</v>
      </c>
      <c r="D54" s="51">
        <v>3</v>
      </c>
      <c r="E54" s="51">
        <v>0</v>
      </c>
      <c r="F54" s="51">
        <v>63.64</v>
      </c>
      <c r="G54" s="51">
        <v>0</v>
      </c>
      <c r="H54" s="51">
        <f t="shared" si="51"/>
        <v>0</v>
      </c>
      <c r="I54" s="51">
        <f t="shared" si="52"/>
        <v>0.19887111395832346</v>
      </c>
      <c r="J54" s="51">
        <f t="shared" si="70"/>
        <v>12.656157692307705</v>
      </c>
      <c r="K54" s="51">
        <f t="shared" si="54"/>
        <v>4.2187192307692349</v>
      </c>
      <c r="L54" s="51">
        <v>87</v>
      </c>
      <c r="M54" s="51">
        <f t="shared" si="55"/>
        <v>3.4482758620689655E-2</v>
      </c>
      <c r="N54" s="51">
        <v>158</v>
      </c>
      <c r="O54" s="51">
        <f t="shared" ref="O54:P54" si="76">D54/7</f>
        <v>0.42857142857142855</v>
      </c>
      <c r="P54" s="51">
        <f t="shared" si="76"/>
        <v>0</v>
      </c>
      <c r="Q54" s="51">
        <f t="shared" si="57"/>
        <v>368</v>
      </c>
      <c r="R54" s="55">
        <f ca="1">IFERROR(__xludf.DUMMYFUNCTION("IFERROR(VLOOKUP($B$2,IMPORTRANGE(""https://docs.google.com/spreadsheets/d/1iVgg6Mw12RULLujzHmfOFIY8Q_KaAD8anoZzgtVAQ74/edit#gid=1503384807"",""Second Star - Summary!A1:AD2000""),9,FALSE),"""")"),1362)</f>
        <v>1362</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58"/>
        <v>0</v>
      </c>
      <c r="W54" s="55">
        <f t="shared" si="59"/>
        <v>0</v>
      </c>
      <c r="X54" s="55">
        <v>0</v>
      </c>
      <c r="Y54" s="55" t="s">
        <v>35</v>
      </c>
      <c r="Z54" s="56">
        <f t="shared" si="65"/>
        <v>-2.4</v>
      </c>
      <c r="AA54" s="55">
        <v>0.10608333333333334</v>
      </c>
      <c r="AB54" s="55">
        <f t="shared" si="61"/>
        <v>-2.2914000000000003</v>
      </c>
      <c r="AC54" s="55">
        <v>-5.42</v>
      </c>
      <c r="AD54" s="55">
        <v>-7.6288141025640996</v>
      </c>
      <c r="AE54" s="55">
        <v>0</v>
      </c>
      <c r="AF54" s="55">
        <v>0.83362521891418495</v>
      </c>
    </row>
    <row r="55" spans="1:32" s="57" customFormat="1" ht="15.75" customHeight="1">
      <c r="A55" s="2" t="s">
        <v>32</v>
      </c>
      <c r="B55" s="2" t="s">
        <v>685</v>
      </c>
      <c r="C55" s="51">
        <f t="shared" si="50"/>
        <v>20.859999999999996</v>
      </c>
      <c r="D55" s="51">
        <v>8</v>
      </c>
      <c r="E55" s="51">
        <v>0</v>
      </c>
      <c r="F55" s="51">
        <v>166.87999999999997</v>
      </c>
      <c r="G55" s="51">
        <v>-0.06</v>
      </c>
      <c r="H55" s="51">
        <f t="shared" si="51"/>
        <v>3.5953978906999047E-4</v>
      </c>
      <c r="I55" s="51">
        <f t="shared" si="52"/>
        <v>0.18748254541878695</v>
      </c>
      <c r="J55" s="51">
        <f t="shared" si="70"/>
        <v>31.287087179487159</v>
      </c>
      <c r="K55" s="51">
        <f t="shared" si="54"/>
        <v>3.9108858974358949</v>
      </c>
      <c r="L55" s="51">
        <v>81</v>
      </c>
      <c r="M55" s="51">
        <f t="shared" si="55"/>
        <v>9.8765432098765427E-2</v>
      </c>
      <c r="N55" s="51">
        <v>155</v>
      </c>
      <c r="O55" s="51">
        <f t="shared" ref="O55:P55" si="77">D55/7</f>
        <v>1.1428571428571428</v>
      </c>
      <c r="P55" s="51">
        <f t="shared" si="77"/>
        <v>0</v>
      </c>
      <c r="Q55" s="51">
        <f t="shared" si="57"/>
        <v>135</v>
      </c>
      <c r="R55" s="55">
        <v>36</v>
      </c>
      <c r="S55" s="53">
        <v>36</v>
      </c>
      <c r="T55" s="54">
        <v>44211</v>
      </c>
      <c r="U55" s="55">
        <v>0</v>
      </c>
      <c r="V55" s="55">
        <f t="shared" si="58"/>
        <v>0</v>
      </c>
      <c r="W55" s="55">
        <f t="shared" si="59"/>
        <v>0</v>
      </c>
      <c r="X55" s="55">
        <v>0</v>
      </c>
      <c r="Y55" s="55" t="s">
        <v>35</v>
      </c>
      <c r="Z55" s="56">
        <f t="shared" si="65"/>
        <v>-2.4</v>
      </c>
      <c r="AA55" s="55">
        <v>0.10608333333333334</v>
      </c>
      <c r="AB55" s="55">
        <f t="shared" si="61"/>
        <v>-6.1104000000000003</v>
      </c>
      <c r="AC55" s="55">
        <v>-5.42</v>
      </c>
      <c r="AD55" s="55">
        <v>-7.6288141025640996</v>
      </c>
      <c r="AE55" s="55">
        <v>0</v>
      </c>
      <c r="AF55" s="55">
        <v>0.84536082474226804</v>
      </c>
    </row>
    <row r="56" spans="1:32" s="57" customFormat="1" ht="15.75" customHeight="1">
      <c r="A56" s="2" t="s">
        <v>36</v>
      </c>
      <c r="B56" s="2"/>
      <c r="C56" s="51">
        <f t="shared" si="50"/>
        <v>22.290000000000003</v>
      </c>
      <c r="D56" s="51">
        <v>3</v>
      </c>
      <c r="E56" s="51">
        <v>0</v>
      </c>
      <c r="F56" s="51">
        <v>66.87</v>
      </c>
      <c r="G56" s="51">
        <v>0</v>
      </c>
      <c r="H56" s="51">
        <f t="shared" si="51"/>
        <v>0</v>
      </c>
      <c r="I56" s="51">
        <f t="shared" si="52"/>
        <v>0.23032238211915215</v>
      </c>
      <c r="J56" s="51">
        <f t="shared" si="70"/>
        <v>15.401657692307705</v>
      </c>
      <c r="K56" s="51">
        <f t="shared" si="54"/>
        <v>5.1338858974359018</v>
      </c>
      <c r="L56" s="51">
        <v>77</v>
      </c>
      <c r="M56" s="51">
        <f t="shared" si="55"/>
        <v>3.896103896103896E-2</v>
      </c>
      <c r="N56" s="51">
        <v>167</v>
      </c>
      <c r="O56" s="51">
        <f t="shared" ref="O56:P56" si="78">D56/7</f>
        <v>0.42857142857142855</v>
      </c>
      <c r="P56" s="51">
        <f t="shared" si="78"/>
        <v>0</v>
      </c>
      <c r="Q56" s="51">
        <f t="shared" si="57"/>
        <v>389</v>
      </c>
      <c r="R56" s="55">
        <f ca="1">IFERROR(__xludf.DUMMYFUNCTION("IFERROR(VLOOKUP($B$2,IMPORTRANGE(""https://docs.google.com/spreadsheets/d/1iVgg6Mw12RULLujzHmfOFIY8Q_KaAD8anoZzgtVAQ74/edit#gid=1503384807"",""Second Star - Summary!A1:AD2000""),9,FALSE),"""")"),1362)</f>
        <v>1362</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58"/>
        <v>0</v>
      </c>
      <c r="W56" s="55">
        <f t="shared" si="59"/>
        <v>0</v>
      </c>
      <c r="X56" s="55">
        <v>0</v>
      </c>
      <c r="Y56" s="55" t="s">
        <v>35</v>
      </c>
      <c r="Z56" s="56">
        <f t="shared" si="65"/>
        <v>-2.4</v>
      </c>
      <c r="AA56" s="55">
        <v>0.10608333333333334</v>
      </c>
      <c r="AB56" s="55">
        <f t="shared" si="61"/>
        <v>-2.2914000000000003</v>
      </c>
      <c r="AC56" s="55">
        <v>-5.42</v>
      </c>
      <c r="AD56" s="55">
        <v>-7.6288141025640996</v>
      </c>
      <c r="AE56" s="55">
        <v>0</v>
      </c>
      <c r="AF56" s="55">
        <v>0.74213836477987405</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E187" s="2"/>
      <c r="P187" s="2"/>
      <c r="AF187" s="23"/>
    </row>
    <row r="188" spans="1:32" ht="15.75" customHeight="1">
      <c r="E188" s="2"/>
      <c r="P188" s="2"/>
      <c r="AF188" s="23"/>
    </row>
    <row r="189" spans="1:32" ht="15.75" customHeight="1">
      <c r="E189" s="2"/>
      <c r="P189" s="2"/>
      <c r="AF189" s="23"/>
    </row>
    <row r="190" spans="1:32" ht="15.75" customHeight="1">
      <c r="E190" s="2"/>
      <c r="P190" s="2"/>
      <c r="AF190" s="23"/>
    </row>
    <row r="191" spans="1:32" ht="15.75" customHeight="1">
      <c r="E191" s="2"/>
      <c r="P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408" priority="1" operator="lessThan">
      <formula>100</formula>
    </cfRule>
  </conditionalFormatting>
  <conditionalFormatting sqref="Q1:Q3 Q57:Q1000">
    <cfRule type="cellIs" dxfId="407" priority="2" operator="lessThan">
      <formula>100</formula>
    </cfRule>
  </conditionalFormatting>
  <conditionalFormatting sqref="I1:I3 I57:I1000">
    <cfRule type="cellIs" dxfId="406" priority="3" operator="lessThan">
      <formula>0.05</formula>
    </cfRule>
  </conditionalFormatting>
  <conditionalFormatting sqref="I4:I17">
    <cfRule type="cellIs" dxfId="405" priority="4" operator="lessThan">
      <formula>0.05</formula>
    </cfRule>
  </conditionalFormatting>
  <conditionalFormatting sqref="I18:I56">
    <cfRule type="cellIs" dxfId="404" priority="5" operator="lessThan">
      <formula>0.05</formula>
    </cfRule>
  </conditionalFormatting>
  <conditionalFormatting sqref="Q4:Q56">
    <cfRule type="cellIs" dxfId="403" priority="6" operator="lessThan">
      <formula>100</formula>
    </cfRule>
  </conditionalFormatting>
  <conditionalFormatting sqref="Q4:Q56">
    <cfRule type="cellIs" dxfId="402" priority="7" operator="lessThan">
      <formula>100</formula>
    </cfRule>
  </conditionalFormatting>
  <pageMargins left="0.7" right="0.7" top="0.75" bottom="0.75" header="0" footer="0"/>
  <pageSetup orientation="portrait"/>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30.6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Info!B1:BJ5000""),4,FALSE),"""")"),"Pack of 2 Washable Waterproof Mattress Sheet Protector Bed Underpad - Large 36 x 54 inches with Tuck-Ins")</f>
        <v>Pack of 2 Washable Waterproof Mattress Sheet Protector Bed Underpad - Large 36 x 54 inches with Tuck-Ins</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Info!B1:BJ5000""),3,FALSE),"""")"),"B08429YPGZ")</f>
        <v>B08429YPGZ</v>
      </c>
      <c r="B2" s="4" t="s">
        <v>686</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44.7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24.340444947209647</v>
      </c>
      <c r="D3" s="8">
        <f>SUM(D4:D99819)</f>
        <v>488</v>
      </c>
      <c r="E3" s="8"/>
      <c r="F3" s="9">
        <f t="shared" ref="F3:G3" si="0">SUM(F4:F99819)</f>
        <v>14840.079999999998</v>
      </c>
      <c r="G3" s="9">
        <f t="shared" si="0"/>
        <v>-135.74</v>
      </c>
      <c r="H3" s="10">
        <f>G3/F3*-1</f>
        <v>9.1468509603721826E-3</v>
      </c>
      <c r="I3" s="11">
        <f>J3/F3</f>
        <v>0.1012590782175271</v>
      </c>
      <c r="J3" s="9">
        <f>SUM(J4:J99819)</f>
        <v>1502.6928214743593</v>
      </c>
      <c r="K3" s="9">
        <f>J3/D3</f>
        <v>3.0792885685949987</v>
      </c>
      <c r="L3" s="8"/>
      <c r="M3" s="12"/>
      <c r="N3" s="13"/>
      <c r="O3" s="8" t="str">
        <f ca="1">IFERROR(__xludf.DUMMYFUNCTION("IFERROR(VLOOKUP(B2,IMPORTRANGE(""https://docs.google.com/spreadsheets/d/1owCo6kL_VFQ5nPTdNogErmCBLjNiktT1m3SzTrxu3R0/edit#gid=2146806407"",""Second Star - Compiled!b1:g5000""),2,FALSE),"""")"),"2.5 - March
3 - April
2 - May
2 - Jun
2 - Jul
2 - Aug
2.5 - Sept
2.5 - Oct
2.5 - Nov
3 - Dec
3 - Jan
2.5 - Feb")</f>
        <v>2.5 - March
3 - April
2 - May
2 - Jun
2 - Jul
2 - Aug
2.5 - Sept
2.5 - Oct
2.5 - Nov
3 - Dec
3 - Jan
2.5 - Feb</v>
      </c>
      <c r="P3" s="8"/>
      <c r="Q3" s="14"/>
      <c r="R3" s="13"/>
      <c r="S3" s="13"/>
      <c r="T3" s="13"/>
      <c r="U3" s="8">
        <f>SUM(U4:U99819)</f>
        <v>17</v>
      </c>
      <c r="V3" s="10">
        <f>AVERAGE(V4:V99819)</f>
        <v>3.1787260358688924E-2</v>
      </c>
      <c r="W3" s="9">
        <f>ROUND(AVERAGE(W4:W99819),2)</f>
        <v>1.67</v>
      </c>
      <c r="X3" s="8"/>
      <c r="Y3" s="8"/>
      <c r="Z3" s="8"/>
      <c r="AA3" s="8"/>
      <c r="AB3" s="8"/>
      <c r="AC3" s="15"/>
      <c r="AD3" s="9"/>
      <c r="AE3" s="9">
        <f>SUM(AE4:AE99819)</f>
        <v>-5.38</v>
      </c>
      <c r="AF3" s="16"/>
    </row>
    <row r="4" spans="1:32" s="57" customFormat="1" hidden="1">
      <c r="A4" s="17" t="s">
        <v>48</v>
      </c>
      <c r="B4" s="17"/>
      <c r="C4" s="50"/>
      <c r="D4" s="51"/>
      <c r="E4" s="51">
        <v>0</v>
      </c>
      <c r="F4" s="51"/>
      <c r="G4" s="51"/>
      <c r="H4" s="51"/>
      <c r="I4" s="51"/>
      <c r="J4" s="51"/>
      <c r="K4" s="51"/>
      <c r="L4" s="51"/>
      <c r="M4" s="51"/>
      <c r="N4" s="51"/>
      <c r="O4" s="51"/>
      <c r="P4" s="51">
        <f t="shared" ref="P4:P14" si="1">E4/7</f>
        <v>0</v>
      </c>
      <c r="Q4" s="51" t="e">
        <f t="shared" ref="Q4:Q39" si="2">ROUNDDOWN(N4/(O4+P4),0)</f>
        <v>#DIV/0!</v>
      </c>
      <c r="R4" s="52"/>
      <c r="S4" s="53"/>
      <c r="T4" s="54"/>
      <c r="U4" s="52"/>
      <c r="V4" s="55"/>
      <c r="W4" s="55"/>
      <c r="X4" s="52"/>
      <c r="Y4" s="56"/>
      <c r="Z4" s="56"/>
      <c r="AA4" s="55"/>
      <c r="AB4" s="55"/>
      <c r="AC4" s="55"/>
      <c r="AD4" s="55"/>
      <c r="AE4" s="55"/>
      <c r="AF4" s="55"/>
    </row>
    <row r="5" spans="1:32" s="57" customFormat="1" ht="15.75" hidden="1" customHeight="1">
      <c r="A5" s="2" t="s">
        <v>49</v>
      </c>
      <c r="B5" s="2"/>
      <c r="C5" s="51"/>
      <c r="D5" s="51"/>
      <c r="E5" s="51">
        <v>0</v>
      </c>
      <c r="F5" s="51"/>
      <c r="G5" s="51"/>
      <c r="H5" s="51"/>
      <c r="I5" s="51"/>
      <c r="J5" s="51"/>
      <c r="K5" s="51"/>
      <c r="L5" s="51"/>
      <c r="M5" s="51"/>
      <c r="N5" s="51"/>
      <c r="O5" s="51"/>
      <c r="P5" s="51">
        <f t="shared" si="1"/>
        <v>0</v>
      </c>
      <c r="Q5" s="51" t="e">
        <f t="shared" si="2"/>
        <v>#DIV/0!</v>
      </c>
      <c r="R5" s="55"/>
      <c r="S5" s="53"/>
      <c r="T5" s="54"/>
      <c r="U5" s="55"/>
      <c r="V5" s="55"/>
      <c r="W5" s="55"/>
      <c r="X5" s="55"/>
      <c r="Y5" s="55"/>
      <c r="Z5" s="56"/>
      <c r="AA5" s="55"/>
      <c r="AB5" s="55"/>
      <c r="AC5" s="55"/>
      <c r="AD5" s="55"/>
      <c r="AE5" s="55"/>
      <c r="AF5" s="55"/>
    </row>
    <row r="6" spans="1:32" s="57" customFormat="1" ht="15.75" hidden="1" customHeight="1">
      <c r="A6" s="2" t="s">
        <v>51</v>
      </c>
      <c r="B6" s="2"/>
      <c r="C6" s="51"/>
      <c r="D6" s="51"/>
      <c r="E6" s="51">
        <v>0</v>
      </c>
      <c r="F6" s="51"/>
      <c r="G6" s="51"/>
      <c r="H6" s="51"/>
      <c r="I6" s="51"/>
      <c r="J6" s="51"/>
      <c r="K6" s="51"/>
      <c r="L6" s="51"/>
      <c r="M6" s="51"/>
      <c r="N6" s="51"/>
      <c r="O6" s="51"/>
      <c r="P6" s="51">
        <f t="shared" si="1"/>
        <v>0</v>
      </c>
      <c r="Q6" s="51" t="e">
        <f t="shared" si="2"/>
        <v>#DIV/0!</v>
      </c>
      <c r="R6" s="55"/>
      <c r="S6" s="53"/>
      <c r="T6" s="54"/>
      <c r="U6" s="55"/>
      <c r="V6" s="55"/>
      <c r="W6" s="55"/>
      <c r="X6" s="55"/>
      <c r="Y6" s="55"/>
      <c r="Z6" s="56"/>
      <c r="AA6" s="55"/>
      <c r="AB6" s="55"/>
      <c r="AC6" s="55"/>
      <c r="AD6" s="55"/>
      <c r="AE6" s="55"/>
      <c r="AF6" s="55"/>
    </row>
    <row r="7" spans="1:32" s="57" customFormat="1" ht="15.75" hidden="1" customHeight="1">
      <c r="A7" s="2" t="s">
        <v>53</v>
      </c>
      <c r="B7" s="2"/>
      <c r="C7" s="51"/>
      <c r="D7" s="51"/>
      <c r="E7" s="51">
        <v>0</v>
      </c>
      <c r="F7" s="51"/>
      <c r="G7" s="51"/>
      <c r="H7" s="51"/>
      <c r="I7" s="51"/>
      <c r="J7" s="51"/>
      <c r="K7" s="51"/>
      <c r="L7" s="51"/>
      <c r="M7" s="51"/>
      <c r="N7" s="51"/>
      <c r="O7" s="51"/>
      <c r="P7" s="51">
        <f t="shared" si="1"/>
        <v>0</v>
      </c>
      <c r="Q7" s="51" t="e">
        <f t="shared" si="2"/>
        <v>#DIV/0!</v>
      </c>
      <c r="R7" s="55"/>
      <c r="S7" s="53"/>
      <c r="T7" s="54"/>
      <c r="U7" s="55"/>
      <c r="V7" s="55"/>
      <c r="W7" s="55"/>
      <c r="X7" s="55"/>
      <c r="Y7" s="55"/>
      <c r="Z7" s="56"/>
      <c r="AA7" s="55"/>
      <c r="AB7" s="55"/>
      <c r="AC7" s="55"/>
      <c r="AD7" s="55"/>
      <c r="AE7" s="55"/>
      <c r="AF7" s="55"/>
    </row>
    <row r="8" spans="1:32" s="57" customFormat="1" ht="15.75" hidden="1" customHeight="1">
      <c r="A8" s="2" t="s">
        <v>54</v>
      </c>
      <c r="B8" s="2"/>
      <c r="C8" s="51"/>
      <c r="D8" s="51"/>
      <c r="E8" s="51">
        <v>0</v>
      </c>
      <c r="F8" s="51"/>
      <c r="G8" s="51"/>
      <c r="H8" s="51"/>
      <c r="I8" s="51"/>
      <c r="J8" s="51"/>
      <c r="K8" s="51"/>
      <c r="L8" s="51"/>
      <c r="M8" s="51"/>
      <c r="N8" s="51"/>
      <c r="O8" s="51"/>
      <c r="P8" s="51">
        <f t="shared" si="1"/>
        <v>0</v>
      </c>
      <c r="Q8" s="51" t="e">
        <f t="shared" si="2"/>
        <v>#DIV/0!</v>
      </c>
      <c r="R8" s="55"/>
      <c r="S8" s="53"/>
      <c r="T8" s="54"/>
      <c r="U8" s="55"/>
      <c r="V8" s="55"/>
      <c r="W8" s="55"/>
      <c r="X8" s="55"/>
      <c r="Y8" s="55"/>
      <c r="Z8" s="56"/>
      <c r="AA8" s="55"/>
      <c r="AB8" s="55"/>
      <c r="AC8" s="55"/>
      <c r="AD8" s="55"/>
      <c r="AE8" s="55"/>
      <c r="AF8" s="55"/>
    </row>
    <row r="9" spans="1:32" s="57" customFormat="1" ht="15.75" hidden="1" customHeight="1">
      <c r="A9" s="2" t="s">
        <v>56</v>
      </c>
      <c r="B9" s="2"/>
      <c r="C9" s="51"/>
      <c r="D9" s="51"/>
      <c r="E9" s="51">
        <v>0</v>
      </c>
      <c r="F9" s="51"/>
      <c r="G9" s="51"/>
      <c r="H9" s="51"/>
      <c r="I9" s="51"/>
      <c r="J9" s="51"/>
      <c r="K9" s="51"/>
      <c r="L9" s="51"/>
      <c r="M9" s="51"/>
      <c r="N9" s="51"/>
      <c r="O9" s="51"/>
      <c r="P9" s="51">
        <f t="shared" si="1"/>
        <v>0</v>
      </c>
      <c r="Q9" s="51" t="e">
        <f t="shared" si="2"/>
        <v>#DIV/0!</v>
      </c>
      <c r="R9" s="55"/>
      <c r="S9" s="53"/>
      <c r="T9" s="54"/>
      <c r="U9" s="55"/>
      <c r="V9" s="55"/>
      <c r="W9" s="55"/>
      <c r="X9" s="55"/>
      <c r="Y9" s="55"/>
      <c r="Z9" s="56"/>
      <c r="AA9" s="55"/>
      <c r="AB9" s="55"/>
      <c r="AC9" s="55"/>
      <c r="AD9" s="55"/>
      <c r="AE9" s="55"/>
      <c r="AF9" s="55"/>
    </row>
    <row r="10" spans="1:32" s="57" customFormat="1" ht="15.75" hidden="1" customHeight="1">
      <c r="A10" s="2" t="s">
        <v>58</v>
      </c>
      <c r="B10" s="2"/>
      <c r="C10" s="51"/>
      <c r="D10" s="51"/>
      <c r="E10" s="51">
        <v>0</v>
      </c>
      <c r="F10" s="51"/>
      <c r="G10" s="51"/>
      <c r="H10" s="51"/>
      <c r="I10" s="51"/>
      <c r="J10" s="51"/>
      <c r="K10" s="51"/>
      <c r="L10" s="51"/>
      <c r="M10" s="51"/>
      <c r="N10" s="51"/>
      <c r="O10" s="51"/>
      <c r="P10" s="51">
        <f t="shared" si="1"/>
        <v>0</v>
      </c>
      <c r="Q10" s="51" t="e">
        <f t="shared" si="2"/>
        <v>#DIV/0!</v>
      </c>
      <c r="R10" s="55"/>
      <c r="S10" s="53"/>
      <c r="T10" s="54"/>
      <c r="U10" s="55"/>
      <c r="V10" s="55"/>
      <c r="W10" s="55"/>
      <c r="X10" s="55"/>
      <c r="Y10" s="55"/>
      <c r="Z10" s="56"/>
      <c r="AA10" s="55"/>
      <c r="AB10" s="55"/>
      <c r="AC10" s="55"/>
      <c r="AD10" s="55"/>
      <c r="AE10" s="55"/>
      <c r="AF10" s="55"/>
    </row>
    <row r="11" spans="1:32" s="57" customFormat="1" ht="15.75" hidden="1" customHeight="1">
      <c r="A11" s="2" t="s">
        <v>60</v>
      </c>
      <c r="B11" s="2"/>
      <c r="C11" s="51"/>
      <c r="D11" s="51"/>
      <c r="E11" s="51">
        <v>0</v>
      </c>
      <c r="F11" s="51"/>
      <c r="G11" s="51"/>
      <c r="H11" s="51"/>
      <c r="I11" s="51"/>
      <c r="J11" s="51"/>
      <c r="K11" s="51"/>
      <c r="L11" s="51"/>
      <c r="M11" s="51"/>
      <c r="N11" s="51"/>
      <c r="O11" s="51"/>
      <c r="P11" s="51">
        <f t="shared" si="1"/>
        <v>0</v>
      </c>
      <c r="Q11" s="51" t="e">
        <f t="shared" si="2"/>
        <v>#DIV/0!</v>
      </c>
      <c r="R11" s="55"/>
      <c r="S11" s="53"/>
      <c r="T11" s="54"/>
      <c r="U11" s="55"/>
      <c r="V11" s="55"/>
      <c r="W11" s="55"/>
      <c r="X11" s="55"/>
      <c r="Y11" s="55"/>
      <c r="Z11" s="56"/>
      <c r="AA11" s="55"/>
      <c r="AB11" s="55"/>
      <c r="AC11" s="55"/>
      <c r="AD11" s="55"/>
      <c r="AE11" s="55"/>
      <c r="AF11" s="55"/>
    </row>
    <row r="12" spans="1:32" s="57" customFormat="1" ht="15.75" hidden="1" customHeight="1">
      <c r="A12" s="2" t="s">
        <v>62</v>
      </c>
      <c r="B12" s="2"/>
      <c r="C12" s="51"/>
      <c r="D12" s="51"/>
      <c r="E12" s="51">
        <v>0</v>
      </c>
      <c r="F12" s="51"/>
      <c r="G12" s="51"/>
      <c r="H12" s="51"/>
      <c r="I12" s="51"/>
      <c r="J12" s="51"/>
      <c r="K12" s="51"/>
      <c r="L12" s="51"/>
      <c r="M12" s="51"/>
      <c r="N12" s="51"/>
      <c r="O12" s="51"/>
      <c r="P12" s="51">
        <f t="shared" si="1"/>
        <v>0</v>
      </c>
      <c r="Q12" s="51" t="e">
        <f t="shared" si="2"/>
        <v>#DIV/0!</v>
      </c>
      <c r="R12" s="55"/>
      <c r="S12" s="53"/>
      <c r="T12" s="54"/>
      <c r="U12" s="55"/>
      <c r="V12" s="55"/>
      <c r="W12" s="55"/>
      <c r="X12" s="55"/>
      <c r="Y12" s="55"/>
      <c r="Z12" s="56"/>
      <c r="AA12" s="55"/>
      <c r="AB12" s="55"/>
      <c r="AC12" s="55"/>
      <c r="AD12" s="55"/>
      <c r="AE12" s="55"/>
      <c r="AF12" s="55"/>
    </row>
    <row r="13" spans="1:32" s="57" customFormat="1" ht="15.75" hidden="1" customHeight="1">
      <c r="A13" s="2" t="s">
        <v>63</v>
      </c>
      <c r="B13" s="2"/>
      <c r="C13" s="51"/>
      <c r="D13" s="51"/>
      <c r="E13" s="51">
        <v>0</v>
      </c>
      <c r="F13" s="51"/>
      <c r="G13" s="51"/>
      <c r="H13" s="51"/>
      <c r="I13" s="51"/>
      <c r="J13" s="51"/>
      <c r="K13" s="51"/>
      <c r="L13" s="51"/>
      <c r="M13" s="51"/>
      <c r="N13" s="51"/>
      <c r="O13" s="51"/>
      <c r="P13" s="51">
        <f t="shared" si="1"/>
        <v>0</v>
      </c>
      <c r="Q13" s="51" t="e">
        <f t="shared" si="2"/>
        <v>#DIV/0!</v>
      </c>
      <c r="R13" s="55"/>
      <c r="S13" s="53"/>
      <c r="T13" s="54"/>
      <c r="U13" s="55"/>
      <c r="V13" s="55"/>
      <c r="W13" s="55"/>
      <c r="X13" s="55"/>
      <c r="Y13" s="55"/>
      <c r="Z13" s="56"/>
      <c r="AA13" s="55"/>
      <c r="AB13" s="55"/>
      <c r="AC13" s="55"/>
      <c r="AD13" s="55"/>
      <c r="AE13" s="55"/>
      <c r="AF13" s="55"/>
    </row>
    <row r="14" spans="1:32" s="57" customFormat="1" ht="15.75" hidden="1" customHeight="1">
      <c r="A14" s="2" t="s">
        <v>64</v>
      </c>
      <c r="B14" s="2"/>
      <c r="C14" s="51"/>
      <c r="D14" s="51"/>
      <c r="E14" s="51">
        <v>0</v>
      </c>
      <c r="F14" s="51"/>
      <c r="G14" s="51"/>
      <c r="H14" s="51"/>
      <c r="I14" s="51"/>
      <c r="J14" s="51"/>
      <c r="K14" s="51"/>
      <c r="L14" s="51"/>
      <c r="M14" s="51"/>
      <c r="N14" s="51"/>
      <c r="O14" s="51"/>
      <c r="P14" s="51">
        <f t="shared" si="1"/>
        <v>0</v>
      </c>
      <c r="Q14" s="51" t="e">
        <f t="shared" si="2"/>
        <v>#DIV/0!</v>
      </c>
      <c r="R14" s="55"/>
      <c r="S14" s="53"/>
      <c r="T14" s="54"/>
      <c r="U14" s="55"/>
      <c r="V14" s="55"/>
      <c r="W14" s="55"/>
      <c r="X14" s="55"/>
      <c r="Y14" s="55"/>
      <c r="Z14" s="56"/>
      <c r="AA14" s="55"/>
      <c r="AB14" s="55"/>
      <c r="AC14" s="55"/>
      <c r="AD14" s="55"/>
      <c r="AE14" s="55"/>
      <c r="AF14" s="55"/>
    </row>
    <row r="15" spans="1:32" s="57" customFormat="1" ht="15.75" customHeight="1">
      <c r="A15" s="2" t="s">
        <v>65</v>
      </c>
      <c r="B15" s="2" t="s">
        <v>687</v>
      </c>
      <c r="C15" s="51">
        <v>99.99</v>
      </c>
      <c r="D15" s="51">
        <v>1</v>
      </c>
      <c r="E15" s="51">
        <v>0</v>
      </c>
      <c r="F15" s="51">
        <v>99.99</v>
      </c>
      <c r="G15" s="51">
        <v>0</v>
      </c>
      <c r="H15" s="51">
        <f t="shared" ref="H15:H39" si="3">G15/F15*-1</f>
        <v>0</v>
      </c>
      <c r="I15" s="51">
        <f t="shared" ref="I15:I39" si="4">J15/F15</f>
        <v>0.53174407718549632</v>
      </c>
      <c r="J15" s="51">
        <f t="shared" ref="J15:J38" si="5">F15*0.85+G15+AD15*D15+D15*AC15+AE15+AB15</f>
        <v>53.169090277777769</v>
      </c>
      <c r="K15" s="51">
        <f t="shared" ref="K15:K39" si="6">J15/D15</f>
        <v>53.169090277777769</v>
      </c>
      <c r="L15" s="51">
        <v>0</v>
      </c>
      <c r="M15" s="51" t="str">
        <f t="shared" ref="M15:M39" si="7">IFERROR(D15/L15,"-")</f>
        <v>-</v>
      </c>
      <c r="N15" s="51">
        <v>214</v>
      </c>
      <c r="O15" s="51">
        <f t="shared" ref="O15:P15" si="8">D15/7</f>
        <v>0.14285714285714285</v>
      </c>
      <c r="P15" s="51">
        <f t="shared" si="8"/>
        <v>0</v>
      </c>
      <c r="Q15" s="51">
        <f t="shared" si="2"/>
        <v>1498</v>
      </c>
      <c r="R15" s="55">
        <v>0</v>
      </c>
      <c r="S15" s="53" t="s">
        <v>34</v>
      </c>
      <c r="T15" s="54" t="s">
        <v>34</v>
      </c>
      <c r="U15" s="55">
        <v>0</v>
      </c>
      <c r="V15" s="55">
        <f t="shared" ref="V15:V39" si="9">IFERROR(U15/D15,0)</f>
        <v>0</v>
      </c>
      <c r="W15" s="55">
        <f t="shared" ref="W15:W39" si="10">IFERROR(G15/(U15+X15)*-1,0)</f>
        <v>0</v>
      </c>
      <c r="X15" s="55">
        <v>0</v>
      </c>
      <c r="Y15" s="55" t="s">
        <v>35</v>
      </c>
      <c r="Z15" s="56">
        <f t="shared" ref="Z15:Z39" si="11">IF(OR(Y15="UsLargeStandardSize",Y15="UsSmallStandardSize"),-0.75,-0.48)</f>
        <v>-0.75</v>
      </c>
      <c r="AA15" s="55">
        <v>0.26224074074074072</v>
      </c>
      <c r="AB15" s="55">
        <f t="shared" ref="AB15:AB17" si="12">IFERROR((Z15*AA15*N15)/4,0)</f>
        <v>-10.522409722222221</v>
      </c>
      <c r="AC15" s="55">
        <v>-5.8</v>
      </c>
      <c r="AD15" s="58">
        <v>-15.5</v>
      </c>
      <c r="AE15" s="55">
        <v>0</v>
      </c>
      <c r="AF15" s="55"/>
    </row>
    <row r="16" spans="1:32" s="57" customFormat="1" ht="15.75" customHeight="1">
      <c r="A16" s="2" t="s">
        <v>66</v>
      </c>
      <c r="B16" s="2" t="s">
        <v>688</v>
      </c>
      <c r="C16" s="51">
        <v>34.99</v>
      </c>
      <c r="D16" s="51">
        <v>0</v>
      </c>
      <c r="E16" s="51">
        <v>0</v>
      </c>
      <c r="F16" s="51">
        <v>0</v>
      </c>
      <c r="G16" s="51">
        <v>0</v>
      </c>
      <c r="H16" s="51" t="e">
        <f t="shared" si="3"/>
        <v>#DIV/0!</v>
      </c>
      <c r="I16" s="51" t="e">
        <f t="shared" si="4"/>
        <v>#DIV/0!</v>
      </c>
      <c r="J16" s="51">
        <f t="shared" si="5"/>
        <v>-10.522409722222221</v>
      </c>
      <c r="K16" s="51" t="e">
        <f t="shared" si="6"/>
        <v>#DIV/0!</v>
      </c>
      <c r="L16" s="51">
        <v>0</v>
      </c>
      <c r="M16" s="51" t="str">
        <f t="shared" si="7"/>
        <v>-</v>
      </c>
      <c r="N16" s="51">
        <v>214</v>
      </c>
      <c r="O16" s="51">
        <f t="shared" ref="O16:P16" si="13">D16/7</f>
        <v>0</v>
      </c>
      <c r="P16" s="51">
        <f t="shared" si="13"/>
        <v>0</v>
      </c>
      <c r="Q16" s="51" t="e">
        <f t="shared" si="2"/>
        <v>#DIV/0!</v>
      </c>
      <c r="R16" s="55">
        <v>0</v>
      </c>
      <c r="S16" s="53" t="s">
        <v>34</v>
      </c>
      <c r="T16" s="54" t="s">
        <v>34</v>
      </c>
      <c r="U16" s="55">
        <v>0</v>
      </c>
      <c r="V16" s="55">
        <f t="shared" si="9"/>
        <v>0</v>
      </c>
      <c r="W16" s="55">
        <f t="shared" si="10"/>
        <v>0</v>
      </c>
      <c r="X16" s="55">
        <v>0</v>
      </c>
      <c r="Y16" s="55" t="s">
        <v>35</v>
      </c>
      <c r="Z16" s="56">
        <f t="shared" si="11"/>
        <v>-0.75</v>
      </c>
      <c r="AA16" s="55">
        <v>0.26224074074074072</v>
      </c>
      <c r="AB16" s="55">
        <f t="shared" si="12"/>
        <v>-10.522409722222221</v>
      </c>
      <c r="AC16" s="55">
        <v>-5.8</v>
      </c>
      <c r="AD16" s="58">
        <v>-15.5</v>
      </c>
      <c r="AE16" s="55">
        <v>0</v>
      </c>
      <c r="AF16" s="55"/>
    </row>
    <row r="17" spans="1:32" s="57" customFormat="1" ht="15.75" customHeight="1">
      <c r="A17" s="2" t="s">
        <v>67</v>
      </c>
      <c r="B17" s="2" t="s">
        <v>689</v>
      </c>
      <c r="C17" s="51">
        <v>34.99</v>
      </c>
      <c r="D17" s="51">
        <v>1</v>
      </c>
      <c r="E17" s="51">
        <v>0</v>
      </c>
      <c r="F17" s="51">
        <v>34.99</v>
      </c>
      <c r="G17" s="51">
        <v>0</v>
      </c>
      <c r="H17" s="51">
        <f t="shared" si="3"/>
        <v>0</v>
      </c>
      <c r="I17" s="51">
        <f t="shared" si="4"/>
        <v>-5.947155536502486E-2</v>
      </c>
      <c r="J17" s="51">
        <f t="shared" si="5"/>
        <v>-2.0809097222222199</v>
      </c>
      <c r="K17" s="51">
        <f t="shared" si="6"/>
        <v>-2.0809097222222199</v>
      </c>
      <c r="L17" s="51">
        <v>62</v>
      </c>
      <c r="M17" s="51">
        <f t="shared" si="7"/>
        <v>1.6129032258064516E-2</v>
      </c>
      <c r="N17" s="51">
        <v>214</v>
      </c>
      <c r="O17" s="51">
        <f t="shared" ref="O17:P17" si="14">D17/7</f>
        <v>0.14285714285714285</v>
      </c>
      <c r="P17" s="51">
        <f t="shared" si="14"/>
        <v>0</v>
      </c>
      <c r="Q17" s="51">
        <f t="shared" si="2"/>
        <v>1498</v>
      </c>
      <c r="R17" s="55">
        <v>0</v>
      </c>
      <c r="S17" s="53" t="s">
        <v>34</v>
      </c>
      <c r="T17" s="54" t="s">
        <v>34</v>
      </c>
      <c r="U17" s="55">
        <v>0</v>
      </c>
      <c r="V17" s="55">
        <f t="shared" si="9"/>
        <v>0</v>
      </c>
      <c r="W17" s="55">
        <f t="shared" si="10"/>
        <v>0</v>
      </c>
      <c r="X17" s="55">
        <v>0</v>
      </c>
      <c r="Y17" s="55" t="s">
        <v>35</v>
      </c>
      <c r="Z17" s="56">
        <f t="shared" si="11"/>
        <v>-0.75</v>
      </c>
      <c r="AA17" s="55">
        <v>0.26224074074074072</v>
      </c>
      <c r="AB17" s="55">
        <f t="shared" si="12"/>
        <v>-10.522409722222221</v>
      </c>
      <c r="AC17" s="55">
        <v>-5.8</v>
      </c>
      <c r="AD17" s="58">
        <v>-15.5</v>
      </c>
      <c r="AE17" s="55">
        <v>0</v>
      </c>
      <c r="AF17" s="55"/>
    </row>
    <row r="18" spans="1:32" s="57" customFormat="1" ht="15.75" customHeight="1">
      <c r="A18" s="2" t="s">
        <v>69</v>
      </c>
      <c r="B18" s="2" t="s">
        <v>690</v>
      </c>
      <c r="C18" s="51">
        <v>30.99</v>
      </c>
      <c r="D18" s="51">
        <v>3</v>
      </c>
      <c r="E18" s="51">
        <v>0</v>
      </c>
      <c r="F18" s="51">
        <v>98.97</v>
      </c>
      <c r="G18" s="51">
        <v>0</v>
      </c>
      <c r="H18" s="51">
        <f t="shared" si="3"/>
        <v>0</v>
      </c>
      <c r="I18" s="51">
        <f t="shared" si="4"/>
        <v>0.18646433262604828</v>
      </c>
      <c r="J18" s="51">
        <f t="shared" si="5"/>
        <v>18.454374999999999</v>
      </c>
      <c r="K18" s="51">
        <f t="shared" si="6"/>
        <v>6.1514583333333333</v>
      </c>
      <c r="L18" s="51">
        <v>71</v>
      </c>
      <c r="M18" s="51">
        <f t="shared" si="7"/>
        <v>4.2253521126760563E-2</v>
      </c>
      <c r="N18" s="51">
        <v>207</v>
      </c>
      <c r="O18" s="51">
        <f t="shared" ref="O18:P18" si="15">D18/7</f>
        <v>0.42857142857142855</v>
      </c>
      <c r="P18" s="51">
        <f t="shared" si="15"/>
        <v>0</v>
      </c>
      <c r="Q18" s="51">
        <f t="shared" si="2"/>
        <v>483</v>
      </c>
      <c r="R18" s="55">
        <v>0</v>
      </c>
      <c r="S18" s="53" t="s">
        <v>34</v>
      </c>
      <c r="T18" s="54" t="s">
        <v>34</v>
      </c>
      <c r="U18" s="55">
        <v>0</v>
      </c>
      <c r="V18" s="55">
        <f t="shared" si="9"/>
        <v>0</v>
      </c>
      <c r="W18" s="55">
        <f t="shared" si="10"/>
        <v>0</v>
      </c>
      <c r="X18" s="55">
        <v>0</v>
      </c>
      <c r="Y18" s="55" t="s">
        <v>35</v>
      </c>
      <c r="Z18" s="56">
        <f t="shared" si="11"/>
        <v>-0.75</v>
      </c>
      <c r="AA18" s="55">
        <v>0.26224074074074072</v>
      </c>
      <c r="AB18" s="58">
        <f t="shared" ref="AB18:AB39" si="16">IFERROR(Z18*AA18*D18*3,0)</f>
        <v>-1.7701249999999997</v>
      </c>
      <c r="AC18" s="55">
        <v>-5.8</v>
      </c>
      <c r="AD18" s="58">
        <v>-15.5</v>
      </c>
      <c r="AE18" s="55">
        <v>0</v>
      </c>
      <c r="AF18" s="55"/>
    </row>
    <row r="19" spans="1:32" s="57" customFormat="1" ht="15.75" customHeight="1">
      <c r="A19" s="2" t="s">
        <v>71</v>
      </c>
      <c r="B19" s="2" t="s">
        <v>691</v>
      </c>
      <c r="C19" s="51">
        <v>28</v>
      </c>
      <c r="D19" s="51">
        <v>11</v>
      </c>
      <c r="E19" s="51">
        <v>0</v>
      </c>
      <c r="F19" s="51">
        <v>338.89</v>
      </c>
      <c r="G19" s="51">
        <v>-8.0399999999999991</v>
      </c>
      <c r="H19" s="51">
        <f t="shared" si="3"/>
        <v>2.3724512378647936E-2</v>
      </c>
      <c r="I19" s="51">
        <f t="shared" si="4"/>
        <v>0.11574859590624278</v>
      </c>
      <c r="J19" s="51">
        <f t="shared" si="5"/>
        <v>39.226041666666617</v>
      </c>
      <c r="K19" s="51">
        <f t="shared" si="6"/>
        <v>3.5660037878787834</v>
      </c>
      <c r="L19" s="51">
        <v>81</v>
      </c>
      <c r="M19" s="51">
        <f t="shared" si="7"/>
        <v>0.13580246913580246</v>
      </c>
      <c r="N19" s="51">
        <v>199</v>
      </c>
      <c r="O19" s="51">
        <f t="shared" ref="O19:P19" si="17">D19/7</f>
        <v>1.5714285714285714</v>
      </c>
      <c r="P19" s="51">
        <f t="shared" si="17"/>
        <v>0</v>
      </c>
      <c r="Q19" s="51">
        <f t="shared" si="2"/>
        <v>126</v>
      </c>
      <c r="R19" s="55">
        <v>0</v>
      </c>
      <c r="S19" s="53" t="s">
        <v>34</v>
      </c>
      <c r="T19" s="54" t="s">
        <v>34</v>
      </c>
      <c r="U19" s="55">
        <v>0</v>
      </c>
      <c r="V19" s="55">
        <f t="shared" si="9"/>
        <v>0</v>
      </c>
      <c r="W19" s="55">
        <f t="shared" si="10"/>
        <v>0</v>
      </c>
      <c r="X19" s="55">
        <v>0</v>
      </c>
      <c r="Y19" s="55" t="s">
        <v>35</v>
      </c>
      <c r="Z19" s="56">
        <f t="shared" si="11"/>
        <v>-0.75</v>
      </c>
      <c r="AA19" s="55">
        <v>0.26224074074074072</v>
      </c>
      <c r="AB19" s="55">
        <f t="shared" si="16"/>
        <v>-6.4904583333333328</v>
      </c>
      <c r="AC19" s="55">
        <v>-5.8</v>
      </c>
      <c r="AD19" s="58">
        <v>-15.5</v>
      </c>
      <c r="AE19" s="55">
        <v>0</v>
      </c>
      <c r="AF19" s="55"/>
    </row>
    <row r="20" spans="1:32" s="57" customFormat="1" ht="15.75" customHeight="1">
      <c r="A20" s="2" t="s">
        <v>73</v>
      </c>
      <c r="B20" s="2" t="s">
        <v>692</v>
      </c>
      <c r="C20" s="51">
        <v>29.99</v>
      </c>
      <c r="D20" s="51">
        <v>6</v>
      </c>
      <c r="E20" s="51">
        <v>0</v>
      </c>
      <c r="F20" s="51">
        <v>172.2</v>
      </c>
      <c r="G20" s="51">
        <v>-22.9</v>
      </c>
      <c r="H20" s="51">
        <f t="shared" si="3"/>
        <v>0.13298490127758419</v>
      </c>
      <c r="I20" s="51">
        <f t="shared" si="4"/>
        <v>-4.5704123112659853E-2</v>
      </c>
      <c r="J20" s="51">
        <f t="shared" si="5"/>
        <v>-7.8702500000000262</v>
      </c>
      <c r="K20" s="51">
        <f t="shared" si="6"/>
        <v>-1.3117083333333377</v>
      </c>
      <c r="L20" s="51">
        <v>77</v>
      </c>
      <c r="M20" s="51">
        <f t="shared" si="7"/>
        <v>7.792207792207792E-2</v>
      </c>
      <c r="N20" s="51">
        <v>188</v>
      </c>
      <c r="O20" s="51">
        <f t="shared" ref="O20:P20" si="18">D20/7</f>
        <v>0.8571428571428571</v>
      </c>
      <c r="P20" s="51">
        <f t="shared" si="18"/>
        <v>0</v>
      </c>
      <c r="Q20" s="51">
        <f t="shared" si="2"/>
        <v>219</v>
      </c>
      <c r="R20" s="55">
        <v>0</v>
      </c>
      <c r="S20" s="53" t="s">
        <v>34</v>
      </c>
      <c r="T20" s="54" t="s">
        <v>34</v>
      </c>
      <c r="U20" s="55">
        <v>1</v>
      </c>
      <c r="V20" s="55">
        <f t="shared" si="9"/>
        <v>0.16666666666666666</v>
      </c>
      <c r="W20" s="55">
        <f t="shared" si="10"/>
        <v>22.9</v>
      </c>
      <c r="X20" s="55">
        <v>0</v>
      </c>
      <c r="Y20" s="55" t="s">
        <v>35</v>
      </c>
      <c r="Z20" s="56">
        <f t="shared" si="11"/>
        <v>-0.75</v>
      </c>
      <c r="AA20" s="55">
        <v>0.26224074074074072</v>
      </c>
      <c r="AB20" s="55">
        <f t="shared" si="16"/>
        <v>-3.5402499999999995</v>
      </c>
      <c r="AC20" s="55">
        <v>-5.8</v>
      </c>
      <c r="AD20" s="58">
        <v>-15.5</v>
      </c>
      <c r="AE20" s="55">
        <v>0</v>
      </c>
      <c r="AF20" s="55"/>
    </row>
    <row r="21" spans="1:32" s="57" customFormat="1" ht="15.75" customHeight="1">
      <c r="A21" s="2" t="s">
        <v>75</v>
      </c>
      <c r="B21" s="2" t="s">
        <v>693</v>
      </c>
      <c r="C21" s="51">
        <v>25.99</v>
      </c>
      <c r="D21" s="51">
        <v>17</v>
      </c>
      <c r="E21" s="51">
        <v>0</v>
      </c>
      <c r="F21" s="51">
        <v>469.8300000000001</v>
      </c>
      <c r="G21" s="51">
        <v>-2.37</v>
      </c>
      <c r="H21" s="51">
        <f t="shared" si="3"/>
        <v>5.0443777536555764E-3</v>
      </c>
      <c r="I21" s="51">
        <f t="shared" si="4"/>
        <v>5.2901670107627717E-2</v>
      </c>
      <c r="J21" s="51">
        <f t="shared" si="5"/>
        <v>24.854791666666735</v>
      </c>
      <c r="K21" s="51">
        <f t="shared" si="6"/>
        <v>1.4620465686274551</v>
      </c>
      <c r="L21" s="51">
        <v>134</v>
      </c>
      <c r="M21" s="51">
        <f t="shared" si="7"/>
        <v>0.12686567164179105</v>
      </c>
      <c r="N21" s="51">
        <v>175</v>
      </c>
      <c r="O21" s="51">
        <f t="shared" ref="O21:P21" si="19">D21/7</f>
        <v>2.4285714285714284</v>
      </c>
      <c r="P21" s="51">
        <f t="shared" si="19"/>
        <v>0</v>
      </c>
      <c r="Q21" s="51">
        <f t="shared" si="2"/>
        <v>72</v>
      </c>
      <c r="R21" s="55">
        <v>0</v>
      </c>
      <c r="S21" s="53" t="s">
        <v>34</v>
      </c>
      <c r="T21" s="54" t="s">
        <v>34</v>
      </c>
      <c r="U21" s="55">
        <v>0</v>
      </c>
      <c r="V21" s="55">
        <f t="shared" si="9"/>
        <v>0</v>
      </c>
      <c r="W21" s="55">
        <f t="shared" si="10"/>
        <v>2.37</v>
      </c>
      <c r="X21" s="55">
        <v>1</v>
      </c>
      <c r="Y21" s="55" t="s">
        <v>35</v>
      </c>
      <c r="Z21" s="56">
        <f t="shared" si="11"/>
        <v>-0.75</v>
      </c>
      <c r="AA21" s="55">
        <v>0.26224074074074072</v>
      </c>
      <c r="AB21" s="55">
        <f t="shared" si="16"/>
        <v>-10.030708333333331</v>
      </c>
      <c r="AC21" s="55">
        <v>-5.8</v>
      </c>
      <c r="AD21" s="58">
        <v>-15.5</v>
      </c>
      <c r="AE21" s="55">
        <v>0</v>
      </c>
      <c r="AF21" s="55"/>
    </row>
    <row r="22" spans="1:32" s="57" customFormat="1" ht="15.75" customHeight="1">
      <c r="A22" s="2" t="s">
        <v>77</v>
      </c>
      <c r="B22" s="2" t="s">
        <v>694</v>
      </c>
      <c r="C22" s="51">
        <v>25.99</v>
      </c>
      <c r="D22" s="51">
        <v>24</v>
      </c>
      <c r="E22" s="51">
        <v>0</v>
      </c>
      <c r="F22" s="51">
        <v>623.7600000000001</v>
      </c>
      <c r="G22" s="51">
        <v>-4.12</v>
      </c>
      <c r="H22" s="51">
        <f t="shared" si="3"/>
        <v>6.6051045273823258E-3</v>
      </c>
      <c r="I22" s="51">
        <f t="shared" si="4"/>
        <v>1.1462742080287855E-3</v>
      </c>
      <c r="J22" s="51">
        <f t="shared" si="5"/>
        <v>0.71500000000003539</v>
      </c>
      <c r="K22" s="51">
        <f t="shared" si="6"/>
        <v>2.9791666666668142E-2</v>
      </c>
      <c r="L22" s="51">
        <v>117</v>
      </c>
      <c r="M22" s="51">
        <f t="shared" si="7"/>
        <v>0.20512820512820512</v>
      </c>
      <c r="N22" s="51">
        <v>142</v>
      </c>
      <c r="O22" s="51">
        <f t="shared" ref="O22:P22" si="20">D22/7</f>
        <v>3.4285714285714284</v>
      </c>
      <c r="P22" s="51">
        <f t="shared" si="20"/>
        <v>0</v>
      </c>
      <c r="Q22" s="51">
        <f t="shared" si="2"/>
        <v>41</v>
      </c>
      <c r="R22" s="55">
        <v>0</v>
      </c>
      <c r="S22" s="53" t="s">
        <v>34</v>
      </c>
      <c r="T22" s="54" t="s">
        <v>34</v>
      </c>
      <c r="U22" s="55">
        <v>1</v>
      </c>
      <c r="V22" s="55">
        <f t="shared" si="9"/>
        <v>4.1666666666666664E-2</v>
      </c>
      <c r="W22" s="55">
        <f t="shared" si="10"/>
        <v>4.12</v>
      </c>
      <c r="X22" s="55">
        <v>0</v>
      </c>
      <c r="Y22" s="55" t="s">
        <v>35</v>
      </c>
      <c r="Z22" s="56">
        <f t="shared" si="11"/>
        <v>-0.75</v>
      </c>
      <c r="AA22" s="55">
        <v>0.26224074074074072</v>
      </c>
      <c r="AB22" s="55">
        <f t="shared" si="16"/>
        <v>-14.160999999999998</v>
      </c>
      <c r="AC22" s="55">
        <v>-5.8</v>
      </c>
      <c r="AD22" s="58">
        <v>-15.5</v>
      </c>
      <c r="AE22" s="55">
        <v>0</v>
      </c>
      <c r="AF22" s="55"/>
    </row>
    <row r="23" spans="1:32" s="57" customFormat="1" ht="15.75" customHeight="1">
      <c r="A23" s="2" t="s">
        <v>79</v>
      </c>
      <c r="B23" s="2" t="s">
        <v>695</v>
      </c>
      <c r="C23" s="51">
        <v>25.99</v>
      </c>
      <c r="D23" s="51">
        <v>21</v>
      </c>
      <c r="E23" s="51">
        <v>0</v>
      </c>
      <c r="F23" s="51">
        <v>545.79000000000008</v>
      </c>
      <c r="G23" s="61">
        <v>-9.06</v>
      </c>
      <c r="H23" s="51">
        <f t="shared" si="3"/>
        <v>1.6599791128455998E-2</v>
      </c>
      <c r="I23" s="51">
        <f t="shared" si="4"/>
        <v>-8.8484123930448726E-3</v>
      </c>
      <c r="J23" s="51">
        <f t="shared" si="5"/>
        <v>-4.8293749999999616</v>
      </c>
      <c r="K23" s="51">
        <f t="shared" si="6"/>
        <v>-0.22997023809523626</v>
      </c>
      <c r="L23" s="51">
        <v>115</v>
      </c>
      <c r="M23" s="51">
        <f t="shared" si="7"/>
        <v>0.18260869565217391</v>
      </c>
      <c r="N23" s="51">
        <v>135</v>
      </c>
      <c r="O23" s="51">
        <f t="shared" ref="O23:P23" si="21">D23/7</f>
        <v>3</v>
      </c>
      <c r="P23" s="51">
        <f t="shared" si="21"/>
        <v>0</v>
      </c>
      <c r="Q23" s="51">
        <f t="shared" si="2"/>
        <v>45</v>
      </c>
      <c r="R23" s="55">
        <v>0</v>
      </c>
      <c r="S23" s="53" t="s">
        <v>34</v>
      </c>
      <c r="T23" s="54" t="s">
        <v>34</v>
      </c>
      <c r="U23" s="55">
        <v>1</v>
      </c>
      <c r="V23" s="55">
        <f t="shared" si="9"/>
        <v>4.7619047619047616E-2</v>
      </c>
      <c r="W23" s="55">
        <f t="shared" si="10"/>
        <v>4.53</v>
      </c>
      <c r="X23" s="55">
        <v>1</v>
      </c>
      <c r="Y23" s="55" t="s">
        <v>35</v>
      </c>
      <c r="Z23" s="56">
        <f t="shared" si="11"/>
        <v>-0.75</v>
      </c>
      <c r="AA23" s="55">
        <v>0.26224074074074072</v>
      </c>
      <c r="AB23" s="55">
        <f t="shared" si="16"/>
        <v>-12.390874999999999</v>
      </c>
      <c r="AC23" s="55">
        <v>-5.8</v>
      </c>
      <c r="AD23" s="58">
        <v>-15.5</v>
      </c>
      <c r="AE23" s="55">
        <v>0</v>
      </c>
      <c r="AF23" s="55"/>
    </row>
    <row r="24" spans="1:32" s="57" customFormat="1" ht="15.75" customHeight="1">
      <c r="A24" s="2" t="s">
        <v>80</v>
      </c>
      <c r="B24" s="2" t="s">
        <v>696</v>
      </c>
      <c r="C24" s="51">
        <v>25.99</v>
      </c>
      <c r="D24" s="51">
        <v>23</v>
      </c>
      <c r="E24" s="51">
        <v>0</v>
      </c>
      <c r="F24" s="51">
        <v>600.7700000000001</v>
      </c>
      <c r="G24" s="51">
        <v>-2.73</v>
      </c>
      <c r="H24" s="51">
        <f t="shared" si="3"/>
        <v>4.5441683173260972E-3</v>
      </c>
      <c r="I24" s="51">
        <f t="shared" si="4"/>
        <v>7.4130560225488737E-3</v>
      </c>
      <c r="J24" s="51">
        <f t="shared" si="5"/>
        <v>4.4535416666666876</v>
      </c>
      <c r="K24" s="51">
        <f t="shared" si="6"/>
        <v>0.19363224637681251</v>
      </c>
      <c r="L24" s="51">
        <v>104</v>
      </c>
      <c r="M24" s="51">
        <f t="shared" si="7"/>
        <v>0.22115384615384615</v>
      </c>
      <c r="N24" s="51">
        <v>98</v>
      </c>
      <c r="O24" s="51">
        <f t="shared" ref="O24:P24" si="22">D24/7</f>
        <v>3.2857142857142856</v>
      </c>
      <c r="P24" s="51">
        <f t="shared" si="22"/>
        <v>0</v>
      </c>
      <c r="Q24" s="51">
        <f t="shared" si="2"/>
        <v>29</v>
      </c>
      <c r="R24" s="55">
        <v>0</v>
      </c>
      <c r="S24" s="53" t="s">
        <v>34</v>
      </c>
      <c r="T24" s="54" t="s">
        <v>34</v>
      </c>
      <c r="U24" s="55">
        <v>0</v>
      </c>
      <c r="V24" s="55">
        <f t="shared" si="9"/>
        <v>0</v>
      </c>
      <c r="W24" s="55">
        <f t="shared" si="10"/>
        <v>0</v>
      </c>
      <c r="X24" s="55">
        <v>0</v>
      </c>
      <c r="Y24" s="55" t="s">
        <v>35</v>
      </c>
      <c r="Z24" s="56">
        <f t="shared" si="11"/>
        <v>-0.75</v>
      </c>
      <c r="AA24" s="55">
        <v>0.26224074074074072</v>
      </c>
      <c r="AB24" s="55">
        <f t="shared" si="16"/>
        <v>-13.57095833333333</v>
      </c>
      <c r="AC24" s="55">
        <v>-5.8</v>
      </c>
      <c r="AD24" s="58">
        <v>-15.5</v>
      </c>
      <c r="AE24" s="55">
        <v>0</v>
      </c>
      <c r="AF24" s="55"/>
    </row>
    <row r="25" spans="1:32" s="57" customFormat="1" ht="15.75" customHeight="1">
      <c r="A25" s="2" t="s">
        <v>81</v>
      </c>
      <c r="B25" s="2" t="s">
        <v>697</v>
      </c>
      <c r="C25" s="51"/>
      <c r="D25" s="51">
        <v>22</v>
      </c>
      <c r="E25" s="51">
        <v>0</v>
      </c>
      <c r="F25" s="51">
        <v>612.08000000000015</v>
      </c>
      <c r="G25" s="51">
        <v>0</v>
      </c>
      <c r="H25" s="51">
        <f t="shared" si="3"/>
        <v>0</v>
      </c>
      <c r="I25" s="51">
        <f t="shared" si="4"/>
        <v>6.3205926240578802E-2</v>
      </c>
      <c r="J25" s="51">
        <f t="shared" si="5"/>
        <v>38.687083333333483</v>
      </c>
      <c r="K25" s="51">
        <f t="shared" si="6"/>
        <v>1.7585037878787946</v>
      </c>
      <c r="L25" s="51">
        <v>55</v>
      </c>
      <c r="M25" s="51">
        <f t="shared" si="7"/>
        <v>0.4</v>
      </c>
      <c r="N25" s="51">
        <v>89</v>
      </c>
      <c r="O25" s="51">
        <f t="shared" ref="O25:P25" si="23">D25/7</f>
        <v>3.1428571428571428</v>
      </c>
      <c r="P25" s="51">
        <f t="shared" si="23"/>
        <v>0</v>
      </c>
      <c r="Q25" s="51">
        <f t="shared" si="2"/>
        <v>28</v>
      </c>
      <c r="R25" s="55">
        <v>0</v>
      </c>
      <c r="S25" s="53" t="s">
        <v>34</v>
      </c>
      <c r="T25" s="54" t="s">
        <v>34</v>
      </c>
      <c r="U25" s="55">
        <v>0</v>
      </c>
      <c r="V25" s="55">
        <f t="shared" si="9"/>
        <v>0</v>
      </c>
      <c r="W25" s="55">
        <f t="shared" si="10"/>
        <v>0</v>
      </c>
      <c r="X25" s="55">
        <v>0</v>
      </c>
      <c r="Y25" s="55" t="s">
        <v>35</v>
      </c>
      <c r="Z25" s="56">
        <f t="shared" si="11"/>
        <v>-0.75</v>
      </c>
      <c r="AA25" s="55">
        <v>0.26224074074074072</v>
      </c>
      <c r="AB25" s="55">
        <f t="shared" si="16"/>
        <v>-12.980916666666666</v>
      </c>
      <c r="AC25" s="55">
        <v>-5.8</v>
      </c>
      <c r="AD25" s="58">
        <v>-15.5</v>
      </c>
      <c r="AE25" s="55">
        <v>0</v>
      </c>
      <c r="AF25" s="55"/>
    </row>
    <row r="26" spans="1:32" s="57" customFormat="1" ht="15.75" customHeight="1">
      <c r="A26" s="2" t="s">
        <v>83</v>
      </c>
      <c r="B26" s="2" t="s">
        <v>698</v>
      </c>
      <c r="C26" s="51">
        <f t="shared" ref="C26:C39" si="24">IFERROR(F26/D26," - ")</f>
        <v>29.286999999999999</v>
      </c>
      <c r="D26" s="51">
        <v>10</v>
      </c>
      <c r="E26" s="51">
        <v>0</v>
      </c>
      <c r="F26" s="51">
        <v>292.87</v>
      </c>
      <c r="G26" s="51">
        <v>0</v>
      </c>
      <c r="H26" s="51">
        <f t="shared" si="3"/>
        <v>0</v>
      </c>
      <c r="I26" s="51">
        <f t="shared" si="4"/>
        <v>0.10256797669045428</v>
      </c>
      <c r="J26" s="51">
        <f t="shared" si="5"/>
        <v>30.039083333333345</v>
      </c>
      <c r="K26" s="51">
        <f t="shared" si="6"/>
        <v>3.0039083333333343</v>
      </c>
      <c r="L26" s="51">
        <v>69</v>
      </c>
      <c r="M26" s="51">
        <f t="shared" si="7"/>
        <v>0.14492753623188406</v>
      </c>
      <c r="N26" s="51">
        <v>76</v>
      </c>
      <c r="O26" s="51">
        <f t="shared" ref="O26:P26" si="25">D26/7</f>
        <v>1.4285714285714286</v>
      </c>
      <c r="P26" s="51">
        <f t="shared" si="25"/>
        <v>0</v>
      </c>
      <c r="Q26" s="51">
        <f t="shared" si="2"/>
        <v>53</v>
      </c>
      <c r="R26" s="55">
        <v>102</v>
      </c>
      <c r="S26" s="53">
        <v>102</v>
      </c>
      <c r="T26" s="54">
        <v>44040</v>
      </c>
      <c r="U26" s="55">
        <v>0</v>
      </c>
      <c r="V26" s="55">
        <f t="shared" si="9"/>
        <v>0</v>
      </c>
      <c r="W26" s="55">
        <f t="shared" si="10"/>
        <v>0</v>
      </c>
      <c r="X26" s="55">
        <v>0</v>
      </c>
      <c r="Y26" s="55" t="s">
        <v>35</v>
      </c>
      <c r="Z26" s="56">
        <f t="shared" si="11"/>
        <v>-0.75</v>
      </c>
      <c r="AA26" s="55">
        <v>0.26224074074074072</v>
      </c>
      <c r="AB26" s="55">
        <f t="shared" si="16"/>
        <v>-5.9004166666666658</v>
      </c>
      <c r="AC26" s="55">
        <v>-5.8</v>
      </c>
      <c r="AD26" s="58">
        <v>-15.5</v>
      </c>
      <c r="AE26" s="55">
        <v>0</v>
      </c>
      <c r="AF26" s="55"/>
    </row>
    <row r="27" spans="1:32" s="57" customFormat="1" ht="15.75" customHeight="1">
      <c r="A27" s="2" t="s">
        <v>84</v>
      </c>
      <c r="B27" s="2" t="s">
        <v>699</v>
      </c>
      <c r="C27" s="51">
        <f t="shared" si="24"/>
        <v>28.994117647058829</v>
      </c>
      <c r="D27" s="51">
        <v>17</v>
      </c>
      <c r="E27" s="51">
        <v>0</v>
      </c>
      <c r="F27" s="51">
        <v>492.90000000000009</v>
      </c>
      <c r="G27" s="51">
        <v>-0.08</v>
      </c>
      <c r="H27" s="51">
        <f t="shared" si="3"/>
        <v>1.623047271251775E-4</v>
      </c>
      <c r="I27" s="51">
        <f t="shared" si="4"/>
        <v>9.4855531886116395E-2</v>
      </c>
      <c r="J27" s="51">
        <f t="shared" si="5"/>
        <v>46.754291666666781</v>
      </c>
      <c r="K27" s="51">
        <f t="shared" si="6"/>
        <v>2.7502524509803989</v>
      </c>
      <c r="L27" s="51">
        <v>56</v>
      </c>
      <c r="M27" s="51">
        <f t="shared" si="7"/>
        <v>0.30357142857142855</v>
      </c>
      <c r="N27" s="51">
        <v>67</v>
      </c>
      <c r="O27" s="51">
        <f t="shared" ref="O27:P27" si="26">D27/7</f>
        <v>2.4285714285714284</v>
      </c>
      <c r="P27" s="51">
        <f t="shared" si="26"/>
        <v>0</v>
      </c>
      <c r="Q27" s="51">
        <f t="shared" si="2"/>
        <v>27</v>
      </c>
      <c r="R27" s="55">
        <v>102</v>
      </c>
      <c r="S27" s="53">
        <v>102</v>
      </c>
      <c r="T27" s="54">
        <v>44039</v>
      </c>
      <c r="U27" s="55">
        <v>0</v>
      </c>
      <c r="V27" s="55">
        <f t="shared" si="9"/>
        <v>0</v>
      </c>
      <c r="W27" s="55">
        <f t="shared" si="10"/>
        <v>0</v>
      </c>
      <c r="X27" s="55">
        <v>0</v>
      </c>
      <c r="Y27" s="55" t="s">
        <v>35</v>
      </c>
      <c r="Z27" s="56">
        <f t="shared" si="11"/>
        <v>-0.75</v>
      </c>
      <c r="AA27" s="55">
        <v>0.26224074074074072</v>
      </c>
      <c r="AB27" s="55">
        <f t="shared" si="16"/>
        <v>-10.030708333333331</v>
      </c>
      <c r="AC27" s="55">
        <v>-5.8</v>
      </c>
      <c r="AD27" s="58">
        <v>-15.5</v>
      </c>
      <c r="AE27" s="55">
        <v>0</v>
      </c>
      <c r="AF27" s="55"/>
    </row>
    <row r="28" spans="1:32" s="57" customFormat="1" ht="15.75" customHeight="1">
      <c r="A28" s="2" t="s">
        <v>86</v>
      </c>
      <c r="B28" s="2" t="s">
        <v>700</v>
      </c>
      <c r="C28" s="51">
        <f t="shared" si="24"/>
        <v>33.96</v>
      </c>
      <c r="D28" s="51">
        <v>4</v>
      </c>
      <c r="E28" s="51">
        <v>1</v>
      </c>
      <c r="F28" s="51">
        <v>135.84</v>
      </c>
      <c r="G28" s="51">
        <v>0</v>
      </c>
      <c r="H28" s="51">
        <f t="shared" si="3"/>
        <v>0</v>
      </c>
      <c r="I28" s="51">
        <f t="shared" si="4"/>
        <v>0.16581149391440914</v>
      </c>
      <c r="J28" s="51">
        <f t="shared" si="5"/>
        <v>22.523833333333336</v>
      </c>
      <c r="K28" s="51">
        <f t="shared" si="6"/>
        <v>5.630958333333334</v>
      </c>
      <c r="L28" s="51">
        <v>74</v>
      </c>
      <c r="M28" s="51">
        <f t="shared" si="7"/>
        <v>5.4054054054054057E-2</v>
      </c>
      <c r="N28" s="51">
        <v>58</v>
      </c>
      <c r="O28" s="51">
        <f t="shared" ref="O28:P28" si="27">D28/7</f>
        <v>0.5714285714285714</v>
      </c>
      <c r="P28" s="51">
        <f t="shared" si="27"/>
        <v>0.14285714285714285</v>
      </c>
      <c r="Q28" s="51">
        <f t="shared" si="2"/>
        <v>81</v>
      </c>
      <c r="R28" s="55">
        <v>102</v>
      </c>
      <c r="S28" s="53">
        <v>102</v>
      </c>
      <c r="T28" s="54">
        <v>44039</v>
      </c>
      <c r="U28" s="55">
        <v>0</v>
      </c>
      <c r="V28" s="55">
        <f t="shared" si="9"/>
        <v>0</v>
      </c>
      <c r="W28" s="55">
        <f t="shared" si="10"/>
        <v>0</v>
      </c>
      <c r="X28" s="55">
        <v>0</v>
      </c>
      <c r="Y28" s="55" t="s">
        <v>35</v>
      </c>
      <c r="Z28" s="56">
        <f t="shared" si="11"/>
        <v>-0.75</v>
      </c>
      <c r="AA28" s="55">
        <v>0.26224074074074072</v>
      </c>
      <c r="AB28" s="55">
        <f t="shared" si="16"/>
        <v>-2.3601666666666663</v>
      </c>
      <c r="AC28" s="55">
        <v>-5.8</v>
      </c>
      <c r="AD28" s="58">
        <v>-15.5</v>
      </c>
      <c r="AE28" s="55">
        <v>-5.38</v>
      </c>
      <c r="AF28" s="55"/>
    </row>
    <row r="29" spans="1:32" s="57" customFormat="1" ht="15.75" customHeight="1">
      <c r="A29" s="2" t="s">
        <v>87</v>
      </c>
      <c r="B29" s="2" t="s">
        <v>701</v>
      </c>
      <c r="C29" s="51">
        <f t="shared" si="24"/>
        <v>36.782727272727271</v>
      </c>
      <c r="D29" s="51">
        <v>11</v>
      </c>
      <c r="E29" s="51">
        <v>0</v>
      </c>
      <c r="F29" s="51">
        <v>404.60999999999996</v>
      </c>
      <c r="G29" s="51">
        <v>-0.2</v>
      </c>
      <c r="H29" s="51">
        <f t="shared" si="3"/>
        <v>4.9430315612565198E-4</v>
      </c>
      <c r="I29" s="51">
        <f t="shared" si="4"/>
        <v>0.25438827924832957</v>
      </c>
      <c r="J29" s="51">
        <f t="shared" si="5"/>
        <v>102.92804166666662</v>
      </c>
      <c r="K29" s="51">
        <f t="shared" si="6"/>
        <v>9.3570946969696926</v>
      </c>
      <c r="L29" s="51">
        <v>58</v>
      </c>
      <c r="M29" s="51">
        <f t="shared" si="7"/>
        <v>0.18965517241379309</v>
      </c>
      <c r="N29" s="51">
        <v>50</v>
      </c>
      <c r="O29" s="51">
        <f t="shared" ref="O29:P29" si="28">D29/7</f>
        <v>1.5714285714285714</v>
      </c>
      <c r="P29" s="51">
        <f t="shared" si="28"/>
        <v>0</v>
      </c>
      <c r="Q29" s="51">
        <f t="shared" si="2"/>
        <v>31</v>
      </c>
      <c r="R29" s="55">
        <v>102</v>
      </c>
      <c r="S29" s="53">
        <v>102</v>
      </c>
      <c r="T29" s="54">
        <v>44039</v>
      </c>
      <c r="U29" s="55">
        <v>0</v>
      </c>
      <c r="V29" s="55">
        <f t="shared" si="9"/>
        <v>0</v>
      </c>
      <c r="W29" s="55">
        <f t="shared" si="10"/>
        <v>0</v>
      </c>
      <c r="X29" s="55">
        <v>0</v>
      </c>
      <c r="Y29" s="55" t="s">
        <v>35</v>
      </c>
      <c r="Z29" s="56">
        <f t="shared" si="11"/>
        <v>-0.75</v>
      </c>
      <c r="AA29" s="55">
        <v>0.26224074074074072</v>
      </c>
      <c r="AB29" s="55">
        <f t="shared" si="16"/>
        <v>-6.4904583333333328</v>
      </c>
      <c r="AC29" s="55">
        <v>-5.8</v>
      </c>
      <c r="AD29" s="58">
        <v>-15.5</v>
      </c>
      <c r="AE29" s="55">
        <v>0</v>
      </c>
      <c r="AF29" s="55"/>
    </row>
    <row r="30" spans="1:32" s="57" customFormat="1" ht="15.75" customHeight="1">
      <c r="A30" s="2" t="s">
        <v>89</v>
      </c>
      <c r="B30" s="2" t="s">
        <v>702</v>
      </c>
      <c r="C30" s="51">
        <f t="shared" si="24"/>
        <v>36.303333333333335</v>
      </c>
      <c r="D30" s="51">
        <v>3</v>
      </c>
      <c r="E30" s="51">
        <v>0</v>
      </c>
      <c r="F30" s="51">
        <v>108.91</v>
      </c>
      <c r="G30" s="51">
        <v>-0.08</v>
      </c>
      <c r="H30" s="51">
        <f t="shared" si="3"/>
        <v>7.3455146451198244E-4</v>
      </c>
      <c r="I30" s="51">
        <f t="shared" si="4"/>
        <v>0.24628936736755119</v>
      </c>
      <c r="J30" s="51">
        <f t="shared" si="5"/>
        <v>26.823374999999999</v>
      </c>
      <c r="K30" s="51">
        <f t="shared" si="6"/>
        <v>8.9411249999999995</v>
      </c>
      <c r="L30" s="51">
        <v>63</v>
      </c>
      <c r="M30" s="51">
        <f t="shared" si="7"/>
        <v>4.7619047619047616E-2</v>
      </c>
      <c r="N30" s="51">
        <v>46</v>
      </c>
      <c r="O30" s="51">
        <f t="shared" ref="O30:P30" si="29">D30/7</f>
        <v>0.42857142857142855</v>
      </c>
      <c r="P30" s="51">
        <f t="shared" si="29"/>
        <v>0</v>
      </c>
      <c r="Q30" s="51">
        <f t="shared" si="2"/>
        <v>107</v>
      </c>
      <c r="R30" s="55">
        <v>102</v>
      </c>
      <c r="S30" s="53">
        <v>102</v>
      </c>
      <c r="T30" s="54">
        <v>44039</v>
      </c>
      <c r="U30" s="55">
        <v>0</v>
      </c>
      <c r="V30" s="55">
        <f t="shared" si="9"/>
        <v>0</v>
      </c>
      <c r="W30" s="55">
        <f t="shared" si="10"/>
        <v>0</v>
      </c>
      <c r="X30" s="55">
        <v>0</v>
      </c>
      <c r="Y30" s="55" t="s">
        <v>35</v>
      </c>
      <c r="Z30" s="56">
        <f t="shared" si="11"/>
        <v>-0.75</v>
      </c>
      <c r="AA30" s="55">
        <v>0.26224074074074072</v>
      </c>
      <c r="AB30" s="55">
        <f t="shared" si="16"/>
        <v>-1.7701249999999997</v>
      </c>
      <c r="AC30" s="55">
        <v>-5.8</v>
      </c>
      <c r="AD30" s="58">
        <v>-15.5</v>
      </c>
      <c r="AE30" s="55">
        <v>0</v>
      </c>
      <c r="AF30" s="55"/>
    </row>
    <row r="31" spans="1:32" s="57" customFormat="1" ht="15.75" customHeight="1">
      <c r="A31" s="2" t="s">
        <v>90</v>
      </c>
      <c r="B31" s="2" t="s">
        <v>45</v>
      </c>
      <c r="C31" s="51">
        <f t="shared" si="24"/>
        <v>34.99</v>
      </c>
      <c r="D31" s="51">
        <v>9</v>
      </c>
      <c r="E31" s="51">
        <v>0</v>
      </c>
      <c r="F31" s="51">
        <v>314.91000000000003</v>
      </c>
      <c r="G31" s="51">
        <v>-0.05</v>
      </c>
      <c r="H31" s="51">
        <f t="shared" si="3"/>
        <v>1.5877552316534882E-4</v>
      </c>
      <c r="I31" s="51">
        <f t="shared" si="4"/>
        <v>0.22423271728430341</v>
      </c>
      <c r="J31" s="51">
        <f t="shared" si="5"/>
        <v>70.613124999999997</v>
      </c>
      <c r="K31" s="51">
        <f t="shared" si="6"/>
        <v>7.845902777777777</v>
      </c>
      <c r="L31" s="51">
        <v>63</v>
      </c>
      <c r="M31" s="51">
        <f t="shared" si="7"/>
        <v>0.14285714285714285</v>
      </c>
      <c r="N31" s="51">
        <v>38</v>
      </c>
      <c r="O31" s="51">
        <f t="shared" ref="O31:P31" si="30">D31/7</f>
        <v>1.2857142857142858</v>
      </c>
      <c r="P31" s="51">
        <f t="shared" si="30"/>
        <v>0</v>
      </c>
      <c r="Q31" s="51">
        <f t="shared" si="2"/>
        <v>29</v>
      </c>
      <c r="R31" s="55">
        <v>102</v>
      </c>
      <c r="S31" s="53">
        <v>102</v>
      </c>
      <c r="T31" s="54">
        <v>44039</v>
      </c>
      <c r="U31" s="55">
        <v>0</v>
      </c>
      <c r="V31" s="55">
        <f t="shared" si="9"/>
        <v>0</v>
      </c>
      <c r="W31" s="55">
        <f t="shared" si="10"/>
        <v>0</v>
      </c>
      <c r="X31" s="55">
        <v>0</v>
      </c>
      <c r="Y31" s="55" t="s">
        <v>35</v>
      </c>
      <c r="Z31" s="56">
        <f t="shared" si="11"/>
        <v>-0.75</v>
      </c>
      <c r="AA31" s="55">
        <v>0.26224074074074072</v>
      </c>
      <c r="AB31" s="55">
        <f t="shared" si="16"/>
        <v>-5.3103749999999987</v>
      </c>
      <c r="AC31" s="55">
        <v>-5.8</v>
      </c>
      <c r="AD31" s="58">
        <v>-15.5</v>
      </c>
      <c r="AE31" s="55">
        <v>0</v>
      </c>
      <c r="AF31" s="55"/>
    </row>
    <row r="32" spans="1:32" s="57" customFormat="1" ht="15.75" customHeight="1">
      <c r="A32" s="2" t="s">
        <v>92</v>
      </c>
      <c r="B32" s="2" t="s">
        <v>668</v>
      </c>
      <c r="C32" s="51">
        <f t="shared" si="24"/>
        <v>36.507999999999996</v>
      </c>
      <c r="D32" s="51">
        <v>10</v>
      </c>
      <c r="E32" s="51">
        <v>0</v>
      </c>
      <c r="F32" s="51">
        <v>365.08</v>
      </c>
      <c r="G32" s="51">
        <v>-0.08</v>
      </c>
      <c r="H32" s="51">
        <f t="shared" si="3"/>
        <v>2.1913005368686317E-4</v>
      </c>
      <c r="I32" s="51">
        <f t="shared" si="4"/>
        <v>0.25018511924327086</v>
      </c>
      <c r="J32" s="51">
        <f t="shared" si="5"/>
        <v>91.337583333333328</v>
      </c>
      <c r="K32" s="51">
        <f t="shared" si="6"/>
        <v>9.1337583333333328</v>
      </c>
      <c r="L32" s="51">
        <v>88</v>
      </c>
      <c r="M32" s="51">
        <f t="shared" si="7"/>
        <v>0.11363636363636363</v>
      </c>
      <c r="N32" s="51">
        <v>22</v>
      </c>
      <c r="O32" s="51">
        <f t="shared" ref="O32:P32" si="31">D32/7</f>
        <v>1.4285714285714286</v>
      </c>
      <c r="P32" s="51">
        <f t="shared" si="31"/>
        <v>0</v>
      </c>
      <c r="Q32" s="51">
        <f t="shared" si="2"/>
        <v>15</v>
      </c>
      <c r="R32" s="55">
        <v>102</v>
      </c>
      <c r="S32" s="53">
        <v>102</v>
      </c>
      <c r="T32" s="54" t="s">
        <v>34</v>
      </c>
      <c r="U32" s="55">
        <v>0</v>
      </c>
      <c r="V32" s="55">
        <f t="shared" si="9"/>
        <v>0</v>
      </c>
      <c r="W32" s="55">
        <f t="shared" si="10"/>
        <v>0</v>
      </c>
      <c r="X32" s="55">
        <v>0</v>
      </c>
      <c r="Y32" s="55" t="s">
        <v>35</v>
      </c>
      <c r="Z32" s="56">
        <f t="shared" si="11"/>
        <v>-0.75</v>
      </c>
      <c r="AA32" s="55">
        <v>0.26224074074074072</v>
      </c>
      <c r="AB32" s="55">
        <f t="shared" si="16"/>
        <v>-5.9004166666666658</v>
      </c>
      <c r="AC32" s="55">
        <v>-5.8</v>
      </c>
      <c r="AD32" s="58">
        <v>-15.5</v>
      </c>
      <c r="AE32" s="55">
        <v>0</v>
      </c>
      <c r="AF32" s="52">
        <v>1.6666666666666601</v>
      </c>
    </row>
    <row r="33" spans="1:32" s="57" customFormat="1" ht="15.75" customHeight="1">
      <c r="A33" s="2" t="s">
        <v>94</v>
      </c>
      <c r="B33" s="2" t="s">
        <v>669</v>
      </c>
      <c r="C33" s="51">
        <f t="shared" si="24"/>
        <v>36.296666666666667</v>
      </c>
      <c r="D33" s="51">
        <v>15</v>
      </c>
      <c r="E33" s="51">
        <v>0</v>
      </c>
      <c r="F33" s="51">
        <v>544.45000000000005</v>
      </c>
      <c r="G33" s="51">
        <v>-0.21000000000000002</v>
      </c>
      <c r="H33" s="51">
        <f t="shared" si="3"/>
        <v>3.8571034989438884E-4</v>
      </c>
      <c r="I33" s="51">
        <f t="shared" si="4"/>
        <v>0.24652745890348063</v>
      </c>
      <c r="J33" s="51">
        <f t="shared" si="5"/>
        <v>134.22187500000004</v>
      </c>
      <c r="K33" s="51">
        <f t="shared" si="6"/>
        <v>8.9481250000000028</v>
      </c>
      <c r="L33" s="51">
        <v>89</v>
      </c>
      <c r="M33" s="51">
        <f t="shared" si="7"/>
        <v>0.16853932584269662</v>
      </c>
      <c r="N33" s="51">
        <v>11</v>
      </c>
      <c r="O33" s="51">
        <f t="shared" ref="O33:P33" si="32">D33/7</f>
        <v>2.1428571428571428</v>
      </c>
      <c r="P33" s="51">
        <f t="shared" si="32"/>
        <v>0</v>
      </c>
      <c r="Q33" s="51">
        <f t="shared" si="2"/>
        <v>5</v>
      </c>
      <c r="R33" s="55">
        <v>102</v>
      </c>
      <c r="S33" s="53">
        <v>102</v>
      </c>
      <c r="T33" s="54">
        <v>44047</v>
      </c>
      <c r="U33" s="55">
        <v>0</v>
      </c>
      <c r="V33" s="55">
        <f t="shared" si="9"/>
        <v>0</v>
      </c>
      <c r="W33" s="55">
        <f t="shared" si="10"/>
        <v>0</v>
      </c>
      <c r="X33" s="55">
        <v>0</v>
      </c>
      <c r="Y33" s="55" t="s">
        <v>35</v>
      </c>
      <c r="Z33" s="56">
        <f t="shared" si="11"/>
        <v>-0.75</v>
      </c>
      <c r="AA33" s="55">
        <v>0.26224074074074072</v>
      </c>
      <c r="AB33" s="55">
        <f t="shared" si="16"/>
        <v>-8.8506249999999991</v>
      </c>
      <c r="AC33" s="55">
        <v>-5.8</v>
      </c>
      <c r="AD33" s="55">
        <v>-15.5</v>
      </c>
      <c r="AE33" s="55">
        <v>0</v>
      </c>
      <c r="AF33" s="55">
        <v>1.9012987012986999</v>
      </c>
    </row>
    <row r="34" spans="1:32" s="57" customFormat="1" ht="15.75" customHeight="1">
      <c r="A34" s="2" t="s">
        <v>95</v>
      </c>
      <c r="B34" s="2" t="s">
        <v>669</v>
      </c>
      <c r="C34" s="51">
        <f t="shared" si="24"/>
        <v>35.869999999999997</v>
      </c>
      <c r="D34" s="51">
        <v>8</v>
      </c>
      <c r="E34" s="51">
        <v>0</v>
      </c>
      <c r="F34" s="51">
        <v>286.95999999999998</v>
      </c>
      <c r="G34" s="51">
        <v>-0.16</v>
      </c>
      <c r="H34" s="51">
        <f t="shared" si="3"/>
        <v>5.575689991636465E-4</v>
      </c>
      <c r="I34" s="51">
        <f t="shared" si="4"/>
        <v>0.23918199981414359</v>
      </c>
      <c r="J34" s="51">
        <f t="shared" si="5"/>
        <v>68.635666666666637</v>
      </c>
      <c r="K34" s="51">
        <f t="shared" si="6"/>
        <v>8.5794583333333296</v>
      </c>
      <c r="L34" s="51">
        <v>53</v>
      </c>
      <c r="M34" s="51">
        <f t="shared" si="7"/>
        <v>0.15094339622641509</v>
      </c>
      <c r="N34" s="51">
        <v>2</v>
      </c>
      <c r="O34" s="51">
        <f t="shared" ref="O34:P34" si="33">D34/7</f>
        <v>1.1428571428571428</v>
      </c>
      <c r="P34" s="51">
        <f t="shared" si="33"/>
        <v>0</v>
      </c>
      <c r="Q34" s="51">
        <f t="shared" si="2"/>
        <v>1</v>
      </c>
      <c r="R34" s="55">
        <v>102</v>
      </c>
      <c r="S34" s="53">
        <v>102</v>
      </c>
      <c r="T34" s="54">
        <v>44047</v>
      </c>
      <c r="U34" s="55">
        <v>1</v>
      </c>
      <c r="V34" s="55">
        <f t="shared" si="9"/>
        <v>0.125</v>
      </c>
      <c r="W34" s="55">
        <f t="shared" si="10"/>
        <v>0.08</v>
      </c>
      <c r="X34" s="55">
        <v>1</v>
      </c>
      <c r="Y34" s="55" t="s">
        <v>35</v>
      </c>
      <c r="Z34" s="56">
        <f t="shared" si="11"/>
        <v>-0.75</v>
      </c>
      <c r="AA34" s="55">
        <v>0.26224074074074072</v>
      </c>
      <c r="AB34" s="55">
        <f t="shared" si="16"/>
        <v>-4.7203333333333326</v>
      </c>
      <c r="AC34" s="55">
        <v>-5.8</v>
      </c>
      <c r="AD34" s="55">
        <v>-15.5</v>
      </c>
      <c r="AE34" s="55">
        <v>0</v>
      </c>
      <c r="AF34" s="55">
        <v>2.2688524590163901</v>
      </c>
    </row>
    <row r="35" spans="1:32" s="57" customFormat="1" ht="15.75" customHeight="1">
      <c r="A35" s="2" t="s">
        <v>96</v>
      </c>
      <c r="B35" s="2" t="s">
        <v>179</v>
      </c>
      <c r="C35" s="51">
        <f t="shared" si="24"/>
        <v>35.869999999999997</v>
      </c>
      <c r="D35" s="51">
        <v>5</v>
      </c>
      <c r="E35" s="51">
        <v>0</v>
      </c>
      <c r="F35" s="51">
        <v>179.35</v>
      </c>
      <c r="G35" s="51">
        <v>0</v>
      </c>
      <c r="H35" s="51">
        <f t="shared" si="3"/>
        <v>0</v>
      </c>
      <c r="I35" s="51">
        <f t="shared" si="4"/>
        <v>0.23973956881330727</v>
      </c>
      <c r="J35" s="51">
        <f t="shared" si="5"/>
        <v>42.997291666666655</v>
      </c>
      <c r="K35" s="51">
        <f t="shared" si="6"/>
        <v>8.599458333333331</v>
      </c>
      <c r="L35" s="51">
        <v>16</v>
      </c>
      <c r="M35" s="51">
        <f t="shared" si="7"/>
        <v>0.3125</v>
      </c>
      <c r="N35" s="51">
        <v>0</v>
      </c>
      <c r="O35" s="51">
        <f t="shared" ref="O35:P35" si="34">D35/7</f>
        <v>0.7142857142857143</v>
      </c>
      <c r="P35" s="51">
        <f t="shared" si="34"/>
        <v>0</v>
      </c>
      <c r="Q35" s="51">
        <f t="shared" si="2"/>
        <v>0</v>
      </c>
      <c r="R35" s="55">
        <v>102</v>
      </c>
      <c r="S35" s="53">
        <v>102</v>
      </c>
      <c r="T35" s="54">
        <v>44047</v>
      </c>
      <c r="U35" s="55">
        <v>0</v>
      </c>
      <c r="V35" s="55">
        <f t="shared" si="9"/>
        <v>0</v>
      </c>
      <c r="W35" s="55">
        <f t="shared" si="10"/>
        <v>0</v>
      </c>
      <c r="X35" s="55">
        <v>0</v>
      </c>
      <c r="Y35" s="55" t="s">
        <v>35</v>
      </c>
      <c r="Z35" s="56">
        <f t="shared" si="11"/>
        <v>-0.75</v>
      </c>
      <c r="AA35" s="55">
        <v>0.26224074074074072</v>
      </c>
      <c r="AB35" s="55">
        <f t="shared" si="16"/>
        <v>-2.9502083333333329</v>
      </c>
      <c r="AC35" s="55">
        <v>-5.8</v>
      </c>
      <c r="AD35" s="55">
        <v>-15.5</v>
      </c>
      <c r="AE35" s="55">
        <v>0</v>
      </c>
      <c r="AF35" s="55" t="e">
        <v>#N/A</v>
      </c>
    </row>
    <row r="36" spans="1:32" s="57" customFormat="1" ht="15.75" customHeight="1">
      <c r="A36" s="2" t="s">
        <v>98</v>
      </c>
      <c r="B36" s="2" t="s">
        <v>670</v>
      </c>
      <c r="C36" s="51" t="str">
        <f t="shared" si="24"/>
        <v xml:space="preserve"> - </v>
      </c>
      <c r="D36" s="51">
        <v>0</v>
      </c>
      <c r="E36" s="51">
        <v>0</v>
      </c>
      <c r="F36" s="51">
        <v>0</v>
      </c>
      <c r="G36" s="51">
        <v>0</v>
      </c>
      <c r="H36" s="51" t="e">
        <f t="shared" si="3"/>
        <v>#DIV/0!</v>
      </c>
      <c r="I36" s="51" t="e">
        <f t="shared" si="4"/>
        <v>#DIV/0!</v>
      </c>
      <c r="J36" s="51">
        <f t="shared" si="5"/>
        <v>0</v>
      </c>
      <c r="K36" s="51" t="e">
        <f t="shared" si="6"/>
        <v>#DIV/0!</v>
      </c>
      <c r="L36" s="51">
        <v>0</v>
      </c>
      <c r="M36" s="51" t="str">
        <f t="shared" si="7"/>
        <v>-</v>
      </c>
      <c r="N36" s="51">
        <v>0</v>
      </c>
      <c r="O36" s="51">
        <f t="shared" ref="O36:P36" si="35">D36/7</f>
        <v>0</v>
      </c>
      <c r="P36" s="51">
        <f t="shared" si="35"/>
        <v>0</v>
      </c>
      <c r="Q36" s="51" t="e">
        <f t="shared" si="2"/>
        <v>#DIV/0!</v>
      </c>
      <c r="R36" s="55">
        <v>102</v>
      </c>
      <c r="S36" s="53"/>
      <c r="T36" s="54">
        <v>44064</v>
      </c>
      <c r="U36" s="55"/>
      <c r="V36" s="55">
        <f t="shared" si="9"/>
        <v>0</v>
      </c>
      <c r="W36" s="55">
        <f t="shared" si="10"/>
        <v>0</v>
      </c>
      <c r="X36" s="55"/>
      <c r="Y36" s="55" t="e">
        <v>#N/A</v>
      </c>
      <c r="Z36" s="56" t="e">
        <f t="shared" si="11"/>
        <v>#N/A</v>
      </c>
      <c r="AA36" s="55" t="e">
        <v>#N/A</v>
      </c>
      <c r="AB36" s="55">
        <f t="shared" si="16"/>
        <v>0</v>
      </c>
      <c r="AC36" s="55">
        <v>0</v>
      </c>
      <c r="AD36" s="55">
        <v>-15.5</v>
      </c>
      <c r="AE36" s="55">
        <v>0</v>
      </c>
      <c r="AF36" s="55" t="e">
        <v>#N/A</v>
      </c>
    </row>
    <row r="37" spans="1:32" s="57" customFormat="1" ht="15.75" customHeight="1">
      <c r="A37" s="2" t="s">
        <v>99</v>
      </c>
      <c r="B37" s="2"/>
      <c r="C37" s="51" t="str">
        <f t="shared" si="24"/>
        <v xml:space="preserve"> - </v>
      </c>
      <c r="D37" s="51">
        <v>0</v>
      </c>
      <c r="E37" s="51">
        <v>0</v>
      </c>
      <c r="F37" s="51">
        <v>0</v>
      </c>
      <c r="G37" s="51">
        <v>0</v>
      </c>
      <c r="H37" s="51" t="e">
        <f t="shared" si="3"/>
        <v>#DIV/0!</v>
      </c>
      <c r="I37" s="51" t="e">
        <f t="shared" si="4"/>
        <v>#DIV/0!</v>
      </c>
      <c r="J37" s="51">
        <f t="shared" si="5"/>
        <v>0</v>
      </c>
      <c r="K37" s="51" t="e">
        <f t="shared" si="6"/>
        <v>#DIV/0!</v>
      </c>
      <c r="L37" s="51">
        <v>0</v>
      </c>
      <c r="M37" s="51" t="str">
        <f t="shared" si="7"/>
        <v>-</v>
      </c>
      <c r="N37" s="51">
        <v>0</v>
      </c>
      <c r="O37" s="51">
        <f t="shared" ref="O37:P37" si="36">D37/7</f>
        <v>0</v>
      </c>
      <c r="P37" s="51">
        <f t="shared" si="36"/>
        <v>0</v>
      </c>
      <c r="Q37" s="51" t="e">
        <f t="shared" si="2"/>
        <v>#DIV/0!</v>
      </c>
      <c r="R37" s="55">
        <v>192</v>
      </c>
      <c r="S37" s="53">
        <v>102</v>
      </c>
      <c r="T37" s="54">
        <v>44075</v>
      </c>
      <c r="U37" s="55">
        <v>0</v>
      </c>
      <c r="V37" s="55">
        <f t="shared" si="9"/>
        <v>0</v>
      </c>
      <c r="W37" s="55">
        <f t="shared" si="10"/>
        <v>0</v>
      </c>
      <c r="X37" s="55">
        <v>0</v>
      </c>
      <c r="Y37" s="55" t="e">
        <v>#N/A</v>
      </c>
      <c r="Z37" s="56" t="e">
        <f t="shared" si="11"/>
        <v>#N/A</v>
      </c>
      <c r="AA37" s="55" t="e">
        <v>#N/A</v>
      </c>
      <c r="AB37" s="55">
        <f t="shared" si="16"/>
        <v>0</v>
      </c>
      <c r="AC37" s="55">
        <v>0</v>
      </c>
      <c r="AD37" s="55">
        <v>-15.5</v>
      </c>
      <c r="AE37" s="55">
        <v>0</v>
      </c>
      <c r="AF37" s="55" t="e">
        <v>#N/A</v>
      </c>
    </row>
    <row r="38" spans="1:32" s="57" customFormat="1" ht="15.75" customHeight="1">
      <c r="A38" s="2" t="s">
        <v>100</v>
      </c>
      <c r="B38" s="2"/>
      <c r="C38" s="51" t="str">
        <f t="shared" si="24"/>
        <v xml:space="preserve"> - </v>
      </c>
      <c r="D38" s="51">
        <v>0</v>
      </c>
      <c r="E38" s="51">
        <v>0</v>
      </c>
      <c r="F38" s="51">
        <v>0</v>
      </c>
      <c r="G38" s="51">
        <v>0</v>
      </c>
      <c r="H38" s="51" t="e">
        <f t="shared" si="3"/>
        <v>#DIV/0!</v>
      </c>
      <c r="I38" s="51" t="e">
        <f t="shared" si="4"/>
        <v>#DIV/0!</v>
      </c>
      <c r="J38" s="51">
        <f t="shared" si="5"/>
        <v>0</v>
      </c>
      <c r="K38" s="51" t="e">
        <f t="shared" si="6"/>
        <v>#DIV/0!</v>
      </c>
      <c r="L38" s="51">
        <v>0</v>
      </c>
      <c r="M38" s="51" t="str">
        <f t="shared" si="7"/>
        <v>-</v>
      </c>
      <c r="N38" s="51">
        <v>0</v>
      </c>
      <c r="O38" s="51">
        <f t="shared" ref="O38:P38" si="37">D38/7</f>
        <v>0</v>
      </c>
      <c r="P38" s="51">
        <f t="shared" si="37"/>
        <v>0</v>
      </c>
      <c r="Q38" s="51" t="e">
        <f t="shared" si="2"/>
        <v>#DIV/0!</v>
      </c>
      <c r="R38" s="55">
        <v>192</v>
      </c>
      <c r="S38" s="53"/>
      <c r="T38" s="54">
        <v>44075</v>
      </c>
      <c r="U38" s="55">
        <v>0</v>
      </c>
      <c r="V38" s="55">
        <f t="shared" si="9"/>
        <v>0</v>
      </c>
      <c r="W38" s="55">
        <f t="shared" si="10"/>
        <v>0</v>
      </c>
      <c r="X38" s="55">
        <v>0</v>
      </c>
      <c r="Y38" s="55" t="e">
        <v>#N/A</v>
      </c>
      <c r="Z38" s="56" t="e">
        <f t="shared" si="11"/>
        <v>#N/A</v>
      </c>
      <c r="AA38" s="55" t="e">
        <v>#N/A</v>
      </c>
      <c r="AB38" s="55">
        <f t="shared" si="16"/>
        <v>0</v>
      </c>
      <c r="AC38" s="55">
        <v>0</v>
      </c>
      <c r="AD38" s="55">
        <v>-15.5</v>
      </c>
      <c r="AE38" s="55">
        <v>0</v>
      </c>
      <c r="AF38" s="55" t="e">
        <v>#N/A</v>
      </c>
    </row>
    <row r="39" spans="1:32" s="57" customFormat="1" ht="15.75" customHeight="1">
      <c r="A39" s="2" t="s">
        <v>101</v>
      </c>
      <c r="B39" s="2" t="s">
        <v>703</v>
      </c>
      <c r="C39" s="51" t="str">
        <f t="shared" si="24"/>
        <v xml:space="preserve"> - </v>
      </c>
      <c r="D39" s="51">
        <v>0</v>
      </c>
      <c r="E39" s="51">
        <v>0</v>
      </c>
      <c r="F39" s="51">
        <v>0</v>
      </c>
      <c r="G39" s="51">
        <v>0</v>
      </c>
      <c r="H39" s="51" t="e">
        <f t="shared" si="3"/>
        <v>#DIV/0!</v>
      </c>
      <c r="I39" s="51" t="e">
        <f t="shared" si="4"/>
        <v>#DIV/0!</v>
      </c>
      <c r="J39" s="51">
        <f>F39*0.85+G39+AD39*D39+D39*AC39+AE40+AB39</f>
        <v>0</v>
      </c>
      <c r="K39" s="51" t="e">
        <f t="shared" si="6"/>
        <v>#DIV/0!</v>
      </c>
      <c r="L39" s="51">
        <v>0</v>
      </c>
      <c r="M39" s="51" t="str">
        <f t="shared" si="7"/>
        <v>-</v>
      </c>
      <c r="N39" s="51">
        <v>0</v>
      </c>
      <c r="O39" s="51">
        <f t="shared" ref="O39:P39" si="38">D39/7</f>
        <v>0</v>
      </c>
      <c r="P39" s="51">
        <f t="shared" si="38"/>
        <v>0</v>
      </c>
      <c r="Q39" s="51" t="e">
        <f t="shared" si="2"/>
        <v>#DIV/0!</v>
      </c>
      <c r="R39" s="55">
        <v>90</v>
      </c>
      <c r="S39" s="53">
        <v>90</v>
      </c>
      <c r="T39" s="54">
        <v>44078</v>
      </c>
      <c r="U39" s="55">
        <v>0</v>
      </c>
      <c r="V39" s="55">
        <f t="shared" si="9"/>
        <v>0</v>
      </c>
      <c r="W39" s="55">
        <f t="shared" si="10"/>
        <v>0</v>
      </c>
      <c r="X39" s="55">
        <v>0</v>
      </c>
      <c r="Y39" s="55" t="s">
        <v>35</v>
      </c>
      <c r="Z39" s="56">
        <f t="shared" si="11"/>
        <v>-0.75</v>
      </c>
      <c r="AA39" s="55">
        <v>0.26224074074074072</v>
      </c>
      <c r="AB39" s="55">
        <f t="shared" si="16"/>
        <v>0</v>
      </c>
      <c r="AC39" s="55">
        <v>-5.8</v>
      </c>
      <c r="AD39" s="55">
        <v>-15.5</v>
      </c>
      <c r="AE39" s="55">
        <v>0</v>
      </c>
      <c r="AF39" s="55">
        <v>1.3944954128440299</v>
      </c>
    </row>
    <row r="40" spans="1:32" s="57" customFormat="1" ht="15.75" customHeight="1">
      <c r="A40" s="2" t="s">
        <v>102</v>
      </c>
      <c r="B40" s="2" t="s">
        <v>704</v>
      </c>
      <c r="C40" s="51">
        <v>32.566249999999997</v>
      </c>
      <c r="D40" s="51">
        <v>8</v>
      </c>
      <c r="E40" s="51">
        <v>0</v>
      </c>
      <c r="F40" s="51">
        <v>260.52999999999997</v>
      </c>
      <c r="G40" s="51">
        <v>-0.02</v>
      </c>
      <c r="H40" s="51">
        <v>7.6766591179518686E-5</v>
      </c>
      <c r="I40" s="51">
        <v>0.17775368159776853</v>
      </c>
      <c r="J40" s="51">
        <v>46.310166666666632</v>
      </c>
      <c r="K40" s="51">
        <v>5.788770833333329</v>
      </c>
      <c r="L40" s="51">
        <v>69</v>
      </c>
      <c r="M40" s="51">
        <v>0.11594202898550725</v>
      </c>
      <c r="N40" s="51">
        <v>87</v>
      </c>
      <c r="O40" s="51">
        <v>1.1428571428571428</v>
      </c>
      <c r="P40" s="51">
        <v>0</v>
      </c>
      <c r="Q40" s="51">
        <v>76</v>
      </c>
      <c r="R40" s="55">
        <v>90</v>
      </c>
      <c r="S40" s="53">
        <v>90</v>
      </c>
      <c r="T40" s="54">
        <v>44078</v>
      </c>
      <c r="U40" s="55">
        <v>0</v>
      </c>
      <c r="V40" s="55">
        <v>0</v>
      </c>
      <c r="W40" s="55">
        <v>0</v>
      </c>
      <c r="X40" s="55">
        <v>0</v>
      </c>
      <c r="Y40" s="55" t="s">
        <v>35</v>
      </c>
      <c r="Z40" s="56">
        <v>-0.75</v>
      </c>
      <c r="AA40" s="55">
        <v>0.26224074074074072</v>
      </c>
      <c r="AB40" s="55">
        <v>-4.7203333333333326</v>
      </c>
      <c r="AC40" s="55">
        <v>-5.8</v>
      </c>
      <c r="AD40" s="55">
        <v>-15.5</v>
      </c>
      <c r="AE40" s="55">
        <v>0</v>
      </c>
      <c r="AF40" s="55">
        <v>1.5179487179487099</v>
      </c>
    </row>
    <row r="41" spans="1:32" s="57" customFormat="1" ht="15.75" customHeight="1">
      <c r="A41" s="2" t="s">
        <v>105</v>
      </c>
      <c r="B41" s="2" t="s">
        <v>705</v>
      </c>
      <c r="C41" s="51">
        <f t="shared" ref="C41:C56" si="39">IFERROR(F41/D41," - ")</f>
        <v>28.035882352941169</v>
      </c>
      <c r="D41" s="51">
        <v>17</v>
      </c>
      <c r="E41" s="51">
        <v>0</v>
      </c>
      <c r="F41" s="51">
        <v>476.60999999999984</v>
      </c>
      <c r="G41" s="51">
        <v>0</v>
      </c>
      <c r="H41" s="51">
        <f t="shared" ref="H41:H56" si="40">G41/F41*-1</f>
        <v>0</v>
      </c>
      <c r="I41" s="51">
        <f t="shared" ref="I41:I56" si="41">J41/F41</f>
        <v>6.9213385507367775E-2</v>
      </c>
      <c r="J41" s="51">
        <f t="shared" ref="J41:J48" si="42">F41*0.85+G41+AD41*D41+D41*AC41+AE42+AB41</f>
        <v>32.987791666666546</v>
      </c>
      <c r="K41" s="51">
        <f t="shared" ref="K41:K56" si="43">J41/D41</f>
        <v>1.9404583333333263</v>
      </c>
      <c r="L41" s="51">
        <v>60</v>
      </c>
      <c r="M41" s="51">
        <f t="shared" ref="M41:M56" si="44">IFERROR(D41/L41,"-")</f>
        <v>0.28333333333333333</v>
      </c>
      <c r="N41" s="51">
        <v>53</v>
      </c>
      <c r="O41" s="51">
        <f t="shared" ref="O41:P41" si="45">D41/7</f>
        <v>2.4285714285714284</v>
      </c>
      <c r="P41" s="51">
        <f t="shared" si="45"/>
        <v>0</v>
      </c>
      <c r="Q41" s="51">
        <f t="shared" ref="Q41:Q56" si="46">ROUNDDOWN(N41/(O41+P41),0)</f>
        <v>21</v>
      </c>
      <c r="R41" s="55">
        <v>90</v>
      </c>
      <c r="S41" s="53">
        <v>90</v>
      </c>
      <c r="T41" s="54">
        <v>44078</v>
      </c>
      <c r="U41" s="55">
        <v>0</v>
      </c>
      <c r="V41" s="55">
        <f t="shared" ref="V41:V56" si="47">IFERROR(U41/D41,0)</f>
        <v>0</v>
      </c>
      <c r="W41" s="55">
        <f t="shared" ref="W41:W56" si="48">IFERROR(G41/(U41+X41)*-1,0)</f>
        <v>0</v>
      </c>
      <c r="X41" s="55">
        <v>0</v>
      </c>
      <c r="Y41" s="52" t="s">
        <v>35</v>
      </c>
      <c r="Z41" s="56">
        <f t="shared" ref="Z41:Z43" si="49">IF(OR(Y41="UsLargeStandardSize",Y41="UsSmallStandardSize"),-0.75,-0.48)</f>
        <v>-0.75</v>
      </c>
      <c r="AA41" s="55">
        <v>0.26224074074074072</v>
      </c>
      <c r="AB41" s="55">
        <f t="shared" ref="AB41:AB56" si="50">IFERROR(Z41*AA41*D41*3,0)</f>
        <v>-10.030708333333331</v>
      </c>
      <c r="AC41" s="55">
        <v>-5.8</v>
      </c>
      <c r="AD41" s="55">
        <v>-15.5</v>
      </c>
      <c r="AE41" s="55">
        <v>0</v>
      </c>
      <c r="AF41" s="55">
        <v>2.5655172413793101</v>
      </c>
    </row>
    <row r="42" spans="1:32" s="57" customFormat="1" ht="15.75" customHeight="1">
      <c r="A42" s="2" t="s">
        <v>106</v>
      </c>
      <c r="B42" s="2" t="s">
        <v>706</v>
      </c>
      <c r="C42" s="51">
        <f t="shared" si="39"/>
        <v>26.982682926829273</v>
      </c>
      <c r="D42" s="51">
        <v>41</v>
      </c>
      <c r="E42" s="51">
        <v>0</v>
      </c>
      <c r="F42" s="51">
        <v>1106.2900000000002</v>
      </c>
      <c r="G42" s="51">
        <v>-0.08</v>
      </c>
      <c r="H42" s="51">
        <f t="shared" si="40"/>
        <v>7.2313769445624549E-5</v>
      </c>
      <c r="I42" s="51">
        <f t="shared" si="41"/>
        <v>3.8665080283349522E-2</v>
      </c>
      <c r="J42" s="51">
        <f t="shared" si="42"/>
        <v>42.774791666666751</v>
      </c>
      <c r="K42" s="51">
        <f t="shared" si="43"/>
        <v>1.0432876016260184</v>
      </c>
      <c r="L42" s="51">
        <v>64</v>
      </c>
      <c r="M42" s="51">
        <f t="shared" si="44"/>
        <v>0.640625</v>
      </c>
      <c r="N42" s="51">
        <v>30</v>
      </c>
      <c r="O42" s="51">
        <f t="shared" ref="O42:P42" si="51">D42/7</f>
        <v>5.8571428571428568</v>
      </c>
      <c r="P42" s="51">
        <f t="shared" si="51"/>
        <v>0</v>
      </c>
      <c r="Q42" s="51">
        <f t="shared" si="46"/>
        <v>5</v>
      </c>
      <c r="R42" s="55">
        <f ca="1">IFERROR(__xludf.DUMMYFUNCTION("IFERROR(VLOOKUP($B$2,IMPORTRANGE(""https://docs.google.com/spreadsheets/d/1iVgg6Mw12RULLujzHmfOFIY8Q_KaAD8anoZzgtVAQ74/edit#gid=1503384807"",""Second Star - Summary!A1:AD2000""),9,FALSE),"""")"),378)</f>
        <v>378</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0</v>
      </c>
      <c r="V42" s="55">
        <f t="shared" si="47"/>
        <v>0</v>
      </c>
      <c r="W42" s="55">
        <f t="shared" si="48"/>
        <v>0</v>
      </c>
      <c r="X42" s="55">
        <v>0</v>
      </c>
      <c r="Y42" s="55" t="s">
        <v>35</v>
      </c>
      <c r="Z42" s="56">
        <f t="shared" si="49"/>
        <v>-0.75</v>
      </c>
      <c r="AA42" s="55">
        <v>0.26224074074074072</v>
      </c>
      <c r="AB42" s="55">
        <f t="shared" si="50"/>
        <v>-24.191708333333331</v>
      </c>
      <c r="AC42" s="55">
        <v>-5.8</v>
      </c>
      <c r="AD42" s="55">
        <v>-15.5</v>
      </c>
      <c r="AE42" s="55">
        <v>0</v>
      </c>
      <c r="AF42" s="55">
        <v>4.75</v>
      </c>
    </row>
    <row r="43" spans="1:32" s="57" customFormat="1" ht="15.75" customHeight="1">
      <c r="A43" s="2" t="s">
        <v>107</v>
      </c>
      <c r="B43" s="2" t="s">
        <v>707</v>
      </c>
      <c r="C43" s="51">
        <f t="shared" si="39"/>
        <v>27.969285714285714</v>
      </c>
      <c r="D43" s="51">
        <v>14</v>
      </c>
      <c r="E43" s="51">
        <v>0</v>
      </c>
      <c r="F43" s="51">
        <v>391.57</v>
      </c>
      <c r="G43" s="51">
        <v>-0.16</v>
      </c>
      <c r="H43" s="51">
        <f t="shared" si="40"/>
        <v>4.0861148709043084E-4</v>
      </c>
      <c r="I43" s="51">
        <f t="shared" si="41"/>
        <v>6.6945671697695511E-2</v>
      </c>
      <c r="J43" s="51">
        <f t="shared" si="42"/>
        <v>26.213916666666631</v>
      </c>
      <c r="K43" s="51">
        <f t="shared" si="43"/>
        <v>1.8724226190476165</v>
      </c>
      <c r="L43" s="51">
        <v>56</v>
      </c>
      <c r="M43" s="51">
        <f t="shared" si="44"/>
        <v>0.25</v>
      </c>
      <c r="N43" s="51">
        <v>8</v>
      </c>
      <c r="O43" s="51">
        <f t="shared" ref="O43:P43" si="52">D43/7</f>
        <v>2</v>
      </c>
      <c r="P43" s="51">
        <f t="shared" si="52"/>
        <v>0</v>
      </c>
      <c r="Q43" s="51">
        <f t="shared" si="46"/>
        <v>4</v>
      </c>
      <c r="R43" s="55">
        <v>84</v>
      </c>
      <c r="S43" s="53">
        <v>84</v>
      </c>
      <c r="T43" s="54">
        <v>44137</v>
      </c>
      <c r="U43" s="55">
        <v>1</v>
      </c>
      <c r="V43" s="55">
        <f t="shared" si="47"/>
        <v>7.1428571428571425E-2</v>
      </c>
      <c r="W43" s="55">
        <f t="shared" si="48"/>
        <v>0.16</v>
      </c>
      <c r="X43" s="55">
        <v>0</v>
      </c>
      <c r="Y43" s="55" t="s">
        <v>35</v>
      </c>
      <c r="Z43" s="56">
        <f t="shared" si="49"/>
        <v>-0.75</v>
      </c>
      <c r="AA43" s="55">
        <v>0.26224074074074072</v>
      </c>
      <c r="AB43" s="55">
        <f t="shared" si="50"/>
        <v>-8.2605833333333329</v>
      </c>
      <c r="AC43" s="55">
        <v>-5.8</v>
      </c>
      <c r="AD43" s="55">
        <v>-15.5</v>
      </c>
      <c r="AE43" s="55">
        <v>0</v>
      </c>
      <c r="AF43" s="55">
        <v>3.3580246913580201</v>
      </c>
    </row>
    <row r="44" spans="1:32" s="57" customFormat="1" ht="15.75" customHeight="1">
      <c r="A44" s="2" t="s">
        <v>108</v>
      </c>
      <c r="B44" s="2" t="s">
        <v>708</v>
      </c>
      <c r="C44" s="51">
        <f t="shared" si="39"/>
        <v>28.241000000000003</v>
      </c>
      <c r="D44" s="51">
        <v>20</v>
      </c>
      <c r="E44" s="51">
        <v>0</v>
      </c>
      <c r="F44" s="51">
        <v>564.82000000000005</v>
      </c>
      <c r="G44" s="51">
        <v>-0.02</v>
      </c>
      <c r="H44" s="51">
        <f t="shared" si="40"/>
        <v>3.5409510994653159E-5</v>
      </c>
      <c r="I44" s="51">
        <f t="shared" si="41"/>
        <v>2.888412827685527E-2</v>
      </c>
      <c r="J44" s="51">
        <f t="shared" si="42"/>
        <v>16.314333333333394</v>
      </c>
      <c r="K44" s="51">
        <f t="shared" si="43"/>
        <v>0.81571666666666975</v>
      </c>
      <c r="L44" s="51">
        <v>50</v>
      </c>
      <c r="M44" s="51">
        <f t="shared" si="44"/>
        <v>0.4</v>
      </c>
      <c r="N44" s="51">
        <v>0</v>
      </c>
      <c r="O44" s="51">
        <f t="shared" ref="O44:P44" si="53">D44/7</f>
        <v>2.8571428571428572</v>
      </c>
      <c r="P44" s="51">
        <f t="shared" si="53"/>
        <v>0</v>
      </c>
      <c r="Q44" s="51">
        <f t="shared" si="46"/>
        <v>0</v>
      </c>
      <c r="R44" s="55">
        <v>84</v>
      </c>
      <c r="S44" s="53">
        <v>84</v>
      </c>
      <c r="T44" s="54">
        <v>44137</v>
      </c>
      <c r="U44" s="55">
        <v>0</v>
      </c>
      <c r="V44" s="55">
        <f t="shared" si="47"/>
        <v>0</v>
      </c>
      <c r="W44" s="55">
        <f t="shared" si="48"/>
        <v>0</v>
      </c>
      <c r="X44" s="55">
        <v>0</v>
      </c>
      <c r="Y44" s="55" t="s">
        <v>35</v>
      </c>
      <c r="Z44" s="56">
        <f t="shared" ref="Z44:Z56" si="54">IF(OR(Y44="UsLargeStandardSize",Y44="UsSmallStandardSize"),-2.4,-1.2)</f>
        <v>-2.4</v>
      </c>
      <c r="AA44" s="55">
        <v>0.26224074074074072</v>
      </c>
      <c r="AB44" s="55">
        <f t="shared" si="50"/>
        <v>-37.762666666666661</v>
      </c>
      <c r="AC44" s="55">
        <v>-5.8</v>
      </c>
      <c r="AD44" s="55">
        <v>-15.5</v>
      </c>
      <c r="AE44" s="55">
        <v>0</v>
      </c>
      <c r="AF44" s="55">
        <v>4.0610687022900702</v>
      </c>
    </row>
    <row r="45" spans="1:32" s="57" customFormat="1" ht="15.75" customHeight="1">
      <c r="A45" s="2" t="s">
        <v>109</v>
      </c>
      <c r="B45" s="2" t="s">
        <v>709</v>
      </c>
      <c r="C45" s="51">
        <f t="shared" si="39"/>
        <v>29.99</v>
      </c>
      <c r="D45" s="51">
        <v>1</v>
      </c>
      <c r="E45" s="51">
        <v>0</v>
      </c>
      <c r="F45" s="51">
        <v>29.99</v>
      </c>
      <c r="G45" s="51">
        <v>0</v>
      </c>
      <c r="H45" s="51">
        <f t="shared" si="40"/>
        <v>0</v>
      </c>
      <c r="I45" s="51">
        <f t="shared" si="41"/>
        <v>7.6804490385684085E-2</v>
      </c>
      <c r="J45" s="51">
        <f t="shared" si="42"/>
        <v>2.3033666666666655</v>
      </c>
      <c r="K45" s="51">
        <f t="shared" si="43"/>
        <v>2.3033666666666655</v>
      </c>
      <c r="L45" s="51">
        <v>13</v>
      </c>
      <c r="M45" s="51">
        <f t="shared" si="44"/>
        <v>7.6923076923076927E-2</v>
      </c>
      <c r="N45" s="51">
        <v>89</v>
      </c>
      <c r="O45" s="51">
        <f t="shared" ref="O45:P45" si="55">D45/7</f>
        <v>0.14285714285714285</v>
      </c>
      <c r="P45" s="51">
        <f t="shared" si="55"/>
        <v>0</v>
      </c>
      <c r="Q45" s="51">
        <f t="shared" si="46"/>
        <v>623</v>
      </c>
      <c r="R45" s="55">
        <v>84</v>
      </c>
      <c r="S45" s="53">
        <v>84</v>
      </c>
      <c r="T45" s="54">
        <v>44137</v>
      </c>
      <c r="U45" s="55">
        <v>0</v>
      </c>
      <c r="V45" s="55">
        <f t="shared" si="47"/>
        <v>0</v>
      </c>
      <c r="W45" s="55">
        <f t="shared" si="48"/>
        <v>0</v>
      </c>
      <c r="X45" s="55">
        <v>0</v>
      </c>
      <c r="Y45" s="55" t="s">
        <v>35</v>
      </c>
      <c r="Z45" s="56">
        <f t="shared" si="54"/>
        <v>-2.4</v>
      </c>
      <c r="AA45" s="55">
        <v>0.26224074074074072</v>
      </c>
      <c r="AB45" s="55">
        <f t="shared" si="50"/>
        <v>-1.8881333333333332</v>
      </c>
      <c r="AC45" s="55">
        <v>-5.8</v>
      </c>
      <c r="AD45" s="55">
        <v>-15.5</v>
      </c>
      <c r="AE45" s="55">
        <v>0</v>
      </c>
      <c r="AF45" s="55">
        <v>2.55837563451776</v>
      </c>
    </row>
    <row r="46" spans="1:32" s="57" customFormat="1" ht="15.75" customHeight="1">
      <c r="A46" s="2" t="s">
        <v>111</v>
      </c>
      <c r="B46" s="2" t="s">
        <v>710</v>
      </c>
      <c r="C46" s="51">
        <f t="shared" si="39"/>
        <v>29.882000000000001</v>
      </c>
      <c r="D46" s="51">
        <v>15</v>
      </c>
      <c r="E46" s="51">
        <v>0</v>
      </c>
      <c r="F46" s="51">
        <v>448.23</v>
      </c>
      <c r="G46" s="51">
        <v>0</v>
      </c>
      <c r="H46" s="51">
        <f t="shared" si="40"/>
        <v>0</v>
      </c>
      <c r="I46" s="51">
        <f t="shared" si="41"/>
        <v>7.4009994868705783E-2</v>
      </c>
      <c r="J46" s="51">
        <f t="shared" si="42"/>
        <v>33.173499999999997</v>
      </c>
      <c r="K46" s="51">
        <f t="shared" si="43"/>
        <v>2.2115666666666667</v>
      </c>
      <c r="L46" s="51">
        <v>54</v>
      </c>
      <c r="M46" s="51">
        <f t="shared" si="44"/>
        <v>0.27777777777777779</v>
      </c>
      <c r="N46" s="51">
        <v>54</v>
      </c>
      <c r="O46" s="51">
        <f t="shared" ref="O46:P46" si="56">D46/7</f>
        <v>2.1428571428571428</v>
      </c>
      <c r="P46" s="51">
        <f t="shared" si="56"/>
        <v>0</v>
      </c>
      <c r="Q46" s="51">
        <f t="shared" si="46"/>
        <v>25</v>
      </c>
      <c r="R46" s="55">
        <v>0</v>
      </c>
      <c r="S46" s="53" t="s">
        <v>34</v>
      </c>
      <c r="T46" s="54" t="s">
        <v>34</v>
      </c>
      <c r="U46" s="55">
        <v>0</v>
      </c>
      <c r="V46" s="55">
        <f t="shared" si="47"/>
        <v>0</v>
      </c>
      <c r="W46" s="55">
        <f t="shared" si="48"/>
        <v>0</v>
      </c>
      <c r="X46" s="55">
        <v>0</v>
      </c>
      <c r="Y46" s="55" t="s">
        <v>35</v>
      </c>
      <c r="Z46" s="56">
        <f t="shared" si="54"/>
        <v>-2.4</v>
      </c>
      <c r="AA46" s="55">
        <v>0.26224074074074072</v>
      </c>
      <c r="AB46" s="55">
        <f t="shared" si="50"/>
        <v>-28.321999999999996</v>
      </c>
      <c r="AC46" s="55">
        <v>-5.8</v>
      </c>
      <c r="AD46" s="55">
        <v>-15.5</v>
      </c>
      <c r="AE46" s="55">
        <v>0</v>
      </c>
      <c r="AF46" s="55">
        <v>4.7241379310344804</v>
      </c>
    </row>
    <row r="47" spans="1:32" s="57" customFormat="1" ht="15.75" customHeight="1">
      <c r="A47" s="2" t="s">
        <v>113</v>
      </c>
      <c r="B47" s="2" t="s">
        <v>711</v>
      </c>
      <c r="C47" s="51">
        <f t="shared" si="39"/>
        <v>29.619999999999983</v>
      </c>
      <c r="D47" s="51">
        <v>39</v>
      </c>
      <c r="E47" s="51">
        <v>0</v>
      </c>
      <c r="F47" s="51">
        <v>1155.1799999999994</v>
      </c>
      <c r="G47" s="51">
        <v>-0.02</v>
      </c>
      <c r="H47" s="51">
        <f t="shared" si="40"/>
        <v>1.7313319136411652E-5</v>
      </c>
      <c r="I47" s="51">
        <f t="shared" si="41"/>
        <v>6.7128759154417086E-2</v>
      </c>
      <c r="J47" s="51">
        <f t="shared" si="42"/>
        <v>77.545799999999488</v>
      </c>
      <c r="K47" s="51">
        <f t="shared" si="43"/>
        <v>1.988353846153833</v>
      </c>
      <c r="L47" s="51">
        <v>81</v>
      </c>
      <c r="M47" s="51">
        <f t="shared" si="44"/>
        <v>0.48148148148148145</v>
      </c>
      <c r="N47" s="51">
        <v>104</v>
      </c>
      <c r="O47" s="51">
        <f t="shared" ref="O47:P47" si="57">D47/7</f>
        <v>5.5714285714285712</v>
      </c>
      <c r="P47" s="51">
        <f t="shared" si="57"/>
        <v>0</v>
      </c>
      <c r="Q47" s="51">
        <f t="shared" si="46"/>
        <v>18</v>
      </c>
      <c r="R47" s="55">
        <v>0</v>
      </c>
      <c r="S47" s="53" t="s">
        <v>34</v>
      </c>
      <c r="T47" s="54" t="s">
        <v>34</v>
      </c>
      <c r="U47" s="55">
        <v>0</v>
      </c>
      <c r="V47" s="55">
        <f t="shared" si="47"/>
        <v>0</v>
      </c>
      <c r="W47" s="55">
        <f t="shared" si="48"/>
        <v>0</v>
      </c>
      <c r="X47" s="55">
        <v>0</v>
      </c>
      <c r="Y47" s="55" t="s">
        <v>35</v>
      </c>
      <c r="Z47" s="56">
        <f t="shared" si="54"/>
        <v>-2.4</v>
      </c>
      <c r="AA47" s="55">
        <v>0.26224074074074072</v>
      </c>
      <c r="AB47" s="55">
        <f t="shared" si="50"/>
        <v>-73.637199999999993</v>
      </c>
      <c r="AC47" s="55">
        <v>-5.8</v>
      </c>
      <c r="AD47" s="55">
        <v>-15.5</v>
      </c>
      <c r="AE47" s="55">
        <v>0</v>
      </c>
      <c r="AF47" s="55">
        <v>5.125</v>
      </c>
    </row>
    <row r="48" spans="1:32" s="57" customFormat="1" ht="15.75" customHeight="1">
      <c r="A48" s="2" t="s">
        <v>115</v>
      </c>
      <c r="B48" s="2" t="s">
        <v>45</v>
      </c>
      <c r="C48" s="51">
        <f t="shared" si="39"/>
        <v>30.546190476190478</v>
      </c>
      <c r="D48" s="51">
        <v>21</v>
      </c>
      <c r="E48" s="51">
        <v>0</v>
      </c>
      <c r="F48" s="51">
        <v>641.47</v>
      </c>
      <c r="G48" s="51">
        <v>-0.18</v>
      </c>
      <c r="H48" s="51">
        <f t="shared" si="40"/>
        <v>2.8060548427829825E-4</v>
      </c>
      <c r="I48" s="51">
        <f t="shared" si="41"/>
        <v>9.0602366439584178E-2</v>
      </c>
      <c r="J48" s="51">
        <f t="shared" si="42"/>
        <v>58.118700000000068</v>
      </c>
      <c r="K48" s="51">
        <f t="shared" si="43"/>
        <v>2.7675571428571462</v>
      </c>
      <c r="L48" s="51">
        <v>51</v>
      </c>
      <c r="M48" s="51">
        <f t="shared" si="44"/>
        <v>0.41176470588235292</v>
      </c>
      <c r="N48" s="51">
        <v>95</v>
      </c>
      <c r="O48" s="51">
        <f t="shared" ref="O48:P48" si="58">D48/7</f>
        <v>3</v>
      </c>
      <c r="P48" s="51">
        <f t="shared" si="58"/>
        <v>0</v>
      </c>
      <c r="Q48" s="51">
        <f t="shared" si="46"/>
        <v>31</v>
      </c>
      <c r="R48" s="55">
        <f ca="1">IFERROR(__xludf.DUMMYFUNCTION("IFERROR(VLOOKUP($B$2,IMPORTRANGE(""https://docs.google.com/spreadsheets/d/1iVgg6Mw12RULLujzHmfOFIY8Q_KaAD8anoZzgtVAQ74/edit#gid=1503384807"",""Second Star - Summary!A1:AD2000""),9,FALSE),"""")"),378)</f>
        <v>378</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2</v>
      </c>
      <c r="V48" s="55">
        <f t="shared" si="47"/>
        <v>9.5238095238095233E-2</v>
      </c>
      <c r="W48" s="55">
        <f t="shared" si="48"/>
        <v>0.09</v>
      </c>
      <c r="X48" s="55">
        <v>0</v>
      </c>
      <c r="Y48" s="55" t="s">
        <v>35</v>
      </c>
      <c r="Z48" s="56">
        <f t="shared" si="54"/>
        <v>-2.4</v>
      </c>
      <c r="AA48" s="55">
        <v>0.26224074074074072</v>
      </c>
      <c r="AB48" s="55">
        <f t="shared" si="50"/>
        <v>-39.650799999999997</v>
      </c>
      <c r="AC48" s="55">
        <v>-5.8</v>
      </c>
      <c r="AD48" s="55">
        <v>-15.5</v>
      </c>
      <c r="AE48" s="55">
        <v>0</v>
      </c>
      <c r="AF48" s="55">
        <v>3.3816425120772902</v>
      </c>
    </row>
    <row r="49" spans="1:32" s="57" customFormat="1" ht="15.75" customHeight="1">
      <c r="A49" s="2" t="s">
        <v>117</v>
      </c>
      <c r="B49" s="2" t="s">
        <v>712</v>
      </c>
      <c r="C49" s="51">
        <f t="shared" si="39"/>
        <v>33.017692307692307</v>
      </c>
      <c r="D49" s="51">
        <v>13</v>
      </c>
      <c r="E49" s="51">
        <v>0</v>
      </c>
      <c r="F49" s="51">
        <v>429.23</v>
      </c>
      <c r="G49" s="51">
        <v>-0.15000000000000002</v>
      </c>
      <c r="H49" s="51">
        <f t="shared" si="40"/>
        <v>3.4946299186916111E-4</v>
      </c>
      <c r="I49" s="51">
        <f t="shared" si="41"/>
        <v>0.14735635129573121</v>
      </c>
      <c r="J49" s="51">
        <f t="shared" ref="J49:J56" si="59">F49*0.85+G49+AD49*D49+D49*AC49+AE49+AB49</f>
        <v>63.249766666666716</v>
      </c>
      <c r="K49" s="51">
        <f t="shared" si="43"/>
        <v>4.8653666666666702</v>
      </c>
      <c r="L49" s="51">
        <v>45</v>
      </c>
      <c r="M49" s="51">
        <f t="shared" si="44"/>
        <v>0.28888888888888886</v>
      </c>
      <c r="N49" s="51">
        <v>84</v>
      </c>
      <c r="O49" s="51">
        <f t="shared" ref="O49:P49" si="60">D49/7</f>
        <v>1.8571428571428572</v>
      </c>
      <c r="P49" s="51">
        <f t="shared" si="60"/>
        <v>0</v>
      </c>
      <c r="Q49" s="51">
        <f t="shared" si="46"/>
        <v>45</v>
      </c>
      <c r="R49" s="55">
        <f ca="1">IFERROR(__xludf.DUMMYFUNCTION("IFERROR(VLOOKUP($B$2,IMPORTRANGE(""https://docs.google.com/spreadsheets/d/1iVgg6Mw12RULLujzHmfOFIY8Q_KaAD8anoZzgtVAQ74/edit#gid=1503384807"",""Second Star - Summary!A1:AD2000""),9,FALSE),"""")"),378)</f>
        <v>378</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47"/>
        <v>0</v>
      </c>
      <c r="W49" s="55">
        <f t="shared" si="48"/>
        <v>0</v>
      </c>
      <c r="X49" s="55">
        <v>0</v>
      </c>
      <c r="Y49" s="55" t="s">
        <v>35</v>
      </c>
      <c r="Z49" s="56">
        <f t="shared" si="54"/>
        <v>-2.4</v>
      </c>
      <c r="AA49" s="55">
        <v>0.26224074074074072</v>
      </c>
      <c r="AB49" s="55">
        <f t="shared" si="50"/>
        <v>-24.545733333333331</v>
      </c>
      <c r="AC49" s="55">
        <v>-5.8</v>
      </c>
      <c r="AD49" s="55">
        <v>-15.5</v>
      </c>
      <c r="AE49" s="55">
        <v>0</v>
      </c>
      <c r="AF49" s="55">
        <v>4.4470588235294102</v>
      </c>
    </row>
    <row r="50" spans="1:32" s="57" customFormat="1" ht="15.75" customHeight="1">
      <c r="A50" s="2" t="s">
        <v>119</v>
      </c>
      <c r="B50" s="2" t="s">
        <v>712</v>
      </c>
      <c r="C50" s="51">
        <f t="shared" si="39"/>
        <v>33.233571428571437</v>
      </c>
      <c r="D50" s="51">
        <v>14</v>
      </c>
      <c r="E50" s="51">
        <v>0</v>
      </c>
      <c r="F50" s="51">
        <v>465.2700000000001</v>
      </c>
      <c r="G50" s="51">
        <v>-0.24</v>
      </c>
      <c r="H50" s="51">
        <f t="shared" si="40"/>
        <v>5.1582951834418711E-4</v>
      </c>
      <c r="I50" s="51">
        <f t="shared" si="41"/>
        <v>0.15175195764466526</v>
      </c>
      <c r="J50" s="51">
        <f t="shared" si="59"/>
        <v>70.605633333333415</v>
      </c>
      <c r="K50" s="51">
        <f t="shared" si="43"/>
        <v>5.0432595238095299</v>
      </c>
      <c r="L50" s="51">
        <v>55</v>
      </c>
      <c r="M50" s="51">
        <f t="shared" si="44"/>
        <v>0.25454545454545452</v>
      </c>
      <c r="N50" s="51">
        <v>73</v>
      </c>
      <c r="O50" s="51">
        <f t="shared" ref="O50:P50" si="61">D50/7</f>
        <v>2</v>
      </c>
      <c r="P50" s="51">
        <f t="shared" si="61"/>
        <v>0</v>
      </c>
      <c r="Q50" s="51">
        <f t="shared" si="46"/>
        <v>36</v>
      </c>
      <c r="R50" s="55">
        <f ca="1">IFERROR(__xludf.DUMMYFUNCTION("IFERROR(VLOOKUP($B$2,IMPORTRANGE(""https://docs.google.com/spreadsheets/d/1iVgg6Mw12RULLujzHmfOFIY8Q_KaAD8anoZzgtVAQ74/edit#gid=1503384807"",""Second Star - Summary!A1:AD2000""),9,FALSE),"""")"),378)</f>
        <v>378</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47"/>
        <v>0</v>
      </c>
      <c r="W50" s="55">
        <f t="shared" si="48"/>
        <v>0</v>
      </c>
      <c r="X50" s="55">
        <v>0</v>
      </c>
      <c r="Y50" s="55" t="s">
        <v>35</v>
      </c>
      <c r="Z50" s="56">
        <f t="shared" si="54"/>
        <v>-2.4</v>
      </c>
      <c r="AA50" s="55">
        <v>0.26224074074074072</v>
      </c>
      <c r="AB50" s="55">
        <f t="shared" si="50"/>
        <v>-26.43386666666666</v>
      </c>
      <c r="AC50" s="55">
        <v>-5.8</v>
      </c>
      <c r="AD50" s="55">
        <v>-15.5</v>
      </c>
      <c r="AE50" s="55">
        <v>0</v>
      </c>
      <c r="AF50" s="55">
        <v>3.2096774193548301</v>
      </c>
    </row>
    <row r="51" spans="1:32" s="57" customFormat="1" ht="15.75" customHeight="1">
      <c r="A51" s="2" t="s">
        <v>121</v>
      </c>
      <c r="B51" s="2" t="s">
        <v>174</v>
      </c>
      <c r="C51" s="51">
        <f t="shared" si="39"/>
        <v>31.990000000000002</v>
      </c>
      <c r="D51" s="51">
        <v>7</v>
      </c>
      <c r="E51" s="51">
        <v>0</v>
      </c>
      <c r="F51" s="51">
        <v>223.93</v>
      </c>
      <c r="G51" s="51">
        <v>0</v>
      </c>
      <c r="H51" s="51">
        <f t="shared" si="40"/>
        <v>0</v>
      </c>
      <c r="I51" s="51">
        <f t="shared" si="41"/>
        <v>0.12514431593206207</v>
      </c>
      <c r="J51" s="51">
        <f t="shared" si="59"/>
        <v>28.02356666666666</v>
      </c>
      <c r="K51" s="51">
        <f t="shared" si="43"/>
        <v>4.0033666666666656</v>
      </c>
      <c r="L51" s="51">
        <v>47</v>
      </c>
      <c r="M51" s="51">
        <f t="shared" si="44"/>
        <v>0.14893617021276595</v>
      </c>
      <c r="N51" s="51">
        <v>67</v>
      </c>
      <c r="O51" s="51">
        <f t="shared" ref="O51:P51" si="62">D51/7</f>
        <v>1</v>
      </c>
      <c r="P51" s="51">
        <f t="shared" si="62"/>
        <v>0</v>
      </c>
      <c r="Q51" s="51">
        <f t="shared" si="46"/>
        <v>67</v>
      </c>
      <c r="R51" s="55">
        <f ca="1">IFERROR(__xludf.DUMMYFUNCTION("IFERROR(VLOOKUP($B$2,IMPORTRANGE(""https://docs.google.com/spreadsheets/d/1iVgg6Mw12RULLujzHmfOFIY8Q_KaAD8anoZzgtVAQ74/edit#gid=1503384807"",""Second Star - Summary!A1:AD2000""),9,FALSE),"""")"),378)</f>
        <v>378</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47"/>
        <v>0</v>
      </c>
      <c r="W51" s="55">
        <f t="shared" si="48"/>
        <v>0</v>
      </c>
      <c r="X51" s="55">
        <v>0</v>
      </c>
      <c r="Y51" s="55" t="s">
        <v>35</v>
      </c>
      <c r="Z51" s="56">
        <f t="shared" si="54"/>
        <v>-2.4</v>
      </c>
      <c r="AA51" s="55">
        <v>0.26224074074074072</v>
      </c>
      <c r="AB51" s="55">
        <f t="shared" si="50"/>
        <v>-13.21693333333333</v>
      </c>
      <c r="AC51" s="55">
        <v>-5.8</v>
      </c>
      <c r="AD51" s="55">
        <v>-15.5</v>
      </c>
      <c r="AE51" s="55">
        <v>0</v>
      </c>
      <c r="AF51" s="55">
        <v>4.7191011235955003</v>
      </c>
    </row>
    <row r="52" spans="1:32" s="57" customFormat="1" ht="15.75" customHeight="1">
      <c r="A52" s="2" t="s">
        <v>123</v>
      </c>
      <c r="B52" s="2" t="s">
        <v>713</v>
      </c>
      <c r="C52" s="51">
        <f t="shared" si="39"/>
        <v>33.553333333333335</v>
      </c>
      <c r="D52" s="51">
        <v>6</v>
      </c>
      <c r="E52" s="51">
        <v>0</v>
      </c>
      <c r="F52" s="51">
        <v>201.32000000000002</v>
      </c>
      <c r="G52" s="51">
        <v>-0.31</v>
      </c>
      <c r="H52" s="51">
        <f t="shared" si="40"/>
        <v>1.539837075303E-3</v>
      </c>
      <c r="I52" s="51">
        <f t="shared" si="41"/>
        <v>0.14964698375338173</v>
      </c>
      <c r="J52" s="51">
        <f t="shared" si="59"/>
        <v>30.12693076923081</v>
      </c>
      <c r="K52" s="51">
        <f t="shared" si="43"/>
        <v>5.0211551282051348</v>
      </c>
      <c r="L52" s="51">
        <v>36</v>
      </c>
      <c r="M52" s="51">
        <f t="shared" si="44"/>
        <v>0.16666666666666666</v>
      </c>
      <c r="N52" s="51">
        <v>92</v>
      </c>
      <c r="O52" s="51">
        <f t="shared" ref="O52:P52" si="63">D52/7</f>
        <v>0.8571428571428571</v>
      </c>
      <c r="P52" s="51">
        <f t="shared" si="63"/>
        <v>0</v>
      </c>
      <c r="Q52" s="51">
        <f t="shared" si="46"/>
        <v>107</v>
      </c>
      <c r="R52" s="55">
        <f ca="1">IFERROR(__xludf.DUMMYFUNCTION("IFERROR(VLOOKUP($B$2,IMPORTRANGE(""https://docs.google.com/spreadsheets/d/1iVgg6Mw12RULLujzHmfOFIY8Q_KaAD8anoZzgtVAQ74/edit#gid=1503384807"",""Second Star - Summary!A1:AD2000""),9,FALSE),"""")"),378)</f>
        <v>378</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47"/>
        <v>0</v>
      </c>
      <c r="W52" s="55">
        <f t="shared" si="48"/>
        <v>0</v>
      </c>
      <c r="X52" s="55">
        <v>0</v>
      </c>
      <c r="Y52" s="55" t="s">
        <v>35</v>
      </c>
      <c r="Z52" s="56">
        <f t="shared" si="54"/>
        <v>-2.4</v>
      </c>
      <c r="AA52" s="55">
        <v>0.26224074074074072</v>
      </c>
      <c r="AB52" s="55">
        <f t="shared" si="50"/>
        <v>-11.328799999999999</v>
      </c>
      <c r="AC52" s="55">
        <v>-5.8</v>
      </c>
      <c r="AD52" s="55">
        <v>-15.759378205128201</v>
      </c>
      <c r="AE52" s="55">
        <v>0</v>
      </c>
      <c r="AF52" s="55">
        <v>3.80530973451327</v>
      </c>
    </row>
    <row r="53" spans="1:32" s="57" customFormat="1">
      <c r="A53" s="2" t="s">
        <v>38</v>
      </c>
      <c r="B53" s="2" t="s">
        <v>714</v>
      </c>
      <c r="C53" s="51">
        <f t="shared" si="39"/>
        <v>32.353636363636369</v>
      </c>
      <c r="D53" s="51">
        <v>11</v>
      </c>
      <c r="E53" s="51">
        <v>0</v>
      </c>
      <c r="F53" s="51">
        <v>355.89000000000004</v>
      </c>
      <c r="G53" s="51">
        <v>-12.969999999999999</v>
      </c>
      <c r="H53" s="51">
        <f t="shared" si="40"/>
        <v>3.6443845008289073E-2</v>
      </c>
      <c r="I53" s="51">
        <f t="shared" si="41"/>
        <v>8.883046187564464E-2</v>
      </c>
      <c r="J53" s="51">
        <f t="shared" si="59"/>
        <v>31.613873076923177</v>
      </c>
      <c r="K53" s="51">
        <f t="shared" si="43"/>
        <v>2.8739884615384708</v>
      </c>
      <c r="L53" s="51">
        <v>48</v>
      </c>
      <c r="M53" s="51">
        <f t="shared" si="44"/>
        <v>0.22916666666666666</v>
      </c>
      <c r="N53" s="51">
        <v>129</v>
      </c>
      <c r="O53" s="51">
        <f t="shared" ref="O53:P53" si="64">D53/7</f>
        <v>1.5714285714285714</v>
      </c>
      <c r="P53" s="51">
        <f t="shared" si="64"/>
        <v>0</v>
      </c>
      <c r="Q53" s="51">
        <f t="shared" si="46"/>
        <v>82</v>
      </c>
      <c r="R53" s="55">
        <f ca="1">IFERROR(__xludf.DUMMYFUNCTION("IFERROR(VLOOKUP($B$2,IMPORTRANGE(""https://docs.google.com/spreadsheets/d/1iVgg6Mw12RULLujzHmfOFIY8Q_KaAD8anoZzgtVAQ74/edit#gid=1503384807"",""Second Star - Summary!A1:AD2000""),9,FALSE),"""")"),378)</f>
        <v>378</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3</v>
      </c>
      <c r="V53" s="55">
        <f t="shared" si="47"/>
        <v>0.27272727272727271</v>
      </c>
      <c r="W53" s="55">
        <f t="shared" si="48"/>
        <v>4.3233333333333333</v>
      </c>
      <c r="X53" s="55">
        <v>0</v>
      </c>
      <c r="Y53" s="55" t="s">
        <v>35</v>
      </c>
      <c r="Z53" s="56">
        <f t="shared" si="54"/>
        <v>-2.4</v>
      </c>
      <c r="AA53" s="55">
        <v>0.26224074074074072</v>
      </c>
      <c r="AB53" s="55">
        <f t="shared" si="50"/>
        <v>-20.769466666666666</v>
      </c>
      <c r="AC53" s="55">
        <v>-5.8</v>
      </c>
      <c r="AD53" s="55">
        <v>-15.759378205128201</v>
      </c>
      <c r="AE53" s="55">
        <v>0</v>
      </c>
      <c r="AF53" s="55">
        <v>2.74390243902439</v>
      </c>
    </row>
    <row r="54" spans="1:32" s="57" customFormat="1">
      <c r="A54" s="2" t="s">
        <v>40</v>
      </c>
      <c r="B54" s="2" t="s">
        <v>264</v>
      </c>
      <c r="C54" s="51">
        <f t="shared" si="39"/>
        <v>33.923333333333339</v>
      </c>
      <c r="D54" s="51">
        <v>15</v>
      </c>
      <c r="E54" s="51">
        <v>0</v>
      </c>
      <c r="F54" s="51">
        <v>508.85000000000008</v>
      </c>
      <c r="G54" s="51">
        <v>-25.05</v>
      </c>
      <c r="H54" s="51">
        <f t="shared" si="40"/>
        <v>4.9228652844649695E-2</v>
      </c>
      <c r="I54" s="51">
        <f t="shared" si="41"/>
        <v>0.10958008631831977</v>
      </c>
      <c r="J54" s="51">
        <f t="shared" si="59"/>
        <v>55.759826923077021</v>
      </c>
      <c r="K54" s="51">
        <f t="shared" si="43"/>
        <v>3.7173217948718014</v>
      </c>
      <c r="L54" s="51">
        <v>51</v>
      </c>
      <c r="M54" s="51">
        <f t="shared" si="44"/>
        <v>0.29411764705882354</v>
      </c>
      <c r="N54" s="51">
        <v>121</v>
      </c>
      <c r="O54" s="51">
        <f t="shared" ref="O54:P54" si="65">D54/7</f>
        <v>2.1428571428571428</v>
      </c>
      <c r="P54" s="51">
        <f t="shared" si="65"/>
        <v>0</v>
      </c>
      <c r="Q54" s="51">
        <f t="shared" si="46"/>
        <v>56</v>
      </c>
      <c r="R54" s="55">
        <f ca="1">IFERROR(__xludf.DUMMYFUNCTION("IFERROR(VLOOKUP($B$2,IMPORTRANGE(""https://docs.google.com/spreadsheets/d/1iVgg6Mw12RULLujzHmfOFIY8Q_KaAD8anoZzgtVAQ74/edit#gid=1503384807"",""Second Star - Summary!A1:AD2000""),9,FALSE),"""")"),378)</f>
        <v>378</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1</v>
      </c>
      <c r="V54" s="55">
        <f t="shared" si="47"/>
        <v>6.6666666666666666E-2</v>
      </c>
      <c r="W54" s="55">
        <f t="shared" si="48"/>
        <v>25.05</v>
      </c>
      <c r="X54" s="55">
        <v>0</v>
      </c>
      <c r="Y54" s="55" t="s">
        <v>35</v>
      </c>
      <c r="Z54" s="56">
        <f t="shared" si="54"/>
        <v>-2.4</v>
      </c>
      <c r="AA54" s="55">
        <v>0.26224074074074072</v>
      </c>
      <c r="AB54" s="55">
        <f t="shared" si="50"/>
        <v>-28.321999999999996</v>
      </c>
      <c r="AC54" s="55">
        <v>-5.8</v>
      </c>
      <c r="AD54" s="55">
        <v>-15.759378205128201</v>
      </c>
      <c r="AE54" s="55">
        <v>0</v>
      </c>
      <c r="AF54" s="55">
        <v>2.3763440860215002</v>
      </c>
    </row>
    <row r="55" spans="1:32" s="57" customFormat="1" ht="15.75" customHeight="1">
      <c r="A55" s="2" t="s">
        <v>32</v>
      </c>
      <c r="B55" s="2" t="s">
        <v>715</v>
      </c>
      <c r="C55" s="51">
        <f t="shared" si="39"/>
        <v>34.561428571428578</v>
      </c>
      <c r="D55" s="51">
        <v>14</v>
      </c>
      <c r="E55" s="51">
        <v>0</v>
      </c>
      <c r="F55" s="51">
        <v>483.86000000000007</v>
      </c>
      <c r="G55" s="51">
        <v>-18.07</v>
      </c>
      <c r="H55" s="51">
        <f t="shared" si="40"/>
        <v>3.7345513164965066E-2</v>
      </c>
      <c r="I55" s="51">
        <f t="shared" si="41"/>
        <v>0.13422444190786301</v>
      </c>
      <c r="J55" s="51">
        <f t="shared" si="59"/>
        <v>64.9458384615386</v>
      </c>
      <c r="K55" s="51">
        <f t="shared" si="43"/>
        <v>4.6389884615384718</v>
      </c>
      <c r="L55" s="51">
        <v>52</v>
      </c>
      <c r="M55" s="51">
        <f t="shared" si="44"/>
        <v>0.26923076923076922</v>
      </c>
      <c r="N55" s="51">
        <v>113</v>
      </c>
      <c r="O55" s="51">
        <f t="shared" ref="O55:P55" si="66">D55/7</f>
        <v>2</v>
      </c>
      <c r="P55" s="51">
        <f t="shared" si="66"/>
        <v>0</v>
      </c>
      <c r="Q55" s="51">
        <f t="shared" si="46"/>
        <v>56</v>
      </c>
      <c r="R55" s="55">
        <v>54</v>
      </c>
      <c r="S55" s="53">
        <v>54</v>
      </c>
      <c r="T55" s="54">
        <v>44211</v>
      </c>
      <c r="U55" s="55">
        <v>5</v>
      </c>
      <c r="V55" s="55">
        <f t="shared" si="47"/>
        <v>0.35714285714285715</v>
      </c>
      <c r="W55" s="55">
        <f t="shared" si="48"/>
        <v>2.25875</v>
      </c>
      <c r="X55" s="55">
        <v>3</v>
      </c>
      <c r="Y55" s="55" t="s">
        <v>35</v>
      </c>
      <c r="Z55" s="56">
        <f t="shared" si="54"/>
        <v>-2.4</v>
      </c>
      <c r="AA55" s="55">
        <v>0.26224074074074072</v>
      </c>
      <c r="AB55" s="55">
        <f t="shared" si="50"/>
        <v>-26.43386666666666</v>
      </c>
      <c r="AC55" s="55">
        <v>-5.8</v>
      </c>
      <c r="AD55" s="55">
        <v>-15.759378205128201</v>
      </c>
      <c r="AE55" s="55">
        <v>0</v>
      </c>
      <c r="AF55" s="55">
        <v>2.08923884514435</v>
      </c>
    </row>
    <row r="56" spans="1:32" s="57" customFormat="1" ht="15.75" customHeight="1">
      <c r="A56" s="2" t="s">
        <v>36</v>
      </c>
      <c r="B56" s="2"/>
      <c r="C56" s="51">
        <f t="shared" si="39"/>
        <v>33.99</v>
      </c>
      <c r="D56" s="51">
        <v>11</v>
      </c>
      <c r="E56" s="51">
        <v>0</v>
      </c>
      <c r="F56" s="51">
        <v>373.89000000000004</v>
      </c>
      <c r="G56" s="51">
        <v>-28.39</v>
      </c>
      <c r="H56" s="51">
        <f t="shared" si="40"/>
        <v>7.5931423680761709E-2</v>
      </c>
      <c r="I56" s="51">
        <f t="shared" si="41"/>
        <v>8.4232991192391263E-2</v>
      </c>
      <c r="J56" s="51">
        <f t="shared" si="59"/>
        <v>31.493873076923173</v>
      </c>
      <c r="K56" s="51">
        <f t="shared" si="43"/>
        <v>2.8630793706293791</v>
      </c>
      <c r="L56" s="51">
        <v>51</v>
      </c>
      <c r="M56" s="51">
        <f t="shared" si="44"/>
        <v>0.21568627450980393</v>
      </c>
      <c r="N56" s="51">
        <v>125</v>
      </c>
      <c r="O56" s="51">
        <f t="shared" ref="O56:P56" si="67">D56/7</f>
        <v>1.5714285714285714</v>
      </c>
      <c r="P56" s="51">
        <f t="shared" si="67"/>
        <v>0</v>
      </c>
      <c r="Q56" s="51">
        <f t="shared" si="46"/>
        <v>79</v>
      </c>
      <c r="R56" s="55">
        <f ca="1">IFERROR(__xludf.DUMMYFUNCTION("IFERROR(VLOOKUP($B$2,IMPORTRANGE(""https://docs.google.com/spreadsheets/d/1iVgg6Mw12RULLujzHmfOFIY8Q_KaAD8anoZzgtVAQ74/edit#gid=1503384807"",""Second Star - Summary!A1:AD2000""),9,FALSE),"""")"),378)</f>
        <v>378</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1</v>
      </c>
      <c r="V56" s="55">
        <f t="shared" si="47"/>
        <v>9.0909090909090912E-2</v>
      </c>
      <c r="W56" s="55">
        <f t="shared" si="48"/>
        <v>4.055714285714286</v>
      </c>
      <c r="X56" s="55">
        <v>6</v>
      </c>
      <c r="Y56" s="55" t="s">
        <v>35</v>
      </c>
      <c r="Z56" s="56">
        <f t="shared" si="54"/>
        <v>-2.4</v>
      </c>
      <c r="AA56" s="55">
        <v>0.26224074074074072</v>
      </c>
      <c r="AB56" s="55">
        <f t="shared" si="50"/>
        <v>-20.769466666666666</v>
      </c>
      <c r="AC56" s="55">
        <v>-5.8</v>
      </c>
      <c r="AD56" s="55">
        <v>-15.759378205128201</v>
      </c>
      <c r="AE56" s="55">
        <v>0</v>
      </c>
      <c r="AF56" s="55">
        <v>2.2634730538922101</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E221" s="2"/>
      <c r="P221" s="2"/>
      <c r="AF221" s="23"/>
    </row>
    <row r="222" spans="1:32" ht="15.75" customHeight="1">
      <c r="E222" s="2"/>
      <c r="P222" s="2"/>
      <c r="AF222" s="23"/>
    </row>
    <row r="223" spans="1:32" ht="15.75" customHeight="1">
      <c r="E223" s="2"/>
      <c r="P223" s="2"/>
      <c r="AF223" s="23"/>
    </row>
    <row r="224" spans="1: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401" priority="1" operator="lessThan">
      <formula>100</formula>
    </cfRule>
  </conditionalFormatting>
  <conditionalFormatting sqref="Q1:Q3 Q57:Q1000">
    <cfRule type="cellIs" dxfId="400" priority="2" operator="lessThan">
      <formula>100</formula>
    </cfRule>
  </conditionalFormatting>
  <conditionalFormatting sqref="I1:I3 I57:I1000">
    <cfRule type="cellIs" dxfId="399" priority="3" operator="lessThan">
      <formula>0.05</formula>
    </cfRule>
  </conditionalFormatting>
  <conditionalFormatting sqref="I4:I17">
    <cfRule type="cellIs" dxfId="398" priority="4" operator="lessThan">
      <formula>0.05</formula>
    </cfRule>
  </conditionalFormatting>
  <conditionalFormatting sqref="I18:I56">
    <cfRule type="cellIs" dxfId="397" priority="5" operator="lessThan">
      <formula>0.05</formula>
    </cfRule>
  </conditionalFormatting>
  <conditionalFormatting sqref="Q4:Q56">
    <cfRule type="cellIs" dxfId="396" priority="6" operator="lessThan">
      <formula>100</formula>
    </cfRule>
  </conditionalFormatting>
  <conditionalFormatting sqref="Q4:Q56">
    <cfRule type="cellIs" dxfId="395" priority="7" operator="lessThan">
      <formula>100</formula>
    </cfRule>
  </conditionalFormatting>
  <pageMargins left="0.7" right="0.7" top="0.75" bottom="0.75" header="0" footer="0"/>
  <pageSetup orientation="portrait"/>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7.6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Info!B1:BJ5000""),4,FALSE),"""")"),"Quilted Waterproof Mattress Overlay Pad - Extra Large Flat 36x70 """)</f>
        <v>Quilted Waterproof Mattress Overlay Pad - Extra Large Flat 36x70 "</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Info!B1:BJ5000""),3,FALSE),"""")"),"B000U5ECDQ")</f>
        <v>B000U5ECDQ</v>
      </c>
      <c r="B2" s="4" t="s">
        <v>716</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
        <v>716</v>
      </c>
      <c r="C3" s="7">
        <f>((AC56+AD56/0.85)*-1)</f>
        <v>15.972538964303659</v>
      </c>
      <c r="D3" s="8">
        <f>SUM(D4:D99819)</f>
        <v>1641</v>
      </c>
      <c r="E3" s="8"/>
      <c r="F3" s="9">
        <f t="shared" ref="F3:G3" si="0">SUM(F4:F99819)</f>
        <v>35839.640000000007</v>
      </c>
      <c r="G3" s="9">
        <f t="shared" si="0"/>
        <v>-1844.97</v>
      </c>
      <c r="H3" s="10">
        <f t="shared" ref="H3:H39" si="1">G3/F3*-1</f>
        <v>5.1478474672178615E-2</v>
      </c>
      <c r="I3" s="11">
        <f t="shared" ref="I3:I39" si="2">J3/F3</f>
        <v>0.12274466374122769</v>
      </c>
      <c r="J3" s="9">
        <f>SUM(J4:J99819)</f>
        <v>4399.1245604066544</v>
      </c>
      <c r="K3" s="9">
        <f t="shared" ref="K3:K39" si="3">J3/D3</f>
        <v>2.6807584158480529</v>
      </c>
      <c r="L3" s="8"/>
      <c r="M3" s="12"/>
      <c r="N3" s="13"/>
      <c r="O3" s="8" t="str">
        <f ca="1">IFERROR(__xludf.DUMMYFUNCTION("IFERROR(VLOOKUP(B2,IMPORTRANGE(""https://docs.google.com/spreadsheets/d/1owCo6kL_VFQ5nPTdNogErmCBLjNiktT1m3SzTrxu3R0/edit#gid=2146806407"",""Second Star - Compiled!b1:g5000""),2,FALSE),"""")"),"4 - March
4 - April
4 - May
4 - Jun
4 - Jul
4 - Aug
4 - Sept
4 - Oct
4 - Nov
4 - Dec
4 - Jan
4 - Feb")</f>
        <v>4 - March
4 - April
4 - May
4 - Jun
4 - Jul
4 - Aug
4 - Sept
4 - Oct
4 - Nov
4 - Dec
4 - Jan
4 - Feb</v>
      </c>
      <c r="P3" s="8"/>
      <c r="Q3" s="14"/>
      <c r="R3" s="13"/>
      <c r="S3" s="13"/>
      <c r="T3" s="13"/>
      <c r="U3" s="8">
        <f>SUM(U4:U99819)</f>
        <v>145</v>
      </c>
      <c r="V3" s="10">
        <f>AVERAGE(V4:V99819)</f>
        <v>7.1894466779688124E-2</v>
      </c>
      <c r="W3" s="9">
        <f>ROUND(AVERAGE(W4:W99819),2)</f>
        <v>4.04</v>
      </c>
      <c r="X3" s="8"/>
      <c r="Y3" s="8"/>
      <c r="Z3" s="8"/>
      <c r="AA3" s="8"/>
      <c r="AB3" s="8"/>
      <c r="AC3" s="15"/>
      <c r="AD3" s="9"/>
      <c r="AE3" s="9">
        <f>SUM(AE4:AE99819)</f>
        <v>0</v>
      </c>
      <c r="AF3" s="16"/>
    </row>
    <row r="4" spans="1:32" s="57" customFormat="1">
      <c r="A4" s="17" t="s">
        <v>48</v>
      </c>
      <c r="B4" s="17"/>
      <c r="C4" s="50">
        <v>20.99</v>
      </c>
      <c r="D4" s="51">
        <v>86</v>
      </c>
      <c r="E4" s="51">
        <v>0</v>
      </c>
      <c r="F4" s="51">
        <v>1805.1400000000006</v>
      </c>
      <c r="G4" s="51">
        <v>-94.38000000000001</v>
      </c>
      <c r="H4" s="51">
        <f t="shared" si="1"/>
        <v>5.228403337137285E-2</v>
      </c>
      <c r="I4" s="51">
        <f t="shared" si="2"/>
        <v>0.11520912448620443</v>
      </c>
      <c r="J4" s="51">
        <f t="shared" ref="J4:J38" si="4">F4*0.85+G4+AD4*D4+D4*AC4+AE4+AB4</f>
        <v>207.96859897502713</v>
      </c>
      <c r="K4" s="51">
        <f t="shared" si="3"/>
        <v>2.4182395229654317</v>
      </c>
      <c r="L4" s="51">
        <v>316</v>
      </c>
      <c r="M4" s="51">
        <f t="shared" ref="M4:M39" si="5">IFERROR(D4/L4,"-")</f>
        <v>0.27215189873417722</v>
      </c>
      <c r="N4" s="51">
        <v>289</v>
      </c>
      <c r="O4" s="51">
        <f t="shared" ref="O4:P4" si="6">D4/7</f>
        <v>12.285714285714286</v>
      </c>
      <c r="P4" s="51">
        <f t="shared" si="6"/>
        <v>0</v>
      </c>
      <c r="Q4" s="51">
        <f t="shared" ref="Q4:Q39" si="7">ROUNDDOWN(N4/(O4+P4),0)</f>
        <v>23</v>
      </c>
      <c r="R4" s="52">
        <v>0</v>
      </c>
      <c r="S4" s="53" t="s">
        <v>34</v>
      </c>
      <c r="T4" s="54" t="s">
        <v>34</v>
      </c>
      <c r="U4" s="52">
        <v>14</v>
      </c>
      <c r="V4" s="55">
        <f t="shared" ref="V4:V39" si="8">IFERROR(U4/D4,0)</f>
        <v>0.16279069767441862</v>
      </c>
      <c r="W4" s="55">
        <f t="shared" ref="W4:W39" si="9">IFERROR(G4/(U4+X4)*-1,0)</f>
        <v>5.2433333333333341</v>
      </c>
      <c r="X4" s="52">
        <v>4</v>
      </c>
      <c r="Y4" s="56" t="s">
        <v>35</v>
      </c>
      <c r="Z4" s="56">
        <f t="shared" ref="Z4:Z10" si="10">IF(OR(Y4="UsLargeStandardSize",Y4="UsSmallStandardSize"),-0.69,-0.48)</f>
        <v>-0.69</v>
      </c>
      <c r="AA4" s="55">
        <v>0.16588541666666665</v>
      </c>
      <c r="AB4" s="55">
        <f t="shared" ref="AB4:AB17" si="11">IFERROR((Z4*AA4*N4)/4,0)</f>
        <v>-8.2698027343749985</v>
      </c>
      <c r="AC4" s="55">
        <v>-5.26</v>
      </c>
      <c r="AD4" s="55">
        <v>-8.9696581196581189</v>
      </c>
      <c r="AE4" s="55">
        <v>0</v>
      </c>
      <c r="AF4" s="55"/>
    </row>
    <row r="5" spans="1:32" s="57" customFormat="1" ht="15.75" customHeight="1">
      <c r="A5" s="2" t="s">
        <v>49</v>
      </c>
      <c r="B5" s="2" t="s">
        <v>717</v>
      </c>
      <c r="C5" s="51">
        <v>20.99</v>
      </c>
      <c r="D5" s="51">
        <v>151</v>
      </c>
      <c r="E5" s="51">
        <v>0</v>
      </c>
      <c r="F5" s="51">
        <v>3169.4899999999948</v>
      </c>
      <c r="G5" s="51">
        <v>-117.92999999999999</v>
      </c>
      <c r="H5" s="51">
        <f t="shared" si="1"/>
        <v>3.7207878870102191E-2</v>
      </c>
      <c r="I5" s="51">
        <f t="shared" si="2"/>
        <v>0.13299766537076796</v>
      </c>
      <c r="J5" s="51">
        <f t="shared" si="4"/>
        <v>421.53477041599461</v>
      </c>
      <c r="K5" s="51">
        <f t="shared" si="3"/>
        <v>2.7916209961324148</v>
      </c>
      <c r="L5" s="51">
        <v>354</v>
      </c>
      <c r="M5" s="51">
        <f t="shared" si="5"/>
        <v>0.42655367231638419</v>
      </c>
      <c r="N5" s="51">
        <v>207</v>
      </c>
      <c r="O5" s="51">
        <f t="shared" ref="O5:P5" si="12">D5/7</f>
        <v>21.571428571428573</v>
      </c>
      <c r="P5" s="51">
        <f t="shared" si="12"/>
        <v>0</v>
      </c>
      <c r="Q5" s="51">
        <f t="shared" si="7"/>
        <v>9</v>
      </c>
      <c r="R5" s="55">
        <v>0</v>
      </c>
      <c r="S5" s="53" t="s">
        <v>34</v>
      </c>
      <c r="T5" s="54" t="s">
        <v>34</v>
      </c>
      <c r="U5" s="55">
        <v>11</v>
      </c>
      <c r="V5" s="55">
        <f t="shared" si="8"/>
        <v>7.2847682119205295E-2</v>
      </c>
      <c r="W5" s="55">
        <f t="shared" si="9"/>
        <v>5.8964999999999996</v>
      </c>
      <c r="X5" s="55">
        <v>9</v>
      </c>
      <c r="Y5" s="55" t="s">
        <v>35</v>
      </c>
      <c r="Z5" s="56">
        <f t="shared" si="10"/>
        <v>-0.69</v>
      </c>
      <c r="AA5" s="55">
        <v>0.16588541666666665</v>
      </c>
      <c r="AB5" s="55">
        <f t="shared" si="11"/>
        <v>-5.9233535156249983</v>
      </c>
      <c r="AC5" s="55">
        <v>-5.26</v>
      </c>
      <c r="AD5" s="55">
        <v>-8.9696581196581189</v>
      </c>
      <c r="AE5" s="55">
        <v>0</v>
      </c>
      <c r="AF5" s="55"/>
    </row>
    <row r="6" spans="1:32" s="57" customFormat="1" ht="15.75" customHeight="1">
      <c r="A6" s="2" t="s">
        <v>51</v>
      </c>
      <c r="B6" s="2" t="s">
        <v>718</v>
      </c>
      <c r="C6" s="51">
        <v>20.99</v>
      </c>
      <c r="D6" s="51">
        <v>117</v>
      </c>
      <c r="E6" s="51">
        <v>0</v>
      </c>
      <c r="F6" s="51">
        <v>2455.829999999999</v>
      </c>
      <c r="G6" s="51">
        <v>-100.91999999999999</v>
      </c>
      <c r="H6" s="51">
        <f t="shared" si="1"/>
        <v>4.109404966956183E-2</v>
      </c>
      <c r="I6" s="51">
        <f t="shared" si="2"/>
        <v>0.1304327188707583</v>
      </c>
      <c r="J6" s="51">
        <f t="shared" si="4"/>
        <v>320.32058398437425</v>
      </c>
      <c r="K6" s="51">
        <f t="shared" si="3"/>
        <v>2.7377827690972159</v>
      </c>
      <c r="L6" s="51">
        <v>353</v>
      </c>
      <c r="M6" s="51">
        <f t="shared" si="5"/>
        <v>0.33144475920679889</v>
      </c>
      <c r="N6" s="51">
        <v>47</v>
      </c>
      <c r="O6" s="51">
        <f t="shared" ref="O6:P6" si="13">D6/7</f>
        <v>16.714285714285715</v>
      </c>
      <c r="P6" s="51">
        <f t="shared" si="13"/>
        <v>0</v>
      </c>
      <c r="Q6" s="51">
        <f t="shared" si="7"/>
        <v>2</v>
      </c>
      <c r="R6" s="55">
        <v>318</v>
      </c>
      <c r="S6" s="53" t="s">
        <v>34</v>
      </c>
      <c r="T6" s="54" t="s">
        <v>34</v>
      </c>
      <c r="U6" s="55">
        <v>20</v>
      </c>
      <c r="V6" s="55">
        <f t="shared" si="8"/>
        <v>0.17094017094017094</v>
      </c>
      <c r="W6" s="55">
        <f t="shared" si="9"/>
        <v>3.7377777777777772</v>
      </c>
      <c r="X6" s="55">
        <v>7</v>
      </c>
      <c r="Y6" s="55" t="s">
        <v>35</v>
      </c>
      <c r="Z6" s="56">
        <f t="shared" si="10"/>
        <v>-0.69</v>
      </c>
      <c r="AA6" s="55">
        <v>0.16588541666666665</v>
      </c>
      <c r="AB6" s="55">
        <f t="shared" si="11"/>
        <v>-1.3449160156249997</v>
      </c>
      <c r="AC6" s="55">
        <v>-5.26</v>
      </c>
      <c r="AD6" s="55">
        <v>-8.9696581196581189</v>
      </c>
      <c r="AE6" s="55">
        <v>0</v>
      </c>
      <c r="AF6" s="55"/>
    </row>
    <row r="7" spans="1:32" s="57" customFormat="1" ht="15.75" customHeight="1">
      <c r="A7" s="2" t="s">
        <v>53</v>
      </c>
      <c r="B7" s="2"/>
      <c r="C7" s="51">
        <v>20.99</v>
      </c>
      <c r="D7" s="51">
        <v>85</v>
      </c>
      <c r="E7" s="51">
        <v>0</v>
      </c>
      <c r="F7" s="51">
        <v>1784.1500000000005</v>
      </c>
      <c r="G7" s="51">
        <v>-45.07</v>
      </c>
      <c r="H7" s="51">
        <f t="shared" si="1"/>
        <v>2.5261328924137537E-2</v>
      </c>
      <c r="I7" s="51">
        <f t="shared" si="2"/>
        <v>0.14678100460180496</v>
      </c>
      <c r="J7" s="51">
        <f t="shared" si="4"/>
        <v>261.87932936031041</v>
      </c>
      <c r="K7" s="51">
        <f t="shared" si="3"/>
        <v>3.080933286591887</v>
      </c>
      <c r="L7" s="51">
        <v>205</v>
      </c>
      <c r="M7" s="51">
        <f t="shared" si="5"/>
        <v>0.41463414634146339</v>
      </c>
      <c r="N7" s="51">
        <v>2</v>
      </c>
      <c r="O7" s="51">
        <f t="shared" ref="O7:P7" si="14">D7/7</f>
        <v>12.142857142857142</v>
      </c>
      <c r="P7" s="51">
        <f t="shared" si="14"/>
        <v>0</v>
      </c>
      <c r="Q7" s="51">
        <f t="shared" si="7"/>
        <v>0</v>
      </c>
      <c r="R7" s="55">
        <v>318</v>
      </c>
      <c r="S7" s="53" t="s">
        <v>34</v>
      </c>
      <c r="T7" s="54" t="s">
        <v>34</v>
      </c>
      <c r="U7" s="55">
        <v>13</v>
      </c>
      <c r="V7" s="55">
        <f t="shared" si="8"/>
        <v>0.15294117647058825</v>
      </c>
      <c r="W7" s="55">
        <f t="shared" si="9"/>
        <v>3.4669230769230768</v>
      </c>
      <c r="X7" s="55">
        <v>0</v>
      </c>
      <c r="Y7" s="55" t="s">
        <v>35</v>
      </c>
      <c r="Z7" s="56">
        <f t="shared" si="10"/>
        <v>-0.69</v>
      </c>
      <c r="AA7" s="55">
        <v>0.16588541666666665</v>
      </c>
      <c r="AB7" s="55">
        <f t="shared" si="11"/>
        <v>-5.7230468749999985E-2</v>
      </c>
      <c r="AC7" s="55">
        <v>-5.26</v>
      </c>
      <c r="AD7" s="55">
        <v>-8.9696581196581189</v>
      </c>
      <c r="AE7" s="55">
        <v>0</v>
      </c>
      <c r="AF7" s="55"/>
    </row>
    <row r="8" spans="1:32" s="57" customFormat="1" ht="15.75" customHeight="1">
      <c r="A8" s="2" t="s">
        <v>54</v>
      </c>
      <c r="B8" s="2" t="s">
        <v>719</v>
      </c>
      <c r="C8" s="51">
        <v>20.99</v>
      </c>
      <c r="D8" s="51">
        <v>6</v>
      </c>
      <c r="E8" s="51">
        <v>0</v>
      </c>
      <c r="F8" s="51">
        <v>125.94</v>
      </c>
      <c r="G8" s="51">
        <v>0</v>
      </c>
      <c r="H8" s="51">
        <f t="shared" si="1"/>
        <v>0</v>
      </c>
      <c r="I8" s="51">
        <f t="shared" si="2"/>
        <v>0.10050224276581139</v>
      </c>
      <c r="J8" s="51">
        <f t="shared" si="4"/>
        <v>12.657252453926287</v>
      </c>
      <c r="K8" s="51">
        <f t="shared" si="3"/>
        <v>2.1095420756543812</v>
      </c>
      <c r="L8" s="51">
        <v>13</v>
      </c>
      <c r="M8" s="51">
        <f t="shared" si="5"/>
        <v>0.46153846153846156</v>
      </c>
      <c r="N8" s="51">
        <v>315</v>
      </c>
      <c r="O8" s="51">
        <f t="shared" ref="O8:P8" si="15">D8/7</f>
        <v>0.8571428571428571</v>
      </c>
      <c r="P8" s="51">
        <f t="shared" si="15"/>
        <v>0</v>
      </c>
      <c r="Q8" s="51">
        <f t="shared" si="7"/>
        <v>367</v>
      </c>
      <c r="R8" s="55">
        <v>318</v>
      </c>
      <c r="S8" s="53">
        <v>318</v>
      </c>
      <c r="T8" s="54">
        <v>43865</v>
      </c>
      <c r="U8" s="55">
        <v>0</v>
      </c>
      <c r="V8" s="55">
        <f t="shared" si="8"/>
        <v>0</v>
      </c>
      <c r="W8" s="55">
        <f t="shared" si="9"/>
        <v>0</v>
      </c>
      <c r="X8" s="55">
        <v>0</v>
      </c>
      <c r="Y8" s="55" t="s">
        <v>35</v>
      </c>
      <c r="Z8" s="56">
        <f t="shared" si="10"/>
        <v>-0.69</v>
      </c>
      <c r="AA8" s="55">
        <v>0.16588541666666665</v>
      </c>
      <c r="AB8" s="55">
        <f t="shared" si="11"/>
        <v>-9.0137988281249974</v>
      </c>
      <c r="AC8" s="55">
        <v>-5.26</v>
      </c>
      <c r="AD8" s="55">
        <v>-8.9696581196581189</v>
      </c>
      <c r="AE8" s="55">
        <v>0</v>
      </c>
      <c r="AF8" s="55"/>
    </row>
    <row r="9" spans="1:32" s="57" customFormat="1" ht="15.75" customHeight="1">
      <c r="A9" s="2" t="s">
        <v>56</v>
      </c>
      <c r="B9" s="2" t="s">
        <v>720</v>
      </c>
      <c r="C9" s="51">
        <v>20.99</v>
      </c>
      <c r="D9" s="51">
        <v>21</v>
      </c>
      <c r="E9" s="51">
        <v>0</v>
      </c>
      <c r="F9" s="51">
        <v>440.79000000000008</v>
      </c>
      <c r="G9" s="51">
        <v>-40.119999999999997</v>
      </c>
      <c r="H9" s="51">
        <f t="shared" si="1"/>
        <v>9.1018398784001434E-2</v>
      </c>
      <c r="I9" s="51">
        <f t="shared" si="2"/>
        <v>6.1645510127395241E-2</v>
      </c>
      <c r="J9" s="51">
        <f t="shared" si="4"/>
        <v>27.172724409054553</v>
      </c>
      <c r="K9" s="51">
        <f t="shared" si="3"/>
        <v>1.2939392575740263</v>
      </c>
      <c r="L9" s="51">
        <v>114</v>
      </c>
      <c r="M9" s="51">
        <f t="shared" si="5"/>
        <v>0.18421052631578946</v>
      </c>
      <c r="N9" s="51">
        <v>299</v>
      </c>
      <c r="O9" s="51">
        <f t="shared" ref="O9:P9" si="16">D9/7</f>
        <v>3</v>
      </c>
      <c r="P9" s="51">
        <f t="shared" si="16"/>
        <v>0</v>
      </c>
      <c r="Q9" s="51">
        <f t="shared" si="7"/>
        <v>99</v>
      </c>
      <c r="R9" s="55">
        <v>504</v>
      </c>
      <c r="S9" s="53" t="s">
        <v>34</v>
      </c>
      <c r="T9" s="54" t="s">
        <v>34</v>
      </c>
      <c r="U9" s="55">
        <v>2</v>
      </c>
      <c r="V9" s="55">
        <f t="shared" si="8"/>
        <v>9.5238095238095233E-2</v>
      </c>
      <c r="W9" s="55">
        <f t="shared" si="9"/>
        <v>10.029999999999999</v>
      </c>
      <c r="X9" s="55">
        <v>2</v>
      </c>
      <c r="Y9" s="55" t="s">
        <v>35</v>
      </c>
      <c r="Z9" s="56">
        <f t="shared" si="10"/>
        <v>-0.69</v>
      </c>
      <c r="AA9" s="55">
        <v>0.16588541666666665</v>
      </c>
      <c r="AB9" s="55">
        <f t="shared" si="11"/>
        <v>-8.5559550781249971</v>
      </c>
      <c r="AC9" s="55">
        <v>-5.26</v>
      </c>
      <c r="AD9" s="55">
        <v>-8.9696581196581189</v>
      </c>
      <c r="AE9" s="55">
        <v>0</v>
      </c>
      <c r="AF9" s="55"/>
    </row>
    <row r="10" spans="1:32" s="57" customFormat="1" ht="15.75" customHeight="1">
      <c r="A10" s="2" t="s">
        <v>58</v>
      </c>
      <c r="B10" s="2" t="s">
        <v>721</v>
      </c>
      <c r="C10" s="51">
        <v>20.99</v>
      </c>
      <c r="D10" s="51">
        <v>53</v>
      </c>
      <c r="E10" s="51">
        <v>0</v>
      </c>
      <c r="F10" s="51">
        <v>1112.4700000000003</v>
      </c>
      <c r="G10" s="51">
        <v>-103.33</v>
      </c>
      <c r="H10" s="51">
        <f t="shared" si="1"/>
        <v>9.2883403597400355E-2</v>
      </c>
      <c r="I10" s="51">
        <f t="shared" si="2"/>
        <v>7.3120555471715906E-2</v>
      </c>
      <c r="J10" s="51">
        <f t="shared" si="4"/>
        <v>81.344424345619814</v>
      </c>
      <c r="K10" s="51">
        <f t="shared" si="3"/>
        <v>1.5348004593513171</v>
      </c>
      <c r="L10" s="51">
        <v>184</v>
      </c>
      <c r="M10" s="51">
        <f t="shared" si="5"/>
        <v>0.28804347826086957</v>
      </c>
      <c r="N10" s="51">
        <v>236</v>
      </c>
      <c r="O10" s="51">
        <f t="shared" ref="O10:P10" si="17">D10/7</f>
        <v>7.5714285714285712</v>
      </c>
      <c r="P10" s="51">
        <f t="shared" si="17"/>
        <v>0</v>
      </c>
      <c r="Q10" s="51">
        <f t="shared" si="7"/>
        <v>31</v>
      </c>
      <c r="R10" s="55">
        <v>504</v>
      </c>
      <c r="S10" s="53" t="s">
        <v>34</v>
      </c>
      <c r="T10" s="54" t="s">
        <v>34</v>
      </c>
      <c r="U10" s="55">
        <v>6</v>
      </c>
      <c r="V10" s="55">
        <f t="shared" si="8"/>
        <v>0.11320754716981132</v>
      </c>
      <c r="W10" s="55">
        <f t="shared" si="9"/>
        <v>6.8886666666666665</v>
      </c>
      <c r="X10" s="55">
        <v>9</v>
      </c>
      <c r="Y10" s="55" t="s">
        <v>35</v>
      </c>
      <c r="Z10" s="56">
        <f t="shared" si="10"/>
        <v>-0.69</v>
      </c>
      <c r="AA10" s="55">
        <v>0.16588541666666665</v>
      </c>
      <c r="AB10" s="55">
        <f t="shared" si="11"/>
        <v>-6.7531953124999982</v>
      </c>
      <c r="AC10" s="55">
        <v>-5.26</v>
      </c>
      <c r="AD10" s="55">
        <v>-8.9696581196581189</v>
      </c>
      <c r="AE10" s="55">
        <v>0</v>
      </c>
      <c r="AF10" s="55"/>
    </row>
    <row r="11" spans="1:32" s="57" customFormat="1" ht="15.75" customHeight="1">
      <c r="A11" s="2" t="s">
        <v>60</v>
      </c>
      <c r="B11" s="2" t="s">
        <v>722</v>
      </c>
      <c r="C11" s="51">
        <v>25.99</v>
      </c>
      <c r="D11" s="51">
        <v>19</v>
      </c>
      <c r="E11" s="51">
        <v>0</v>
      </c>
      <c r="F11" s="51">
        <v>436.81000000000006</v>
      </c>
      <c r="G11" s="51">
        <v>-141.07000000000002</v>
      </c>
      <c r="H11" s="51">
        <f t="shared" si="1"/>
        <v>0.32295506055264306</v>
      </c>
      <c r="I11" s="51">
        <f t="shared" si="2"/>
        <v>-0.11517069057857927</v>
      </c>
      <c r="J11" s="51">
        <f t="shared" si="4"/>
        <v>-50.307709351629221</v>
      </c>
      <c r="K11" s="51">
        <f t="shared" si="3"/>
        <v>-2.6477741764015379</v>
      </c>
      <c r="L11" s="51">
        <v>214</v>
      </c>
      <c r="M11" s="51">
        <f t="shared" si="5"/>
        <v>8.8785046728971959E-2</v>
      </c>
      <c r="N11" s="51">
        <v>229</v>
      </c>
      <c r="O11" s="51">
        <f t="shared" ref="O11:P11" si="18">D11/7</f>
        <v>2.7142857142857144</v>
      </c>
      <c r="P11" s="51">
        <f t="shared" si="18"/>
        <v>0</v>
      </c>
      <c r="Q11" s="51">
        <f t="shared" si="7"/>
        <v>84</v>
      </c>
      <c r="R11" s="55">
        <v>822</v>
      </c>
      <c r="S11" s="53" t="s">
        <v>34</v>
      </c>
      <c r="T11" s="54" t="s">
        <v>34</v>
      </c>
      <c r="U11" s="55">
        <v>3</v>
      </c>
      <c r="V11" s="55">
        <f t="shared" si="8"/>
        <v>0.15789473684210525</v>
      </c>
      <c r="W11" s="55">
        <f t="shared" si="9"/>
        <v>8.8168750000000014</v>
      </c>
      <c r="X11" s="55">
        <v>13</v>
      </c>
      <c r="Y11" s="55" t="s">
        <v>35</v>
      </c>
      <c r="Z11" s="56">
        <f t="shared" ref="Z11:Z39" si="19">IF(OR(Y11="UsLargeStandardSize",Y11="UsSmallStandardSize"),-0.75,-0.48)</f>
        <v>-0.75</v>
      </c>
      <c r="AA11" s="55">
        <v>0.16588541666666665</v>
      </c>
      <c r="AB11" s="55">
        <f t="shared" si="11"/>
        <v>-7.1227050781249988</v>
      </c>
      <c r="AC11" s="55">
        <v>-5.42</v>
      </c>
      <c r="AD11" s="55">
        <v>-8.9696581196581189</v>
      </c>
      <c r="AE11" s="55">
        <v>0</v>
      </c>
      <c r="AF11" s="55"/>
    </row>
    <row r="12" spans="1:32" s="57" customFormat="1" ht="15.75" customHeight="1">
      <c r="A12" s="2" t="s">
        <v>62</v>
      </c>
      <c r="B12" s="2" t="s">
        <v>723</v>
      </c>
      <c r="C12" s="51">
        <v>26.99</v>
      </c>
      <c r="D12" s="51">
        <v>24</v>
      </c>
      <c r="E12" s="51">
        <v>0</v>
      </c>
      <c r="F12" s="51">
        <v>677.7600000000001</v>
      </c>
      <c r="G12" s="51">
        <v>-159.78</v>
      </c>
      <c r="H12" s="51">
        <f t="shared" si="1"/>
        <v>0.23574716713881017</v>
      </c>
      <c r="I12" s="51">
        <f t="shared" si="2"/>
        <v>9.5571596905734066E-2</v>
      </c>
      <c r="J12" s="51">
        <f t="shared" si="4"/>
        <v>64.774605518830327</v>
      </c>
      <c r="K12" s="51">
        <f t="shared" si="3"/>
        <v>2.6989418966179302</v>
      </c>
      <c r="L12" s="51">
        <v>234</v>
      </c>
      <c r="M12" s="51">
        <f t="shared" si="5"/>
        <v>0.10256410256410256</v>
      </c>
      <c r="N12" s="51">
        <v>199</v>
      </c>
      <c r="O12" s="51">
        <f t="shared" ref="O12:P12" si="20">D12/7</f>
        <v>3.4285714285714284</v>
      </c>
      <c r="P12" s="51">
        <f t="shared" si="20"/>
        <v>0</v>
      </c>
      <c r="Q12" s="51">
        <f t="shared" si="7"/>
        <v>58</v>
      </c>
      <c r="R12" s="55">
        <v>822</v>
      </c>
      <c r="S12" s="53">
        <v>504</v>
      </c>
      <c r="T12" s="54">
        <v>43896</v>
      </c>
      <c r="U12" s="55">
        <v>6</v>
      </c>
      <c r="V12" s="55">
        <f t="shared" si="8"/>
        <v>0.25</v>
      </c>
      <c r="W12" s="55">
        <f t="shared" si="9"/>
        <v>6.9469565217391303</v>
      </c>
      <c r="X12" s="55">
        <v>17</v>
      </c>
      <c r="Y12" s="55" t="s">
        <v>35</v>
      </c>
      <c r="Z12" s="56">
        <f t="shared" si="19"/>
        <v>-0.75</v>
      </c>
      <c r="AA12" s="55">
        <v>0.16588541666666665</v>
      </c>
      <c r="AB12" s="55">
        <f t="shared" si="11"/>
        <v>-6.1895996093749988</v>
      </c>
      <c r="AC12" s="55">
        <v>-5.42</v>
      </c>
      <c r="AD12" s="55">
        <v>-8.9696581196581189</v>
      </c>
      <c r="AE12" s="55">
        <v>0</v>
      </c>
      <c r="AF12" s="55"/>
    </row>
    <row r="13" spans="1:32" s="57" customFormat="1" ht="15.75" customHeight="1">
      <c r="A13" s="2" t="s">
        <v>63</v>
      </c>
      <c r="B13" s="2" t="s">
        <v>724</v>
      </c>
      <c r="C13" s="51">
        <v>26.99</v>
      </c>
      <c r="D13" s="51">
        <v>29</v>
      </c>
      <c r="E13" s="51">
        <v>0</v>
      </c>
      <c r="F13" s="51">
        <v>755.71000000000015</v>
      </c>
      <c r="G13" s="51">
        <v>-162.25000000000003</v>
      </c>
      <c r="H13" s="51">
        <f t="shared" si="1"/>
        <v>0.21469876010639002</v>
      </c>
      <c r="I13" s="51">
        <f t="shared" si="2"/>
        <v>7.557326377914772E-2</v>
      </c>
      <c r="J13" s="51">
        <f t="shared" si="4"/>
        <v>57.11147117053973</v>
      </c>
      <c r="K13" s="51">
        <f t="shared" si="3"/>
        <v>1.9693610748461976</v>
      </c>
      <c r="L13" s="51">
        <v>236</v>
      </c>
      <c r="M13" s="51">
        <f t="shared" si="5"/>
        <v>0.1228813559322034</v>
      </c>
      <c r="N13" s="51">
        <v>183</v>
      </c>
      <c r="O13" s="51">
        <f t="shared" ref="O13:P13" si="21">D13/7</f>
        <v>4.1428571428571432</v>
      </c>
      <c r="P13" s="51">
        <f t="shared" si="21"/>
        <v>0</v>
      </c>
      <c r="Q13" s="51">
        <f t="shared" si="7"/>
        <v>44</v>
      </c>
      <c r="R13" s="55">
        <v>318</v>
      </c>
      <c r="S13" s="53" t="s">
        <v>34</v>
      </c>
      <c r="T13" s="54" t="s">
        <v>34</v>
      </c>
      <c r="U13" s="55">
        <v>3</v>
      </c>
      <c r="V13" s="55">
        <f t="shared" si="8"/>
        <v>0.10344827586206896</v>
      </c>
      <c r="W13" s="55">
        <f t="shared" si="9"/>
        <v>8.1125000000000007</v>
      </c>
      <c r="X13" s="55">
        <v>17</v>
      </c>
      <c r="Y13" s="55" t="s">
        <v>35</v>
      </c>
      <c r="Z13" s="56">
        <f t="shared" si="19"/>
        <v>-0.75</v>
      </c>
      <c r="AA13" s="55">
        <v>0.16588541666666665</v>
      </c>
      <c r="AB13" s="55">
        <f t="shared" si="11"/>
        <v>-5.6919433593749993</v>
      </c>
      <c r="AC13" s="55">
        <v>-5.42</v>
      </c>
      <c r="AD13" s="55">
        <v>-8.9696581196581189</v>
      </c>
      <c r="AE13" s="55">
        <v>0</v>
      </c>
      <c r="AF13" s="55"/>
    </row>
    <row r="14" spans="1:32" s="57" customFormat="1" ht="15.75" customHeight="1">
      <c r="A14" s="2" t="s">
        <v>64</v>
      </c>
      <c r="B14" s="2" t="s">
        <v>725</v>
      </c>
      <c r="C14" s="51">
        <v>22.99</v>
      </c>
      <c r="D14" s="51">
        <v>26</v>
      </c>
      <c r="E14" s="51">
        <v>0</v>
      </c>
      <c r="F14" s="51">
        <v>631.74000000000012</v>
      </c>
      <c r="G14" s="51">
        <v>-133.10000000000002</v>
      </c>
      <c r="H14" s="51">
        <f t="shared" si="1"/>
        <v>0.21068794124165005</v>
      </c>
      <c r="I14" s="51">
        <f t="shared" si="2"/>
        <v>1.4938571541716456E-2</v>
      </c>
      <c r="J14" s="51">
        <f t="shared" si="4"/>
        <v>9.4372931857639557</v>
      </c>
      <c r="K14" s="51">
        <f t="shared" si="3"/>
        <v>0.36297281483707522</v>
      </c>
      <c r="L14" s="51">
        <v>206</v>
      </c>
      <c r="M14" s="51">
        <f t="shared" si="5"/>
        <v>0.12621359223300971</v>
      </c>
      <c r="N14" s="51">
        <v>653</v>
      </c>
      <c r="O14" s="51">
        <f t="shared" ref="O14:P14" si="22">D14/7</f>
        <v>3.7142857142857144</v>
      </c>
      <c r="P14" s="51">
        <f t="shared" si="22"/>
        <v>0</v>
      </c>
      <c r="Q14" s="51">
        <f t="shared" si="7"/>
        <v>175</v>
      </c>
      <c r="R14" s="55">
        <v>318</v>
      </c>
      <c r="S14" s="53" t="s">
        <v>34</v>
      </c>
      <c r="T14" s="54" t="s">
        <v>34</v>
      </c>
      <c r="U14" s="55">
        <v>6</v>
      </c>
      <c r="V14" s="55">
        <f t="shared" si="8"/>
        <v>0.23076923076923078</v>
      </c>
      <c r="W14" s="55">
        <f t="shared" si="9"/>
        <v>5.3240000000000007</v>
      </c>
      <c r="X14" s="55">
        <v>19</v>
      </c>
      <c r="Y14" s="55" t="s">
        <v>35</v>
      </c>
      <c r="Z14" s="56">
        <f t="shared" si="19"/>
        <v>-0.75</v>
      </c>
      <c r="AA14" s="55">
        <v>0.16588541666666665</v>
      </c>
      <c r="AB14" s="55">
        <f t="shared" si="11"/>
        <v>-20.310595703124996</v>
      </c>
      <c r="AC14" s="55">
        <v>-5.42</v>
      </c>
      <c r="AD14" s="55">
        <v>-8.9696581196581189</v>
      </c>
      <c r="AE14" s="55">
        <v>0</v>
      </c>
      <c r="AF14" s="55"/>
    </row>
    <row r="15" spans="1:32" s="57" customFormat="1" ht="15.75" customHeight="1">
      <c r="A15" s="2" t="s">
        <v>65</v>
      </c>
      <c r="B15" s="2" t="s">
        <v>726</v>
      </c>
      <c r="C15" s="51">
        <v>22.99</v>
      </c>
      <c r="D15" s="51">
        <v>23</v>
      </c>
      <c r="E15" s="51">
        <v>0</v>
      </c>
      <c r="F15" s="51">
        <v>520.7700000000001</v>
      </c>
      <c r="G15" s="51">
        <v>-105.25999999999999</v>
      </c>
      <c r="H15" s="51">
        <f t="shared" si="1"/>
        <v>0.20212377825143532</v>
      </c>
      <c r="I15" s="51">
        <f t="shared" si="2"/>
        <v>-2.6231364798061853E-2</v>
      </c>
      <c r="J15" s="51">
        <f t="shared" si="4"/>
        <v>-13.660507845886674</v>
      </c>
      <c r="K15" s="51">
        <f t="shared" si="3"/>
        <v>-0.59393512373420321</v>
      </c>
      <c r="L15" s="51">
        <v>150</v>
      </c>
      <c r="M15" s="51">
        <f t="shared" si="5"/>
        <v>0.15333333333333332</v>
      </c>
      <c r="N15" s="51">
        <v>646</v>
      </c>
      <c r="O15" s="51">
        <f t="shared" ref="O15:P15" si="23">D15/7</f>
        <v>3.2857142857142856</v>
      </c>
      <c r="P15" s="51">
        <f t="shared" si="23"/>
        <v>0</v>
      </c>
      <c r="Q15" s="51">
        <f t="shared" si="7"/>
        <v>196</v>
      </c>
      <c r="R15" s="55">
        <v>0</v>
      </c>
      <c r="S15" s="53" t="s">
        <v>34</v>
      </c>
      <c r="T15" s="54" t="s">
        <v>34</v>
      </c>
      <c r="U15" s="55">
        <v>12</v>
      </c>
      <c r="V15" s="55">
        <f t="shared" si="8"/>
        <v>0.52173913043478259</v>
      </c>
      <c r="W15" s="55">
        <f t="shared" si="9"/>
        <v>4.5765217391304347</v>
      </c>
      <c r="X15" s="55">
        <v>11</v>
      </c>
      <c r="Y15" s="55" t="s">
        <v>35</v>
      </c>
      <c r="Z15" s="56">
        <f t="shared" si="19"/>
        <v>-0.75</v>
      </c>
      <c r="AA15" s="55">
        <v>0.16588541666666665</v>
      </c>
      <c r="AB15" s="55">
        <f t="shared" si="11"/>
        <v>-20.092871093749995</v>
      </c>
      <c r="AC15" s="55">
        <v>-5.42</v>
      </c>
      <c r="AD15" s="55">
        <v>-8.9696581196581189</v>
      </c>
      <c r="AE15" s="55">
        <v>0</v>
      </c>
      <c r="AF15" s="55"/>
    </row>
    <row r="16" spans="1:32" s="57" customFormat="1" ht="15.75" customHeight="1">
      <c r="A16" s="2" t="s">
        <v>66</v>
      </c>
      <c r="B16" s="2" t="s">
        <v>727</v>
      </c>
      <c r="C16" s="51">
        <v>20.99</v>
      </c>
      <c r="D16" s="51">
        <v>31</v>
      </c>
      <c r="E16" s="51">
        <v>0</v>
      </c>
      <c r="F16" s="51">
        <v>700.69000000000017</v>
      </c>
      <c r="G16" s="51">
        <v>-96.68</v>
      </c>
      <c r="H16" s="51">
        <f t="shared" si="1"/>
        <v>0.13797827855399675</v>
      </c>
      <c r="I16" s="51">
        <f t="shared" si="2"/>
        <v>4.8803454353884598E-2</v>
      </c>
      <c r="J16" s="51">
        <f t="shared" si="4"/>
        <v>34.196092431223406</v>
      </c>
      <c r="K16" s="51">
        <f t="shared" si="3"/>
        <v>1.1030997558459164</v>
      </c>
      <c r="L16" s="51">
        <v>167</v>
      </c>
      <c r="M16" s="51">
        <f t="shared" si="5"/>
        <v>0.18562874251497005</v>
      </c>
      <c r="N16" s="51">
        <v>599</v>
      </c>
      <c r="O16" s="51">
        <f t="shared" ref="O16:P16" si="24">D16/7</f>
        <v>4.4285714285714288</v>
      </c>
      <c r="P16" s="51">
        <f t="shared" si="24"/>
        <v>0</v>
      </c>
      <c r="Q16" s="51">
        <f t="shared" si="7"/>
        <v>135</v>
      </c>
      <c r="R16" s="55">
        <v>0</v>
      </c>
      <c r="S16" s="53" t="s">
        <v>34</v>
      </c>
      <c r="T16" s="54" t="s">
        <v>34</v>
      </c>
      <c r="U16" s="55">
        <v>10</v>
      </c>
      <c r="V16" s="55">
        <f t="shared" si="8"/>
        <v>0.32258064516129031</v>
      </c>
      <c r="W16" s="55">
        <f t="shared" si="9"/>
        <v>6.9057142857142866</v>
      </c>
      <c r="X16" s="55">
        <v>4</v>
      </c>
      <c r="Y16" s="55" t="s">
        <v>35</v>
      </c>
      <c r="Z16" s="56">
        <f t="shared" si="19"/>
        <v>-0.75</v>
      </c>
      <c r="AA16" s="55">
        <v>0.16588541666666665</v>
      </c>
      <c r="AB16" s="55">
        <f t="shared" si="11"/>
        <v>-18.631005859374998</v>
      </c>
      <c r="AC16" s="55">
        <v>-5.42</v>
      </c>
      <c r="AD16" s="55">
        <v>-8.9696581196581189</v>
      </c>
      <c r="AE16" s="55">
        <v>0</v>
      </c>
      <c r="AF16" s="55"/>
    </row>
    <row r="17" spans="1:32" s="57" customFormat="1" ht="15.75" customHeight="1">
      <c r="A17" s="2" t="s">
        <v>67</v>
      </c>
      <c r="B17" s="2" t="s">
        <v>728</v>
      </c>
      <c r="C17" s="51">
        <v>20.99</v>
      </c>
      <c r="D17" s="51">
        <v>22</v>
      </c>
      <c r="E17" s="51">
        <v>0</v>
      </c>
      <c r="F17" s="51">
        <v>456.78000000000003</v>
      </c>
      <c r="G17" s="51">
        <v>-77.16</v>
      </c>
      <c r="H17" s="51">
        <f t="shared" si="1"/>
        <v>0.16892158150531983</v>
      </c>
      <c r="I17" s="51">
        <f t="shared" si="2"/>
        <v>-5.1808387567545758E-2</v>
      </c>
      <c r="J17" s="51">
        <f t="shared" si="4"/>
        <v>-23.665035273103552</v>
      </c>
      <c r="K17" s="51">
        <f t="shared" si="3"/>
        <v>-1.0756834215047069</v>
      </c>
      <c r="L17" s="51">
        <v>175</v>
      </c>
      <c r="M17" s="51">
        <f t="shared" si="5"/>
        <v>0.12571428571428572</v>
      </c>
      <c r="N17" s="51">
        <v>585</v>
      </c>
      <c r="O17" s="51">
        <f t="shared" ref="O17:P17" si="25">D17/7</f>
        <v>3.1428571428571428</v>
      </c>
      <c r="P17" s="51">
        <f t="shared" si="25"/>
        <v>0</v>
      </c>
      <c r="Q17" s="51">
        <f t="shared" si="7"/>
        <v>186</v>
      </c>
      <c r="R17" s="55">
        <v>0</v>
      </c>
      <c r="S17" s="53" t="s">
        <v>34</v>
      </c>
      <c r="T17" s="54" t="s">
        <v>34</v>
      </c>
      <c r="U17" s="55">
        <v>4</v>
      </c>
      <c r="V17" s="55">
        <f t="shared" si="8"/>
        <v>0.18181818181818182</v>
      </c>
      <c r="W17" s="55">
        <f t="shared" si="9"/>
        <v>8.5733333333333324</v>
      </c>
      <c r="X17" s="55">
        <v>5</v>
      </c>
      <c r="Y17" s="55" t="s">
        <v>35</v>
      </c>
      <c r="Z17" s="56">
        <f t="shared" si="19"/>
        <v>-0.75</v>
      </c>
      <c r="AA17" s="55">
        <v>0.16588541666666665</v>
      </c>
      <c r="AB17" s="55">
        <f t="shared" si="11"/>
        <v>-18.195556640624996</v>
      </c>
      <c r="AC17" s="55">
        <v>-5.42</v>
      </c>
      <c r="AD17" s="55">
        <v>-8.9696581196581189</v>
      </c>
      <c r="AE17" s="55">
        <v>0</v>
      </c>
      <c r="AF17" s="55"/>
    </row>
    <row r="18" spans="1:32" s="57" customFormat="1" ht="15.75" customHeight="1">
      <c r="A18" s="2" t="s">
        <v>69</v>
      </c>
      <c r="B18" s="2" t="s">
        <v>729</v>
      </c>
      <c r="C18" s="51">
        <v>19.989999999999998</v>
      </c>
      <c r="D18" s="51">
        <v>28</v>
      </c>
      <c r="E18" s="51">
        <v>0</v>
      </c>
      <c r="F18" s="51">
        <v>585.72000000000014</v>
      </c>
      <c r="G18" s="51">
        <v>-49.5</v>
      </c>
      <c r="H18" s="51">
        <f t="shared" si="1"/>
        <v>8.4511370620774406E-2</v>
      </c>
      <c r="I18" s="51">
        <f t="shared" si="2"/>
        <v>5.9756865737165814E-2</v>
      </c>
      <c r="J18" s="51">
        <f t="shared" si="4"/>
        <v>35.000791399572769</v>
      </c>
      <c r="K18" s="51">
        <f t="shared" si="3"/>
        <v>1.2500282642704561</v>
      </c>
      <c r="L18" s="51">
        <v>146</v>
      </c>
      <c r="M18" s="51">
        <f t="shared" si="5"/>
        <v>0.19178082191780821</v>
      </c>
      <c r="N18" s="51">
        <v>549</v>
      </c>
      <c r="O18" s="51">
        <f t="shared" ref="O18:P18" si="26">D18/7</f>
        <v>4</v>
      </c>
      <c r="P18" s="51">
        <f t="shared" si="26"/>
        <v>0</v>
      </c>
      <c r="Q18" s="51">
        <f t="shared" si="7"/>
        <v>137</v>
      </c>
      <c r="R18" s="55">
        <v>0</v>
      </c>
      <c r="S18" s="53" t="s">
        <v>34</v>
      </c>
      <c r="T18" s="54" t="s">
        <v>34</v>
      </c>
      <c r="U18" s="55">
        <v>10</v>
      </c>
      <c r="V18" s="55">
        <f t="shared" si="8"/>
        <v>0.35714285714285715</v>
      </c>
      <c r="W18" s="55">
        <f t="shared" si="9"/>
        <v>4.125</v>
      </c>
      <c r="X18" s="55">
        <v>2</v>
      </c>
      <c r="Y18" s="55" t="s">
        <v>35</v>
      </c>
      <c r="Z18" s="56">
        <f t="shared" si="19"/>
        <v>-0.75</v>
      </c>
      <c r="AA18" s="55">
        <v>0.16588541666666665</v>
      </c>
      <c r="AB18" s="58">
        <f t="shared" ref="AB18:AB39" si="27">IFERROR(Z18*AA18*D18*3,0)</f>
        <v>-10.450781249999999</v>
      </c>
      <c r="AC18" s="55">
        <v>-5.42</v>
      </c>
      <c r="AD18" s="55">
        <v>-8.9696581196581189</v>
      </c>
      <c r="AE18" s="55">
        <v>0</v>
      </c>
      <c r="AF18" s="55"/>
    </row>
    <row r="19" spans="1:32" s="57" customFormat="1" ht="15.75" customHeight="1">
      <c r="A19" s="2" t="s">
        <v>71</v>
      </c>
      <c r="B19" s="2" t="s">
        <v>730</v>
      </c>
      <c r="C19" s="51">
        <v>20.99</v>
      </c>
      <c r="D19" s="51">
        <v>27</v>
      </c>
      <c r="E19" s="51">
        <v>0</v>
      </c>
      <c r="F19" s="51">
        <v>543.94000000000005</v>
      </c>
      <c r="G19" s="51">
        <v>-50.580000000000005</v>
      </c>
      <c r="H19" s="51">
        <f t="shared" si="1"/>
        <v>9.2988197227635405E-2</v>
      </c>
      <c r="I19" s="51">
        <f t="shared" si="2"/>
        <v>2.4213500949977654E-2</v>
      </c>
      <c r="J19" s="51">
        <f t="shared" si="4"/>
        <v>13.170691706730846</v>
      </c>
      <c r="K19" s="51">
        <f t="shared" si="3"/>
        <v>0.48780339654558691</v>
      </c>
      <c r="L19" s="51">
        <v>141</v>
      </c>
      <c r="M19" s="51">
        <f t="shared" si="5"/>
        <v>0.19148936170212766</v>
      </c>
      <c r="N19" s="51">
        <v>529</v>
      </c>
      <c r="O19" s="51">
        <f t="shared" ref="O19:P19" si="28">D19/7</f>
        <v>3.8571428571428572</v>
      </c>
      <c r="P19" s="51">
        <f t="shared" si="28"/>
        <v>0</v>
      </c>
      <c r="Q19" s="51">
        <f t="shared" si="7"/>
        <v>137</v>
      </c>
      <c r="R19" s="55">
        <v>0</v>
      </c>
      <c r="S19" s="53" t="s">
        <v>34</v>
      </c>
      <c r="T19" s="54" t="s">
        <v>34</v>
      </c>
      <c r="U19" s="55">
        <v>2</v>
      </c>
      <c r="V19" s="55">
        <f t="shared" si="8"/>
        <v>7.407407407407407E-2</v>
      </c>
      <c r="W19" s="55">
        <f t="shared" si="9"/>
        <v>5.0580000000000007</v>
      </c>
      <c r="X19" s="55">
        <v>8</v>
      </c>
      <c r="Y19" s="55" t="s">
        <v>35</v>
      </c>
      <c r="Z19" s="56">
        <f t="shared" si="19"/>
        <v>-0.75</v>
      </c>
      <c r="AA19" s="55">
        <v>0.16588541666666665</v>
      </c>
      <c r="AB19" s="55">
        <f t="shared" si="27"/>
        <v>-10.077539062499998</v>
      </c>
      <c r="AC19" s="55">
        <v>-5.42</v>
      </c>
      <c r="AD19" s="55">
        <v>-8.9696581196581189</v>
      </c>
      <c r="AE19" s="55">
        <v>0</v>
      </c>
      <c r="AF19" s="55"/>
    </row>
    <row r="20" spans="1:32" s="57" customFormat="1" ht="15.75" customHeight="1">
      <c r="A20" s="2" t="s">
        <v>73</v>
      </c>
      <c r="B20" s="2" t="s">
        <v>731</v>
      </c>
      <c r="C20" s="51">
        <v>18.989999999999998</v>
      </c>
      <c r="D20" s="51">
        <v>37</v>
      </c>
      <c r="E20" s="51">
        <v>0</v>
      </c>
      <c r="F20" s="51">
        <v>747.97</v>
      </c>
      <c r="G20" s="51">
        <v>-66.649999999999991</v>
      </c>
      <c r="H20" s="51">
        <f t="shared" si="1"/>
        <v>8.9107851919194611E-2</v>
      </c>
      <c r="I20" s="51">
        <f t="shared" si="2"/>
        <v>3.0612442524632844E-2</v>
      </c>
      <c r="J20" s="51">
        <f t="shared" si="4"/>
        <v>22.897188635149629</v>
      </c>
      <c r="K20" s="51">
        <f t="shared" si="3"/>
        <v>0.61884293608512508</v>
      </c>
      <c r="L20" s="51">
        <v>156</v>
      </c>
      <c r="M20" s="51">
        <f t="shared" si="5"/>
        <v>0.23717948717948717</v>
      </c>
      <c r="N20" s="51">
        <v>478</v>
      </c>
      <c r="O20" s="51">
        <f t="shared" ref="O20:P20" si="29">D20/7</f>
        <v>5.2857142857142856</v>
      </c>
      <c r="P20" s="51">
        <f t="shared" si="29"/>
        <v>0</v>
      </c>
      <c r="Q20" s="51">
        <f t="shared" si="7"/>
        <v>90</v>
      </c>
      <c r="R20" s="55">
        <v>0</v>
      </c>
      <c r="S20" s="53" t="s">
        <v>34</v>
      </c>
      <c r="T20" s="54" t="s">
        <v>34</v>
      </c>
      <c r="U20" s="55">
        <v>5</v>
      </c>
      <c r="V20" s="55">
        <f t="shared" si="8"/>
        <v>0.13513513513513514</v>
      </c>
      <c r="W20" s="55">
        <f t="shared" si="9"/>
        <v>7.405555555555555</v>
      </c>
      <c r="X20" s="55">
        <v>4</v>
      </c>
      <c r="Y20" s="55" t="s">
        <v>35</v>
      </c>
      <c r="Z20" s="56">
        <f t="shared" si="19"/>
        <v>-0.75</v>
      </c>
      <c r="AA20" s="55">
        <v>0.16588541666666665</v>
      </c>
      <c r="AB20" s="55">
        <f t="shared" si="27"/>
        <v>-13.809960937499998</v>
      </c>
      <c r="AC20" s="55">
        <v>-5.42</v>
      </c>
      <c r="AD20" s="55">
        <v>-8.9696581196581189</v>
      </c>
      <c r="AE20" s="55">
        <v>0</v>
      </c>
      <c r="AF20" s="55"/>
    </row>
    <row r="21" spans="1:32" s="57" customFormat="1" ht="15.75" customHeight="1">
      <c r="A21" s="2" t="s">
        <v>75</v>
      </c>
      <c r="B21" s="2" t="s">
        <v>732</v>
      </c>
      <c r="C21" s="51">
        <v>18.989999999999998</v>
      </c>
      <c r="D21" s="51">
        <v>37</v>
      </c>
      <c r="E21" s="51">
        <v>0</v>
      </c>
      <c r="F21" s="51">
        <v>705.4000000000002</v>
      </c>
      <c r="G21" s="51">
        <v>-13.62</v>
      </c>
      <c r="H21" s="51">
        <f t="shared" si="1"/>
        <v>1.9308193932520548E-2</v>
      </c>
      <c r="I21" s="51">
        <f t="shared" si="2"/>
        <v>5.6340641671604408E-2</v>
      </c>
      <c r="J21" s="51">
        <f t="shared" si="4"/>
        <v>39.742688635149761</v>
      </c>
      <c r="K21" s="51">
        <f t="shared" si="3"/>
        <v>1.0741267198689124</v>
      </c>
      <c r="L21" s="51">
        <v>204</v>
      </c>
      <c r="M21" s="51">
        <f t="shared" si="5"/>
        <v>0.18137254901960784</v>
      </c>
      <c r="N21" s="51">
        <v>454</v>
      </c>
      <c r="O21" s="51">
        <f t="shared" ref="O21:P21" si="30">D21/7</f>
        <v>5.2857142857142856</v>
      </c>
      <c r="P21" s="51">
        <f t="shared" si="30"/>
        <v>0</v>
      </c>
      <c r="Q21" s="51">
        <f t="shared" si="7"/>
        <v>85</v>
      </c>
      <c r="R21" s="55">
        <v>0</v>
      </c>
      <c r="S21" s="53" t="s">
        <v>34</v>
      </c>
      <c r="T21" s="54" t="s">
        <v>34</v>
      </c>
      <c r="U21" s="55">
        <v>3</v>
      </c>
      <c r="V21" s="55">
        <f t="shared" si="8"/>
        <v>8.1081081081081086E-2</v>
      </c>
      <c r="W21" s="55">
        <f t="shared" si="9"/>
        <v>2.7239999999999998</v>
      </c>
      <c r="X21" s="55">
        <v>2</v>
      </c>
      <c r="Y21" s="55" t="s">
        <v>35</v>
      </c>
      <c r="Z21" s="56">
        <f t="shared" si="19"/>
        <v>-0.75</v>
      </c>
      <c r="AA21" s="55">
        <v>0.16588541666666665</v>
      </c>
      <c r="AB21" s="55">
        <f t="shared" si="27"/>
        <v>-13.809960937499998</v>
      </c>
      <c r="AC21" s="55">
        <v>-5.42</v>
      </c>
      <c r="AD21" s="55">
        <v>-8.9696581196581189</v>
      </c>
      <c r="AE21" s="55">
        <v>0</v>
      </c>
      <c r="AF21" s="55"/>
    </row>
    <row r="22" spans="1:32" s="57" customFormat="1" ht="15.75" customHeight="1">
      <c r="A22" s="2" t="s">
        <v>77</v>
      </c>
      <c r="B22" s="2" t="s">
        <v>733</v>
      </c>
      <c r="C22" s="51">
        <v>19.57</v>
      </c>
      <c r="D22" s="51">
        <v>39</v>
      </c>
      <c r="E22" s="51">
        <v>0</v>
      </c>
      <c r="F22" s="51">
        <v>743.62000000000012</v>
      </c>
      <c r="G22" s="51">
        <v>-13.549999999999999</v>
      </c>
      <c r="H22" s="51">
        <f t="shared" si="1"/>
        <v>1.822167235953847E-2</v>
      </c>
      <c r="I22" s="51">
        <f t="shared" si="2"/>
        <v>5.7521164063410735E-2</v>
      </c>
      <c r="J22" s="51">
        <f t="shared" si="4"/>
        <v>42.773888020833496</v>
      </c>
      <c r="K22" s="51">
        <f t="shared" si="3"/>
        <v>1.0967663595085513</v>
      </c>
      <c r="L22" s="51">
        <v>169</v>
      </c>
      <c r="M22" s="51">
        <f t="shared" si="5"/>
        <v>0.23076923076923078</v>
      </c>
      <c r="N22" s="51">
        <v>398</v>
      </c>
      <c r="O22" s="51">
        <f t="shared" ref="O22:P22" si="31">D22/7</f>
        <v>5.5714285714285712</v>
      </c>
      <c r="P22" s="51">
        <f t="shared" si="31"/>
        <v>0</v>
      </c>
      <c r="Q22" s="51">
        <f t="shared" si="7"/>
        <v>71</v>
      </c>
      <c r="R22" s="55">
        <v>0</v>
      </c>
      <c r="S22" s="53" t="s">
        <v>34</v>
      </c>
      <c r="T22" s="54" t="s">
        <v>34</v>
      </c>
      <c r="U22" s="55">
        <v>0</v>
      </c>
      <c r="V22" s="55">
        <f t="shared" si="8"/>
        <v>0</v>
      </c>
      <c r="W22" s="55">
        <f t="shared" si="9"/>
        <v>6.7749999999999995</v>
      </c>
      <c r="X22" s="55">
        <v>2</v>
      </c>
      <c r="Y22" s="55" t="s">
        <v>35</v>
      </c>
      <c r="Z22" s="56">
        <f t="shared" si="19"/>
        <v>-0.75</v>
      </c>
      <c r="AA22" s="55">
        <v>0.16588541666666665</v>
      </c>
      <c r="AB22" s="55">
        <f t="shared" si="27"/>
        <v>-14.556445312499999</v>
      </c>
      <c r="AC22" s="55">
        <v>-5.42</v>
      </c>
      <c r="AD22" s="55">
        <v>-8.9696581196581189</v>
      </c>
      <c r="AE22" s="55">
        <v>0</v>
      </c>
      <c r="AF22" s="55"/>
    </row>
    <row r="23" spans="1:32" s="57" customFormat="1" ht="15.75" customHeight="1">
      <c r="A23" s="2" t="s">
        <v>79</v>
      </c>
      <c r="B23" s="2" t="s">
        <v>734</v>
      </c>
      <c r="C23" s="51">
        <v>19.239999999999998</v>
      </c>
      <c r="D23" s="51">
        <v>50</v>
      </c>
      <c r="E23" s="51">
        <v>0</v>
      </c>
      <c r="F23" s="51">
        <v>957.4000000000002</v>
      </c>
      <c r="G23" s="51">
        <v>-4.99</v>
      </c>
      <c r="H23" s="51">
        <f t="shared" si="1"/>
        <v>5.2120325882598698E-3</v>
      </c>
      <c r="I23" s="51">
        <f t="shared" si="2"/>
        <v>7.3798814123766682E-2</v>
      </c>
      <c r="J23" s="51">
        <f t="shared" si="4"/>
        <v>70.654984642094234</v>
      </c>
      <c r="K23" s="51">
        <f t="shared" si="3"/>
        <v>1.4130996928418846</v>
      </c>
      <c r="L23" s="51">
        <v>148</v>
      </c>
      <c r="M23" s="51">
        <f t="shared" si="5"/>
        <v>0.33783783783783783</v>
      </c>
      <c r="N23" s="51">
        <v>359</v>
      </c>
      <c r="O23" s="51">
        <f t="shared" ref="O23:P23" si="32">D23/7</f>
        <v>7.1428571428571432</v>
      </c>
      <c r="P23" s="51">
        <f t="shared" si="32"/>
        <v>0</v>
      </c>
      <c r="Q23" s="51">
        <f t="shared" si="7"/>
        <v>50</v>
      </c>
      <c r="R23" s="55">
        <v>0</v>
      </c>
      <c r="S23" s="53" t="s">
        <v>34</v>
      </c>
      <c r="T23" s="54" t="s">
        <v>34</v>
      </c>
      <c r="U23" s="55">
        <v>0</v>
      </c>
      <c r="V23" s="55">
        <f t="shared" si="8"/>
        <v>0</v>
      </c>
      <c r="W23" s="55">
        <f t="shared" si="9"/>
        <v>0</v>
      </c>
      <c r="X23" s="55">
        <v>0</v>
      </c>
      <c r="Y23" s="55" t="s">
        <v>35</v>
      </c>
      <c r="Z23" s="56">
        <f t="shared" si="19"/>
        <v>-0.75</v>
      </c>
      <c r="AA23" s="55">
        <v>0.16588541666666665</v>
      </c>
      <c r="AB23" s="55">
        <f t="shared" si="27"/>
        <v>-18.662109374999996</v>
      </c>
      <c r="AC23" s="55">
        <v>-5.42</v>
      </c>
      <c r="AD23" s="55">
        <v>-8.9696581196581189</v>
      </c>
      <c r="AE23" s="55">
        <v>0</v>
      </c>
      <c r="AF23" s="55"/>
    </row>
    <row r="24" spans="1:32" s="57" customFormat="1" ht="15.75" customHeight="1">
      <c r="A24" s="2" t="s">
        <v>80</v>
      </c>
      <c r="B24" s="2" t="s">
        <v>735</v>
      </c>
      <c r="C24" s="51">
        <v>19.989999999999998</v>
      </c>
      <c r="D24" s="51">
        <v>52</v>
      </c>
      <c r="E24" s="51">
        <v>0</v>
      </c>
      <c r="F24" s="51">
        <v>988.78000000000031</v>
      </c>
      <c r="G24" s="51">
        <v>-23.050000000000004</v>
      </c>
      <c r="H24" s="51">
        <f t="shared" si="1"/>
        <v>2.3311555654442845E-2</v>
      </c>
      <c r="I24" s="51">
        <f t="shared" si="2"/>
        <v>5.0306624353018962E-2</v>
      </c>
      <c r="J24" s="51">
        <f t="shared" si="4"/>
        <v>49.742184027778109</v>
      </c>
      <c r="K24" s="51">
        <f t="shared" si="3"/>
        <v>0.9565804620726559</v>
      </c>
      <c r="L24" s="51">
        <v>164</v>
      </c>
      <c r="M24" s="51">
        <f t="shared" si="5"/>
        <v>0.31707317073170732</v>
      </c>
      <c r="N24" s="51">
        <v>284</v>
      </c>
      <c r="O24" s="51">
        <f t="shared" ref="O24:P24" si="33">D24/7</f>
        <v>7.4285714285714288</v>
      </c>
      <c r="P24" s="51">
        <f t="shared" si="33"/>
        <v>0</v>
      </c>
      <c r="Q24" s="51">
        <f t="shared" si="7"/>
        <v>38</v>
      </c>
      <c r="R24" s="55">
        <v>0</v>
      </c>
      <c r="S24" s="53" t="s">
        <v>34</v>
      </c>
      <c r="T24" s="54" t="s">
        <v>34</v>
      </c>
      <c r="U24" s="55">
        <v>0</v>
      </c>
      <c r="V24" s="55">
        <f t="shared" si="8"/>
        <v>0</v>
      </c>
      <c r="W24" s="55">
        <f t="shared" si="9"/>
        <v>5.7625000000000011</v>
      </c>
      <c r="X24" s="55">
        <v>4</v>
      </c>
      <c r="Y24" s="55" t="s">
        <v>35</v>
      </c>
      <c r="Z24" s="56">
        <f t="shared" si="19"/>
        <v>-0.75</v>
      </c>
      <c r="AA24" s="55">
        <v>0.16588541666666665</v>
      </c>
      <c r="AB24" s="55">
        <f t="shared" si="27"/>
        <v>-19.408593749999998</v>
      </c>
      <c r="AC24" s="55">
        <v>-5.42</v>
      </c>
      <c r="AD24" s="55">
        <v>-8.9696581196581189</v>
      </c>
      <c r="AE24" s="55">
        <v>0</v>
      </c>
      <c r="AF24" s="55"/>
    </row>
    <row r="25" spans="1:32" s="57" customFormat="1" ht="15.75" customHeight="1">
      <c r="A25" s="2" t="s">
        <v>81</v>
      </c>
      <c r="B25" s="2" t="s">
        <v>736</v>
      </c>
      <c r="C25" s="51"/>
      <c r="D25" s="51">
        <v>64</v>
      </c>
      <c r="E25" s="51">
        <v>0</v>
      </c>
      <c r="F25" s="51">
        <v>1373.3599999999997</v>
      </c>
      <c r="G25" s="51">
        <v>-28.380000000000003</v>
      </c>
      <c r="H25" s="51">
        <f t="shared" si="1"/>
        <v>2.0664647288402175E-2</v>
      </c>
      <c r="I25" s="51">
        <f t="shared" si="2"/>
        <v>0.14136889114425941</v>
      </c>
      <c r="J25" s="51">
        <f t="shared" si="4"/>
        <v>194.15038034188007</v>
      </c>
      <c r="K25" s="51">
        <f t="shared" si="3"/>
        <v>3.033599692841876</v>
      </c>
      <c r="L25" s="51">
        <v>99</v>
      </c>
      <c r="M25" s="51">
        <f t="shared" si="5"/>
        <v>0.64646464646464652</v>
      </c>
      <c r="N25" s="51">
        <v>250</v>
      </c>
      <c r="O25" s="51">
        <f t="shared" ref="O25:P25" si="34">D25/7</f>
        <v>9.1428571428571423</v>
      </c>
      <c r="P25" s="51">
        <f t="shared" si="34"/>
        <v>0</v>
      </c>
      <c r="Q25" s="51">
        <f t="shared" si="7"/>
        <v>27</v>
      </c>
      <c r="R25" s="55">
        <v>0</v>
      </c>
      <c r="S25" s="53" t="s">
        <v>34</v>
      </c>
      <c r="T25" s="54" t="s">
        <v>34</v>
      </c>
      <c r="U25" s="55">
        <v>2</v>
      </c>
      <c r="V25" s="55">
        <f t="shared" si="8"/>
        <v>3.125E-2</v>
      </c>
      <c r="W25" s="55">
        <f t="shared" si="9"/>
        <v>4.7300000000000004</v>
      </c>
      <c r="X25" s="55">
        <v>4</v>
      </c>
      <c r="Y25" s="55" t="s">
        <v>35</v>
      </c>
      <c r="Z25" s="56">
        <f t="shared" si="19"/>
        <v>-0.75</v>
      </c>
      <c r="AA25" s="55">
        <v>0.16588541666666665</v>
      </c>
      <c r="AB25" s="55">
        <f t="shared" si="27"/>
        <v>-23.887499999999996</v>
      </c>
      <c r="AC25" s="55">
        <v>-5.42</v>
      </c>
      <c r="AD25" s="55">
        <v>-8.9696581196581189</v>
      </c>
      <c r="AE25" s="55">
        <v>0</v>
      </c>
      <c r="AF25" s="55"/>
    </row>
    <row r="26" spans="1:32" s="57" customFormat="1" ht="15.75" customHeight="1">
      <c r="A26" s="2" t="s">
        <v>83</v>
      </c>
      <c r="B26" s="2" t="s">
        <v>737</v>
      </c>
      <c r="C26" s="51">
        <f t="shared" ref="C26:C39" si="35">IFERROR(F26/D26," - ")</f>
        <v>24.32205882352941</v>
      </c>
      <c r="D26" s="51">
        <v>34</v>
      </c>
      <c r="E26" s="51">
        <v>0</v>
      </c>
      <c r="F26" s="51">
        <v>826.94999999999993</v>
      </c>
      <c r="G26" s="51">
        <v>-22.900000000000002</v>
      </c>
      <c r="H26" s="51">
        <f t="shared" si="1"/>
        <v>2.76921216518532E-2</v>
      </c>
      <c r="I26" s="51">
        <f t="shared" si="2"/>
        <v>0.21533211144159131</v>
      </c>
      <c r="J26" s="51">
        <f t="shared" si="4"/>
        <v>178.06888955662393</v>
      </c>
      <c r="K26" s="51">
        <f t="shared" si="3"/>
        <v>5.2373202810771744</v>
      </c>
      <c r="L26" s="51">
        <v>130</v>
      </c>
      <c r="M26" s="51">
        <f t="shared" si="5"/>
        <v>0.26153846153846155</v>
      </c>
      <c r="N26" s="51">
        <v>212</v>
      </c>
      <c r="O26" s="51">
        <f t="shared" ref="O26:P26" si="36">D26/7</f>
        <v>4.8571428571428568</v>
      </c>
      <c r="P26" s="51">
        <f t="shared" si="36"/>
        <v>0</v>
      </c>
      <c r="Q26" s="51">
        <f t="shared" si="7"/>
        <v>43</v>
      </c>
      <c r="R26" s="55">
        <v>0</v>
      </c>
      <c r="S26" s="53" t="s">
        <v>34</v>
      </c>
      <c r="T26" s="54" t="s">
        <v>34</v>
      </c>
      <c r="U26" s="55">
        <v>1</v>
      </c>
      <c r="V26" s="55">
        <f t="shared" si="8"/>
        <v>2.9411764705882353E-2</v>
      </c>
      <c r="W26" s="55">
        <f t="shared" si="9"/>
        <v>11.450000000000001</v>
      </c>
      <c r="X26" s="55">
        <v>1</v>
      </c>
      <c r="Y26" s="55" t="s">
        <v>35</v>
      </c>
      <c r="Z26" s="56">
        <f t="shared" si="19"/>
        <v>-0.75</v>
      </c>
      <c r="AA26" s="55">
        <v>0.16588541666666665</v>
      </c>
      <c r="AB26" s="55">
        <f t="shared" si="27"/>
        <v>-12.690234374999999</v>
      </c>
      <c r="AC26" s="55">
        <v>-5.42</v>
      </c>
      <c r="AD26" s="55">
        <v>-8.9696581196581189</v>
      </c>
      <c r="AE26" s="55">
        <v>0</v>
      </c>
      <c r="AF26" s="55"/>
    </row>
    <row r="27" spans="1:32" s="57" customFormat="1" ht="15.75" customHeight="1">
      <c r="A27" s="2" t="s">
        <v>84</v>
      </c>
      <c r="B27" s="2" t="s">
        <v>738</v>
      </c>
      <c r="C27" s="51">
        <f t="shared" si="35"/>
        <v>26.220000000000006</v>
      </c>
      <c r="D27" s="51">
        <v>18</v>
      </c>
      <c r="E27" s="51">
        <v>0</v>
      </c>
      <c r="F27" s="51">
        <v>471.96000000000009</v>
      </c>
      <c r="G27" s="51">
        <v>-14.3</v>
      </c>
      <c r="H27" s="51">
        <f t="shared" si="1"/>
        <v>3.0299177896431898E-2</v>
      </c>
      <c r="I27" s="51">
        <f t="shared" si="2"/>
        <v>0.2566611460105811</v>
      </c>
      <c r="J27" s="51">
        <f t="shared" si="4"/>
        <v>121.13379447115389</v>
      </c>
      <c r="K27" s="51">
        <f t="shared" si="3"/>
        <v>6.7296552483974388</v>
      </c>
      <c r="L27" s="51">
        <v>118</v>
      </c>
      <c r="M27" s="51">
        <f t="shared" si="5"/>
        <v>0.15254237288135594</v>
      </c>
      <c r="N27" s="51">
        <v>203</v>
      </c>
      <c r="O27" s="51">
        <f t="shared" ref="O27:P27" si="37">D27/7</f>
        <v>2.5714285714285716</v>
      </c>
      <c r="P27" s="51">
        <f t="shared" si="37"/>
        <v>0</v>
      </c>
      <c r="Q27" s="51">
        <f t="shared" si="7"/>
        <v>78</v>
      </c>
      <c r="R27" s="55">
        <v>0</v>
      </c>
      <c r="S27" s="53" t="s">
        <v>34</v>
      </c>
      <c r="T27" s="54" t="s">
        <v>34</v>
      </c>
      <c r="U27" s="55">
        <v>0</v>
      </c>
      <c r="V27" s="55">
        <f t="shared" si="8"/>
        <v>0</v>
      </c>
      <c r="W27" s="55">
        <f t="shared" si="9"/>
        <v>14.3</v>
      </c>
      <c r="X27" s="55">
        <v>1</v>
      </c>
      <c r="Y27" s="55" t="s">
        <v>35</v>
      </c>
      <c r="Z27" s="56">
        <f t="shared" si="19"/>
        <v>-0.75</v>
      </c>
      <c r="AA27" s="55">
        <v>0.16588541666666665</v>
      </c>
      <c r="AB27" s="55">
        <f t="shared" si="27"/>
        <v>-6.7183593749999995</v>
      </c>
      <c r="AC27" s="55">
        <v>-5.42</v>
      </c>
      <c r="AD27" s="55">
        <v>-8.9696581196581189</v>
      </c>
      <c r="AE27" s="55">
        <v>0</v>
      </c>
      <c r="AF27" s="55"/>
    </row>
    <row r="28" spans="1:32" s="57" customFormat="1" ht="15.75" customHeight="1">
      <c r="A28" s="2" t="s">
        <v>86</v>
      </c>
      <c r="B28" s="2" t="s">
        <v>739</v>
      </c>
      <c r="C28" s="51">
        <f t="shared" si="35"/>
        <v>24.474</v>
      </c>
      <c r="D28" s="51">
        <v>15</v>
      </c>
      <c r="E28" s="51">
        <v>0</v>
      </c>
      <c r="F28" s="51">
        <v>367.11</v>
      </c>
      <c r="G28" s="51">
        <v>-8.08</v>
      </c>
      <c r="H28" s="51">
        <f t="shared" si="1"/>
        <v>2.20097518454959E-2</v>
      </c>
      <c r="I28" s="51">
        <f t="shared" si="2"/>
        <v>0.22478275010930843</v>
      </c>
      <c r="J28" s="51">
        <f t="shared" si="4"/>
        <v>82.519995392628218</v>
      </c>
      <c r="K28" s="51">
        <f t="shared" si="3"/>
        <v>5.5013330261752147</v>
      </c>
      <c r="L28" s="51">
        <v>126</v>
      </c>
      <c r="M28" s="51">
        <f t="shared" si="5"/>
        <v>0.11904761904761904</v>
      </c>
      <c r="N28" s="51">
        <v>177</v>
      </c>
      <c r="O28" s="51">
        <f t="shared" ref="O28:P28" si="38">D28/7</f>
        <v>2.1428571428571428</v>
      </c>
      <c r="P28" s="51">
        <f t="shared" si="38"/>
        <v>0</v>
      </c>
      <c r="Q28" s="51">
        <f t="shared" si="7"/>
        <v>82</v>
      </c>
      <c r="R28" s="55">
        <v>0</v>
      </c>
      <c r="S28" s="53" t="s">
        <v>34</v>
      </c>
      <c r="T28" s="54" t="s">
        <v>34</v>
      </c>
      <c r="U28" s="55">
        <v>1</v>
      </c>
      <c r="V28" s="55">
        <f t="shared" si="8"/>
        <v>6.6666666666666666E-2</v>
      </c>
      <c r="W28" s="55">
        <f t="shared" si="9"/>
        <v>8.08</v>
      </c>
      <c r="X28" s="55">
        <v>0</v>
      </c>
      <c r="Y28" s="55" t="s">
        <v>35</v>
      </c>
      <c r="Z28" s="56">
        <f t="shared" si="19"/>
        <v>-0.75</v>
      </c>
      <c r="AA28" s="55">
        <v>0.16588541666666665</v>
      </c>
      <c r="AB28" s="55">
        <f t="shared" si="27"/>
        <v>-5.5986328124999982</v>
      </c>
      <c r="AC28" s="55">
        <v>-5.42</v>
      </c>
      <c r="AD28" s="55">
        <v>-8.9696581196581189</v>
      </c>
      <c r="AE28" s="55">
        <v>0</v>
      </c>
      <c r="AF28" s="55"/>
    </row>
    <row r="29" spans="1:32" s="57" customFormat="1" ht="15.75" customHeight="1">
      <c r="A29" s="2" t="s">
        <v>87</v>
      </c>
      <c r="B29" s="2" t="s">
        <v>740</v>
      </c>
      <c r="C29" s="51">
        <f t="shared" si="35"/>
        <v>23.200400000000005</v>
      </c>
      <c r="D29" s="51">
        <v>25</v>
      </c>
      <c r="E29" s="51">
        <v>0</v>
      </c>
      <c r="F29" s="51">
        <v>580.0100000000001</v>
      </c>
      <c r="G29" s="51">
        <v>-13.96</v>
      </c>
      <c r="H29" s="51">
        <f t="shared" si="1"/>
        <v>2.4068550542232028E-2</v>
      </c>
      <c r="I29" s="51">
        <f t="shared" si="2"/>
        <v>0.18961051071713783</v>
      </c>
      <c r="J29" s="51">
        <f t="shared" si="4"/>
        <v>109.97599232104713</v>
      </c>
      <c r="K29" s="51">
        <f t="shared" si="3"/>
        <v>4.3990396928418853</v>
      </c>
      <c r="L29" s="51">
        <v>119</v>
      </c>
      <c r="M29" s="51">
        <f t="shared" si="5"/>
        <v>0.21008403361344538</v>
      </c>
      <c r="N29" s="51">
        <v>163</v>
      </c>
      <c r="O29" s="51">
        <f t="shared" ref="O29:P29" si="39">D29/7</f>
        <v>3.5714285714285716</v>
      </c>
      <c r="P29" s="51">
        <f t="shared" si="39"/>
        <v>0</v>
      </c>
      <c r="Q29" s="51">
        <f t="shared" si="7"/>
        <v>45</v>
      </c>
      <c r="R29" s="55">
        <v>0</v>
      </c>
      <c r="S29" s="53" t="s">
        <v>34</v>
      </c>
      <c r="T29" s="54" t="s">
        <v>34</v>
      </c>
      <c r="U29" s="55">
        <v>2</v>
      </c>
      <c r="V29" s="55">
        <f t="shared" si="8"/>
        <v>0.08</v>
      </c>
      <c r="W29" s="55">
        <f t="shared" si="9"/>
        <v>4.6533333333333333</v>
      </c>
      <c r="X29" s="55">
        <v>1</v>
      </c>
      <c r="Y29" s="55" t="s">
        <v>35</v>
      </c>
      <c r="Z29" s="56">
        <f t="shared" si="19"/>
        <v>-0.75</v>
      </c>
      <c r="AA29" s="55">
        <v>0.16588541666666665</v>
      </c>
      <c r="AB29" s="55">
        <f t="shared" si="27"/>
        <v>-9.3310546874999982</v>
      </c>
      <c r="AC29" s="55">
        <v>-5.42</v>
      </c>
      <c r="AD29" s="55">
        <v>-8.9696581196581189</v>
      </c>
      <c r="AE29" s="55">
        <v>0</v>
      </c>
      <c r="AF29" s="55"/>
    </row>
    <row r="30" spans="1:32" s="57" customFormat="1" ht="15.75" customHeight="1">
      <c r="A30" s="2" t="s">
        <v>89</v>
      </c>
      <c r="B30" s="2" t="s">
        <v>741</v>
      </c>
      <c r="C30" s="51">
        <f t="shared" si="35"/>
        <v>22.990000000000002</v>
      </c>
      <c r="D30" s="51">
        <v>17</v>
      </c>
      <c r="E30" s="51">
        <v>0</v>
      </c>
      <c r="F30" s="51">
        <v>390.83000000000004</v>
      </c>
      <c r="G30" s="51">
        <v>-6.58</v>
      </c>
      <c r="H30" s="51">
        <f t="shared" si="1"/>
        <v>1.683596448583783E-2</v>
      </c>
      <c r="I30" s="51">
        <f t="shared" si="2"/>
        <v>0.19101961154034244</v>
      </c>
      <c r="J30" s="51">
        <f t="shared" si="4"/>
        <v>74.656194778312042</v>
      </c>
      <c r="K30" s="51">
        <f t="shared" si="3"/>
        <v>4.3915408693124727</v>
      </c>
      <c r="L30" s="51">
        <v>123</v>
      </c>
      <c r="M30" s="51">
        <f t="shared" si="5"/>
        <v>0.13821138211382114</v>
      </c>
      <c r="N30" s="51">
        <v>136</v>
      </c>
      <c r="O30" s="51">
        <f t="shared" ref="O30:P30" si="40">D30/7</f>
        <v>2.4285714285714284</v>
      </c>
      <c r="P30" s="51">
        <f t="shared" si="40"/>
        <v>0</v>
      </c>
      <c r="Q30" s="51">
        <f t="shared" si="7"/>
        <v>56</v>
      </c>
      <c r="R30" s="55">
        <v>0</v>
      </c>
      <c r="S30" s="53" t="s">
        <v>34</v>
      </c>
      <c r="T30" s="54" t="s">
        <v>34</v>
      </c>
      <c r="U30" s="55">
        <v>0</v>
      </c>
      <c r="V30" s="55">
        <f t="shared" si="8"/>
        <v>0</v>
      </c>
      <c r="W30" s="55">
        <f t="shared" si="9"/>
        <v>0</v>
      </c>
      <c r="X30" s="55">
        <v>0</v>
      </c>
      <c r="Y30" s="55" t="s">
        <v>35</v>
      </c>
      <c r="Z30" s="56">
        <f t="shared" si="19"/>
        <v>-0.75</v>
      </c>
      <c r="AA30" s="55">
        <v>0.16588541666666665</v>
      </c>
      <c r="AB30" s="55">
        <f t="shared" si="27"/>
        <v>-6.3451171874999996</v>
      </c>
      <c r="AC30" s="55">
        <v>-5.42</v>
      </c>
      <c r="AD30" s="55">
        <v>-8.9696581196581189</v>
      </c>
      <c r="AE30" s="55">
        <v>0</v>
      </c>
      <c r="AF30" s="55"/>
    </row>
    <row r="31" spans="1:32" s="57" customFormat="1" ht="15.75" customHeight="1">
      <c r="A31" s="2" t="s">
        <v>90</v>
      </c>
      <c r="B31" s="2" t="s">
        <v>742</v>
      </c>
      <c r="C31" s="51">
        <f t="shared" si="35"/>
        <v>23.032222222222224</v>
      </c>
      <c r="D31" s="51">
        <v>18</v>
      </c>
      <c r="E31" s="51">
        <v>0</v>
      </c>
      <c r="F31" s="51">
        <v>414.58000000000004</v>
      </c>
      <c r="G31" s="51">
        <v>-8.43</v>
      </c>
      <c r="H31" s="51">
        <f t="shared" si="1"/>
        <v>2.0333831829803653E-2</v>
      </c>
      <c r="I31" s="51">
        <f t="shared" si="2"/>
        <v>0.18869891087643847</v>
      </c>
      <c r="J31" s="51">
        <f t="shared" si="4"/>
        <v>78.230794471153871</v>
      </c>
      <c r="K31" s="51">
        <f t="shared" si="3"/>
        <v>4.3461552483974373</v>
      </c>
      <c r="L31" s="51">
        <v>120</v>
      </c>
      <c r="M31" s="51">
        <f t="shared" si="5"/>
        <v>0.15</v>
      </c>
      <c r="N31" s="51">
        <v>128</v>
      </c>
      <c r="O31" s="51">
        <f t="shared" ref="O31:P31" si="41">D31/7</f>
        <v>2.5714285714285716</v>
      </c>
      <c r="P31" s="51">
        <f t="shared" si="41"/>
        <v>0</v>
      </c>
      <c r="Q31" s="51">
        <f t="shared" si="7"/>
        <v>49</v>
      </c>
      <c r="R31" s="55">
        <v>0</v>
      </c>
      <c r="S31" s="53" t="s">
        <v>34</v>
      </c>
      <c r="T31" s="54" t="s">
        <v>34</v>
      </c>
      <c r="U31" s="55">
        <v>0</v>
      </c>
      <c r="V31" s="55">
        <f t="shared" si="8"/>
        <v>0</v>
      </c>
      <c r="W31" s="55">
        <f t="shared" si="9"/>
        <v>8.43</v>
      </c>
      <c r="X31" s="55">
        <v>1</v>
      </c>
      <c r="Y31" s="55" t="s">
        <v>35</v>
      </c>
      <c r="Z31" s="56">
        <f t="shared" si="19"/>
        <v>-0.75</v>
      </c>
      <c r="AA31" s="55">
        <v>0.16588541666666665</v>
      </c>
      <c r="AB31" s="55">
        <f t="shared" si="27"/>
        <v>-6.7183593749999995</v>
      </c>
      <c r="AC31" s="55">
        <v>-5.42</v>
      </c>
      <c r="AD31" s="55">
        <v>-8.9696581196581189</v>
      </c>
      <c r="AE31" s="55">
        <v>0</v>
      </c>
      <c r="AF31" s="55"/>
    </row>
    <row r="32" spans="1:32" s="57" customFormat="1" ht="15.75" customHeight="1">
      <c r="A32" s="2" t="s">
        <v>92</v>
      </c>
      <c r="B32" s="2" t="s">
        <v>743</v>
      </c>
      <c r="C32" s="51">
        <f t="shared" si="35"/>
        <v>22.878275862068971</v>
      </c>
      <c r="D32" s="51">
        <v>29</v>
      </c>
      <c r="E32" s="51">
        <v>0</v>
      </c>
      <c r="F32" s="51">
        <v>663.47000000000014</v>
      </c>
      <c r="G32" s="51">
        <v>-1.9100000000000001</v>
      </c>
      <c r="H32" s="51">
        <f t="shared" si="1"/>
        <v>2.878803864530423E-3</v>
      </c>
      <c r="I32" s="51">
        <f t="shared" si="2"/>
        <v>0.20184091382039074</v>
      </c>
      <c r="J32" s="51">
        <f t="shared" si="4"/>
        <v>133.91539109241467</v>
      </c>
      <c r="K32" s="51">
        <f t="shared" si="3"/>
        <v>4.6177721066349884</v>
      </c>
      <c r="L32" s="51">
        <v>146</v>
      </c>
      <c r="M32" s="51">
        <f t="shared" si="5"/>
        <v>0.19863013698630136</v>
      </c>
      <c r="N32" s="51">
        <v>79</v>
      </c>
      <c r="O32" s="51">
        <f t="shared" ref="O32:P32" si="42">D32/7</f>
        <v>4.1428571428571432</v>
      </c>
      <c r="P32" s="51">
        <f t="shared" si="42"/>
        <v>0</v>
      </c>
      <c r="Q32" s="51">
        <f t="shared" si="7"/>
        <v>19</v>
      </c>
      <c r="R32" s="55">
        <v>0</v>
      </c>
      <c r="S32" s="53" t="s">
        <v>34</v>
      </c>
      <c r="T32" s="54" t="s">
        <v>34</v>
      </c>
      <c r="U32" s="55">
        <v>0</v>
      </c>
      <c r="V32" s="55">
        <f t="shared" si="8"/>
        <v>0</v>
      </c>
      <c r="W32" s="55">
        <f t="shared" si="9"/>
        <v>0</v>
      </c>
      <c r="X32" s="55">
        <v>0</v>
      </c>
      <c r="Y32" s="55" t="s">
        <v>35</v>
      </c>
      <c r="Z32" s="56">
        <f t="shared" si="19"/>
        <v>-0.75</v>
      </c>
      <c r="AA32" s="55">
        <v>0.16588541666666665</v>
      </c>
      <c r="AB32" s="55">
        <f t="shared" si="27"/>
        <v>-10.824023437499999</v>
      </c>
      <c r="AC32" s="55">
        <v>-5.42</v>
      </c>
      <c r="AD32" s="55">
        <v>-8.9696581196581189</v>
      </c>
      <c r="AE32" s="55">
        <v>0</v>
      </c>
      <c r="AF32" s="52">
        <v>1.4718909710391801</v>
      </c>
    </row>
    <row r="33" spans="1:32" s="57" customFormat="1" ht="15.75" customHeight="1">
      <c r="A33" s="2" t="s">
        <v>94</v>
      </c>
      <c r="B33" s="2" t="s">
        <v>245</v>
      </c>
      <c r="C33" s="51">
        <f t="shared" si="35"/>
        <v>23.436285714285724</v>
      </c>
      <c r="D33" s="51">
        <v>35</v>
      </c>
      <c r="E33" s="51">
        <v>0</v>
      </c>
      <c r="F33" s="51">
        <v>820.27000000000032</v>
      </c>
      <c r="G33" s="51">
        <v>-5.1100000000000003</v>
      </c>
      <c r="H33" s="51">
        <f t="shared" si="1"/>
        <v>6.2296560888487913E-3</v>
      </c>
      <c r="I33" s="51">
        <f t="shared" si="2"/>
        <v>0.21385396180460825</v>
      </c>
      <c r="J33" s="51">
        <f t="shared" si="4"/>
        <v>175.41798924946607</v>
      </c>
      <c r="K33" s="51">
        <f t="shared" si="3"/>
        <v>5.0119425499847452</v>
      </c>
      <c r="L33" s="51">
        <v>145</v>
      </c>
      <c r="M33" s="51">
        <f t="shared" si="5"/>
        <v>0.2413793103448276</v>
      </c>
      <c r="N33" s="51">
        <v>64</v>
      </c>
      <c r="O33" s="51">
        <f t="shared" ref="O33:P33" si="43">D33/7</f>
        <v>5</v>
      </c>
      <c r="P33" s="51">
        <f t="shared" si="43"/>
        <v>0</v>
      </c>
      <c r="Q33" s="51">
        <f t="shared" si="7"/>
        <v>12</v>
      </c>
      <c r="R33" s="55">
        <v>0</v>
      </c>
      <c r="S33" s="53" t="s">
        <v>34</v>
      </c>
      <c r="T33" s="54" t="s">
        <v>34</v>
      </c>
      <c r="U33" s="55">
        <v>0</v>
      </c>
      <c r="V33" s="55">
        <f t="shared" si="8"/>
        <v>0</v>
      </c>
      <c r="W33" s="55">
        <f t="shared" si="9"/>
        <v>2.5550000000000002</v>
      </c>
      <c r="X33" s="55">
        <v>2</v>
      </c>
      <c r="Y33" s="55" t="s">
        <v>35</v>
      </c>
      <c r="Z33" s="56">
        <f t="shared" si="19"/>
        <v>-0.75</v>
      </c>
      <c r="AA33" s="55">
        <v>0.16588541666666665</v>
      </c>
      <c r="AB33" s="55">
        <f t="shared" si="27"/>
        <v>-13.063476562499996</v>
      </c>
      <c r="AC33" s="55">
        <v>-5.42</v>
      </c>
      <c r="AD33" s="55">
        <v>-8.9696581196581189</v>
      </c>
      <c r="AE33" s="55">
        <v>0</v>
      </c>
      <c r="AF33" s="55">
        <v>1.5985198889916701</v>
      </c>
    </row>
    <row r="34" spans="1:32" s="57" customFormat="1" ht="15.75" customHeight="1">
      <c r="A34" s="2" t="s">
        <v>95</v>
      </c>
      <c r="B34" s="2" t="s">
        <v>744</v>
      </c>
      <c r="C34" s="51">
        <f t="shared" si="35"/>
        <v>23.798333333333336</v>
      </c>
      <c r="D34" s="51">
        <v>30</v>
      </c>
      <c r="E34" s="51">
        <v>0</v>
      </c>
      <c r="F34" s="51">
        <v>713.95</v>
      </c>
      <c r="G34" s="51">
        <v>-20.94</v>
      </c>
      <c r="H34" s="51">
        <f t="shared" si="1"/>
        <v>2.9329784998949508E-2</v>
      </c>
      <c r="I34" s="51">
        <f t="shared" si="2"/>
        <v>0.20033684541670485</v>
      </c>
      <c r="J34" s="51">
        <f t="shared" si="4"/>
        <v>143.03049078525643</v>
      </c>
      <c r="K34" s="51">
        <f t="shared" si="3"/>
        <v>4.7676830261752148</v>
      </c>
      <c r="L34" s="51">
        <v>115</v>
      </c>
      <c r="M34" s="51">
        <f t="shared" si="5"/>
        <v>0.2608695652173913</v>
      </c>
      <c r="N34" s="51">
        <v>27</v>
      </c>
      <c r="O34" s="51">
        <f t="shared" ref="O34:P34" si="44">D34/7</f>
        <v>4.2857142857142856</v>
      </c>
      <c r="P34" s="51">
        <f t="shared" si="44"/>
        <v>0</v>
      </c>
      <c r="Q34" s="51">
        <f t="shared" si="7"/>
        <v>6</v>
      </c>
      <c r="R34" s="55">
        <v>0</v>
      </c>
      <c r="S34" s="53" t="s">
        <v>34</v>
      </c>
      <c r="T34" s="54" t="s">
        <v>34</v>
      </c>
      <c r="U34" s="55">
        <v>0</v>
      </c>
      <c r="V34" s="55">
        <f t="shared" si="8"/>
        <v>0</v>
      </c>
      <c r="W34" s="55">
        <f t="shared" si="9"/>
        <v>10.47</v>
      </c>
      <c r="X34" s="55">
        <v>2</v>
      </c>
      <c r="Y34" s="55" t="s">
        <v>35</v>
      </c>
      <c r="Z34" s="56">
        <f t="shared" si="19"/>
        <v>-0.75</v>
      </c>
      <c r="AA34" s="55">
        <v>0.16588541666666665</v>
      </c>
      <c r="AB34" s="55">
        <f t="shared" si="27"/>
        <v>-11.197265624999996</v>
      </c>
      <c r="AC34" s="55">
        <v>-5.42</v>
      </c>
      <c r="AD34" s="55">
        <v>-8.9696581196581189</v>
      </c>
      <c r="AE34" s="55">
        <v>0</v>
      </c>
      <c r="AF34" s="55">
        <v>1.9676674364896001</v>
      </c>
    </row>
    <row r="35" spans="1:32" s="57" customFormat="1" ht="15.75" customHeight="1">
      <c r="A35" s="2" t="s">
        <v>96</v>
      </c>
      <c r="B35" s="2" t="s">
        <v>178</v>
      </c>
      <c r="C35" s="51">
        <f t="shared" si="35"/>
        <v>23.380526315789474</v>
      </c>
      <c r="D35" s="51">
        <v>19</v>
      </c>
      <c r="E35" s="51">
        <v>0</v>
      </c>
      <c r="F35" s="51">
        <v>444.23</v>
      </c>
      <c r="G35" s="51">
        <v>-19.670000000000002</v>
      </c>
      <c r="H35" s="51">
        <f t="shared" si="1"/>
        <v>4.4278864552146413E-2</v>
      </c>
      <c r="I35" s="51">
        <f t="shared" si="2"/>
        <v>0.17430248781936325</v>
      </c>
      <c r="J35" s="51">
        <f t="shared" si="4"/>
        <v>77.430394163995743</v>
      </c>
      <c r="K35" s="51">
        <f t="shared" si="3"/>
        <v>4.0752839033681969</v>
      </c>
      <c r="L35" s="51">
        <v>102</v>
      </c>
      <c r="M35" s="51">
        <f t="shared" si="5"/>
        <v>0.18627450980392157</v>
      </c>
      <c r="N35" s="51">
        <v>18</v>
      </c>
      <c r="O35" s="51">
        <f t="shared" ref="O35:P35" si="45">D35/7</f>
        <v>2.7142857142857144</v>
      </c>
      <c r="P35" s="51">
        <f t="shared" si="45"/>
        <v>0</v>
      </c>
      <c r="Q35" s="51">
        <f t="shared" si="7"/>
        <v>6</v>
      </c>
      <c r="R35" s="55">
        <v>0</v>
      </c>
      <c r="S35" s="53" t="s">
        <v>34</v>
      </c>
      <c r="T35" s="54" t="s">
        <v>34</v>
      </c>
      <c r="U35" s="55">
        <v>0</v>
      </c>
      <c r="V35" s="55">
        <f t="shared" si="8"/>
        <v>0</v>
      </c>
      <c r="W35" s="55">
        <f t="shared" si="9"/>
        <v>9.8350000000000009</v>
      </c>
      <c r="X35" s="55">
        <v>2</v>
      </c>
      <c r="Y35" s="55" t="s">
        <v>35</v>
      </c>
      <c r="Z35" s="56">
        <f t="shared" si="19"/>
        <v>-0.75</v>
      </c>
      <c r="AA35" s="55">
        <v>0.16588541666666665</v>
      </c>
      <c r="AB35" s="55">
        <f t="shared" si="27"/>
        <v>-7.0916015624999984</v>
      </c>
      <c r="AC35" s="55">
        <v>-5.42</v>
      </c>
      <c r="AD35" s="55">
        <v>-8.9696581196581189</v>
      </c>
      <c r="AE35" s="55">
        <v>0</v>
      </c>
      <c r="AF35" s="55">
        <v>2.0124533001245299</v>
      </c>
    </row>
    <row r="36" spans="1:32" s="57" customFormat="1" ht="15.75" customHeight="1">
      <c r="A36" s="2" t="s">
        <v>98</v>
      </c>
      <c r="B36" s="2"/>
      <c r="C36" s="51">
        <f t="shared" si="35"/>
        <v>23.06066666666667</v>
      </c>
      <c r="D36" s="51">
        <v>15</v>
      </c>
      <c r="E36" s="51">
        <v>0</v>
      </c>
      <c r="F36" s="51">
        <v>345.91</v>
      </c>
      <c r="G36" s="51">
        <v>-10.82</v>
      </c>
      <c r="H36" s="51">
        <f t="shared" si="1"/>
        <v>3.1279812668035034E-2</v>
      </c>
      <c r="I36" s="51">
        <f t="shared" si="2"/>
        <v>0.17854353847136026</v>
      </c>
      <c r="J36" s="51">
        <f t="shared" si="4"/>
        <v>61.759995392628227</v>
      </c>
      <c r="K36" s="51">
        <f t="shared" si="3"/>
        <v>4.1173330261752152</v>
      </c>
      <c r="L36" s="51">
        <v>87</v>
      </c>
      <c r="M36" s="51">
        <f t="shared" si="5"/>
        <v>0.17241379310344829</v>
      </c>
      <c r="N36" s="51">
        <v>0</v>
      </c>
      <c r="O36" s="51">
        <f t="shared" ref="O36:P36" si="46">D36/7</f>
        <v>2.1428571428571428</v>
      </c>
      <c r="P36" s="51">
        <f t="shared" si="46"/>
        <v>0</v>
      </c>
      <c r="Q36" s="51">
        <f t="shared" si="7"/>
        <v>0</v>
      </c>
      <c r="R36" s="55">
        <v>0</v>
      </c>
      <c r="S36" s="53"/>
      <c r="T36" s="54" t="s">
        <v>34</v>
      </c>
      <c r="U36" s="55"/>
      <c r="V36" s="55">
        <f t="shared" si="8"/>
        <v>0</v>
      </c>
      <c r="W36" s="55">
        <f t="shared" si="9"/>
        <v>0</v>
      </c>
      <c r="X36" s="55"/>
      <c r="Y36" s="55" t="s">
        <v>35</v>
      </c>
      <c r="Z36" s="56">
        <f t="shared" si="19"/>
        <v>-0.75</v>
      </c>
      <c r="AA36" s="55">
        <v>0.16588541666666665</v>
      </c>
      <c r="AB36" s="55">
        <f t="shared" si="27"/>
        <v>-5.5986328124999982</v>
      </c>
      <c r="AC36" s="55">
        <v>-5.42</v>
      </c>
      <c r="AD36" s="55">
        <v>-8.9696581196581189</v>
      </c>
      <c r="AE36" s="55">
        <v>0</v>
      </c>
      <c r="AF36" s="55" t="e">
        <v>#N/A</v>
      </c>
    </row>
    <row r="37" spans="1:32" s="57" customFormat="1" ht="15.75" customHeight="1">
      <c r="A37" s="2" t="s">
        <v>99</v>
      </c>
      <c r="B37" s="2" t="s">
        <v>745</v>
      </c>
      <c r="C37" s="51">
        <f t="shared" si="35"/>
        <v>22.99</v>
      </c>
      <c r="D37" s="51">
        <v>1</v>
      </c>
      <c r="E37" s="51">
        <v>0</v>
      </c>
      <c r="F37" s="51">
        <v>22.99</v>
      </c>
      <c r="G37" s="51">
        <v>0</v>
      </c>
      <c r="H37" s="51">
        <f t="shared" si="1"/>
        <v>0</v>
      </c>
      <c r="I37" s="51">
        <f t="shared" si="2"/>
        <v>0.20785557602618013</v>
      </c>
      <c r="J37" s="51">
        <f t="shared" si="4"/>
        <v>4.7785996928418806</v>
      </c>
      <c r="K37" s="51">
        <f t="shared" si="3"/>
        <v>4.7785996928418806</v>
      </c>
      <c r="L37" s="51">
        <v>8</v>
      </c>
      <c r="M37" s="51">
        <f t="shared" si="5"/>
        <v>0.125</v>
      </c>
      <c r="N37" s="51">
        <v>43</v>
      </c>
      <c r="O37" s="51">
        <f t="shared" ref="O37:P37" si="47">D37/7</f>
        <v>0.14285714285714285</v>
      </c>
      <c r="P37" s="51">
        <f t="shared" si="47"/>
        <v>0</v>
      </c>
      <c r="Q37" s="51">
        <f t="shared" si="7"/>
        <v>301</v>
      </c>
      <c r="R37" s="55">
        <v>54</v>
      </c>
      <c r="S37" s="53">
        <v>54</v>
      </c>
      <c r="T37" s="54">
        <v>44078</v>
      </c>
      <c r="U37" s="55">
        <v>0</v>
      </c>
      <c r="V37" s="55">
        <f t="shared" si="8"/>
        <v>0</v>
      </c>
      <c r="W37" s="55">
        <f t="shared" si="9"/>
        <v>0</v>
      </c>
      <c r="X37" s="55">
        <v>0</v>
      </c>
      <c r="Y37" s="55" t="s">
        <v>35</v>
      </c>
      <c r="Z37" s="56">
        <f t="shared" si="19"/>
        <v>-0.75</v>
      </c>
      <c r="AA37" s="55">
        <v>0.16588541666666665</v>
      </c>
      <c r="AB37" s="55">
        <f t="shared" si="27"/>
        <v>-0.37324218749999993</v>
      </c>
      <c r="AC37" s="55">
        <v>-5.42</v>
      </c>
      <c r="AD37" s="55">
        <v>-8.9696581196581189</v>
      </c>
      <c r="AE37" s="55">
        <v>0</v>
      </c>
      <c r="AF37" s="55">
        <v>2.0417335473515199</v>
      </c>
    </row>
    <row r="38" spans="1:32" s="57" customFormat="1" ht="15.75" customHeight="1">
      <c r="A38" s="2" t="s">
        <v>100</v>
      </c>
      <c r="B38" s="2" t="s">
        <v>746</v>
      </c>
      <c r="C38" s="51">
        <f t="shared" si="35"/>
        <v>23.723333333333336</v>
      </c>
      <c r="D38" s="51">
        <v>15</v>
      </c>
      <c r="E38" s="51">
        <v>0</v>
      </c>
      <c r="F38" s="51">
        <v>355.85</v>
      </c>
      <c r="G38" s="51">
        <v>-28.999999999999996</v>
      </c>
      <c r="H38" s="51">
        <f t="shared" si="1"/>
        <v>8.1495011943234497E-2</v>
      </c>
      <c r="I38" s="51">
        <f t="shared" si="2"/>
        <v>0.14621046899712864</v>
      </c>
      <c r="J38" s="51">
        <f t="shared" si="4"/>
        <v>52.028995392628232</v>
      </c>
      <c r="K38" s="51">
        <f t="shared" si="3"/>
        <v>3.4685996928418823</v>
      </c>
      <c r="L38" s="51">
        <v>93</v>
      </c>
      <c r="M38" s="51">
        <f t="shared" si="5"/>
        <v>0.16129032258064516</v>
      </c>
      <c r="N38" s="51">
        <v>75</v>
      </c>
      <c r="O38" s="51">
        <f t="shared" ref="O38:P38" si="48">D38/7</f>
        <v>2.1428571428571428</v>
      </c>
      <c r="P38" s="51">
        <f t="shared" si="48"/>
        <v>0</v>
      </c>
      <c r="Q38" s="51">
        <f t="shared" si="7"/>
        <v>35</v>
      </c>
      <c r="R38" s="55">
        <v>54</v>
      </c>
      <c r="S38" s="53"/>
      <c r="T38" s="54">
        <v>44078</v>
      </c>
      <c r="U38" s="55">
        <v>2</v>
      </c>
      <c r="V38" s="55">
        <f t="shared" si="8"/>
        <v>0.13333333333333333</v>
      </c>
      <c r="W38" s="55">
        <f t="shared" si="9"/>
        <v>14.499999999999998</v>
      </c>
      <c r="X38" s="55">
        <v>0</v>
      </c>
      <c r="Y38" s="55" t="s">
        <v>35</v>
      </c>
      <c r="Z38" s="56">
        <f t="shared" si="19"/>
        <v>-0.75</v>
      </c>
      <c r="AA38" s="55">
        <v>0.16588541666666665</v>
      </c>
      <c r="AB38" s="55">
        <f t="shared" si="27"/>
        <v>-5.5986328124999982</v>
      </c>
      <c r="AC38" s="55">
        <v>-5.42</v>
      </c>
      <c r="AD38" s="55">
        <v>-8.9696581196581189</v>
      </c>
      <c r="AE38" s="55">
        <v>0</v>
      </c>
      <c r="AF38" s="55">
        <v>2.0349514563106701</v>
      </c>
    </row>
    <row r="39" spans="1:32" s="57" customFormat="1" ht="15.75" customHeight="1">
      <c r="A39" s="2" t="s">
        <v>101</v>
      </c>
      <c r="B39" s="2" t="s">
        <v>747</v>
      </c>
      <c r="C39" s="51">
        <f t="shared" si="35"/>
        <v>27.44</v>
      </c>
      <c r="D39" s="51">
        <v>11</v>
      </c>
      <c r="E39" s="51">
        <v>0</v>
      </c>
      <c r="F39" s="51">
        <v>301.84000000000003</v>
      </c>
      <c r="G39" s="51">
        <v>0</v>
      </c>
      <c r="H39" s="51">
        <f t="shared" si="1"/>
        <v>0</v>
      </c>
      <c r="I39" s="51">
        <f t="shared" si="2"/>
        <v>0.31199342903942745</v>
      </c>
      <c r="J39" s="51">
        <f>F39*0.85+G39+AD39*D39+D39*AC39+AE40+AB39</f>
        <v>94.172096621260792</v>
      </c>
      <c r="K39" s="51">
        <f t="shared" si="3"/>
        <v>8.561099692841891</v>
      </c>
      <c r="L39" s="51">
        <v>85</v>
      </c>
      <c r="M39" s="51">
        <f t="shared" si="5"/>
        <v>0.12941176470588237</v>
      </c>
      <c r="N39" s="51">
        <v>77</v>
      </c>
      <c r="O39" s="51">
        <f t="shared" ref="O39:P39" si="49">D39/7</f>
        <v>1.5714285714285714</v>
      </c>
      <c r="P39" s="51">
        <f t="shared" si="49"/>
        <v>0</v>
      </c>
      <c r="Q39" s="51">
        <f t="shared" si="7"/>
        <v>49</v>
      </c>
      <c r="R39" s="55">
        <v>54</v>
      </c>
      <c r="S39" s="53">
        <v>54</v>
      </c>
      <c r="T39" s="54">
        <v>44078</v>
      </c>
      <c r="U39" s="55">
        <v>0</v>
      </c>
      <c r="V39" s="55">
        <f t="shared" si="8"/>
        <v>0</v>
      </c>
      <c r="W39" s="55">
        <f t="shared" si="9"/>
        <v>0</v>
      </c>
      <c r="X39" s="55">
        <v>0</v>
      </c>
      <c r="Y39" s="55" t="s">
        <v>35</v>
      </c>
      <c r="Z39" s="56">
        <f t="shared" si="19"/>
        <v>-0.75</v>
      </c>
      <c r="AA39" s="55">
        <v>0.16588541666666665</v>
      </c>
      <c r="AB39" s="55">
        <f t="shared" si="27"/>
        <v>-4.1056640624999989</v>
      </c>
      <c r="AC39" s="55">
        <v>-5.42</v>
      </c>
      <c r="AD39" s="55">
        <v>-8.96965811965811</v>
      </c>
      <c r="AE39" s="55">
        <v>0</v>
      </c>
      <c r="AF39" s="55">
        <v>2.2511210762331801</v>
      </c>
    </row>
    <row r="40" spans="1:32" s="57" customFormat="1" ht="15.75" customHeight="1">
      <c r="A40" s="2" t="s">
        <v>102</v>
      </c>
      <c r="B40" s="2" t="s">
        <v>748</v>
      </c>
      <c r="C40" s="51">
        <v>23.701176470588234</v>
      </c>
      <c r="D40" s="51">
        <v>17</v>
      </c>
      <c r="E40" s="51">
        <v>0</v>
      </c>
      <c r="F40" s="51">
        <v>402.91999999999996</v>
      </c>
      <c r="G40" s="51">
        <v>0</v>
      </c>
      <c r="H40" s="51">
        <v>0</v>
      </c>
      <c r="I40" s="51">
        <v>0.22712373368984443</v>
      </c>
      <c r="J40" s="51">
        <v>91.51269477831211</v>
      </c>
      <c r="K40" s="51">
        <v>5.3830996928418884</v>
      </c>
      <c r="L40" s="51">
        <v>107</v>
      </c>
      <c r="M40" s="51">
        <v>0.15887850467289719</v>
      </c>
      <c r="N40" s="51">
        <v>67</v>
      </c>
      <c r="O40" s="51">
        <v>2.4285714285714284</v>
      </c>
      <c r="P40" s="51">
        <v>0</v>
      </c>
      <c r="Q40" s="51">
        <v>27</v>
      </c>
      <c r="R40" s="55">
        <v>54</v>
      </c>
      <c r="S40" s="53">
        <v>54</v>
      </c>
      <c r="T40" s="54">
        <v>44078</v>
      </c>
      <c r="U40" s="55">
        <v>0</v>
      </c>
      <c r="V40" s="55">
        <v>0</v>
      </c>
      <c r="W40" s="55">
        <v>0</v>
      </c>
      <c r="X40" s="55">
        <v>0</v>
      </c>
      <c r="Y40" s="55" t="s">
        <v>35</v>
      </c>
      <c r="Z40" s="56">
        <v>-0.75</v>
      </c>
      <c r="AA40" s="55">
        <v>0.16588541666666665</v>
      </c>
      <c r="AB40" s="55">
        <v>-6.3451171874999996</v>
      </c>
      <c r="AC40" s="55">
        <v>-5.42</v>
      </c>
      <c r="AD40" s="55">
        <v>-8.96965811965811</v>
      </c>
      <c r="AE40" s="55">
        <v>0</v>
      </c>
      <c r="AF40" s="55">
        <v>2.4317617866004899</v>
      </c>
    </row>
    <row r="41" spans="1:32" s="57" customFormat="1" ht="15.75" customHeight="1">
      <c r="A41" s="2" t="s">
        <v>105</v>
      </c>
      <c r="B41" s="2" t="s">
        <v>749</v>
      </c>
      <c r="C41" s="51">
        <f t="shared" ref="C41:C56" si="50">IFERROR(F41/D41," - ")</f>
        <v>20.206000000000003</v>
      </c>
      <c r="D41" s="51">
        <v>20</v>
      </c>
      <c r="E41" s="51">
        <v>0</v>
      </c>
      <c r="F41" s="51">
        <v>404.12000000000006</v>
      </c>
      <c r="G41" s="51">
        <v>-10.879999999999999</v>
      </c>
      <c r="H41" s="51">
        <f t="shared" ref="H41:H56" si="51">G41/F41*-1</f>
        <v>2.6922696228842913E-2</v>
      </c>
      <c r="I41" s="51">
        <f t="shared" ref="I41:I56" si="52">J41/F41</f>
        <v>9.2457670634558731E-2</v>
      </c>
      <c r="J41" s="51">
        <f t="shared" ref="J41:J48" si="53">F41*0.85+G41+AD41*D41+D41*AC41+AE42+AB41</f>
        <v>37.36399385683788</v>
      </c>
      <c r="K41" s="51">
        <f t="shared" ref="K41:K56" si="54">J41/D41</f>
        <v>1.868199692841894</v>
      </c>
      <c r="L41" s="51">
        <v>100</v>
      </c>
      <c r="M41" s="51">
        <f t="shared" ref="M41:M56" si="55">IFERROR(D41/L41,"-")</f>
        <v>0.2</v>
      </c>
      <c r="N41" s="51">
        <v>43</v>
      </c>
      <c r="O41" s="51">
        <f t="shared" ref="O41:P41" si="56">D41/7</f>
        <v>2.8571428571428572</v>
      </c>
      <c r="P41" s="51">
        <f t="shared" si="56"/>
        <v>0</v>
      </c>
      <c r="Q41" s="51">
        <f t="shared" ref="Q41:Q56" si="57">ROUNDDOWN(N41/(O41+P41),0)</f>
        <v>15</v>
      </c>
      <c r="R41" s="55">
        <v>54</v>
      </c>
      <c r="S41" s="53">
        <v>54</v>
      </c>
      <c r="T41" s="54">
        <v>44078</v>
      </c>
      <c r="U41" s="55">
        <v>0</v>
      </c>
      <c r="V41" s="55">
        <f t="shared" ref="V41:V56" si="58">IFERROR(U41/D41,0)</f>
        <v>0</v>
      </c>
      <c r="W41" s="55">
        <f t="shared" ref="W41:W56" si="59">IFERROR(G41/(U41+X41)*-1,0)</f>
        <v>0</v>
      </c>
      <c r="X41" s="55">
        <v>0</v>
      </c>
      <c r="Y41" s="52" t="s">
        <v>35</v>
      </c>
      <c r="Z41" s="56">
        <f t="shared" ref="Z41:Z43" si="60">IF(OR(Y41="UsLargeStandardSize",Y41="UsSmallStandardSize"),-0.75,-0.48)</f>
        <v>-0.75</v>
      </c>
      <c r="AA41" s="55">
        <v>0.16588541666666665</v>
      </c>
      <c r="AB41" s="55">
        <f t="shared" ref="AB41:AB56" si="61">IFERROR(Z41*AA41*D41*3,0)</f>
        <v>-7.4648437499999982</v>
      </c>
      <c r="AC41" s="55">
        <v>-5.42</v>
      </c>
      <c r="AD41" s="55">
        <v>-8.96965811965811</v>
      </c>
      <c r="AE41" s="55">
        <v>0</v>
      </c>
      <c r="AF41" s="55">
        <v>2.82022471910112</v>
      </c>
    </row>
    <row r="42" spans="1:32" s="57" customFormat="1" ht="15.75" customHeight="1">
      <c r="A42" s="2" t="s">
        <v>106</v>
      </c>
      <c r="B42" s="2" t="s">
        <v>750</v>
      </c>
      <c r="C42" s="51">
        <f t="shared" si="50"/>
        <v>20.256176470588237</v>
      </c>
      <c r="D42" s="51">
        <v>34</v>
      </c>
      <c r="E42" s="51">
        <v>0</v>
      </c>
      <c r="F42" s="51">
        <v>688.71</v>
      </c>
      <c r="G42" s="51">
        <v>-22.899999999999995</v>
      </c>
      <c r="H42" s="51">
        <f t="shared" si="51"/>
        <v>3.3250569906056245E-2</v>
      </c>
      <c r="I42" s="51">
        <f t="shared" si="52"/>
        <v>8.7939611094109693E-2</v>
      </c>
      <c r="J42" s="51">
        <f t="shared" si="53"/>
        <v>60.564889556624294</v>
      </c>
      <c r="K42" s="51">
        <f t="shared" si="54"/>
        <v>1.7813202810771851</v>
      </c>
      <c r="L42" s="51">
        <v>119</v>
      </c>
      <c r="M42" s="51">
        <f t="shared" si="55"/>
        <v>0.2857142857142857</v>
      </c>
      <c r="N42" s="51">
        <v>10</v>
      </c>
      <c r="O42" s="51">
        <f t="shared" ref="O42:P42" si="62">D42/7</f>
        <v>4.8571428571428568</v>
      </c>
      <c r="P42" s="51">
        <f t="shared" si="62"/>
        <v>0</v>
      </c>
      <c r="Q42" s="51">
        <f t="shared" si="57"/>
        <v>2</v>
      </c>
      <c r="R42" s="55">
        <f ca="1">IFERROR(__xludf.DUMMYFUNCTION("IFERROR(VLOOKUP($B$2,IMPORTRANGE(""https://docs.google.com/spreadsheets/d/1iVgg6Mw12RULLujzHmfOFIY8Q_KaAD8anoZzgtVAQ74/edit#gid=1503384807"",""Second Star - Summary!A1:AD2000""),9,FALSE),"""")"),530)</f>
        <v>530</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2</v>
      </c>
      <c r="V42" s="55">
        <f t="shared" si="58"/>
        <v>5.8823529411764705E-2</v>
      </c>
      <c r="W42" s="55">
        <f t="shared" si="59"/>
        <v>4.5799999999999992</v>
      </c>
      <c r="X42" s="55">
        <v>3</v>
      </c>
      <c r="Y42" s="55" t="s">
        <v>35</v>
      </c>
      <c r="Z42" s="56">
        <f t="shared" si="60"/>
        <v>-0.75</v>
      </c>
      <c r="AA42" s="55">
        <v>0.16588541666666665</v>
      </c>
      <c r="AB42" s="55">
        <f t="shared" si="61"/>
        <v>-12.690234374999999</v>
      </c>
      <c r="AC42" s="55">
        <v>-5.42</v>
      </c>
      <c r="AD42" s="55">
        <v>-8.96965811965811</v>
      </c>
      <c r="AE42" s="55">
        <v>0</v>
      </c>
      <c r="AF42" s="55">
        <v>3.9080459770114899</v>
      </c>
    </row>
    <row r="43" spans="1:32" s="57" customFormat="1" ht="15.75" customHeight="1">
      <c r="A43" s="2" t="s">
        <v>107</v>
      </c>
      <c r="B43" s="2" t="s">
        <v>179</v>
      </c>
      <c r="C43" s="51">
        <f t="shared" si="50"/>
        <v>20.677272727272722</v>
      </c>
      <c r="D43" s="51">
        <v>22</v>
      </c>
      <c r="E43" s="51">
        <v>0</v>
      </c>
      <c r="F43" s="51">
        <v>454.89999999999992</v>
      </c>
      <c r="G43" s="51">
        <v>-21.429999999999996</v>
      </c>
      <c r="H43" s="51">
        <f t="shared" si="51"/>
        <v>4.7109254781270607E-2</v>
      </c>
      <c r="I43" s="51">
        <f t="shared" si="52"/>
        <v>8.8923264986857528E-2</v>
      </c>
      <c r="J43" s="51">
        <f t="shared" si="53"/>
        <v>40.451193242521484</v>
      </c>
      <c r="K43" s="51">
        <f t="shared" si="54"/>
        <v>1.8386906019327947</v>
      </c>
      <c r="L43" s="51">
        <v>85</v>
      </c>
      <c r="M43" s="51">
        <f t="shared" si="55"/>
        <v>0.25882352941176473</v>
      </c>
      <c r="N43" s="51">
        <v>0</v>
      </c>
      <c r="O43" s="51">
        <f t="shared" ref="O43:P43" si="63">D43/7</f>
        <v>3.1428571428571428</v>
      </c>
      <c r="P43" s="51">
        <f t="shared" si="63"/>
        <v>0</v>
      </c>
      <c r="Q43" s="51">
        <f t="shared" si="57"/>
        <v>0</v>
      </c>
      <c r="R43" s="55">
        <v>149</v>
      </c>
      <c r="S43" s="53">
        <v>66</v>
      </c>
      <c r="T43" s="54">
        <v>44118</v>
      </c>
      <c r="U43" s="55">
        <v>5</v>
      </c>
      <c r="V43" s="55">
        <f t="shared" si="58"/>
        <v>0.22727272727272727</v>
      </c>
      <c r="W43" s="55">
        <f t="shared" si="59"/>
        <v>4.2859999999999996</v>
      </c>
      <c r="X43" s="55">
        <v>0</v>
      </c>
      <c r="Y43" s="55" t="s">
        <v>35</v>
      </c>
      <c r="Z43" s="56">
        <f t="shared" si="60"/>
        <v>-0.75</v>
      </c>
      <c r="AA43" s="55">
        <v>0.16588541666666665</v>
      </c>
      <c r="AB43" s="55">
        <f t="shared" si="61"/>
        <v>-8.2113281249999979</v>
      </c>
      <c r="AC43" s="55">
        <v>-5.42</v>
      </c>
      <c r="AD43" s="55">
        <v>-8.96965811965811</v>
      </c>
      <c r="AE43" s="55">
        <v>0</v>
      </c>
      <c r="AF43" s="55">
        <v>4.0474308300395201</v>
      </c>
    </row>
    <row r="44" spans="1:32" s="57" customFormat="1" ht="15.75" customHeight="1">
      <c r="A44" s="2" t="s">
        <v>108</v>
      </c>
      <c r="B44" s="2" t="s">
        <v>179</v>
      </c>
      <c r="C44" s="51" t="str">
        <f t="shared" si="50"/>
        <v xml:space="preserve"> - </v>
      </c>
      <c r="D44" s="51">
        <v>0</v>
      </c>
      <c r="E44" s="51">
        <v>0</v>
      </c>
      <c r="F44" s="51">
        <v>0</v>
      </c>
      <c r="G44" s="51">
        <v>0</v>
      </c>
      <c r="H44" s="51" t="e">
        <f t="shared" si="51"/>
        <v>#DIV/0!</v>
      </c>
      <c r="I44" s="51" t="e">
        <f t="shared" si="52"/>
        <v>#DIV/0!</v>
      </c>
      <c r="J44" s="51">
        <f t="shared" si="53"/>
        <v>0</v>
      </c>
      <c r="K44" s="51" t="e">
        <f t="shared" si="54"/>
        <v>#DIV/0!</v>
      </c>
      <c r="L44" s="51">
        <v>0</v>
      </c>
      <c r="M44" s="51" t="str">
        <f t="shared" si="55"/>
        <v>-</v>
      </c>
      <c r="N44" s="51">
        <v>0</v>
      </c>
      <c r="O44" s="51">
        <f t="shared" ref="O44:P44" si="64">D44/7</f>
        <v>0</v>
      </c>
      <c r="P44" s="51">
        <f t="shared" si="64"/>
        <v>0</v>
      </c>
      <c r="Q44" s="51" t="e">
        <f t="shared" si="57"/>
        <v>#DIV/0!</v>
      </c>
      <c r="R44" s="55">
        <v>150</v>
      </c>
      <c r="S44" s="53">
        <v>66</v>
      </c>
      <c r="T44" s="54">
        <v>44117</v>
      </c>
      <c r="U44" s="55">
        <v>0</v>
      </c>
      <c r="V44" s="55">
        <f t="shared" si="58"/>
        <v>0</v>
      </c>
      <c r="W44" s="55">
        <f t="shared" si="59"/>
        <v>0</v>
      </c>
      <c r="X44" s="55">
        <v>0</v>
      </c>
      <c r="Y44" s="55" t="s">
        <v>35</v>
      </c>
      <c r="Z44" s="56">
        <f t="shared" ref="Z44:Z56" si="65">IF(OR(Y44="UsLargeStandardSize",Y44="UsSmallStandardSize"),-2.4,-1.2)</f>
        <v>-2.4</v>
      </c>
      <c r="AA44" s="55">
        <v>0.16588541666666665</v>
      </c>
      <c r="AB44" s="55">
        <f t="shared" si="61"/>
        <v>0</v>
      </c>
      <c r="AC44" s="55">
        <v>-5.42</v>
      </c>
      <c r="AD44" s="55">
        <v>-8.96965811965811</v>
      </c>
      <c r="AE44" s="55">
        <v>0</v>
      </c>
      <c r="AF44" s="55" t="e">
        <v>#N/A</v>
      </c>
    </row>
    <row r="45" spans="1:32" s="57" customFormat="1" ht="15.75" customHeight="1">
      <c r="A45" s="2" t="s">
        <v>109</v>
      </c>
      <c r="B45" s="2" t="s">
        <v>751</v>
      </c>
      <c r="C45" s="51">
        <f t="shared" si="50"/>
        <v>22.023333333333337</v>
      </c>
      <c r="D45" s="51">
        <v>12</v>
      </c>
      <c r="E45" s="51">
        <v>0</v>
      </c>
      <c r="F45" s="51">
        <v>264.28000000000003</v>
      </c>
      <c r="G45" s="51">
        <v>-0.08</v>
      </c>
      <c r="H45" s="51">
        <f t="shared" si="51"/>
        <v>3.0270924776751925E-4</v>
      </c>
      <c r="I45" s="51">
        <f t="shared" si="52"/>
        <v>0.14208264932686046</v>
      </c>
      <c r="J45" s="51">
        <f t="shared" si="53"/>
        <v>37.549602564102685</v>
      </c>
      <c r="K45" s="51">
        <f t="shared" si="54"/>
        <v>3.1291335470085571</v>
      </c>
      <c r="L45" s="51">
        <v>50</v>
      </c>
      <c r="M45" s="51">
        <f t="shared" si="55"/>
        <v>0.24</v>
      </c>
      <c r="N45" s="51">
        <v>52</v>
      </c>
      <c r="O45" s="51">
        <f t="shared" ref="O45:P45" si="66">D45/7</f>
        <v>1.7142857142857142</v>
      </c>
      <c r="P45" s="51">
        <f t="shared" si="66"/>
        <v>0</v>
      </c>
      <c r="Q45" s="51">
        <f t="shared" si="57"/>
        <v>30</v>
      </c>
      <c r="R45" s="55">
        <v>150</v>
      </c>
      <c r="S45" s="53">
        <v>66</v>
      </c>
      <c r="T45" s="54">
        <v>44117</v>
      </c>
      <c r="U45" s="55">
        <v>0</v>
      </c>
      <c r="V45" s="55">
        <f t="shared" si="58"/>
        <v>0</v>
      </c>
      <c r="W45" s="55">
        <f t="shared" si="59"/>
        <v>0</v>
      </c>
      <c r="X45" s="55">
        <v>0</v>
      </c>
      <c r="Y45" s="55" t="s">
        <v>35</v>
      </c>
      <c r="Z45" s="56">
        <f t="shared" si="65"/>
        <v>-2.4</v>
      </c>
      <c r="AA45" s="55">
        <v>0.16588541666666665</v>
      </c>
      <c r="AB45" s="55">
        <f t="shared" si="61"/>
        <v>-14.3325</v>
      </c>
      <c r="AC45" s="55">
        <v>-5.42</v>
      </c>
      <c r="AD45" s="55">
        <v>-8.96965811965811</v>
      </c>
      <c r="AE45" s="55">
        <v>0</v>
      </c>
      <c r="AF45" s="55">
        <v>3.9038461538461502</v>
      </c>
    </row>
    <row r="46" spans="1:32" s="57" customFormat="1" ht="15.75" customHeight="1">
      <c r="A46" s="2" t="s">
        <v>111</v>
      </c>
      <c r="B46" s="2" t="s">
        <v>752</v>
      </c>
      <c r="C46" s="51">
        <f t="shared" si="50"/>
        <v>22.034444444444446</v>
      </c>
      <c r="D46" s="51">
        <v>9</v>
      </c>
      <c r="E46" s="51">
        <v>0</v>
      </c>
      <c r="F46" s="51">
        <v>198.31</v>
      </c>
      <c r="G46" s="51">
        <v>-0.08</v>
      </c>
      <c r="H46" s="51">
        <f t="shared" si="51"/>
        <v>4.0340880439715599E-4</v>
      </c>
      <c r="I46" s="51">
        <f t="shared" si="52"/>
        <v>0.14233877224081995</v>
      </c>
      <c r="J46" s="51">
        <f t="shared" si="53"/>
        <v>28.227201923077004</v>
      </c>
      <c r="K46" s="51">
        <f t="shared" si="54"/>
        <v>3.1363557692307782</v>
      </c>
      <c r="L46" s="51">
        <v>45</v>
      </c>
      <c r="M46" s="51">
        <f t="shared" si="55"/>
        <v>0.2</v>
      </c>
      <c r="N46" s="51">
        <v>37</v>
      </c>
      <c r="O46" s="51">
        <f t="shared" ref="O46:P46" si="67">D46/7</f>
        <v>1.2857142857142858</v>
      </c>
      <c r="P46" s="51">
        <f t="shared" si="67"/>
        <v>0</v>
      </c>
      <c r="Q46" s="51">
        <f t="shared" si="57"/>
        <v>28</v>
      </c>
      <c r="R46" s="55">
        <v>0</v>
      </c>
      <c r="S46" s="53" t="s">
        <v>34</v>
      </c>
      <c r="T46" s="54" t="s">
        <v>34</v>
      </c>
      <c r="U46" s="55">
        <v>0</v>
      </c>
      <c r="V46" s="55">
        <f t="shared" si="58"/>
        <v>0</v>
      </c>
      <c r="W46" s="55">
        <f t="shared" si="59"/>
        <v>0</v>
      </c>
      <c r="X46" s="55">
        <v>0</v>
      </c>
      <c r="Y46" s="55" t="s">
        <v>35</v>
      </c>
      <c r="Z46" s="56">
        <f t="shared" si="65"/>
        <v>-2.4</v>
      </c>
      <c r="AA46" s="55">
        <v>0.16588541666666665</v>
      </c>
      <c r="AB46" s="55">
        <f t="shared" si="61"/>
        <v>-10.749374999999999</v>
      </c>
      <c r="AC46" s="55">
        <v>-5.42</v>
      </c>
      <c r="AD46" s="55">
        <v>-8.96965811965811</v>
      </c>
      <c r="AE46" s="55">
        <v>0</v>
      </c>
      <c r="AF46" s="55">
        <v>4.8301886792452802</v>
      </c>
    </row>
    <row r="47" spans="1:32" s="57" customFormat="1" ht="15.75" customHeight="1">
      <c r="A47" s="2" t="s">
        <v>113</v>
      </c>
      <c r="B47" s="2" t="s">
        <v>753</v>
      </c>
      <c r="C47" s="51">
        <f t="shared" si="50"/>
        <v>21.990000000000002</v>
      </c>
      <c r="D47" s="51">
        <v>8</v>
      </c>
      <c r="E47" s="51">
        <v>0</v>
      </c>
      <c r="F47" s="51">
        <v>175.92000000000002</v>
      </c>
      <c r="G47" s="51">
        <v>0</v>
      </c>
      <c r="H47" s="51">
        <f t="shared" si="51"/>
        <v>0</v>
      </c>
      <c r="I47" s="51">
        <f t="shared" si="52"/>
        <v>0.14131272761900368</v>
      </c>
      <c r="J47" s="51">
        <f t="shared" si="53"/>
        <v>24.859735042735132</v>
      </c>
      <c r="K47" s="51">
        <f t="shared" si="54"/>
        <v>3.1074668803418914</v>
      </c>
      <c r="L47" s="51">
        <v>70</v>
      </c>
      <c r="M47" s="51">
        <f t="shared" si="55"/>
        <v>0.11428571428571428</v>
      </c>
      <c r="N47" s="51">
        <v>171</v>
      </c>
      <c r="O47" s="51">
        <f t="shared" ref="O47:P47" si="68">D47/7</f>
        <v>1.1428571428571428</v>
      </c>
      <c r="P47" s="51">
        <f t="shared" si="68"/>
        <v>0</v>
      </c>
      <c r="Q47" s="51">
        <f t="shared" si="57"/>
        <v>149</v>
      </c>
      <c r="R47" s="55">
        <v>0</v>
      </c>
      <c r="S47" s="53" t="s">
        <v>34</v>
      </c>
      <c r="T47" s="54" t="s">
        <v>34</v>
      </c>
      <c r="U47" s="55">
        <v>0</v>
      </c>
      <c r="V47" s="55">
        <f t="shared" si="58"/>
        <v>0</v>
      </c>
      <c r="W47" s="55">
        <f t="shared" si="59"/>
        <v>0</v>
      </c>
      <c r="X47" s="55">
        <v>0</v>
      </c>
      <c r="Y47" s="55" t="s">
        <v>35</v>
      </c>
      <c r="Z47" s="56">
        <f t="shared" si="65"/>
        <v>-2.4</v>
      </c>
      <c r="AA47" s="55">
        <v>0.16588541666666665</v>
      </c>
      <c r="AB47" s="55">
        <f t="shared" si="61"/>
        <v>-9.5549999999999997</v>
      </c>
      <c r="AC47" s="55">
        <v>-5.42</v>
      </c>
      <c r="AD47" s="55">
        <v>-8.96965811965811</v>
      </c>
      <c r="AE47" s="55">
        <v>0</v>
      </c>
      <c r="AF47" s="55">
        <v>2.47017543859649</v>
      </c>
    </row>
    <row r="48" spans="1:32" s="57" customFormat="1" ht="15.75" customHeight="1">
      <c r="A48" s="2" t="s">
        <v>115</v>
      </c>
      <c r="B48" s="2" t="s">
        <v>754</v>
      </c>
      <c r="C48" s="51">
        <f t="shared" si="50"/>
        <v>21.990000000000006</v>
      </c>
      <c r="D48" s="51">
        <v>17</v>
      </c>
      <c r="E48" s="51">
        <v>0</v>
      </c>
      <c r="F48" s="51">
        <v>373.8300000000001</v>
      </c>
      <c r="G48" s="51">
        <v>-0.08</v>
      </c>
      <c r="H48" s="51">
        <f t="shared" si="51"/>
        <v>2.1400101650482833E-4</v>
      </c>
      <c r="I48" s="51">
        <f t="shared" si="52"/>
        <v>0.14109872660249909</v>
      </c>
      <c r="J48" s="51">
        <f t="shared" si="53"/>
        <v>52.746936965812246</v>
      </c>
      <c r="K48" s="51">
        <f t="shared" si="54"/>
        <v>3.1027609979889554</v>
      </c>
      <c r="L48" s="51">
        <v>137</v>
      </c>
      <c r="M48" s="51">
        <f t="shared" si="55"/>
        <v>0.12408759124087591</v>
      </c>
      <c r="N48" s="51">
        <v>157</v>
      </c>
      <c r="O48" s="51">
        <f t="shared" ref="O48:P48" si="69">D48/7</f>
        <v>2.4285714285714284</v>
      </c>
      <c r="P48" s="51">
        <f t="shared" si="69"/>
        <v>0</v>
      </c>
      <c r="Q48" s="51">
        <f t="shared" si="57"/>
        <v>64</v>
      </c>
      <c r="R48" s="55">
        <f ca="1">IFERROR(__xludf.DUMMYFUNCTION("IFERROR(VLOOKUP($B$2,IMPORTRANGE(""https://docs.google.com/spreadsheets/d/1iVgg6Mw12RULLujzHmfOFIY8Q_KaAD8anoZzgtVAQ74/edit#gid=1503384807"",""Second Star - Summary!A1:AD2000""),9,FALSE),"""")"),530)</f>
        <v>530</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si="58"/>
        <v>0</v>
      </c>
      <c r="W48" s="55">
        <f t="shared" si="59"/>
        <v>0</v>
      </c>
      <c r="X48" s="55">
        <v>0</v>
      </c>
      <c r="Y48" s="55" t="s">
        <v>35</v>
      </c>
      <c r="Z48" s="56">
        <f t="shared" si="65"/>
        <v>-2.4</v>
      </c>
      <c r="AA48" s="55">
        <v>0.16588541666666665</v>
      </c>
      <c r="AB48" s="55">
        <f t="shared" si="61"/>
        <v>-20.304375</v>
      </c>
      <c r="AC48" s="55">
        <v>-5.42</v>
      </c>
      <c r="AD48" s="55">
        <v>-8.96965811965811</v>
      </c>
      <c r="AE48" s="55">
        <v>0</v>
      </c>
      <c r="AF48" s="55">
        <v>2.6080586080586001</v>
      </c>
    </row>
    <row r="49" spans="1:32" s="57" customFormat="1" ht="15.75" customHeight="1">
      <c r="A49" s="2" t="s">
        <v>117</v>
      </c>
      <c r="B49" s="2" t="s">
        <v>755</v>
      </c>
      <c r="C49" s="51">
        <f t="shared" si="50"/>
        <v>21.990000000000002</v>
      </c>
      <c r="D49" s="51">
        <v>13</v>
      </c>
      <c r="E49" s="51">
        <v>0</v>
      </c>
      <c r="F49" s="51">
        <v>285.87</v>
      </c>
      <c r="G49" s="51">
        <v>-0.16999999999999998</v>
      </c>
      <c r="H49" s="51">
        <f t="shared" si="51"/>
        <v>5.9467590163360959E-4</v>
      </c>
      <c r="I49" s="51">
        <f t="shared" si="52"/>
        <v>0.1393094569015447</v>
      </c>
      <c r="J49" s="51">
        <f t="shared" ref="J49:J56" si="70">F49*0.85+G49+AD49*D49+D49*AC49+AE49+AB49</f>
        <v>39.824394444444586</v>
      </c>
      <c r="K49" s="51">
        <f t="shared" si="54"/>
        <v>3.063414957264968</v>
      </c>
      <c r="L49" s="51">
        <v>200</v>
      </c>
      <c r="M49" s="51">
        <f t="shared" si="55"/>
        <v>6.5000000000000002E-2</v>
      </c>
      <c r="N49" s="51">
        <v>138</v>
      </c>
      <c r="O49" s="51">
        <f t="shared" ref="O49:P49" si="71">D49/7</f>
        <v>1.8571428571428572</v>
      </c>
      <c r="P49" s="51">
        <f t="shared" si="71"/>
        <v>0</v>
      </c>
      <c r="Q49" s="51">
        <f t="shared" si="57"/>
        <v>74</v>
      </c>
      <c r="R49" s="55">
        <f ca="1">IFERROR(__xludf.DUMMYFUNCTION("IFERROR(VLOOKUP($B$2,IMPORTRANGE(""https://docs.google.com/spreadsheets/d/1iVgg6Mw12RULLujzHmfOFIY8Q_KaAD8anoZzgtVAQ74/edit#gid=1503384807"",""Second Star - Summary!A1:AD2000""),9,FALSE),"""")"),530)</f>
        <v>530</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58"/>
        <v>0</v>
      </c>
      <c r="W49" s="55">
        <f t="shared" si="59"/>
        <v>0</v>
      </c>
      <c r="X49" s="55">
        <v>0</v>
      </c>
      <c r="Y49" s="55" t="s">
        <v>35</v>
      </c>
      <c r="Z49" s="56">
        <f t="shared" si="65"/>
        <v>-2.4</v>
      </c>
      <c r="AA49" s="55">
        <v>0.16588541666666665</v>
      </c>
      <c r="AB49" s="55">
        <f t="shared" si="61"/>
        <v>-15.526874999999997</v>
      </c>
      <c r="AC49" s="55">
        <v>-5.42</v>
      </c>
      <c r="AD49" s="55">
        <v>-9.0006331196581097</v>
      </c>
      <c r="AE49" s="55">
        <v>0</v>
      </c>
      <c r="AF49" s="55">
        <v>3.2760180995475099</v>
      </c>
    </row>
    <row r="50" spans="1:32" s="57" customFormat="1" ht="15.75" customHeight="1">
      <c r="A50" s="2" t="s">
        <v>119</v>
      </c>
      <c r="B50" s="2" t="s">
        <v>546</v>
      </c>
      <c r="C50" s="51">
        <f t="shared" si="50"/>
        <v>21.990000000000006</v>
      </c>
      <c r="D50" s="51">
        <v>32</v>
      </c>
      <c r="E50" s="51">
        <v>0</v>
      </c>
      <c r="F50" s="51">
        <v>703.68000000000018</v>
      </c>
      <c r="G50" s="51">
        <v>-0.08</v>
      </c>
      <c r="H50" s="51">
        <f t="shared" si="51"/>
        <v>1.1368804001819006E-4</v>
      </c>
      <c r="I50" s="51">
        <f t="shared" si="52"/>
        <v>0.13979044476316022</v>
      </c>
      <c r="J50" s="51">
        <f t="shared" si="70"/>
        <v>98.367740170940607</v>
      </c>
      <c r="K50" s="51">
        <f t="shared" si="54"/>
        <v>3.073991880341894</v>
      </c>
      <c r="L50" s="51">
        <v>290</v>
      </c>
      <c r="M50" s="51">
        <f t="shared" si="55"/>
        <v>0.1103448275862069</v>
      </c>
      <c r="N50" s="51">
        <v>111</v>
      </c>
      <c r="O50" s="51">
        <f t="shared" ref="O50:P50" si="72">D50/7</f>
        <v>4.5714285714285712</v>
      </c>
      <c r="P50" s="51">
        <f t="shared" si="72"/>
        <v>0</v>
      </c>
      <c r="Q50" s="51">
        <f t="shared" si="57"/>
        <v>24</v>
      </c>
      <c r="R50" s="55">
        <f ca="1">IFERROR(__xludf.DUMMYFUNCTION("IFERROR(VLOOKUP($B$2,IMPORTRANGE(""https://docs.google.com/spreadsheets/d/1iVgg6Mw12RULLujzHmfOFIY8Q_KaAD8anoZzgtVAQ74/edit#gid=1503384807"",""Second Star - Summary!A1:AD2000""),9,FALSE),"""")"),530)</f>
        <v>530</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58"/>
        <v>0</v>
      </c>
      <c r="W50" s="55">
        <f t="shared" si="59"/>
        <v>0</v>
      </c>
      <c r="X50" s="55">
        <v>0</v>
      </c>
      <c r="Y50" s="55" t="s">
        <v>35</v>
      </c>
      <c r="Z50" s="56">
        <f t="shared" si="65"/>
        <v>-2.4</v>
      </c>
      <c r="AA50" s="55">
        <v>0.16588541666666665</v>
      </c>
      <c r="AB50" s="55">
        <f t="shared" si="61"/>
        <v>-38.22</v>
      </c>
      <c r="AC50" s="55">
        <v>-5.42</v>
      </c>
      <c r="AD50" s="55">
        <v>-9.0006331196581097</v>
      </c>
      <c r="AE50" s="55">
        <v>0</v>
      </c>
      <c r="AF50" s="55">
        <v>3.3445378151260501</v>
      </c>
    </row>
    <row r="51" spans="1:32" s="57" customFormat="1" ht="15.75" customHeight="1">
      <c r="A51" s="2" t="s">
        <v>121</v>
      </c>
      <c r="B51" s="2" t="s">
        <v>546</v>
      </c>
      <c r="C51" s="51">
        <f t="shared" si="50"/>
        <v>22.024482758620692</v>
      </c>
      <c r="D51" s="51">
        <v>29</v>
      </c>
      <c r="E51" s="51">
        <v>0</v>
      </c>
      <c r="F51" s="51">
        <v>638.71</v>
      </c>
      <c r="G51" s="51">
        <v>0</v>
      </c>
      <c r="H51" s="51">
        <f t="shared" si="51"/>
        <v>0</v>
      </c>
      <c r="I51" s="51">
        <f t="shared" si="52"/>
        <v>0.14101589849840276</v>
      </c>
      <c r="J51" s="51">
        <f t="shared" si="70"/>
        <v>90.068264529914842</v>
      </c>
      <c r="K51" s="51">
        <f t="shared" si="54"/>
        <v>3.1058022251694775</v>
      </c>
      <c r="L51" s="51">
        <v>245</v>
      </c>
      <c r="M51" s="51">
        <f t="shared" si="55"/>
        <v>0.11836734693877551</v>
      </c>
      <c r="N51" s="51">
        <v>82</v>
      </c>
      <c r="O51" s="51">
        <f t="shared" ref="O51:P51" si="73">D51/7</f>
        <v>4.1428571428571432</v>
      </c>
      <c r="P51" s="51">
        <f t="shared" si="73"/>
        <v>0</v>
      </c>
      <c r="Q51" s="51">
        <f t="shared" si="57"/>
        <v>19</v>
      </c>
      <c r="R51" s="55">
        <f ca="1">IFERROR(__xludf.DUMMYFUNCTION("IFERROR(VLOOKUP($B$2,IMPORTRANGE(""https://docs.google.com/spreadsheets/d/1iVgg6Mw12RULLujzHmfOFIY8Q_KaAD8anoZzgtVAQ74/edit#gid=1503384807"",""Second Star - Summary!A1:AD2000""),9,FALSE),"""")"),530)</f>
        <v>530</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58"/>
        <v>0</v>
      </c>
      <c r="W51" s="55">
        <f t="shared" si="59"/>
        <v>0</v>
      </c>
      <c r="X51" s="55">
        <v>0</v>
      </c>
      <c r="Y51" s="55" t="s">
        <v>35</v>
      </c>
      <c r="Z51" s="56">
        <f t="shared" si="65"/>
        <v>-2.4</v>
      </c>
      <c r="AA51" s="55">
        <v>0.16588541666666665</v>
      </c>
      <c r="AB51" s="55">
        <f t="shared" si="61"/>
        <v>-34.636874999999996</v>
      </c>
      <c r="AC51" s="55">
        <v>-5.42</v>
      </c>
      <c r="AD51" s="55">
        <v>-9.0006331196581097</v>
      </c>
      <c r="AE51" s="55">
        <v>0</v>
      </c>
      <c r="AF51" s="55">
        <v>4.3600000000000003</v>
      </c>
    </row>
    <row r="52" spans="1:32" s="57" customFormat="1" ht="15.75" customHeight="1">
      <c r="A52" s="2" t="s">
        <v>123</v>
      </c>
      <c r="B52" s="2" t="s">
        <v>546</v>
      </c>
      <c r="C52" s="51">
        <f t="shared" si="50"/>
        <v>23.143636363636368</v>
      </c>
      <c r="D52" s="51">
        <v>22</v>
      </c>
      <c r="E52" s="51">
        <v>0</v>
      </c>
      <c r="F52" s="51">
        <v>509.16000000000008</v>
      </c>
      <c r="G52" s="51">
        <v>-0.12</v>
      </c>
      <c r="H52" s="51">
        <f t="shared" si="51"/>
        <v>2.3568230025925048E-4</v>
      </c>
      <c r="I52" s="51">
        <f t="shared" si="52"/>
        <v>0.17506446179495963</v>
      </c>
      <c r="J52" s="51">
        <f t="shared" si="70"/>
        <v>89.135821367521658</v>
      </c>
      <c r="K52" s="51">
        <f t="shared" si="54"/>
        <v>4.0516282439782572</v>
      </c>
      <c r="L52" s="51">
        <v>163</v>
      </c>
      <c r="M52" s="51">
        <f t="shared" si="55"/>
        <v>0.13496932515337423</v>
      </c>
      <c r="N52" s="51">
        <v>94</v>
      </c>
      <c r="O52" s="51">
        <f t="shared" ref="O52:P52" si="74">D52/7</f>
        <v>3.1428571428571428</v>
      </c>
      <c r="P52" s="51">
        <f t="shared" si="74"/>
        <v>0</v>
      </c>
      <c r="Q52" s="51">
        <f t="shared" si="57"/>
        <v>29</v>
      </c>
      <c r="R52" s="55">
        <f ca="1">IFERROR(__xludf.DUMMYFUNCTION("IFERROR(VLOOKUP($B$2,IMPORTRANGE(""https://docs.google.com/spreadsheets/d/1iVgg6Mw12RULLujzHmfOFIY8Q_KaAD8anoZzgtVAQ74/edit#gid=1503384807"",""Second Star - Summary!A1:AD2000""),9,FALSE),"""")"),530)</f>
        <v>530</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58"/>
        <v>0</v>
      </c>
      <c r="W52" s="55">
        <f t="shared" si="59"/>
        <v>0</v>
      </c>
      <c r="X52" s="55">
        <v>0</v>
      </c>
      <c r="Y52" s="55" t="s">
        <v>35</v>
      </c>
      <c r="Z52" s="56">
        <f t="shared" si="65"/>
        <v>-2.4</v>
      </c>
      <c r="AA52" s="55">
        <v>0.16588541666666665</v>
      </c>
      <c r="AB52" s="55">
        <f t="shared" si="61"/>
        <v>-26.276249999999997</v>
      </c>
      <c r="AC52" s="55">
        <v>-5.42</v>
      </c>
      <c r="AD52" s="55">
        <v>-9.0006331196581097</v>
      </c>
      <c r="AE52" s="55">
        <v>0</v>
      </c>
      <c r="AF52" s="55">
        <v>2.5193370165745801</v>
      </c>
    </row>
    <row r="53" spans="1:32" s="57" customFormat="1">
      <c r="A53" s="2" t="s">
        <v>38</v>
      </c>
      <c r="B53" s="2" t="s">
        <v>756</v>
      </c>
      <c r="C53" s="51">
        <f t="shared" si="50"/>
        <v>23.124137931034486</v>
      </c>
      <c r="D53" s="51">
        <v>29</v>
      </c>
      <c r="E53" s="51">
        <v>0</v>
      </c>
      <c r="F53" s="51">
        <v>670.60000000000014</v>
      </c>
      <c r="G53" s="51">
        <v>0</v>
      </c>
      <c r="H53" s="51">
        <f t="shared" si="51"/>
        <v>0</v>
      </c>
      <c r="I53" s="51">
        <f t="shared" si="52"/>
        <v>0.1760707419175587</v>
      </c>
      <c r="J53" s="51">
        <f t="shared" si="70"/>
        <v>118.07303952991489</v>
      </c>
      <c r="K53" s="51">
        <f t="shared" si="54"/>
        <v>4.0714841217212037</v>
      </c>
      <c r="L53" s="51">
        <v>162</v>
      </c>
      <c r="M53" s="51">
        <f t="shared" si="55"/>
        <v>0.17901234567901234</v>
      </c>
      <c r="N53" s="51">
        <v>58</v>
      </c>
      <c r="O53" s="51">
        <f t="shared" ref="O53:P53" si="75">D53/7</f>
        <v>4.1428571428571432</v>
      </c>
      <c r="P53" s="51">
        <f t="shared" si="75"/>
        <v>0</v>
      </c>
      <c r="Q53" s="51">
        <f t="shared" si="57"/>
        <v>14</v>
      </c>
      <c r="R53" s="55">
        <f ca="1">IFERROR(__xludf.DUMMYFUNCTION("IFERROR(VLOOKUP($B$2,IMPORTRANGE(""https://docs.google.com/spreadsheets/d/1iVgg6Mw12RULLujzHmfOFIY8Q_KaAD8anoZzgtVAQ74/edit#gid=1503384807"",""Second Star - Summary!A1:AD2000""),9,FALSE),"""")"),530)</f>
        <v>530</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58"/>
        <v>0</v>
      </c>
      <c r="W53" s="55">
        <f t="shared" si="59"/>
        <v>0</v>
      </c>
      <c r="X53" s="55">
        <v>0</v>
      </c>
      <c r="Y53" s="55" t="s">
        <v>35</v>
      </c>
      <c r="Z53" s="56">
        <f t="shared" si="65"/>
        <v>-2.4</v>
      </c>
      <c r="AA53" s="55">
        <v>0.16588541666666665</v>
      </c>
      <c r="AB53" s="55">
        <f t="shared" si="61"/>
        <v>-34.636874999999996</v>
      </c>
      <c r="AC53" s="55">
        <v>-5.42</v>
      </c>
      <c r="AD53" s="55">
        <v>-8.96965811965811</v>
      </c>
      <c r="AE53" s="55">
        <v>0</v>
      </c>
      <c r="AF53" s="55">
        <v>3.3866666666666601</v>
      </c>
    </row>
    <row r="54" spans="1:32" s="57" customFormat="1">
      <c r="A54" s="2" t="s">
        <v>40</v>
      </c>
      <c r="B54" s="2" t="s">
        <v>178</v>
      </c>
      <c r="C54" s="51">
        <f t="shared" si="50"/>
        <v>23.783478260869565</v>
      </c>
      <c r="D54" s="51">
        <v>23</v>
      </c>
      <c r="E54" s="51">
        <v>0</v>
      </c>
      <c r="F54" s="51">
        <v>547.02</v>
      </c>
      <c r="G54" s="51">
        <v>-0.08</v>
      </c>
      <c r="H54" s="51">
        <f t="shared" si="51"/>
        <v>1.4624693795473658E-4</v>
      </c>
      <c r="I54" s="51">
        <f t="shared" si="52"/>
        <v>0.19460757970067549</v>
      </c>
      <c r="J54" s="51">
        <f t="shared" si="70"/>
        <v>106.4542382478635</v>
      </c>
      <c r="K54" s="51">
        <f t="shared" si="54"/>
        <v>4.6284451412114569</v>
      </c>
      <c r="L54" s="51">
        <v>150</v>
      </c>
      <c r="M54" s="51">
        <f t="shared" si="55"/>
        <v>0.15333333333333332</v>
      </c>
      <c r="N54" s="51">
        <v>31</v>
      </c>
      <c r="O54" s="51">
        <f t="shared" ref="O54:P54" si="76">D54/7</f>
        <v>3.2857142857142856</v>
      </c>
      <c r="P54" s="51">
        <f t="shared" si="76"/>
        <v>0</v>
      </c>
      <c r="Q54" s="51">
        <f t="shared" si="57"/>
        <v>9</v>
      </c>
      <c r="R54" s="55">
        <f ca="1">IFERROR(__xludf.DUMMYFUNCTION("IFERROR(VLOOKUP($B$2,IMPORTRANGE(""https://docs.google.com/spreadsheets/d/1iVgg6Mw12RULLujzHmfOFIY8Q_KaAD8anoZzgtVAQ74/edit#gid=1503384807"",""Second Star - Summary!A1:AD2000""),9,FALSE),"""")"),530)</f>
        <v>530</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58"/>
        <v>0</v>
      </c>
      <c r="W54" s="55">
        <f t="shared" si="59"/>
        <v>0</v>
      </c>
      <c r="X54" s="55">
        <v>0</v>
      </c>
      <c r="Y54" s="55" t="s">
        <v>35</v>
      </c>
      <c r="Z54" s="56">
        <f t="shared" si="65"/>
        <v>-2.4</v>
      </c>
      <c r="AA54" s="55">
        <v>0.16588541666666665</v>
      </c>
      <c r="AB54" s="55">
        <f t="shared" si="61"/>
        <v>-27.470624999999998</v>
      </c>
      <c r="AC54" s="55">
        <v>-5.42</v>
      </c>
      <c r="AD54" s="55">
        <v>-8.96965811965811</v>
      </c>
      <c r="AE54" s="55">
        <v>0</v>
      </c>
      <c r="AF54" s="55">
        <v>3.7518248175182398</v>
      </c>
    </row>
    <row r="55" spans="1:32" s="57" customFormat="1" ht="15.75" customHeight="1">
      <c r="A55" s="2" t="s">
        <v>32</v>
      </c>
      <c r="B55" s="2" t="s">
        <v>757</v>
      </c>
      <c r="C55" s="51">
        <f t="shared" si="50"/>
        <v>24.043333333333337</v>
      </c>
      <c r="D55" s="51">
        <v>27</v>
      </c>
      <c r="E55" s="51">
        <v>0</v>
      </c>
      <c r="F55" s="51">
        <v>649.17000000000007</v>
      </c>
      <c r="G55" s="51">
        <v>0</v>
      </c>
      <c r="H55" s="51">
        <f t="shared" si="51"/>
        <v>0</v>
      </c>
      <c r="I55" s="51">
        <f t="shared" si="52"/>
        <v>0.20183558354395781</v>
      </c>
      <c r="J55" s="51">
        <f t="shared" si="70"/>
        <v>131.02560576923111</v>
      </c>
      <c r="K55" s="51">
        <f t="shared" si="54"/>
        <v>4.8528002136752262</v>
      </c>
      <c r="L55" s="51">
        <v>153</v>
      </c>
      <c r="M55" s="51">
        <f t="shared" si="55"/>
        <v>0.17647058823529413</v>
      </c>
      <c r="N55" s="51">
        <v>16</v>
      </c>
      <c r="O55" s="51">
        <f t="shared" ref="O55:P55" si="77">D55/7</f>
        <v>3.8571428571428572</v>
      </c>
      <c r="P55" s="51">
        <f t="shared" si="77"/>
        <v>0</v>
      </c>
      <c r="Q55" s="51">
        <f t="shared" si="57"/>
        <v>4</v>
      </c>
      <c r="R55" s="55">
        <v>132</v>
      </c>
      <c r="S55" s="53">
        <v>132</v>
      </c>
      <c r="T55" s="54">
        <v>44211</v>
      </c>
      <c r="U55" s="55">
        <v>0</v>
      </c>
      <c r="V55" s="55">
        <f t="shared" si="58"/>
        <v>0</v>
      </c>
      <c r="W55" s="55">
        <f t="shared" si="59"/>
        <v>0</v>
      </c>
      <c r="X55" s="55">
        <v>0</v>
      </c>
      <c r="Y55" s="55" t="s">
        <v>35</v>
      </c>
      <c r="Z55" s="56">
        <f t="shared" si="65"/>
        <v>-2.4</v>
      </c>
      <c r="AA55" s="55">
        <v>0.16588541666666665</v>
      </c>
      <c r="AB55" s="55">
        <f t="shared" si="61"/>
        <v>-32.248124999999995</v>
      </c>
      <c r="AC55" s="55">
        <v>-5.42</v>
      </c>
      <c r="AD55" s="55">
        <v>-8.96965811965811</v>
      </c>
      <c r="AE55" s="55">
        <v>0</v>
      </c>
      <c r="AF55" s="55">
        <v>2.9132947976878598</v>
      </c>
    </row>
    <row r="56" spans="1:32" s="57" customFormat="1" ht="15.75" customHeight="1">
      <c r="A56" s="2" t="s">
        <v>36</v>
      </c>
      <c r="B56" s="2"/>
      <c r="C56" s="51">
        <f t="shared" si="50"/>
        <v>24.012777777777782</v>
      </c>
      <c r="D56" s="51">
        <v>18</v>
      </c>
      <c r="E56" s="51">
        <v>0</v>
      </c>
      <c r="F56" s="51">
        <v>432.23000000000008</v>
      </c>
      <c r="G56" s="51">
        <v>0</v>
      </c>
      <c r="H56" s="51">
        <f t="shared" si="51"/>
        <v>0</v>
      </c>
      <c r="I56" s="51">
        <f t="shared" si="52"/>
        <v>0.20101081333122189</v>
      </c>
      <c r="J56" s="51">
        <f t="shared" si="70"/>
        <v>86.882903846154051</v>
      </c>
      <c r="K56" s="51">
        <f t="shared" si="54"/>
        <v>4.826827991453003</v>
      </c>
      <c r="L56" s="51">
        <v>114</v>
      </c>
      <c r="M56" s="51">
        <f t="shared" si="55"/>
        <v>0.15789473684210525</v>
      </c>
      <c r="N56" s="51">
        <v>36</v>
      </c>
      <c r="O56" s="51">
        <f t="shared" ref="O56:P56" si="78">D56/7</f>
        <v>2.5714285714285716</v>
      </c>
      <c r="P56" s="51">
        <f t="shared" si="78"/>
        <v>0</v>
      </c>
      <c r="Q56" s="51">
        <f t="shared" si="57"/>
        <v>14</v>
      </c>
      <c r="R56" s="55">
        <f ca="1">IFERROR(__xludf.DUMMYFUNCTION("IFERROR(VLOOKUP($B$2,IMPORTRANGE(""https://docs.google.com/spreadsheets/d/1iVgg6Mw12RULLujzHmfOFIY8Q_KaAD8anoZzgtVAQ74/edit#gid=1503384807"",""Second Star - Summary!A1:AD2000""),9,FALSE),"""")"),530)</f>
        <v>530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58"/>
        <v>0</v>
      </c>
      <c r="W56" s="55">
        <f t="shared" si="59"/>
        <v>0</v>
      </c>
      <c r="X56" s="55">
        <v>0</v>
      </c>
      <c r="Y56" s="55" t="s">
        <v>35</v>
      </c>
      <c r="Z56" s="56">
        <f t="shared" si="65"/>
        <v>-2.4</v>
      </c>
      <c r="AA56" s="55">
        <v>0.16588541666666665</v>
      </c>
      <c r="AB56" s="55">
        <f t="shared" si="61"/>
        <v>-21.498749999999998</v>
      </c>
      <c r="AC56" s="55">
        <v>-5.42</v>
      </c>
      <c r="AD56" s="55">
        <v>-8.96965811965811</v>
      </c>
      <c r="AE56" s="55">
        <v>0</v>
      </c>
      <c r="AF56" s="55">
        <v>3.36633663366336</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E185" s="2"/>
      <c r="P185" s="2"/>
      <c r="AF185" s="23"/>
    </row>
    <row r="186" spans="1:32" ht="15.75" customHeight="1">
      <c r="E186" s="2"/>
      <c r="P186" s="2"/>
      <c r="AF186" s="23"/>
    </row>
    <row r="187" spans="1:32" ht="15.75" customHeight="1">
      <c r="E187" s="2"/>
      <c r="P187" s="2"/>
      <c r="AF187" s="23"/>
    </row>
    <row r="188" spans="1:32" ht="15.75" customHeight="1">
      <c r="E188" s="2"/>
      <c r="P188" s="2"/>
      <c r="AF188" s="23"/>
    </row>
    <row r="189" spans="1:32" ht="15.75" customHeight="1">
      <c r="E189" s="2"/>
      <c r="P189" s="2"/>
      <c r="AF189" s="23"/>
    </row>
    <row r="190" spans="1:32" ht="15.75" customHeight="1">
      <c r="E190" s="2"/>
      <c r="P190" s="2"/>
      <c r="AF190" s="23"/>
    </row>
    <row r="191" spans="1:32" ht="15.75" customHeight="1">
      <c r="E191" s="2"/>
      <c r="P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394" priority="1" operator="lessThan">
      <formula>100</formula>
    </cfRule>
  </conditionalFormatting>
  <conditionalFormatting sqref="Q1:Q3 Q57:Q1000">
    <cfRule type="cellIs" dxfId="393" priority="2" operator="lessThan">
      <formula>100</formula>
    </cfRule>
  </conditionalFormatting>
  <conditionalFormatting sqref="I1:I3 I57:I1000">
    <cfRule type="cellIs" dxfId="392" priority="3" operator="lessThan">
      <formula>0.05</formula>
    </cfRule>
  </conditionalFormatting>
  <conditionalFormatting sqref="I4:I17">
    <cfRule type="cellIs" dxfId="391" priority="4" operator="lessThan">
      <formula>0.05</formula>
    </cfRule>
  </conditionalFormatting>
  <conditionalFormatting sqref="I18:I56">
    <cfRule type="cellIs" dxfId="390" priority="5" operator="lessThan">
      <formula>0.05</formula>
    </cfRule>
  </conditionalFormatting>
  <conditionalFormatting sqref="Q4:Q56">
    <cfRule type="cellIs" dxfId="389" priority="6" operator="lessThan">
      <formula>100</formula>
    </cfRule>
  </conditionalFormatting>
  <conditionalFormatting sqref="Q4:Q56">
    <cfRule type="cellIs" dxfId="388" priority="7" operator="lessThan">
      <formula>100</formula>
    </cfRule>
  </conditionalFormatting>
  <pageMargins left="0.7" right="0.7" top="0.75" bottom="0.75" header="0" footer="0"/>
  <pageSetup orientation="portrait"/>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20"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Info!B1:BJ5000""),4,FALSE),"""")"),"16oz Glass Beer Bottles for Home Brewing 12 Pack with Flip Caps and Funnel")</f>
        <v>16oz Glass Beer Bottles for Home Brewing 12 Pack with Flip Caps and Funnel</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Info!B1:BJ5000""),3,FALSE),"""")"),"B07H8PMHQ2")</f>
        <v>B07H8PMHQ2</v>
      </c>
      <c r="B2" s="4" t="s">
        <v>758</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25.438168449197764</v>
      </c>
      <c r="D3" s="8">
        <f>SUM(D4:D99819)</f>
        <v>153</v>
      </c>
      <c r="E3" s="8"/>
      <c r="F3" s="9">
        <f t="shared" ref="F3:G3" si="0">SUM(F4:F99819)</f>
        <v>4741.4699999999893</v>
      </c>
      <c r="G3" s="9">
        <f t="shared" si="0"/>
        <v>0</v>
      </c>
      <c r="H3" s="10">
        <f>G3/F3*-1</f>
        <v>0</v>
      </c>
      <c r="I3" s="11">
        <f>J3/F3</f>
        <v>-1.8404821519646232E-4</v>
      </c>
      <c r="J3" s="9">
        <f>SUM(J4:J99819)</f>
        <v>-0.87265909090756821</v>
      </c>
      <c r="K3" s="9">
        <f>J3/D3</f>
        <v>-5.7036541889383544E-3</v>
      </c>
      <c r="L3" s="8"/>
      <c r="M3" s="12"/>
      <c r="N3" s="13"/>
      <c r="O3" s="8" t="str">
        <f ca="1">IFERROR(__xludf.DUMMYFUNCTION("IFERROR(VLOOKUP(B2,IMPORTRANGE(""https://docs.google.com/spreadsheets/d/1owCo6kL_VFQ5nPTdNogErmCBLjNiktT1m3SzTrxu3R0/edit#gid=2146806407"",""Second Star - Compiled!b1:g5000""),2,FALSE),"""")"),"10 - March
10 - April
10 - May
10 - Jun
10 - Jul
15 - Aug
15 - Sept
10 - Oct
10 - Nov
30 - Dec
15 - Jan
12 - Feb")</f>
        <v>10 - March
10 - April
10 - May
10 - Jun
10 - Jul
15 - Aug
15 - Sept
10 - Oct
10 - Nov
30 - Dec
15 - Jan
12 - Feb</v>
      </c>
      <c r="P3" s="8"/>
      <c r="Q3" s="14"/>
      <c r="R3" s="13"/>
      <c r="S3" s="13"/>
      <c r="T3" s="13"/>
      <c r="U3" s="8">
        <f>SUM(U4:U99819)</f>
        <v>0</v>
      </c>
      <c r="V3" s="10">
        <f>AVERAGE(V4:V99819)</f>
        <v>0</v>
      </c>
      <c r="W3" s="9">
        <f>ROUND(AVERAGE(W4:W99819),2)</f>
        <v>0</v>
      </c>
      <c r="X3" s="8"/>
      <c r="Y3" s="8"/>
      <c r="Z3" s="8"/>
      <c r="AA3" s="8"/>
      <c r="AB3" s="8"/>
      <c r="AC3" s="15"/>
      <c r="AD3" s="9"/>
      <c r="AE3" s="9">
        <f>SUM(AE4:AE99819)</f>
        <v>0</v>
      </c>
      <c r="AF3" s="16"/>
    </row>
    <row r="4" spans="1:32" s="57" customFormat="1" hidden="1">
      <c r="A4" s="17"/>
      <c r="B4" s="2"/>
      <c r="C4" s="50"/>
      <c r="D4" s="51"/>
      <c r="E4" s="51"/>
      <c r="F4" s="51"/>
      <c r="G4" s="51"/>
      <c r="H4" s="51"/>
      <c r="I4" s="51"/>
      <c r="J4" s="51"/>
      <c r="K4" s="51"/>
      <c r="L4" s="51"/>
      <c r="M4" s="51"/>
      <c r="N4" s="51"/>
      <c r="O4" s="51"/>
      <c r="P4" s="51"/>
      <c r="Q4" s="51"/>
      <c r="R4" s="52"/>
      <c r="S4" s="53"/>
      <c r="T4" s="54"/>
      <c r="U4" s="52"/>
      <c r="V4" s="55"/>
      <c r="W4" s="55"/>
      <c r="X4" s="52"/>
      <c r="Y4" s="56"/>
      <c r="Z4" s="56"/>
      <c r="AA4" s="55"/>
      <c r="AB4" s="55"/>
      <c r="AC4" s="55"/>
      <c r="AD4" s="55"/>
      <c r="AE4" s="55"/>
      <c r="AF4" s="55"/>
    </row>
    <row r="5" spans="1:32" s="57" customFormat="1" ht="15.75" hidden="1" customHeight="1">
      <c r="A5" s="2"/>
      <c r="B5" s="2"/>
      <c r="C5" s="51"/>
      <c r="D5" s="51"/>
      <c r="E5" s="51"/>
      <c r="F5" s="51"/>
      <c r="G5" s="51"/>
      <c r="H5" s="51"/>
      <c r="I5" s="51"/>
      <c r="J5" s="51"/>
      <c r="K5" s="51"/>
      <c r="L5" s="51"/>
      <c r="M5" s="51"/>
      <c r="N5" s="51"/>
      <c r="O5" s="51"/>
      <c r="P5" s="51"/>
      <c r="Q5" s="51"/>
      <c r="R5" s="55"/>
      <c r="S5" s="53"/>
      <c r="T5" s="54"/>
      <c r="U5" s="55"/>
      <c r="V5" s="55"/>
      <c r="W5" s="55"/>
      <c r="X5" s="55"/>
      <c r="Y5" s="55"/>
      <c r="Z5" s="56"/>
      <c r="AA5" s="55"/>
      <c r="AB5" s="55"/>
      <c r="AC5" s="55"/>
      <c r="AD5" s="55"/>
      <c r="AE5" s="55"/>
      <c r="AF5" s="55"/>
    </row>
    <row r="6" spans="1:32" s="57" customFormat="1" ht="15.75" hidden="1" customHeight="1">
      <c r="A6" s="2"/>
      <c r="B6" s="2"/>
      <c r="C6" s="51"/>
      <c r="D6" s="51"/>
      <c r="E6" s="51"/>
      <c r="F6" s="51"/>
      <c r="G6" s="51"/>
      <c r="H6" s="51"/>
      <c r="I6" s="51"/>
      <c r="J6" s="51"/>
      <c r="K6" s="51"/>
      <c r="L6" s="51"/>
      <c r="M6" s="51"/>
      <c r="N6" s="51"/>
      <c r="O6" s="51"/>
      <c r="P6" s="51"/>
      <c r="Q6" s="51"/>
      <c r="R6" s="55"/>
      <c r="S6" s="53"/>
      <c r="T6" s="54"/>
      <c r="U6" s="55"/>
      <c r="V6" s="55"/>
      <c r="W6" s="55"/>
      <c r="X6" s="55"/>
      <c r="Y6" s="55"/>
      <c r="Z6" s="56"/>
      <c r="AA6" s="55"/>
      <c r="AB6" s="55"/>
      <c r="AC6" s="55"/>
      <c r="AD6" s="55"/>
      <c r="AE6" s="55"/>
      <c r="AF6" s="55"/>
    </row>
    <row r="7" spans="1:32" s="57" customFormat="1" ht="15.75" hidden="1" customHeight="1">
      <c r="A7" s="2"/>
      <c r="B7" s="2"/>
      <c r="C7" s="51"/>
      <c r="D7" s="51"/>
      <c r="E7" s="51"/>
      <c r="F7" s="51"/>
      <c r="G7" s="51"/>
      <c r="H7" s="51"/>
      <c r="I7" s="51"/>
      <c r="J7" s="51"/>
      <c r="K7" s="51"/>
      <c r="L7" s="51"/>
      <c r="M7" s="51"/>
      <c r="N7" s="51"/>
      <c r="O7" s="51"/>
      <c r="P7" s="51"/>
      <c r="Q7" s="51"/>
      <c r="R7" s="55"/>
      <c r="S7" s="53"/>
      <c r="T7" s="54"/>
      <c r="U7" s="55"/>
      <c r="V7" s="55"/>
      <c r="W7" s="55"/>
      <c r="X7" s="55"/>
      <c r="Y7" s="55"/>
      <c r="Z7" s="56"/>
      <c r="AA7" s="55"/>
      <c r="AB7" s="55"/>
      <c r="AC7" s="55"/>
      <c r="AD7" s="55"/>
      <c r="AE7" s="55"/>
      <c r="AF7" s="55"/>
    </row>
    <row r="8" spans="1:32" s="57" customFormat="1" ht="15.75" hidden="1" customHeight="1">
      <c r="A8" s="2"/>
      <c r="B8" s="2"/>
      <c r="C8" s="51"/>
      <c r="D8" s="51"/>
      <c r="E8" s="51"/>
      <c r="F8" s="51"/>
      <c r="G8" s="51"/>
      <c r="H8" s="51"/>
      <c r="I8" s="51"/>
      <c r="J8" s="51"/>
      <c r="K8" s="51"/>
      <c r="L8" s="51"/>
      <c r="M8" s="51"/>
      <c r="N8" s="51"/>
      <c r="O8" s="51"/>
      <c r="P8" s="51"/>
      <c r="Q8" s="51"/>
      <c r="R8" s="55"/>
      <c r="S8" s="53"/>
      <c r="T8" s="54"/>
      <c r="U8" s="55"/>
      <c r="V8" s="55"/>
      <c r="W8" s="55"/>
      <c r="X8" s="55"/>
      <c r="Y8" s="55"/>
      <c r="Z8" s="56"/>
      <c r="AA8" s="55"/>
      <c r="AB8" s="55"/>
      <c r="AC8" s="55"/>
      <c r="AD8" s="55"/>
      <c r="AE8" s="55"/>
      <c r="AF8" s="55"/>
    </row>
    <row r="9" spans="1:32" s="57" customFormat="1" ht="15.75" hidden="1" customHeight="1">
      <c r="A9" s="2"/>
      <c r="B9" s="2"/>
      <c r="C9" s="51"/>
      <c r="D9" s="51"/>
      <c r="E9" s="51"/>
      <c r="F9" s="51"/>
      <c r="G9" s="51"/>
      <c r="H9" s="51"/>
      <c r="I9" s="51"/>
      <c r="J9" s="51"/>
      <c r="K9" s="51"/>
      <c r="L9" s="51"/>
      <c r="M9" s="51"/>
      <c r="N9" s="51"/>
      <c r="O9" s="51"/>
      <c r="P9" s="51"/>
      <c r="Q9" s="51"/>
      <c r="R9" s="55"/>
      <c r="S9" s="53"/>
      <c r="T9" s="54"/>
      <c r="U9" s="55"/>
      <c r="V9" s="55"/>
      <c r="W9" s="55"/>
      <c r="X9" s="55"/>
      <c r="Y9" s="55"/>
      <c r="Z9" s="56"/>
      <c r="AA9" s="55"/>
      <c r="AB9" s="55"/>
      <c r="AC9" s="55"/>
      <c r="AD9" s="55"/>
      <c r="AE9" s="55"/>
      <c r="AF9" s="55"/>
    </row>
    <row r="10" spans="1:32" s="57" customFormat="1" ht="15.75" hidden="1" customHeight="1">
      <c r="A10" s="2"/>
      <c r="B10" s="2"/>
      <c r="C10" s="51"/>
      <c r="D10" s="51"/>
      <c r="E10" s="51"/>
      <c r="F10" s="51"/>
      <c r="G10" s="51"/>
      <c r="H10" s="51"/>
      <c r="I10" s="51"/>
      <c r="J10" s="51"/>
      <c r="K10" s="51"/>
      <c r="L10" s="51"/>
      <c r="M10" s="51"/>
      <c r="N10" s="51"/>
      <c r="O10" s="51"/>
      <c r="P10" s="51"/>
      <c r="Q10" s="51"/>
      <c r="R10" s="55"/>
      <c r="S10" s="53"/>
      <c r="T10" s="54"/>
      <c r="U10" s="55"/>
      <c r="V10" s="55"/>
      <c r="W10" s="55"/>
      <c r="X10" s="55"/>
      <c r="Y10" s="55"/>
      <c r="Z10" s="56"/>
      <c r="AA10" s="55"/>
      <c r="AB10" s="55"/>
      <c r="AC10" s="55"/>
      <c r="AD10" s="55"/>
      <c r="AE10" s="55"/>
      <c r="AF10" s="55"/>
    </row>
    <row r="11" spans="1:32" s="57" customFormat="1" ht="15.75" hidden="1" customHeight="1">
      <c r="A11" s="2"/>
      <c r="B11" s="2"/>
      <c r="C11" s="51"/>
      <c r="D11" s="51"/>
      <c r="E11" s="51"/>
      <c r="F11" s="51"/>
      <c r="G11" s="51"/>
      <c r="H11" s="51"/>
      <c r="I11" s="51"/>
      <c r="J11" s="51"/>
      <c r="K11" s="51"/>
      <c r="L11" s="51"/>
      <c r="M11" s="51"/>
      <c r="N11" s="51"/>
      <c r="O11" s="51"/>
      <c r="P11" s="51"/>
      <c r="Q11" s="51"/>
      <c r="R11" s="55"/>
      <c r="S11" s="53"/>
      <c r="T11" s="54"/>
      <c r="U11" s="55"/>
      <c r="V11" s="55"/>
      <c r="W11" s="55"/>
      <c r="X11" s="55"/>
      <c r="Y11" s="55"/>
      <c r="Z11" s="56"/>
      <c r="AA11" s="55"/>
      <c r="AB11" s="55"/>
      <c r="AC11" s="55"/>
      <c r="AD11" s="55"/>
      <c r="AE11" s="55"/>
      <c r="AF11" s="55"/>
    </row>
    <row r="12" spans="1:32" s="57" customFormat="1" ht="15.75" hidden="1" customHeight="1">
      <c r="A12" s="2"/>
      <c r="B12" s="2"/>
      <c r="C12" s="51"/>
      <c r="D12" s="51"/>
      <c r="E12" s="51"/>
      <c r="F12" s="51"/>
      <c r="G12" s="51"/>
      <c r="H12" s="51"/>
      <c r="I12" s="51"/>
      <c r="J12" s="51"/>
      <c r="K12" s="51"/>
      <c r="L12" s="51"/>
      <c r="M12" s="51"/>
      <c r="N12" s="51"/>
      <c r="O12" s="51"/>
      <c r="P12" s="51"/>
      <c r="Q12" s="51"/>
      <c r="R12" s="55"/>
      <c r="S12" s="53"/>
      <c r="T12" s="54"/>
      <c r="U12" s="55"/>
      <c r="V12" s="55"/>
      <c r="W12" s="55"/>
      <c r="X12" s="55"/>
      <c r="Y12" s="55"/>
      <c r="Z12" s="56"/>
      <c r="AA12" s="55"/>
      <c r="AB12" s="55"/>
      <c r="AC12" s="55"/>
      <c r="AD12" s="55"/>
      <c r="AE12" s="55"/>
      <c r="AF12" s="55"/>
    </row>
    <row r="13" spans="1:32" s="57" customFormat="1" ht="15.75" hidden="1" customHeight="1">
      <c r="A13" s="2"/>
      <c r="B13" s="2"/>
      <c r="C13" s="51"/>
      <c r="D13" s="51"/>
      <c r="E13" s="51"/>
      <c r="F13" s="51"/>
      <c r="G13" s="51"/>
      <c r="H13" s="51"/>
      <c r="I13" s="51"/>
      <c r="J13" s="51"/>
      <c r="K13" s="51"/>
      <c r="L13" s="51"/>
      <c r="M13" s="51"/>
      <c r="N13" s="51"/>
      <c r="O13" s="51"/>
      <c r="P13" s="51"/>
      <c r="Q13" s="51"/>
      <c r="R13" s="55"/>
      <c r="S13" s="53"/>
      <c r="T13" s="54"/>
      <c r="U13" s="55"/>
      <c r="V13" s="55"/>
      <c r="W13" s="55"/>
      <c r="X13" s="55"/>
      <c r="Y13" s="55"/>
      <c r="Z13" s="56"/>
      <c r="AA13" s="55"/>
      <c r="AB13" s="55"/>
      <c r="AC13" s="55"/>
      <c r="AD13" s="55"/>
      <c r="AE13" s="55"/>
      <c r="AF13" s="55"/>
    </row>
    <row r="14" spans="1:32" s="57" customFormat="1" ht="15.75" hidden="1" customHeight="1">
      <c r="A14" s="2"/>
      <c r="B14" s="2"/>
      <c r="C14" s="51"/>
      <c r="D14" s="51"/>
      <c r="E14" s="51"/>
      <c r="F14" s="51"/>
      <c r="G14" s="51"/>
      <c r="H14" s="51"/>
      <c r="I14" s="51"/>
      <c r="J14" s="51"/>
      <c r="K14" s="51"/>
      <c r="L14" s="51"/>
      <c r="M14" s="51"/>
      <c r="N14" s="51"/>
      <c r="O14" s="51"/>
      <c r="P14" s="51"/>
      <c r="Q14" s="51"/>
      <c r="R14" s="55"/>
      <c r="S14" s="53"/>
      <c r="T14" s="54"/>
      <c r="U14" s="55"/>
      <c r="V14" s="55"/>
      <c r="W14" s="55"/>
      <c r="X14" s="55"/>
      <c r="Y14" s="55"/>
      <c r="Z14" s="56"/>
      <c r="AA14" s="55"/>
      <c r="AB14" s="55"/>
      <c r="AC14" s="55"/>
      <c r="AD14" s="55"/>
      <c r="AE14" s="55"/>
      <c r="AF14" s="55"/>
    </row>
    <row r="15" spans="1:32" s="57" customFormat="1" ht="15.75" hidden="1" customHeight="1">
      <c r="A15" s="2"/>
      <c r="B15" s="2"/>
      <c r="C15" s="51"/>
      <c r="D15" s="51"/>
      <c r="E15" s="51"/>
      <c r="F15" s="51"/>
      <c r="G15" s="51"/>
      <c r="H15" s="51"/>
      <c r="I15" s="51"/>
      <c r="J15" s="51"/>
      <c r="K15" s="51"/>
      <c r="L15" s="51"/>
      <c r="M15" s="51"/>
      <c r="N15" s="51"/>
      <c r="O15" s="51"/>
      <c r="P15" s="51"/>
      <c r="Q15" s="51"/>
      <c r="R15" s="55"/>
      <c r="S15" s="53"/>
      <c r="T15" s="54"/>
      <c r="U15" s="55"/>
      <c r="V15" s="55"/>
      <c r="W15" s="55"/>
      <c r="X15" s="55"/>
      <c r="Y15" s="55"/>
      <c r="Z15" s="56"/>
      <c r="AA15" s="55"/>
      <c r="AB15" s="55"/>
      <c r="AC15" s="55"/>
      <c r="AD15" s="55"/>
      <c r="AE15" s="55"/>
      <c r="AF15" s="55"/>
    </row>
    <row r="16" spans="1:32" s="57" customFormat="1" ht="15.75" hidden="1" customHeight="1">
      <c r="A16" s="2"/>
      <c r="B16" s="2"/>
      <c r="C16" s="51"/>
      <c r="D16" s="51"/>
      <c r="E16" s="51"/>
      <c r="F16" s="51"/>
      <c r="G16" s="51"/>
      <c r="H16" s="51"/>
      <c r="I16" s="51"/>
      <c r="J16" s="51"/>
      <c r="K16" s="51"/>
      <c r="L16" s="51"/>
      <c r="M16" s="51"/>
      <c r="N16" s="51"/>
      <c r="O16" s="51"/>
      <c r="P16" s="51"/>
      <c r="Q16" s="51"/>
      <c r="R16" s="55"/>
      <c r="S16" s="53"/>
      <c r="T16" s="54"/>
      <c r="U16" s="55"/>
      <c r="V16" s="55"/>
      <c r="W16" s="55"/>
      <c r="X16" s="55"/>
      <c r="Y16" s="55"/>
      <c r="Z16" s="56"/>
      <c r="AA16" s="55"/>
      <c r="AB16" s="55"/>
      <c r="AC16" s="55"/>
      <c r="AD16" s="55"/>
      <c r="AE16" s="55"/>
      <c r="AF16" s="55"/>
    </row>
    <row r="17" spans="1:32" s="57" customFormat="1" ht="15.75" hidden="1" customHeight="1">
      <c r="A17" s="2"/>
      <c r="B17" s="2"/>
      <c r="C17" s="51"/>
      <c r="D17" s="51"/>
      <c r="E17" s="51"/>
      <c r="F17" s="51"/>
      <c r="G17" s="51"/>
      <c r="H17" s="51"/>
      <c r="I17" s="51"/>
      <c r="J17" s="51"/>
      <c r="K17" s="51"/>
      <c r="L17" s="51"/>
      <c r="M17" s="51"/>
      <c r="N17" s="51"/>
      <c r="O17" s="51"/>
      <c r="P17" s="51"/>
      <c r="Q17" s="51"/>
      <c r="R17" s="55"/>
      <c r="S17" s="53"/>
      <c r="T17" s="54"/>
      <c r="U17" s="55"/>
      <c r="V17" s="55"/>
      <c r="W17" s="55"/>
      <c r="X17" s="55"/>
      <c r="Y17" s="55"/>
      <c r="Z17" s="56"/>
      <c r="AA17" s="55"/>
      <c r="AB17" s="55"/>
      <c r="AC17" s="55"/>
      <c r="AD17" s="55"/>
      <c r="AE17" s="55"/>
      <c r="AF17" s="55"/>
    </row>
    <row r="18" spans="1:32" s="57" customFormat="1" ht="15.75" hidden="1" customHeight="1">
      <c r="A18" s="2"/>
      <c r="B18" s="2"/>
      <c r="C18" s="51"/>
      <c r="D18" s="51"/>
      <c r="E18" s="51"/>
      <c r="F18" s="51"/>
      <c r="G18" s="51"/>
      <c r="H18" s="51"/>
      <c r="I18" s="51"/>
      <c r="J18" s="51"/>
      <c r="K18" s="51"/>
      <c r="L18" s="51"/>
      <c r="M18" s="51"/>
      <c r="N18" s="51"/>
      <c r="O18" s="51"/>
      <c r="P18" s="51"/>
      <c r="Q18" s="51"/>
      <c r="R18" s="55"/>
      <c r="S18" s="53"/>
      <c r="T18" s="54"/>
      <c r="U18" s="55"/>
      <c r="V18" s="55"/>
      <c r="W18" s="55"/>
      <c r="X18" s="55"/>
      <c r="Y18" s="55"/>
      <c r="Z18" s="56"/>
      <c r="AA18" s="55"/>
      <c r="AB18" s="58"/>
      <c r="AC18" s="55"/>
      <c r="AD18" s="55"/>
      <c r="AE18" s="55"/>
      <c r="AF18" s="55"/>
    </row>
    <row r="19" spans="1:32" s="57" customFormat="1" ht="15.75" hidden="1" customHeight="1">
      <c r="A19" s="2"/>
      <c r="B19" s="2"/>
      <c r="C19" s="51"/>
      <c r="D19" s="51"/>
      <c r="E19" s="51"/>
      <c r="F19" s="51"/>
      <c r="G19" s="51"/>
      <c r="H19" s="51"/>
      <c r="I19" s="51"/>
      <c r="J19" s="51"/>
      <c r="K19" s="51"/>
      <c r="L19" s="51"/>
      <c r="M19" s="51"/>
      <c r="N19" s="51"/>
      <c r="O19" s="51"/>
      <c r="P19" s="51"/>
      <c r="Q19" s="51"/>
      <c r="R19" s="55"/>
      <c r="S19" s="53"/>
      <c r="T19" s="54"/>
      <c r="U19" s="55"/>
      <c r="V19" s="55"/>
      <c r="W19" s="55"/>
      <c r="X19" s="55"/>
      <c r="Y19" s="55"/>
      <c r="Z19" s="56"/>
      <c r="AA19" s="55"/>
      <c r="AB19" s="55"/>
      <c r="AC19" s="55"/>
      <c r="AD19" s="55"/>
      <c r="AE19" s="55"/>
      <c r="AF19" s="55"/>
    </row>
    <row r="20" spans="1:32" s="57" customFormat="1" ht="15.75" hidden="1" customHeight="1">
      <c r="A20" s="2"/>
      <c r="B20" s="2"/>
      <c r="C20" s="51"/>
      <c r="D20" s="51"/>
      <c r="E20" s="51"/>
      <c r="F20" s="51"/>
      <c r="G20" s="51"/>
      <c r="H20" s="51"/>
      <c r="I20" s="51"/>
      <c r="J20" s="51"/>
      <c r="K20" s="51"/>
      <c r="L20" s="51"/>
      <c r="M20" s="51"/>
      <c r="N20" s="51"/>
      <c r="O20" s="51"/>
      <c r="P20" s="51"/>
      <c r="Q20" s="51"/>
      <c r="R20" s="55"/>
      <c r="S20" s="53"/>
      <c r="T20" s="54"/>
      <c r="U20" s="55"/>
      <c r="V20" s="55"/>
      <c r="W20" s="55"/>
      <c r="X20" s="55"/>
      <c r="Y20" s="55"/>
      <c r="Z20" s="56"/>
      <c r="AA20" s="55"/>
      <c r="AB20" s="55"/>
      <c r="AC20" s="55"/>
      <c r="AD20" s="55"/>
      <c r="AE20" s="55"/>
      <c r="AF20" s="55"/>
    </row>
    <row r="21" spans="1:32" s="57" customFormat="1" ht="15.75" hidden="1" customHeight="1">
      <c r="A21" s="2"/>
      <c r="B21" s="2"/>
      <c r="C21" s="51"/>
      <c r="D21" s="51"/>
      <c r="E21" s="51"/>
      <c r="F21" s="51"/>
      <c r="G21" s="51"/>
      <c r="H21" s="51"/>
      <c r="I21" s="51"/>
      <c r="J21" s="51"/>
      <c r="K21" s="51"/>
      <c r="L21" s="51"/>
      <c r="M21" s="51"/>
      <c r="N21" s="51"/>
      <c r="O21" s="51"/>
      <c r="P21" s="51"/>
      <c r="Q21" s="51"/>
      <c r="R21" s="55"/>
      <c r="S21" s="53"/>
      <c r="T21" s="54"/>
      <c r="U21" s="55"/>
      <c r="V21" s="55"/>
      <c r="W21" s="55"/>
      <c r="X21" s="55"/>
      <c r="Y21" s="55"/>
      <c r="Z21" s="56"/>
      <c r="AA21" s="55"/>
      <c r="AB21" s="55"/>
      <c r="AC21" s="55"/>
      <c r="AD21" s="55"/>
      <c r="AE21" s="55"/>
      <c r="AF21" s="55"/>
    </row>
    <row r="22" spans="1:32" s="57" customFormat="1" ht="15.75" hidden="1" customHeight="1">
      <c r="A22" s="2"/>
      <c r="B22" s="2"/>
      <c r="C22" s="51"/>
      <c r="D22" s="51"/>
      <c r="E22" s="51"/>
      <c r="F22" s="51"/>
      <c r="G22" s="51"/>
      <c r="H22" s="51"/>
      <c r="I22" s="51"/>
      <c r="J22" s="51"/>
      <c r="K22" s="51"/>
      <c r="L22" s="51"/>
      <c r="M22" s="51"/>
      <c r="N22" s="51"/>
      <c r="O22" s="51"/>
      <c r="P22" s="51"/>
      <c r="Q22" s="51"/>
      <c r="R22" s="55"/>
      <c r="S22" s="53"/>
      <c r="T22" s="54"/>
      <c r="U22" s="55"/>
      <c r="V22" s="55"/>
      <c r="W22" s="55"/>
      <c r="X22" s="55"/>
      <c r="Y22" s="55"/>
      <c r="Z22" s="56"/>
      <c r="AA22" s="55"/>
      <c r="AB22" s="55"/>
      <c r="AC22" s="55"/>
      <c r="AD22" s="55"/>
      <c r="AE22" s="55"/>
      <c r="AF22" s="55"/>
    </row>
    <row r="23" spans="1:32" s="57" customFormat="1" ht="15.75" hidden="1" customHeight="1">
      <c r="A23" s="2"/>
      <c r="B23" s="2"/>
      <c r="C23" s="51"/>
      <c r="D23" s="51"/>
      <c r="E23" s="51"/>
      <c r="F23" s="51"/>
      <c r="G23" s="51"/>
      <c r="H23" s="51"/>
      <c r="I23" s="51"/>
      <c r="J23" s="51"/>
      <c r="K23" s="51"/>
      <c r="L23" s="51"/>
      <c r="M23" s="51"/>
      <c r="N23" s="51"/>
      <c r="O23" s="51"/>
      <c r="P23" s="51"/>
      <c r="Q23" s="51"/>
      <c r="R23" s="55"/>
      <c r="S23" s="53"/>
      <c r="T23" s="54"/>
      <c r="U23" s="55"/>
      <c r="V23" s="55"/>
      <c r="W23" s="55"/>
      <c r="X23" s="55"/>
      <c r="Y23" s="55"/>
      <c r="Z23" s="56"/>
      <c r="AA23" s="55"/>
      <c r="AB23" s="55"/>
      <c r="AC23" s="55"/>
      <c r="AD23" s="55"/>
      <c r="AE23" s="55"/>
      <c r="AF23" s="55"/>
    </row>
    <row r="24" spans="1:32" s="57" customFormat="1" ht="15.75" hidden="1" customHeight="1">
      <c r="A24" s="2"/>
      <c r="B24" s="2"/>
      <c r="C24" s="51"/>
      <c r="D24" s="51"/>
      <c r="E24" s="51"/>
      <c r="F24" s="51"/>
      <c r="G24" s="51"/>
      <c r="H24" s="51"/>
      <c r="I24" s="51"/>
      <c r="J24" s="51"/>
      <c r="K24" s="51"/>
      <c r="L24" s="51"/>
      <c r="M24" s="51"/>
      <c r="N24" s="51"/>
      <c r="O24" s="51"/>
      <c r="P24" s="51"/>
      <c r="Q24" s="51"/>
      <c r="R24" s="55"/>
      <c r="S24" s="53"/>
      <c r="T24" s="54"/>
      <c r="U24" s="55"/>
      <c r="V24" s="55"/>
      <c r="W24" s="55"/>
      <c r="X24" s="55"/>
      <c r="Y24" s="55"/>
      <c r="Z24" s="56"/>
      <c r="AA24" s="55"/>
      <c r="AB24" s="55"/>
      <c r="AC24" s="55"/>
      <c r="AD24" s="55"/>
      <c r="AE24" s="55"/>
      <c r="AF24" s="55"/>
    </row>
    <row r="25" spans="1:32" s="57" customFormat="1" ht="15.75" hidden="1" customHeight="1">
      <c r="A25" s="2"/>
      <c r="B25" s="2"/>
      <c r="C25" s="51"/>
      <c r="D25" s="51"/>
      <c r="E25" s="51"/>
      <c r="F25" s="51"/>
      <c r="G25" s="51"/>
      <c r="H25" s="51"/>
      <c r="I25" s="51"/>
      <c r="J25" s="51"/>
      <c r="K25" s="51"/>
      <c r="L25" s="51"/>
      <c r="M25" s="51"/>
      <c r="N25" s="51"/>
      <c r="O25" s="51"/>
      <c r="P25" s="51"/>
      <c r="Q25" s="51"/>
      <c r="R25" s="55"/>
      <c r="S25" s="53"/>
      <c r="T25" s="54"/>
      <c r="U25" s="55"/>
      <c r="V25" s="55"/>
      <c r="W25" s="55"/>
      <c r="X25" s="55"/>
      <c r="Y25" s="55"/>
      <c r="Z25" s="56"/>
      <c r="AA25" s="55"/>
      <c r="AB25" s="55"/>
      <c r="AC25" s="55"/>
      <c r="AD25" s="55"/>
      <c r="AE25" s="55"/>
      <c r="AF25" s="55"/>
    </row>
    <row r="26" spans="1:32" s="57" customFormat="1" ht="15.75" hidden="1" customHeight="1">
      <c r="A26" s="2"/>
      <c r="B26" s="2"/>
      <c r="C26" s="51"/>
      <c r="D26" s="51"/>
      <c r="E26" s="51"/>
      <c r="F26" s="51"/>
      <c r="G26" s="51"/>
      <c r="H26" s="51"/>
      <c r="I26" s="51"/>
      <c r="J26" s="51"/>
      <c r="K26" s="51"/>
      <c r="L26" s="51"/>
      <c r="M26" s="51"/>
      <c r="N26" s="51"/>
      <c r="O26" s="51"/>
      <c r="P26" s="51"/>
      <c r="Q26" s="51"/>
      <c r="R26" s="55"/>
      <c r="S26" s="53"/>
      <c r="T26" s="54"/>
      <c r="U26" s="55"/>
      <c r="V26" s="55"/>
      <c r="W26" s="55"/>
      <c r="X26" s="55"/>
      <c r="Y26" s="55"/>
      <c r="Z26" s="56"/>
      <c r="AA26" s="55"/>
      <c r="AB26" s="55"/>
      <c r="AC26" s="55"/>
      <c r="AD26" s="55"/>
      <c r="AE26" s="55"/>
      <c r="AF26" s="55"/>
    </row>
    <row r="27" spans="1:32" s="57" customFormat="1" ht="15.75" hidden="1" customHeight="1">
      <c r="A27" s="2"/>
      <c r="B27" s="2"/>
      <c r="C27" s="51"/>
      <c r="D27" s="51"/>
      <c r="E27" s="51"/>
      <c r="F27" s="51"/>
      <c r="G27" s="51"/>
      <c r="H27" s="51"/>
      <c r="I27" s="51"/>
      <c r="J27" s="51"/>
      <c r="K27" s="51"/>
      <c r="L27" s="51"/>
      <c r="M27" s="51"/>
      <c r="N27" s="51"/>
      <c r="O27" s="51"/>
      <c r="P27" s="51"/>
      <c r="Q27" s="51"/>
      <c r="R27" s="55"/>
      <c r="S27" s="53"/>
      <c r="T27" s="54"/>
      <c r="U27" s="55"/>
      <c r="V27" s="55"/>
      <c r="W27" s="55"/>
      <c r="X27" s="55"/>
      <c r="Y27" s="55"/>
      <c r="Z27" s="56"/>
      <c r="AA27" s="55"/>
      <c r="AB27" s="55"/>
      <c r="AC27" s="55"/>
      <c r="AD27" s="55"/>
      <c r="AE27" s="55"/>
      <c r="AF27" s="55"/>
    </row>
    <row r="28" spans="1:32" s="57" customFormat="1" ht="15.75" hidden="1" customHeight="1">
      <c r="A28" s="2"/>
      <c r="B28" s="2"/>
      <c r="C28" s="51"/>
      <c r="D28" s="51"/>
      <c r="E28" s="51"/>
      <c r="F28" s="51"/>
      <c r="G28" s="51"/>
      <c r="H28" s="51"/>
      <c r="I28" s="51"/>
      <c r="J28" s="51"/>
      <c r="K28" s="51"/>
      <c r="L28" s="51"/>
      <c r="M28" s="51"/>
      <c r="N28" s="51"/>
      <c r="O28" s="51"/>
      <c r="P28" s="51"/>
      <c r="Q28" s="51"/>
      <c r="R28" s="55"/>
      <c r="S28" s="53"/>
      <c r="T28" s="54"/>
      <c r="U28" s="55"/>
      <c r="V28" s="55"/>
      <c r="W28" s="55"/>
      <c r="X28" s="55"/>
      <c r="Y28" s="55"/>
      <c r="Z28" s="56"/>
      <c r="AA28" s="55"/>
      <c r="AB28" s="55"/>
      <c r="AC28" s="55"/>
      <c r="AD28" s="55"/>
      <c r="AE28" s="55"/>
      <c r="AF28" s="55"/>
    </row>
    <row r="29" spans="1:32" s="57" customFormat="1" ht="15.75" hidden="1" customHeight="1">
      <c r="A29" s="2"/>
      <c r="B29" s="2"/>
      <c r="C29" s="51"/>
      <c r="D29" s="51"/>
      <c r="E29" s="51"/>
      <c r="F29" s="51"/>
      <c r="G29" s="51"/>
      <c r="H29" s="51"/>
      <c r="I29" s="51"/>
      <c r="J29" s="51"/>
      <c r="K29" s="51"/>
      <c r="L29" s="51"/>
      <c r="M29" s="51"/>
      <c r="N29" s="51"/>
      <c r="O29" s="51"/>
      <c r="P29" s="51"/>
      <c r="Q29" s="51"/>
      <c r="R29" s="55"/>
      <c r="S29" s="53"/>
      <c r="T29" s="54"/>
      <c r="U29" s="55"/>
      <c r="V29" s="55"/>
      <c r="W29" s="55"/>
      <c r="X29" s="55"/>
      <c r="Y29" s="55"/>
      <c r="Z29" s="56"/>
      <c r="AA29" s="55"/>
      <c r="AB29" s="55"/>
      <c r="AC29" s="55"/>
      <c r="AD29" s="55"/>
      <c r="AE29" s="55"/>
      <c r="AF29" s="55"/>
    </row>
    <row r="30" spans="1:32" s="57" customFormat="1" ht="15.75" hidden="1" customHeight="1">
      <c r="A30" s="2"/>
      <c r="B30" s="2"/>
      <c r="C30" s="51"/>
      <c r="D30" s="51"/>
      <c r="E30" s="51"/>
      <c r="F30" s="51"/>
      <c r="G30" s="51"/>
      <c r="H30" s="51"/>
      <c r="I30" s="51"/>
      <c r="J30" s="51"/>
      <c r="K30" s="51"/>
      <c r="L30" s="51"/>
      <c r="M30" s="51"/>
      <c r="N30" s="51"/>
      <c r="O30" s="51"/>
      <c r="P30" s="51"/>
      <c r="Q30" s="51"/>
      <c r="R30" s="55"/>
      <c r="S30" s="53"/>
      <c r="T30" s="54"/>
      <c r="U30" s="55"/>
      <c r="V30" s="55"/>
      <c r="W30" s="55"/>
      <c r="X30" s="55"/>
      <c r="Y30" s="55"/>
      <c r="Z30" s="56"/>
      <c r="AA30" s="55"/>
      <c r="AB30" s="55"/>
      <c r="AC30" s="55"/>
      <c r="AD30" s="55"/>
      <c r="AE30" s="55"/>
      <c r="AF30" s="55"/>
    </row>
    <row r="31" spans="1:32" s="57" customFormat="1" ht="15.75" hidden="1" customHeight="1">
      <c r="A31" s="2"/>
      <c r="B31" s="2"/>
      <c r="C31" s="51"/>
      <c r="D31" s="51"/>
      <c r="E31" s="51"/>
      <c r="F31" s="51"/>
      <c r="G31" s="51"/>
      <c r="H31" s="51"/>
      <c r="I31" s="51"/>
      <c r="J31" s="51"/>
      <c r="K31" s="51"/>
      <c r="L31" s="51"/>
      <c r="M31" s="51"/>
      <c r="N31" s="51"/>
      <c r="O31" s="51"/>
      <c r="P31" s="51"/>
      <c r="Q31" s="51"/>
      <c r="R31" s="55"/>
      <c r="S31" s="53"/>
      <c r="T31" s="54"/>
      <c r="U31" s="55"/>
      <c r="V31" s="55"/>
      <c r="W31" s="55"/>
      <c r="X31" s="55"/>
      <c r="Y31" s="55"/>
      <c r="Z31" s="56"/>
      <c r="AA31" s="55"/>
      <c r="AB31" s="55"/>
      <c r="AC31" s="55"/>
      <c r="AD31" s="55"/>
      <c r="AE31" s="55"/>
      <c r="AF31" s="55"/>
    </row>
    <row r="32" spans="1:32" s="57" customFormat="1" ht="15.75" hidden="1" customHeight="1">
      <c r="A32" s="2"/>
      <c r="B32" s="2"/>
      <c r="C32" s="51"/>
      <c r="D32" s="51"/>
      <c r="E32" s="51"/>
      <c r="F32" s="51"/>
      <c r="G32" s="51"/>
      <c r="H32" s="51"/>
      <c r="I32" s="51"/>
      <c r="J32" s="51"/>
      <c r="K32" s="51"/>
      <c r="L32" s="51"/>
      <c r="M32" s="51"/>
      <c r="N32" s="51"/>
      <c r="O32" s="51"/>
      <c r="P32" s="51"/>
      <c r="Q32" s="51"/>
      <c r="R32" s="55"/>
      <c r="S32" s="53"/>
      <c r="T32" s="54"/>
      <c r="U32" s="55"/>
      <c r="V32" s="55"/>
      <c r="W32" s="55"/>
      <c r="X32" s="55"/>
      <c r="Y32" s="55"/>
      <c r="Z32" s="56"/>
      <c r="AA32" s="55"/>
      <c r="AB32" s="55"/>
      <c r="AC32" s="55"/>
      <c r="AD32" s="55"/>
      <c r="AE32" s="55"/>
      <c r="AF32" s="52"/>
    </row>
    <row r="33" spans="1:32" s="57" customFormat="1" ht="15.75" hidden="1" customHeight="1">
      <c r="A33" s="2"/>
      <c r="B33" s="2"/>
      <c r="C33" s="51"/>
      <c r="D33" s="51"/>
      <c r="E33" s="51"/>
      <c r="F33" s="51"/>
      <c r="G33" s="51"/>
      <c r="H33" s="51"/>
      <c r="I33" s="51"/>
      <c r="J33" s="51"/>
      <c r="K33" s="51"/>
      <c r="L33" s="51"/>
      <c r="M33" s="51"/>
      <c r="N33" s="51"/>
      <c r="O33" s="51"/>
      <c r="P33" s="51"/>
      <c r="Q33" s="51"/>
      <c r="R33" s="55"/>
      <c r="S33" s="53"/>
      <c r="T33" s="54"/>
      <c r="U33" s="55"/>
      <c r="V33" s="55"/>
      <c r="W33" s="55"/>
      <c r="X33" s="55"/>
      <c r="Y33" s="55"/>
      <c r="Z33" s="56"/>
      <c r="AA33" s="55"/>
      <c r="AB33" s="55"/>
      <c r="AC33" s="55"/>
      <c r="AD33" s="55"/>
      <c r="AE33" s="55"/>
      <c r="AF33" s="55"/>
    </row>
    <row r="34" spans="1:32" s="57" customFormat="1" ht="15.75" hidden="1" customHeight="1">
      <c r="A34" s="2"/>
      <c r="B34" s="2"/>
      <c r="C34" s="51"/>
      <c r="D34" s="51"/>
      <c r="E34" s="51"/>
      <c r="F34" s="51"/>
      <c r="G34" s="51"/>
      <c r="H34" s="51"/>
      <c r="I34" s="51"/>
      <c r="J34" s="51"/>
      <c r="K34" s="51"/>
      <c r="L34" s="51"/>
      <c r="M34" s="51"/>
      <c r="N34" s="51"/>
      <c r="O34" s="51"/>
      <c r="P34" s="51"/>
      <c r="Q34" s="51"/>
      <c r="R34" s="55"/>
      <c r="S34" s="53"/>
      <c r="T34" s="54"/>
      <c r="U34" s="55"/>
      <c r="V34" s="55"/>
      <c r="W34" s="55"/>
      <c r="X34" s="55"/>
      <c r="Y34" s="55"/>
      <c r="Z34" s="56"/>
      <c r="AA34" s="55"/>
      <c r="AB34" s="55"/>
      <c r="AC34" s="55"/>
      <c r="AD34" s="55"/>
      <c r="AE34" s="55"/>
      <c r="AF34" s="55"/>
    </row>
    <row r="35" spans="1:32" s="57" customFormat="1" ht="15.75" hidden="1" customHeight="1">
      <c r="A35" s="2"/>
      <c r="B35" s="2"/>
      <c r="C35" s="51"/>
      <c r="D35" s="51"/>
      <c r="E35" s="51"/>
      <c r="F35" s="51"/>
      <c r="G35" s="51"/>
      <c r="H35" s="51"/>
      <c r="I35" s="51"/>
      <c r="J35" s="51"/>
      <c r="K35" s="51"/>
      <c r="L35" s="51"/>
      <c r="M35" s="51"/>
      <c r="N35" s="51"/>
      <c r="O35" s="51"/>
      <c r="P35" s="51"/>
      <c r="Q35" s="51"/>
      <c r="R35" s="55"/>
      <c r="S35" s="53"/>
      <c r="T35" s="54"/>
      <c r="U35" s="55"/>
      <c r="V35" s="55"/>
      <c r="W35" s="55"/>
      <c r="X35" s="55"/>
      <c r="Y35" s="55"/>
      <c r="Z35" s="56"/>
      <c r="AA35" s="55"/>
      <c r="AB35" s="55"/>
      <c r="AC35" s="55"/>
      <c r="AD35" s="55"/>
      <c r="AE35" s="55"/>
      <c r="AF35" s="55"/>
    </row>
    <row r="36" spans="1:32" s="57" customFormat="1" ht="15.75" hidden="1" customHeight="1">
      <c r="A36" s="2"/>
      <c r="B36" s="2"/>
      <c r="C36" s="51"/>
      <c r="D36" s="51"/>
      <c r="E36" s="51"/>
      <c r="F36" s="51"/>
      <c r="G36" s="51"/>
      <c r="H36" s="51"/>
      <c r="I36" s="51"/>
      <c r="J36" s="51"/>
      <c r="K36" s="51"/>
      <c r="L36" s="51"/>
      <c r="M36" s="51"/>
      <c r="N36" s="51"/>
      <c r="O36" s="51"/>
      <c r="P36" s="51"/>
      <c r="Q36" s="51"/>
      <c r="R36" s="55"/>
      <c r="S36" s="53"/>
      <c r="T36" s="54"/>
      <c r="U36" s="55"/>
      <c r="V36" s="55"/>
      <c r="W36" s="55"/>
      <c r="X36" s="55"/>
      <c r="Y36" s="55"/>
      <c r="Z36" s="56"/>
      <c r="AA36" s="55"/>
      <c r="AB36" s="55"/>
      <c r="AC36" s="55"/>
      <c r="AD36" s="55"/>
      <c r="AE36" s="55"/>
      <c r="AF36" s="55"/>
    </row>
    <row r="37" spans="1:32" s="57" customFormat="1" ht="15.75" hidden="1" customHeight="1">
      <c r="A37" s="2"/>
      <c r="B37" s="2"/>
      <c r="C37" s="51"/>
      <c r="D37" s="51"/>
      <c r="E37" s="51"/>
      <c r="F37" s="51"/>
      <c r="G37" s="51"/>
      <c r="H37" s="51"/>
      <c r="I37" s="51"/>
      <c r="J37" s="51"/>
      <c r="K37" s="51"/>
      <c r="L37" s="51"/>
      <c r="M37" s="51"/>
      <c r="N37" s="51"/>
      <c r="O37" s="51"/>
      <c r="P37" s="51"/>
      <c r="Q37" s="51"/>
      <c r="R37" s="55"/>
      <c r="S37" s="53"/>
      <c r="T37" s="54"/>
      <c r="U37" s="55"/>
      <c r="V37" s="55"/>
      <c r="W37" s="55"/>
      <c r="X37" s="55"/>
      <c r="Y37" s="55"/>
      <c r="Z37" s="56"/>
      <c r="AA37" s="55"/>
      <c r="AB37" s="55"/>
      <c r="AC37" s="55"/>
      <c r="AD37" s="55"/>
      <c r="AE37" s="55"/>
      <c r="AF37" s="55"/>
    </row>
    <row r="38" spans="1:32" s="57" customFormat="1" ht="15.75" hidden="1" customHeight="1">
      <c r="A38" s="2"/>
      <c r="B38" s="2"/>
      <c r="C38" s="51"/>
      <c r="D38" s="51"/>
      <c r="E38" s="51"/>
      <c r="F38" s="51"/>
      <c r="G38" s="51"/>
      <c r="H38" s="51"/>
      <c r="I38" s="51"/>
      <c r="J38" s="51"/>
      <c r="K38" s="51"/>
      <c r="L38" s="51"/>
      <c r="M38" s="51"/>
      <c r="N38" s="51"/>
      <c r="O38" s="51"/>
      <c r="P38" s="51"/>
      <c r="Q38" s="51"/>
      <c r="R38" s="55"/>
      <c r="S38" s="53"/>
      <c r="T38" s="54"/>
      <c r="U38" s="55"/>
      <c r="V38" s="55"/>
      <c r="W38" s="55"/>
      <c r="X38" s="55"/>
      <c r="Y38" s="55"/>
      <c r="Z38" s="56"/>
      <c r="AA38" s="55"/>
      <c r="AB38" s="55"/>
      <c r="AC38" s="55"/>
      <c r="AD38" s="55"/>
      <c r="AE38" s="55"/>
      <c r="AF38" s="55"/>
    </row>
    <row r="39" spans="1:32" s="57" customFormat="1" ht="15.75" hidden="1" customHeight="1">
      <c r="A39" s="2"/>
      <c r="B39" s="2"/>
      <c r="C39" s="51"/>
      <c r="D39" s="51"/>
      <c r="E39" s="51"/>
      <c r="F39" s="51"/>
      <c r="G39" s="51"/>
      <c r="H39" s="51"/>
      <c r="I39" s="51"/>
      <c r="J39" s="51"/>
      <c r="K39" s="51"/>
      <c r="L39" s="51"/>
      <c r="M39" s="51"/>
      <c r="N39" s="51"/>
      <c r="O39" s="51"/>
      <c r="P39" s="51"/>
      <c r="Q39" s="51"/>
      <c r="R39" s="55"/>
      <c r="S39" s="53"/>
      <c r="T39" s="54"/>
      <c r="U39" s="55"/>
      <c r="V39" s="55"/>
      <c r="W39" s="55"/>
      <c r="X39" s="55"/>
      <c r="Y39" s="55"/>
      <c r="Z39" s="56"/>
      <c r="AA39" s="55"/>
      <c r="AB39" s="55"/>
      <c r="AC39" s="55"/>
      <c r="AD39" s="55"/>
      <c r="AE39" s="55"/>
      <c r="AF39" s="55"/>
    </row>
    <row r="40" spans="1:32" s="57" customFormat="1" ht="15.75" hidden="1" customHeight="1">
      <c r="A40" s="2"/>
      <c r="B40" s="2"/>
      <c r="C40" s="51"/>
      <c r="D40" s="51"/>
      <c r="E40" s="51"/>
      <c r="F40" s="51"/>
      <c r="G40" s="51"/>
      <c r="H40" s="51"/>
      <c r="I40" s="51"/>
      <c r="J40" s="51"/>
      <c r="K40" s="51"/>
      <c r="L40" s="51"/>
      <c r="M40" s="51"/>
      <c r="N40" s="51"/>
      <c r="O40" s="51"/>
      <c r="P40" s="51"/>
      <c r="Q40" s="51"/>
      <c r="R40" s="55"/>
      <c r="S40" s="53"/>
      <c r="T40" s="54"/>
      <c r="U40" s="55"/>
      <c r="V40" s="55"/>
      <c r="W40" s="55"/>
      <c r="X40" s="55"/>
      <c r="Y40" s="55"/>
      <c r="Z40" s="56"/>
      <c r="AA40" s="55"/>
      <c r="AB40" s="55"/>
      <c r="AC40" s="55"/>
      <c r="AD40" s="55"/>
      <c r="AE40" s="55"/>
      <c r="AF40" s="55"/>
    </row>
    <row r="41" spans="1:32" s="57" customFormat="1" ht="15.75" hidden="1" customHeight="1">
      <c r="A41" s="2"/>
      <c r="B41" s="2"/>
      <c r="C41" s="51"/>
      <c r="D41" s="51"/>
      <c r="E41" s="51"/>
      <c r="F41" s="51"/>
      <c r="G41" s="51"/>
      <c r="H41" s="51"/>
      <c r="I41" s="51"/>
      <c r="J41" s="51"/>
      <c r="K41" s="51"/>
      <c r="L41" s="51"/>
      <c r="M41" s="51"/>
      <c r="N41" s="51"/>
      <c r="O41" s="51"/>
      <c r="P41" s="51"/>
      <c r="Q41" s="51"/>
      <c r="R41" s="55"/>
      <c r="S41" s="53"/>
      <c r="T41" s="54"/>
      <c r="U41" s="55"/>
      <c r="V41" s="55"/>
      <c r="W41" s="55"/>
      <c r="X41" s="55"/>
      <c r="Y41" s="55"/>
      <c r="Z41" s="56"/>
      <c r="AA41" s="55"/>
      <c r="AB41" s="55"/>
      <c r="AC41" s="55"/>
      <c r="AD41" s="55"/>
      <c r="AE41" s="55"/>
      <c r="AF41" s="55"/>
    </row>
    <row r="42" spans="1:32" s="57" customFormat="1" ht="15.75" hidden="1" customHeight="1">
      <c r="A42" s="2"/>
      <c r="B42" s="2"/>
      <c r="C42" s="51"/>
      <c r="D42" s="51"/>
      <c r="E42" s="51"/>
      <c r="F42" s="51"/>
      <c r="G42" s="51"/>
      <c r="H42" s="51"/>
      <c r="I42" s="51"/>
      <c r="J42" s="51"/>
      <c r="K42" s="51"/>
      <c r="L42" s="51"/>
      <c r="M42" s="51"/>
      <c r="N42" s="51"/>
      <c r="O42" s="51"/>
      <c r="P42" s="51"/>
      <c r="Q42" s="51"/>
      <c r="R42" s="55"/>
      <c r="S42" s="53"/>
      <c r="T42" s="54"/>
      <c r="U42" s="55"/>
      <c r="V42" s="55"/>
      <c r="W42" s="55"/>
      <c r="X42" s="55"/>
      <c r="Y42" s="55"/>
      <c r="Z42" s="56"/>
      <c r="AA42" s="55"/>
      <c r="AB42" s="55"/>
      <c r="AC42" s="55"/>
      <c r="AD42" s="55"/>
      <c r="AE42" s="55"/>
      <c r="AF42" s="55"/>
    </row>
    <row r="43" spans="1:32" s="57" customFormat="1" ht="15.75" hidden="1" customHeight="1">
      <c r="A43" s="2"/>
      <c r="B43" s="2"/>
      <c r="C43" s="51"/>
      <c r="D43" s="51"/>
      <c r="E43" s="51"/>
      <c r="F43" s="51"/>
      <c r="G43" s="51"/>
      <c r="H43" s="51"/>
      <c r="I43" s="51"/>
      <c r="J43" s="51"/>
      <c r="K43" s="51"/>
      <c r="L43" s="51"/>
      <c r="M43" s="51"/>
      <c r="N43" s="51"/>
      <c r="O43" s="51"/>
      <c r="P43" s="51"/>
      <c r="Q43" s="51"/>
      <c r="R43" s="55"/>
      <c r="S43" s="53"/>
      <c r="T43" s="54"/>
      <c r="U43" s="55"/>
      <c r="V43" s="55"/>
      <c r="W43" s="55"/>
      <c r="X43" s="55"/>
      <c r="Y43" s="55"/>
      <c r="Z43" s="56"/>
      <c r="AA43" s="55"/>
      <c r="AB43" s="55"/>
      <c r="AC43" s="55"/>
      <c r="AD43" s="55"/>
      <c r="AE43" s="55"/>
      <c r="AF43" s="55"/>
    </row>
    <row r="44" spans="1:32" s="57" customFormat="1" ht="15.75" hidden="1" customHeight="1">
      <c r="A44" s="2"/>
      <c r="B44" s="2"/>
      <c r="C44" s="51"/>
      <c r="D44" s="51"/>
      <c r="E44" s="51"/>
      <c r="F44" s="51"/>
      <c r="G44" s="51"/>
      <c r="H44" s="51"/>
      <c r="I44" s="51"/>
      <c r="J44" s="51"/>
      <c r="K44" s="51"/>
      <c r="L44" s="51"/>
      <c r="M44" s="51"/>
      <c r="N44" s="51"/>
      <c r="O44" s="51"/>
      <c r="P44" s="51"/>
      <c r="Q44" s="51"/>
      <c r="R44" s="55"/>
      <c r="S44" s="53"/>
      <c r="T44" s="54"/>
      <c r="U44" s="55"/>
      <c r="V44" s="55"/>
      <c r="W44" s="55"/>
      <c r="X44" s="55"/>
      <c r="Y44" s="55"/>
      <c r="Z44" s="56"/>
      <c r="AA44" s="55"/>
      <c r="AB44" s="55"/>
      <c r="AC44" s="55"/>
      <c r="AD44" s="55"/>
      <c r="AE44" s="55"/>
      <c r="AF44" s="55"/>
    </row>
    <row r="45" spans="1:32" s="57" customFormat="1" ht="15.75" hidden="1" customHeight="1">
      <c r="A45" s="2"/>
      <c r="B45" s="2"/>
      <c r="C45" s="51"/>
      <c r="D45" s="51"/>
      <c r="E45" s="51"/>
      <c r="F45" s="51"/>
      <c r="G45" s="51"/>
      <c r="H45" s="51"/>
      <c r="I45" s="51"/>
      <c r="J45" s="51"/>
      <c r="K45" s="51"/>
      <c r="L45" s="51"/>
      <c r="M45" s="51"/>
      <c r="N45" s="51"/>
      <c r="O45" s="51"/>
      <c r="P45" s="51"/>
      <c r="Q45" s="51"/>
      <c r="R45" s="55"/>
      <c r="S45" s="53"/>
      <c r="T45" s="54"/>
      <c r="U45" s="55"/>
      <c r="V45" s="55"/>
      <c r="W45" s="55"/>
      <c r="X45" s="55"/>
      <c r="Y45" s="55"/>
      <c r="Z45" s="56"/>
      <c r="AA45" s="55"/>
      <c r="AB45" s="55"/>
      <c r="AC45" s="55"/>
      <c r="AD45" s="55"/>
      <c r="AE45" s="55"/>
      <c r="AF45" s="55"/>
    </row>
    <row r="46" spans="1:32" s="57" customFormat="1" ht="15.75" hidden="1" customHeight="1">
      <c r="A46" s="2"/>
      <c r="B46" s="2"/>
      <c r="C46" s="51"/>
      <c r="D46" s="51"/>
      <c r="E46" s="51"/>
      <c r="F46" s="51"/>
      <c r="G46" s="51"/>
      <c r="H46" s="51"/>
      <c r="I46" s="51"/>
      <c r="J46" s="51"/>
      <c r="K46" s="51"/>
      <c r="L46" s="51"/>
      <c r="M46" s="51"/>
      <c r="N46" s="51"/>
      <c r="O46" s="51"/>
      <c r="P46" s="51"/>
      <c r="Q46" s="51"/>
      <c r="R46" s="55"/>
      <c r="S46" s="53"/>
      <c r="T46" s="54"/>
      <c r="U46" s="55"/>
      <c r="V46" s="55"/>
      <c r="W46" s="55"/>
      <c r="X46" s="55"/>
      <c r="Y46" s="55"/>
      <c r="Z46" s="56"/>
      <c r="AA46" s="55"/>
      <c r="AB46" s="55"/>
      <c r="AC46" s="55"/>
      <c r="AD46" s="55"/>
      <c r="AE46" s="55"/>
      <c r="AF46" s="55"/>
    </row>
    <row r="47" spans="1:32" s="57" customFormat="1" ht="15.75" hidden="1" customHeight="1">
      <c r="A47" s="2"/>
      <c r="B47" s="2"/>
      <c r="C47" s="51"/>
      <c r="D47" s="51"/>
      <c r="E47" s="51"/>
      <c r="F47" s="51"/>
      <c r="G47" s="51"/>
      <c r="H47" s="51"/>
      <c r="I47" s="51"/>
      <c r="J47" s="51"/>
      <c r="K47" s="51"/>
      <c r="L47" s="51"/>
      <c r="M47" s="51"/>
      <c r="N47" s="51"/>
      <c r="O47" s="51"/>
      <c r="P47" s="51"/>
      <c r="Q47" s="51"/>
      <c r="R47" s="55"/>
      <c r="S47" s="53"/>
      <c r="T47" s="54"/>
      <c r="U47" s="55"/>
      <c r="V47" s="55"/>
      <c r="W47" s="55"/>
      <c r="X47" s="55"/>
      <c r="Y47" s="55"/>
      <c r="Z47" s="56"/>
      <c r="AA47" s="55"/>
      <c r="AB47" s="55"/>
      <c r="AC47" s="55"/>
      <c r="AD47" s="55"/>
      <c r="AE47" s="55"/>
      <c r="AF47" s="55"/>
    </row>
    <row r="48" spans="1:32" s="57" customFormat="1" ht="15.75" hidden="1" customHeight="1">
      <c r="A48" s="2"/>
      <c r="B48" s="2"/>
      <c r="C48" s="51"/>
      <c r="D48" s="51"/>
      <c r="E48" s="51"/>
      <c r="F48" s="51"/>
      <c r="G48" s="51"/>
      <c r="H48" s="51"/>
      <c r="I48" s="51"/>
      <c r="J48" s="51"/>
      <c r="K48" s="51"/>
      <c r="L48" s="51"/>
      <c r="M48" s="51"/>
      <c r="N48" s="51"/>
      <c r="O48" s="51"/>
      <c r="P48" s="51"/>
      <c r="Q48" s="51"/>
      <c r="R48" s="55"/>
      <c r="S48" s="53"/>
      <c r="T48" s="54"/>
      <c r="U48" s="55"/>
      <c r="V48" s="55"/>
      <c r="W48" s="55"/>
      <c r="X48" s="55"/>
      <c r="Y48" s="55"/>
      <c r="Z48" s="56"/>
      <c r="AA48" s="55"/>
      <c r="AB48" s="55"/>
      <c r="AC48" s="55"/>
      <c r="AD48" s="55"/>
      <c r="AE48" s="55"/>
      <c r="AF48" s="55"/>
    </row>
    <row r="49" spans="1:32" s="57" customFormat="1" ht="15.75" hidden="1" customHeight="1">
      <c r="A49" s="2"/>
      <c r="B49" s="2"/>
      <c r="C49" s="51"/>
      <c r="D49" s="51"/>
      <c r="E49" s="51"/>
      <c r="F49" s="51"/>
      <c r="G49" s="51"/>
      <c r="H49" s="51"/>
      <c r="I49" s="51"/>
      <c r="J49" s="51"/>
      <c r="K49" s="51"/>
      <c r="L49" s="51"/>
      <c r="M49" s="51"/>
      <c r="N49" s="51"/>
      <c r="O49" s="51"/>
      <c r="P49" s="51"/>
      <c r="Q49" s="51"/>
      <c r="R49" s="55"/>
      <c r="S49" s="53"/>
      <c r="T49" s="54"/>
      <c r="U49" s="55"/>
      <c r="V49" s="55"/>
      <c r="W49" s="55"/>
      <c r="X49" s="55"/>
      <c r="Y49" s="55"/>
      <c r="Z49" s="56"/>
      <c r="AA49" s="55"/>
      <c r="AB49" s="55"/>
      <c r="AC49" s="55"/>
      <c r="AD49" s="55"/>
      <c r="AE49" s="55"/>
      <c r="AF49" s="55"/>
    </row>
    <row r="50" spans="1:32" s="57" customFormat="1" ht="15.75" hidden="1" customHeight="1">
      <c r="A50" s="2"/>
      <c r="B50" s="2"/>
      <c r="C50" s="51"/>
      <c r="D50" s="51"/>
      <c r="E50" s="51"/>
      <c r="F50" s="51"/>
      <c r="G50" s="51"/>
      <c r="H50" s="51"/>
      <c r="I50" s="51"/>
      <c r="J50" s="51"/>
      <c r="K50" s="51"/>
      <c r="L50" s="51"/>
      <c r="M50" s="51"/>
      <c r="N50" s="51"/>
      <c r="O50" s="51"/>
      <c r="P50" s="51"/>
      <c r="Q50" s="51"/>
      <c r="R50" s="55"/>
      <c r="S50" s="53"/>
      <c r="T50" s="54"/>
      <c r="U50" s="55"/>
      <c r="V50" s="55"/>
      <c r="W50" s="55"/>
      <c r="X50" s="55"/>
      <c r="Y50" s="55"/>
      <c r="Z50" s="56"/>
      <c r="AA50" s="55"/>
      <c r="AB50" s="55"/>
      <c r="AC50" s="55"/>
      <c r="AD50" s="55"/>
      <c r="AE50" s="55"/>
      <c r="AF50" s="55"/>
    </row>
    <row r="51" spans="1:32" s="57" customFormat="1" ht="15.75" hidden="1" customHeight="1">
      <c r="A51" s="2"/>
      <c r="B51" s="2"/>
      <c r="C51" s="51"/>
      <c r="D51" s="51"/>
      <c r="E51" s="51"/>
      <c r="F51" s="51"/>
      <c r="G51" s="51"/>
      <c r="H51" s="51"/>
      <c r="I51" s="51"/>
      <c r="J51" s="51"/>
      <c r="K51" s="51"/>
      <c r="L51" s="51"/>
      <c r="M51" s="51"/>
      <c r="N51" s="51"/>
      <c r="O51" s="51"/>
      <c r="P51" s="51"/>
      <c r="Q51" s="51"/>
      <c r="R51" s="55"/>
      <c r="S51" s="53"/>
      <c r="T51" s="54"/>
      <c r="U51" s="55"/>
      <c r="V51" s="55"/>
      <c r="W51" s="55"/>
      <c r="X51" s="55"/>
      <c r="Y51" s="55"/>
      <c r="Z51" s="56"/>
      <c r="AA51" s="55"/>
      <c r="AB51" s="55"/>
      <c r="AC51" s="55"/>
      <c r="AD51" s="55"/>
      <c r="AE51" s="55"/>
      <c r="AF51" s="55"/>
    </row>
    <row r="52" spans="1:32" s="57" customFormat="1" ht="15.75" hidden="1" customHeight="1">
      <c r="A52" s="2"/>
      <c r="B52" s="2"/>
      <c r="C52" s="51"/>
      <c r="D52" s="51"/>
      <c r="E52" s="51"/>
      <c r="F52" s="51"/>
      <c r="G52" s="51"/>
      <c r="H52" s="51"/>
      <c r="I52" s="51"/>
      <c r="J52" s="51"/>
      <c r="K52" s="51"/>
      <c r="L52" s="51"/>
      <c r="M52" s="51"/>
      <c r="N52" s="51"/>
      <c r="O52" s="51"/>
      <c r="P52" s="51"/>
      <c r="Q52" s="51"/>
      <c r="R52" s="55"/>
      <c r="S52" s="53"/>
      <c r="T52" s="54"/>
      <c r="U52" s="55"/>
      <c r="V52" s="55"/>
      <c r="W52" s="55"/>
      <c r="X52" s="55"/>
      <c r="Y52" s="55"/>
      <c r="Z52" s="56"/>
      <c r="AA52" s="55"/>
      <c r="AB52" s="55"/>
      <c r="AC52" s="55"/>
      <c r="AD52" s="55"/>
      <c r="AE52" s="55"/>
      <c r="AF52" s="55"/>
    </row>
    <row r="53" spans="1:32" s="57" customFormat="1">
      <c r="A53" s="2"/>
      <c r="B53" s="2"/>
      <c r="C53" s="51"/>
      <c r="D53" s="51"/>
      <c r="E53" s="51"/>
      <c r="F53" s="51"/>
      <c r="G53" s="51"/>
      <c r="H53" s="51"/>
      <c r="I53" s="51"/>
      <c r="J53" s="51"/>
      <c r="K53" s="51"/>
      <c r="L53" s="51"/>
      <c r="M53" s="51"/>
      <c r="N53" s="51"/>
      <c r="O53" s="51"/>
      <c r="P53" s="51"/>
      <c r="Q53" s="51"/>
      <c r="R53" s="55"/>
      <c r="S53" s="53"/>
      <c r="T53" s="54"/>
      <c r="U53" s="55"/>
      <c r="V53" s="55"/>
      <c r="W53" s="55"/>
      <c r="X53" s="55"/>
      <c r="Y53" s="55"/>
      <c r="Z53" s="56"/>
      <c r="AA53" s="55"/>
      <c r="AB53" s="55"/>
      <c r="AC53" s="55"/>
      <c r="AD53" s="55"/>
      <c r="AE53" s="55"/>
      <c r="AF53" s="55"/>
    </row>
    <row r="54" spans="1:32" s="57" customFormat="1">
      <c r="A54" s="2"/>
      <c r="B54" s="2"/>
      <c r="C54" s="51"/>
      <c r="D54" s="51"/>
      <c r="E54" s="51"/>
      <c r="F54" s="51"/>
      <c r="G54" s="51"/>
      <c r="H54" s="51"/>
      <c r="I54" s="51"/>
      <c r="J54" s="51"/>
      <c r="K54" s="51"/>
      <c r="L54" s="51"/>
      <c r="M54" s="51"/>
      <c r="N54" s="51"/>
      <c r="O54" s="51"/>
      <c r="P54" s="51"/>
      <c r="Q54" s="51"/>
      <c r="R54" s="55"/>
      <c r="S54" s="53"/>
      <c r="T54" s="54"/>
      <c r="U54" s="55"/>
      <c r="V54" s="55"/>
      <c r="W54" s="55"/>
      <c r="X54" s="55"/>
      <c r="Y54" s="55"/>
      <c r="Z54" s="56"/>
      <c r="AA54" s="55"/>
      <c r="AB54" s="55"/>
      <c r="AC54" s="55"/>
      <c r="AD54" s="55"/>
      <c r="AE54" s="55"/>
      <c r="AF54" s="55"/>
    </row>
    <row r="55" spans="1:32" s="57" customFormat="1" ht="15.75" customHeight="1">
      <c r="A55" s="2" t="s">
        <v>32</v>
      </c>
      <c r="B55" s="2" t="s">
        <v>759</v>
      </c>
      <c r="C55" s="51">
        <f t="shared" ref="C55:C56" si="1">IFERROR(F55/D55," - ")</f>
        <v>30.990000000000006</v>
      </c>
      <c r="D55" s="51">
        <v>15</v>
      </c>
      <c r="E55" s="51">
        <v>0</v>
      </c>
      <c r="F55" s="51">
        <v>464.85000000000008</v>
      </c>
      <c r="G55" s="51">
        <v>0</v>
      </c>
      <c r="H55" s="51">
        <f t="shared" ref="H55:H56" si="2">G55/F55*-1</f>
        <v>0</v>
      </c>
      <c r="I55" s="51">
        <f t="shared" ref="I55:I56" si="3">J55/F55</f>
        <v>-1.1293965795406074E-4</v>
      </c>
      <c r="J55" s="51">
        <f t="shared" ref="J55:J56" si="4">F55*0.85+G55+AD55*D55+D55*AC55+AE55+AB55</f>
        <v>-5.2499999999945146E-2</v>
      </c>
      <c r="K55" s="51">
        <f t="shared" ref="K55:K56" si="5">J55/D55</f>
        <v>-3.4999999999963433E-3</v>
      </c>
      <c r="L55" s="51">
        <v>0</v>
      </c>
      <c r="M55" s="51" t="str">
        <f t="shared" ref="M55:M56" si="6">IFERROR(D55/L55,"-")</f>
        <v>-</v>
      </c>
      <c r="N55" s="51">
        <v>200</v>
      </c>
      <c r="O55" s="51">
        <f t="shared" ref="O55:P55" si="7">D55/7</f>
        <v>2.1428571428571428</v>
      </c>
      <c r="P55" s="51">
        <f t="shared" si="7"/>
        <v>0</v>
      </c>
      <c r="Q55" s="51">
        <f t="shared" ref="Q55:Q56" si="8">ROUNDDOWN(N55/(O55+P55),0)</f>
        <v>93</v>
      </c>
      <c r="R55" s="55">
        <v>0</v>
      </c>
      <c r="S55" s="53" t="s">
        <v>34</v>
      </c>
      <c r="T55" s="54" t="s">
        <v>34</v>
      </c>
      <c r="U55" s="55">
        <v>0</v>
      </c>
      <c r="V55" s="55">
        <f t="shared" ref="V55:V56" si="9">IFERROR(U55/D55,0)</f>
        <v>0</v>
      </c>
      <c r="W55" s="55">
        <f t="shared" ref="W55:W56" si="10">IFERROR(G55/(U55+X55)*-1,0)</f>
        <v>0</v>
      </c>
      <c r="X55" s="55">
        <v>0</v>
      </c>
      <c r="Y55" s="55" t="s">
        <v>760</v>
      </c>
      <c r="Z55" s="56">
        <f t="shared" ref="Z55:Z56" si="11">IF(OR(Y55="UsLargeStandardSize",Y55="UsSmallStandardSize"),-2.4,-1.2)</f>
        <v>-1.2</v>
      </c>
      <c r="AA55" s="55">
        <v>0.76250000000000007</v>
      </c>
      <c r="AB55" s="55">
        <f t="shared" ref="AB55:AB56" si="12">IFERROR(Z55*AA55*D55*3,0)</f>
        <v>-41.175000000000004</v>
      </c>
      <c r="AC55" s="55">
        <v>-13.2</v>
      </c>
      <c r="AD55" s="55">
        <v>-10.4</v>
      </c>
      <c r="AE55" s="55">
        <v>0</v>
      </c>
      <c r="AF55" s="55">
        <v>0.50602409638554202</v>
      </c>
    </row>
    <row r="56" spans="1:32" s="57" customFormat="1" ht="15.75" customHeight="1">
      <c r="A56" s="2" t="s">
        <v>36</v>
      </c>
      <c r="B56" s="2"/>
      <c r="C56" s="51">
        <f t="shared" si="1"/>
        <v>30.98999999999992</v>
      </c>
      <c r="D56" s="51">
        <v>138</v>
      </c>
      <c r="E56" s="51">
        <v>0</v>
      </c>
      <c r="F56" s="51">
        <v>4276.619999999989</v>
      </c>
      <c r="G56" s="51">
        <v>0</v>
      </c>
      <c r="H56" s="51">
        <f t="shared" si="2"/>
        <v>0</v>
      </c>
      <c r="I56" s="51">
        <f t="shared" si="3"/>
        <v>-1.9177740620107122E-4</v>
      </c>
      <c r="J56" s="51">
        <f t="shared" si="4"/>
        <v>-0.82015909090762307</v>
      </c>
      <c r="K56" s="51">
        <f t="shared" si="5"/>
        <v>-5.9431818181711815E-3</v>
      </c>
      <c r="L56" s="51">
        <v>635</v>
      </c>
      <c r="M56" s="51">
        <f t="shared" si="6"/>
        <v>0.21732283464566929</v>
      </c>
      <c r="N56" s="51">
        <v>12</v>
      </c>
      <c r="O56" s="51">
        <f t="shared" ref="O56:P56" si="13">D56/7</f>
        <v>19.714285714285715</v>
      </c>
      <c r="P56" s="51">
        <f t="shared" si="13"/>
        <v>0</v>
      </c>
      <c r="Q56" s="51">
        <f t="shared" si="8"/>
        <v>0</v>
      </c>
      <c r="R56" s="55">
        <f ca="1">IFERROR(__xludf.DUMMYFUNCTION("IFERROR(VLOOKUP($B$2,IMPORTRANGE(""https://docs.google.com/spreadsheets/d/1iVgg6Mw12RULLujzHmfOFIY8Q_KaAD8anoZzgtVAQ74/edit#gid=1503384807"",""Second Star - Summary!A1:AD2000""),9,FALSE),"""")"),0)</f>
        <v>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9"/>
        <v>0</v>
      </c>
      <c r="W56" s="55">
        <f t="shared" si="10"/>
        <v>0</v>
      </c>
      <c r="X56" s="55">
        <v>0</v>
      </c>
      <c r="Y56" s="55" t="s">
        <v>760</v>
      </c>
      <c r="Z56" s="56">
        <f t="shared" si="11"/>
        <v>-1.2</v>
      </c>
      <c r="AA56" s="55">
        <v>0.76250000000000007</v>
      </c>
      <c r="AB56" s="55">
        <f t="shared" si="12"/>
        <v>-378.81000000000006</v>
      </c>
      <c r="AC56" s="55">
        <v>-13.2</v>
      </c>
      <c r="AD56" s="55">
        <v>-10.4024431818181</v>
      </c>
      <c r="AE56" s="55">
        <v>0</v>
      </c>
      <c r="AF56" s="55">
        <v>18.260869565217298</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3"/>
    </row>
    <row r="222" spans="1:3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3"/>
    </row>
    <row r="223" spans="1:32"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3"/>
    </row>
    <row r="224" spans="1:32"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3"/>
    </row>
    <row r="225" spans="1:32"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3"/>
    </row>
    <row r="226" spans="1:32"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3"/>
    </row>
    <row r="227" spans="1:32"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3"/>
    </row>
    <row r="228" spans="1:32"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3"/>
    </row>
    <row r="229" spans="1:32"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3"/>
    </row>
    <row r="230" spans="1:32"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3"/>
    </row>
    <row r="231" spans="1:32"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3"/>
    </row>
    <row r="232" spans="1: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3"/>
    </row>
    <row r="233" spans="1:32"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3"/>
    </row>
    <row r="234" spans="1:32"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3"/>
    </row>
    <row r="235" spans="1:32"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3"/>
    </row>
    <row r="236" spans="1:32"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3"/>
    </row>
    <row r="237" spans="1:32"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3"/>
    </row>
    <row r="238" spans="1:32"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3"/>
    </row>
    <row r="239" spans="1:32"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387" priority="1" operator="lessThan">
      <formula>100</formula>
    </cfRule>
  </conditionalFormatting>
  <conditionalFormatting sqref="Q1:Q3 Q57:Q1000">
    <cfRule type="cellIs" dxfId="386" priority="2" operator="lessThan">
      <formula>100</formula>
    </cfRule>
  </conditionalFormatting>
  <conditionalFormatting sqref="I1:I3 I57:I1000">
    <cfRule type="cellIs" dxfId="385" priority="3" operator="lessThan">
      <formula>0.05</formula>
    </cfRule>
  </conditionalFormatting>
  <conditionalFormatting sqref="I4:I17">
    <cfRule type="cellIs" dxfId="384" priority="4" operator="lessThan">
      <formula>0.05</formula>
    </cfRule>
  </conditionalFormatting>
  <conditionalFormatting sqref="I18:I56">
    <cfRule type="cellIs" dxfId="383" priority="5" operator="lessThan">
      <formula>0.05</formula>
    </cfRule>
  </conditionalFormatting>
  <conditionalFormatting sqref="Q4:Q56">
    <cfRule type="cellIs" dxfId="382" priority="6" operator="lessThan">
      <formula>100</formula>
    </cfRule>
  </conditionalFormatting>
  <conditionalFormatting sqref="Q4:Q56">
    <cfRule type="cellIs" dxfId="381" priority="7" operator="lessThan">
      <formula>100</formula>
    </cfRule>
  </conditionalFormatting>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60.332031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Info!B1:BJ5000""),4,FALSE),"""")"),"Washable Waterproof Mattress Sheet Protector Bed Extra Large Underpad - 36in x 70in with Tuck-in Tails")</f>
        <v>Washable Waterproof Mattress Sheet Protector Bed Extra Large Underpad - 36in x 70in with Tuck-in Tails</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Info!B1:BJ5000""),3,FALSE),"""")"),"B00KGGT98M")</f>
        <v>B00KGGT98M</v>
      </c>
      <c r="B2" s="4" t="s">
        <v>761</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17.707737807943648</v>
      </c>
      <c r="D3" s="8">
        <f>SUM(D4:D99819)</f>
        <v>1403</v>
      </c>
      <c r="E3" s="8"/>
      <c r="F3" s="9">
        <f t="shared" ref="F3:G3" si="0">SUM(F4:F99819)</f>
        <v>33912.610000000008</v>
      </c>
      <c r="G3" s="9">
        <f t="shared" si="0"/>
        <v>-2473.16</v>
      </c>
      <c r="H3" s="10">
        <f t="shared" ref="H3:H39" si="1">G3/F3*-1</f>
        <v>7.2927444982854445E-2</v>
      </c>
      <c r="I3" s="11">
        <f t="shared" ref="I3:I39" si="2">J3/F3</f>
        <v>7.8853681962950672E-2</v>
      </c>
      <c r="J3" s="9">
        <f>SUM(J4:J99819)</f>
        <v>2674.1341634735813</v>
      </c>
      <c r="K3" s="9">
        <f t="shared" ref="K3:K39" si="3">J3/D3</f>
        <v>1.9060115206511627</v>
      </c>
      <c r="L3" s="8"/>
      <c r="M3" s="12"/>
      <c r="N3" s="13"/>
      <c r="O3" s="8" t="str">
        <f ca="1">IFERROR(__xludf.DUMMYFUNCTION("IFERROR(VLOOKUP(B2,IMPORTRANGE(""https://docs.google.com/spreadsheets/d/1owCo6kL_VFQ5nPTdNogErmCBLjNiktT1m3SzTrxu3R0/edit#gid=2146806407"",""Second Star - Compiled!b1:g5000""),2,FALSE),"""")"),"4.5 - March
4.5 - April
4.5 - May
4.5 - Jun
4.5 - Jul
4.5 - Aug
4.5 - Sept
4.5 - Oct
4.5 - Nov
4.5 - Dec
4.5 - Jan
4.5 - Feb")</f>
        <v>4.5 - March
4.5 - April
4.5 - May
4.5 - Jun
4.5 - Jul
4.5 - Aug
4.5 - Sept
4.5 - Oct
4.5 - Nov
4.5 - Dec
4.5 - Jan
4.5 - Feb</v>
      </c>
      <c r="P3" s="8"/>
      <c r="Q3" s="14"/>
      <c r="R3" s="13"/>
      <c r="S3" s="13"/>
      <c r="T3" s="13"/>
      <c r="U3" s="8">
        <f>SUM(U4:U99819)</f>
        <v>171</v>
      </c>
      <c r="V3" s="10">
        <f>AVERAGE(V4:V99819)</f>
        <v>0.12980432101708936</v>
      </c>
      <c r="W3" s="9">
        <f>ROUND(AVERAGE(W4:W99819),2)</f>
        <v>6.86</v>
      </c>
      <c r="X3" s="8"/>
      <c r="Y3" s="8"/>
      <c r="Z3" s="8"/>
      <c r="AA3" s="8"/>
      <c r="AB3" s="8"/>
      <c r="AC3" s="15"/>
      <c r="AD3" s="9"/>
      <c r="AE3" s="9">
        <f>SUM(AE4:AE99819)</f>
        <v>0</v>
      </c>
      <c r="AF3" s="16"/>
    </row>
    <row r="4" spans="1:32" s="57" customFormat="1">
      <c r="A4" s="17" t="s">
        <v>48</v>
      </c>
      <c r="B4" s="17"/>
      <c r="C4" s="50">
        <v>27.99</v>
      </c>
      <c r="D4" s="51">
        <v>38</v>
      </c>
      <c r="E4" s="51">
        <v>0</v>
      </c>
      <c r="F4" s="51">
        <v>1031.6200000000001</v>
      </c>
      <c r="G4" s="51">
        <v>-82.07</v>
      </c>
      <c r="H4" s="51">
        <f t="shared" si="1"/>
        <v>7.9554487117349401E-2</v>
      </c>
      <c r="I4" s="51">
        <f t="shared" si="2"/>
        <v>0.17022881108846818</v>
      </c>
      <c r="J4" s="51">
        <f t="shared" ref="J4:J38" si="4">F4*0.85+G4+AD4*D4+D4*AC4+AE4+AB4</f>
        <v>175.61144609508557</v>
      </c>
      <c r="K4" s="51">
        <f t="shared" si="3"/>
        <v>4.6213538446075146</v>
      </c>
      <c r="L4" s="51">
        <v>199</v>
      </c>
      <c r="M4" s="51">
        <f t="shared" ref="M4:M39" si="5">IFERROR(D4/L4,"-")</f>
        <v>0.19095477386934673</v>
      </c>
      <c r="N4" s="51">
        <v>1256</v>
      </c>
      <c r="O4" s="51">
        <f t="shared" ref="O4:P4" si="6">D4/7</f>
        <v>5.4285714285714288</v>
      </c>
      <c r="P4" s="51">
        <f t="shared" si="6"/>
        <v>0</v>
      </c>
      <c r="Q4" s="51">
        <f t="shared" ref="Q4:Q39" si="7">ROUNDDOWN(N4/(O4+P4),0)</f>
        <v>231</v>
      </c>
      <c r="R4" s="52">
        <v>0</v>
      </c>
      <c r="S4" s="53" t="s">
        <v>34</v>
      </c>
      <c r="T4" s="54" t="s">
        <v>34</v>
      </c>
      <c r="U4" s="52">
        <v>10</v>
      </c>
      <c r="V4" s="55">
        <f t="shared" ref="V4:V39" si="8">IFERROR(U4/D4,0)</f>
        <v>0.26315789473684209</v>
      </c>
      <c r="W4" s="55">
        <f t="shared" ref="W4:W39" si="9">IFERROR(G4/(U4+X4)*-1,0)</f>
        <v>4.827647058823529</v>
      </c>
      <c r="X4" s="52">
        <v>7</v>
      </c>
      <c r="Y4" s="56" t="s">
        <v>35</v>
      </c>
      <c r="Z4" s="56">
        <f t="shared" ref="Z4:Z10" si="10">IF(OR(Y4="UsLargeStandardSize",Y4="UsSmallStandardSize"),-0.69,-0.48)</f>
        <v>-0.69</v>
      </c>
      <c r="AA4" s="55">
        <v>0.16624652777777774</v>
      </c>
      <c r="AB4" s="55">
        <f t="shared" ref="AB4:AB17" si="11">IFERROR((Z4*AA4*N4)/4,0)</f>
        <v>-36.018972708333322</v>
      </c>
      <c r="AC4" s="55">
        <v>-5.26</v>
      </c>
      <c r="AD4" s="55">
        <v>-10.086752136752136</v>
      </c>
      <c r="AE4" s="55">
        <v>0</v>
      </c>
      <c r="AF4" s="55"/>
    </row>
    <row r="5" spans="1:32" s="57" customFormat="1" ht="15.75" customHeight="1">
      <c r="A5" s="2" t="s">
        <v>49</v>
      </c>
      <c r="B5" s="2" t="s">
        <v>762</v>
      </c>
      <c r="C5" s="51">
        <v>27.99</v>
      </c>
      <c r="D5" s="51">
        <v>74</v>
      </c>
      <c r="E5" s="51">
        <v>0</v>
      </c>
      <c r="F5" s="51">
        <v>2021.2600000000004</v>
      </c>
      <c r="G5" s="51">
        <v>-92.34</v>
      </c>
      <c r="H5" s="51">
        <f t="shared" si="1"/>
        <v>4.5684375092763914E-2</v>
      </c>
      <c r="I5" s="51">
        <f t="shared" si="2"/>
        <v>0.22533348898610303</v>
      </c>
      <c r="J5" s="51">
        <f t="shared" si="4"/>
        <v>455.45756794805072</v>
      </c>
      <c r="K5" s="51">
        <f t="shared" si="3"/>
        <v>6.1548319992979827</v>
      </c>
      <c r="L5" s="51">
        <v>196</v>
      </c>
      <c r="M5" s="51">
        <f t="shared" si="5"/>
        <v>0.37755102040816324</v>
      </c>
      <c r="N5" s="51">
        <v>1207</v>
      </c>
      <c r="O5" s="51">
        <f t="shared" ref="O5:P5" si="12">D5/7</f>
        <v>10.571428571428571</v>
      </c>
      <c r="P5" s="51">
        <f t="shared" si="12"/>
        <v>0</v>
      </c>
      <c r="Q5" s="51">
        <f t="shared" si="7"/>
        <v>114</v>
      </c>
      <c r="R5" s="55">
        <v>0</v>
      </c>
      <c r="S5" s="53" t="s">
        <v>34</v>
      </c>
      <c r="T5" s="54" t="s">
        <v>34</v>
      </c>
      <c r="U5" s="55">
        <v>10</v>
      </c>
      <c r="V5" s="55">
        <f t="shared" si="8"/>
        <v>0.13513513513513514</v>
      </c>
      <c r="W5" s="55">
        <f t="shared" si="9"/>
        <v>9.234</v>
      </c>
      <c r="X5" s="55">
        <v>0</v>
      </c>
      <c r="Y5" s="55" t="s">
        <v>35</v>
      </c>
      <c r="Z5" s="56">
        <f t="shared" si="10"/>
        <v>-0.69</v>
      </c>
      <c r="AA5" s="55">
        <v>0.16624652777777774</v>
      </c>
      <c r="AB5" s="55">
        <f t="shared" si="11"/>
        <v>-34.613773932291657</v>
      </c>
      <c r="AC5" s="55">
        <v>-5.26</v>
      </c>
      <c r="AD5" s="55">
        <v>-10.086752136752136</v>
      </c>
      <c r="AE5" s="55">
        <v>0</v>
      </c>
      <c r="AF5" s="55"/>
    </row>
    <row r="6" spans="1:32" s="57" customFormat="1" ht="15.75" customHeight="1">
      <c r="A6" s="2" t="s">
        <v>51</v>
      </c>
      <c r="B6" s="2" t="s">
        <v>763</v>
      </c>
      <c r="C6" s="51">
        <v>28.99</v>
      </c>
      <c r="D6" s="51">
        <v>37</v>
      </c>
      <c r="E6" s="51">
        <v>0</v>
      </c>
      <c r="F6" s="51">
        <v>1037.6300000000001</v>
      </c>
      <c r="G6" s="51">
        <v>-83.95</v>
      </c>
      <c r="H6" s="51">
        <f t="shared" si="1"/>
        <v>8.0905525090831987E-2</v>
      </c>
      <c r="I6" s="51">
        <f t="shared" si="2"/>
        <v>0.1900463927085885</v>
      </c>
      <c r="J6" s="51">
        <f t="shared" si="4"/>
        <v>197.19783846621272</v>
      </c>
      <c r="K6" s="51">
        <f t="shared" si="3"/>
        <v>5.3296713098976412</v>
      </c>
      <c r="L6" s="51">
        <v>208</v>
      </c>
      <c r="M6" s="51">
        <f t="shared" si="5"/>
        <v>0.17788461538461539</v>
      </c>
      <c r="N6" s="51">
        <v>1151</v>
      </c>
      <c r="O6" s="51">
        <f t="shared" ref="O6:P6" si="13">D6/7</f>
        <v>5.2857142857142856</v>
      </c>
      <c r="P6" s="51">
        <f t="shared" si="13"/>
        <v>0</v>
      </c>
      <c r="Q6" s="51">
        <f t="shared" si="7"/>
        <v>217</v>
      </c>
      <c r="R6" s="55">
        <v>0</v>
      </c>
      <c r="S6" s="53" t="s">
        <v>34</v>
      </c>
      <c r="T6" s="54" t="s">
        <v>34</v>
      </c>
      <c r="U6" s="55">
        <v>4</v>
      </c>
      <c r="V6" s="55">
        <f t="shared" si="8"/>
        <v>0.10810810810810811</v>
      </c>
      <c r="W6" s="55">
        <f t="shared" si="9"/>
        <v>9.3277777777777775</v>
      </c>
      <c r="X6" s="55">
        <v>5</v>
      </c>
      <c r="Y6" s="55" t="s">
        <v>35</v>
      </c>
      <c r="Z6" s="56">
        <f t="shared" si="10"/>
        <v>-0.69</v>
      </c>
      <c r="AA6" s="55">
        <v>0.16624652777777774</v>
      </c>
      <c r="AB6" s="55">
        <f t="shared" si="11"/>
        <v>-33.007832473958324</v>
      </c>
      <c r="AC6" s="55">
        <v>-5.26</v>
      </c>
      <c r="AD6" s="55">
        <v>-10.086752136752136</v>
      </c>
      <c r="AE6" s="55">
        <v>0</v>
      </c>
      <c r="AF6" s="55"/>
    </row>
    <row r="7" spans="1:32" s="57" customFormat="1" ht="15.75" customHeight="1">
      <c r="A7" s="2" t="s">
        <v>53</v>
      </c>
      <c r="B7" s="2"/>
      <c r="C7" s="51">
        <v>27.99</v>
      </c>
      <c r="D7" s="51">
        <v>48</v>
      </c>
      <c r="E7" s="51">
        <v>0</v>
      </c>
      <c r="F7" s="51">
        <v>1387.5200000000002</v>
      </c>
      <c r="G7" s="51">
        <v>-59.589999999999996</v>
      </c>
      <c r="H7" s="51">
        <f t="shared" si="1"/>
        <v>4.294712869003689E-2</v>
      </c>
      <c r="I7" s="51">
        <f t="shared" si="2"/>
        <v>0.25299748347355783</v>
      </c>
      <c r="J7" s="51">
        <f t="shared" si="4"/>
        <v>351.039068269231</v>
      </c>
      <c r="K7" s="51">
        <f t="shared" si="3"/>
        <v>7.313313922275646</v>
      </c>
      <c r="L7" s="51">
        <v>206</v>
      </c>
      <c r="M7" s="51">
        <f t="shared" si="5"/>
        <v>0.23300970873786409</v>
      </c>
      <c r="N7" s="51">
        <v>1120</v>
      </c>
      <c r="O7" s="51">
        <f t="shared" ref="O7:P7" si="14">D7/7</f>
        <v>6.8571428571428568</v>
      </c>
      <c r="P7" s="51">
        <f t="shared" si="14"/>
        <v>0</v>
      </c>
      <c r="Q7" s="51">
        <f t="shared" si="7"/>
        <v>163</v>
      </c>
      <c r="R7" s="55">
        <v>0</v>
      </c>
      <c r="S7" s="53" t="s">
        <v>34</v>
      </c>
      <c r="T7" s="54" t="s">
        <v>34</v>
      </c>
      <c r="U7" s="55">
        <v>4</v>
      </c>
      <c r="V7" s="55">
        <f t="shared" si="8"/>
        <v>8.3333333333333329E-2</v>
      </c>
      <c r="W7" s="55">
        <f t="shared" si="9"/>
        <v>6.6211111111111105</v>
      </c>
      <c r="X7" s="55">
        <v>5</v>
      </c>
      <c r="Y7" s="55" t="s">
        <v>35</v>
      </c>
      <c r="Z7" s="56">
        <f t="shared" si="10"/>
        <v>-0.69</v>
      </c>
      <c r="AA7" s="55">
        <v>0.16624652777777774</v>
      </c>
      <c r="AB7" s="55">
        <f t="shared" si="11"/>
        <v>-32.118829166666657</v>
      </c>
      <c r="AC7" s="55">
        <v>-5.26</v>
      </c>
      <c r="AD7" s="55">
        <v>-10.086752136752136</v>
      </c>
      <c r="AE7" s="55">
        <v>0</v>
      </c>
      <c r="AF7" s="55"/>
    </row>
    <row r="8" spans="1:32" s="57" customFormat="1" ht="15.75" customHeight="1">
      <c r="A8" s="2" t="s">
        <v>54</v>
      </c>
      <c r="B8" s="2" t="s">
        <v>764</v>
      </c>
      <c r="C8" s="51">
        <v>28.99</v>
      </c>
      <c r="D8" s="51">
        <v>34</v>
      </c>
      <c r="E8" s="51">
        <v>0</v>
      </c>
      <c r="F8" s="51">
        <v>968.6600000000002</v>
      </c>
      <c r="G8" s="51">
        <v>-67.169999999999987</v>
      </c>
      <c r="H8" s="51">
        <f t="shared" si="1"/>
        <v>6.9343216402039901E-2</v>
      </c>
      <c r="I8" s="51">
        <f t="shared" si="2"/>
        <v>0.21001145832947321</v>
      </c>
      <c r="J8" s="51">
        <f t="shared" si="4"/>
        <v>203.42969922542756</v>
      </c>
      <c r="K8" s="51">
        <f t="shared" si="3"/>
        <v>5.9832264478066932</v>
      </c>
      <c r="L8" s="51">
        <v>198</v>
      </c>
      <c r="M8" s="51">
        <f t="shared" si="5"/>
        <v>0.17171717171717171</v>
      </c>
      <c r="N8" s="51">
        <v>1080</v>
      </c>
      <c r="O8" s="51">
        <f t="shared" ref="O8:P8" si="15">D8/7</f>
        <v>4.8571428571428568</v>
      </c>
      <c r="P8" s="51">
        <f t="shared" si="15"/>
        <v>0</v>
      </c>
      <c r="Q8" s="51">
        <f t="shared" si="7"/>
        <v>222</v>
      </c>
      <c r="R8" s="55">
        <v>0</v>
      </c>
      <c r="S8" s="53" t="s">
        <v>34</v>
      </c>
      <c r="T8" s="54" t="s">
        <v>34</v>
      </c>
      <c r="U8" s="55">
        <v>4</v>
      </c>
      <c r="V8" s="55">
        <f t="shared" si="8"/>
        <v>0.11764705882352941</v>
      </c>
      <c r="W8" s="55">
        <f t="shared" si="9"/>
        <v>6.7169999999999987</v>
      </c>
      <c r="X8" s="55">
        <v>6</v>
      </c>
      <c r="Y8" s="55" t="s">
        <v>35</v>
      </c>
      <c r="Z8" s="56">
        <f t="shared" si="10"/>
        <v>-0.69</v>
      </c>
      <c r="AA8" s="55">
        <v>0.16624652777777774</v>
      </c>
      <c r="AB8" s="55">
        <f t="shared" si="11"/>
        <v>-30.971728124999991</v>
      </c>
      <c r="AC8" s="55">
        <v>-5.26</v>
      </c>
      <c r="AD8" s="55">
        <v>-10.086752136752136</v>
      </c>
      <c r="AE8" s="55">
        <v>0</v>
      </c>
      <c r="AF8" s="55"/>
    </row>
    <row r="9" spans="1:32" s="57" customFormat="1" ht="15.75" customHeight="1">
      <c r="A9" s="2" t="s">
        <v>56</v>
      </c>
      <c r="B9" s="2" t="s">
        <v>765</v>
      </c>
      <c r="C9" s="51">
        <v>27.99</v>
      </c>
      <c r="D9" s="51">
        <v>35</v>
      </c>
      <c r="E9" s="51">
        <v>0</v>
      </c>
      <c r="F9" s="51">
        <v>977.6500000000002</v>
      </c>
      <c r="G9" s="51">
        <v>-65.679999999999993</v>
      </c>
      <c r="H9" s="51">
        <f t="shared" si="1"/>
        <v>6.7181506674167626E-2</v>
      </c>
      <c r="I9" s="51">
        <f t="shared" si="2"/>
        <v>0.20239761692592825</v>
      </c>
      <c r="J9" s="51">
        <f t="shared" si="4"/>
        <v>197.87403018763379</v>
      </c>
      <c r="K9" s="51">
        <f t="shared" si="3"/>
        <v>5.65354371964668</v>
      </c>
      <c r="L9" s="51">
        <v>148</v>
      </c>
      <c r="M9" s="51">
        <f t="shared" si="5"/>
        <v>0.23648648648648649</v>
      </c>
      <c r="N9" s="51">
        <v>1057</v>
      </c>
      <c r="O9" s="51">
        <f t="shared" ref="O9:P9" si="16">D9/7</f>
        <v>5</v>
      </c>
      <c r="P9" s="51">
        <f t="shared" si="16"/>
        <v>0</v>
      </c>
      <c r="Q9" s="51">
        <f t="shared" si="7"/>
        <v>211</v>
      </c>
      <c r="R9" s="55">
        <v>90</v>
      </c>
      <c r="S9" s="53" t="s">
        <v>34</v>
      </c>
      <c r="T9" s="54" t="s">
        <v>34</v>
      </c>
      <c r="U9" s="55">
        <v>10</v>
      </c>
      <c r="V9" s="55">
        <f t="shared" si="8"/>
        <v>0.2857142857142857</v>
      </c>
      <c r="W9" s="55">
        <f t="shared" si="9"/>
        <v>5.4733333333333327</v>
      </c>
      <c r="X9" s="55">
        <v>2</v>
      </c>
      <c r="Y9" s="55" t="s">
        <v>35</v>
      </c>
      <c r="Z9" s="56">
        <f t="shared" si="10"/>
        <v>-0.69</v>
      </c>
      <c r="AA9" s="55">
        <v>0.16624652777777774</v>
      </c>
      <c r="AB9" s="55">
        <f t="shared" si="11"/>
        <v>-30.312145026041659</v>
      </c>
      <c r="AC9" s="55">
        <v>-5.26</v>
      </c>
      <c r="AD9" s="55">
        <v>-10.086752136752136</v>
      </c>
      <c r="AE9" s="55">
        <v>0</v>
      </c>
      <c r="AF9" s="55"/>
    </row>
    <row r="10" spans="1:32" s="57" customFormat="1" ht="15.75" customHeight="1">
      <c r="A10" s="2" t="s">
        <v>58</v>
      </c>
      <c r="B10" s="2" t="s">
        <v>766</v>
      </c>
      <c r="C10" s="51">
        <v>27.99</v>
      </c>
      <c r="D10" s="51">
        <v>41</v>
      </c>
      <c r="E10" s="51">
        <v>0</v>
      </c>
      <c r="F10" s="51">
        <v>1106.5900000000001</v>
      </c>
      <c r="G10" s="51">
        <v>-133.12</v>
      </c>
      <c r="H10" s="51">
        <f t="shared" si="1"/>
        <v>0.12029749048879891</v>
      </c>
      <c r="I10" s="51">
        <f t="shared" si="2"/>
        <v>0.1351007182184647</v>
      </c>
      <c r="J10" s="51">
        <f t="shared" si="4"/>
        <v>149.50110377337086</v>
      </c>
      <c r="K10" s="51">
        <f t="shared" si="3"/>
        <v>3.6463683847163626</v>
      </c>
      <c r="L10" s="51">
        <v>190</v>
      </c>
      <c r="M10" s="51">
        <f t="shared" si="5"/>
        <v>0.21578947368421053</v>
      </c>
      <c r="N10" s="51">
        <v>1003</v>
      </c>
      <c r="O10" s="51">
        <f t="shared" ref="O10:P10" si="17">D10/7</f>
        <v>5.8571428571428568</v>
      </c>
      <c r="P10" s="51">
        <f t="shared" si="17"/>
        <v>0</v>
      </c>
      <c r="Q10" s="51">
        <f t="shared" si="7"/>
        <v>171</v>
      </c>
      <c r="R10" s="55">
        <v>90</v>
      </c>
      <c r="S10" s="53" t="s">
        <v>34</v>
      </c>
      <c r="T10" s="54" t="s">
        <v>34</v>
      </c>
      <c r="U10" s="55">
        <v>17</v>
      </c>
      <c r="V10" s="55">
        <f t="shared" si="8"/>
        <v>0.41463414634146339</v>
      </c>
      <c r="W10" s="55">
        <f t="shared" si="9"/>
        <v>5.5466666666666669</v>
      </c>
      <c r="X10" s="55">
        <v>7</v>
      </c>
      <c r="Y10" s="55" t="s">
        <v>35</v>
      </c>
      <c r="Z10" s="56">
        <f t="shared" si="10"/>
        <v>-0.69</v>
      </c>
      <c r="AA10" s="55">
        <v>0.16624652777777774</v>
      </c>
      <c r="AB10" s="55">
        <f t="shared" si="11"/>
        <v>-28.76355861979166</v>
      </c>
      <c r="AC10" s="55">
        <v>-5.26</v>
      </c>
      <c r="AD10" s="55">
        <v>-10.086752136752136</v>
      </c>
      <c r="AE10" s="55">
        <v>0</v>
      </c>
      <c r="AF10" s="55"/>
    </row>
    <row r="11" spans="1:32" s="57" customFormat="1" ht="15.75" customHeight="1">
      <c r="A11" s="2" t="s">
        <v>60</v>
      </c>
      <c r="B11" s="2" t="s">
        <v>767</v>
      </c>
      <c r="C11" s="51">
        <v>27.99</v>
      </c>
      <c r="D11" s="51">
        <v>35</v>
      </c>
      <c r="E11" s="51">
        <v>0</v>
      </c>
      <c r="F11" s="51">
        <v>950.6500000000002</v>
      </c>
      <c r="G11" s="51">
        <v>-125.07</v>
      </c>
      <c r="H11" s="51">
        <f t="shared" si="1"/>
        <v>0.13156261505285854</v>
      </c>
      <c r="I11" s="51">
        <f t="shared" si="2"/>
        <v>-3.2069590683792046E-2</v>
      </c>
      <c r="J11" s="51">
        <f t="shared" si="4"/>
        <v>-30.486956383546914</v>
      </c>
      <c r="K11" s="51">
        <f t="shared" si="3"/>
        <v>-0.87105589667276895</v>
      </c>
      <c r="L11" s="51">
        <v>197</v>
      </c>
      <c r="M11" s="51">
        <f t="shared" si="5"/>
        <v>0.17766497461928935</v>
      </c>
      <c r="N11" s="51">
        <v>983</v>
      </c>
      <c r="O11" s="51">
        <f t="shared" ref="O11:P11" si="18">D11/7</f>
        <v>5</v>
      </c>
      <c r="P11" s="51">
        <f t="shared" si="18"/>
        <v>0</v>
      </c>
      <c r="Q11" s="51">
        <f t="shared" si="7"/>
        <v>196</v>
      </c>
      <c r="R11" s="55">
        <v>90</v>
      </c>
      <c r="S11" s="53" t="s">
        <v>34</v>
      </c>
      <c r="T11" s="54" t="s">
        <v>34</v>
      </c>
      <c r="U11" s="55">
        <v>5</v>
      </c>
      <c r="V11" s="55">
        <f t="shared" si="8"/>
        <v>0.14285714285714285</v>
      </c>
      <c r="W11" s="55">
        <f t="shared" si="9"/>
        <v>9.6207692307692305</v>
      </c>
      <c r="X11" s="55">
        <v>8</v>
      </c>
      <c r="Y11" s="55" t="s">
        <v>760</v>
      </c>
      <c r="Z11" s="56">
        <f t="shared" ref="Z11:Z39" si="19">IF(OR(Y11="UsLargeStandardSize",Y11="UsSmallStandardSize"),-0.75,-0.48)</f>
        <v>-0.48</v>
      </c>
      <c r="AA11" s="55">
        <v>0.2664728009259259</v>
      </c>
      <c r="AB11" s="55">
        <f t="shared" si="11"/>
        <v>-31.433131597222218</v>
      </c>
      <c r="AC11" s="58">
        <v>-9.4</v>
      </c>
      <c r="AD11" s="55">
        <v>-10.086752136752136</v>
      </c>
      <c r="AE11" s="55">
        <v>0</v>
      </c>
      <c r="AF11" s="55"/>
    </row>
    <row r="12" spans="1:32" s="57" customFormat="1" ht="15.75" customHeight="1">
      <c r="A12" s="2" t="s">
        <v>62</v>
      </c>
      <c r="B12" s="2" t="s">
        <v>768</v>
      </c>
      <c r="C12" s="51">
        <v>29.99</v>
      </c>
      <c r="D12" s="51">
        <v>22</v>
      </c>
      <c r="E12" s="51">
        <v>0</v>
      </c>
      <c r="F12" s="51">
        <v>609.78000000000009</v>
      </c>
      <c r="G12" s="51">
        <v>-97.679999999999993</v>
      </c>
      <c r="H12" s="51">
        <f t="shared" si="1"/>
        <v>0.16018892059431267</v>
      </c>
      <c r="I12" s="51">
        <f t="shared" si="2"/>
        <v>-6.3218499331620867E-2</v>
      </c>
      <c r="J12" s="51">
        <f t="shared" si="4"/>
        <v>-38.549376522435779</v>
      </c>
      <c r="K12" s="51">
        <f t="shared" si="3"/>
        <v>-1.7522443873834446</v>
      </c>
      <c r="L12" s="51">
        <v>200</v>
      </c>
      <c r="M12" s="51">
        <f t="shared" si="5"/>
        <v>0.11</v>
      </c>
      <c r="N12" s="51">
        <v>953</v>
      </c>
      <c r="O12" s="51">
        <f t="shared" ref="O12:P12" si="20">D12/7</f>
        <v>3.1428571428571428</v>
      </c>
      <c r="P12" s="51">
        <f t="shared" si="20"/>
        <v>0</v>
      </c>
      <c r="Q12" s="51">
        <f t="shared" si="7"/>
        <v>303</v>
      </c>
      <c r="R12" s="55">
        <v>90</v>
      </c>
      <c r="S12" s="53">
        <v>90</v>
      </c>
      <c r="T12" s="54">
        <v>43896</v>
      </c>
      <c r="U12" s="55">
        <v>2</v>
      </c>
      <c r="V12" s="55">
        <f t="shared" si="8"/>
        <v>9.0909090909090912E-2</v>
      </c>
      <c r="W12" s="55">
        <f t="shared" si="9"/>
        <v>12.209999999999999</v>
      </c>
      <c r="X12" s="55">
        <v>6</v>
      </c>
      <c r="Y12" s="55" t="s">
        <v>760</v>
      </c>
      <c r="Z12" s="56">
        <f t="shared" si="19"/>
        <v>-0.48</v>
      </c>
      <c r="AA12" s="55">
        <v>0.2664728009259259</v>
      </c>
      <c r="AB12" s="55">
        <f t="shared" si="11"/>
        <v>-30.473829513888884</v>
      </c>
      <c r="AC12" s="55">
        <v>-9.4</v>
      </c>
      <c r="AD12" s="55">
        <v>-10.086752136752136</v>
      </c>
      <c r="AE12" s="55">
        <v>0</v>
      </c>
      <c r="AF12" s="55"/>
    </row>
    <row r="13" spans="1:32" s="57" customFormat="1" ht="15.75" customHeight="1">
      <c r="A13" s="2" t="s">
        <v>63</v>
      </c>
      <c r="B13" s="2" t="s">
        <v>769</v>
      </c>
      <c r="C13" s="51">
        <v>30.99</v>
      </c>
      <c r="D13" s="51">
        <v>20</v>
      </c>
      <c r="E13" s="51">
        <v>0</v>
      </c>
      <c r="F13" s="51">
        <v>616.80000000000007</v>
      </c>
      <c r="G13" s="51">
        <v>-55.21</v>
      </c>
      <c r="H13" s="51">
        <f t="shared" si="1"/>
        <v>8.9510376134889741E-2</v>
      </c>
      <c r="I13" s="51">
        <f t="shared" si="2"/>
        <v>0.18187108019610468</v>
      </c>
      <c r="J13" s="51">
        <f t="shared" si="4"/>
        <v>112.17808226495738</v>
      </c>
      <c r="K13" s="51">
        <f t="shared" si="3"/>
        <v>5.6089041132478688</v>
      </c>
      <c r="L13" s="51">
        <v>153</v>
      </c>
      <c r="M13" s="51">
        <f t="shared" si="5"/>
        <v>0.13071895424836602</v>
      </c>
      <c r="N13" s="51">
        <v>940</v>
      </c>
      <c r="O13" s="51">
        <f t="shared" ref="O13:P13" si="21">D13/7</f>
        <v>2.8571428571428572</v>
      </c>
      <c r="P13" s="51">
        <f t="shared" si="21"/>
        <v>0</v>
      </c>
      <c r="Q13" s="51">
        <f t="shared" si="7"/>
        <v>329</v>
      </c>
      <c r="R13" s="55">
        <v>0</v>
      </c>
      <c r="S13" s="53" t="s">
        <v>34</v>
      </c>
      <c r="T13" s="54" t="s">
        <v>34</v>
      </c>
      <c r="U13" s="55">
        <v>1</v>
      </c>
      <c r="V13" s="55">
        <f t="shared" si="8"/>
        <v>0.05</v>
      </c>
      <c r="W13" s="55">
        <f t="shared" si="9"/>
        <v>11.042</v>
      </c>
      <c r="X13" s="55">
        <v>4</v>
      </c>
      <c r="Y13" s="55" t="s">
        <v>35</v>
      </c>
      <c r="Z13" s="56">
        <f t="shared" si="19"/>
        <v>-0.75</v>
      </c>
      <c r="AA13" s="55">
        <v>0.22216666666666665</v>
      </c>
      <c r="AB13" s="55">
        <f t="shared" si="11"/>
        <v>-39.156874999999999</v>
      </c>
      <c r="AC13" s="58">
        <v>-5.8</v>
      </c>
      <c r="AD13" s="55">
        <v>-10.086752136752136</v>
      </c>
      <c r="AE13" s="55">
        <v>0</v>
      </c>
      <c r="AF13" s="55"/>
    </row>
    <row r="14" spans="1:32" s="57" customFormat="1" ht="15.75" customHeight="1">
      <c r="A14" s="2" t="s">
        <v>64</v>
      </c>
      <c r="B14" s="2" t="s">
        <v>770</v>
      </c>
      <c r="C14" s="51">
        <v>27.99</v>
      </c>
      <c r="D14" s="51">
        <v>16</v>
      </c>
      <c r="E14" s="51">
        <v>0</v>
      </c>
      <c r="F14" s="51">
        <v>475.84000000000009</v>
      </c>
      <c r="G14" s="51">
        <v>-52.870000000000012</v>
      </c>
      <c r="H14" s="51">
        <f t="shared" si="1"/>
        <v>0.11110877605917956</v>
      </c>
      <c r="I14" s="51">
        <f t="shared" si="2"/>
        <v>0.11628520786811927</v>
      </c>
      <c r="J14" s="51">
        <f t="shared" si="4"/>
        <v>55.333153311965887</v>
      </c>
      <c r="K14" s="51">
        <f t="shared" si="3"/>
        <v>3.4583220819978679</v>
      </c>
      <c r="L14" s="51">
        <v>162</v>
      </c>
      <c r="M14" s="51">
        <f t="shared" si="5"/>
        <v>9.8765432098765427E-2</v>
      </c>
      <c r="N14" s="51">
        <v>1010</v>
      </c>
      <c r="O14" s="51">
        <f t="shared" ref="O14:P14" si="22">D14/7</f>
        <v>2.2857142857142856</v>
      </c>
      <c r="P14" s="51">
        <f t="shared" si="22"/>
        <v>0</v>
      </c>
      <c r="Q14" s="51">
        <f t="shared" si="7"/>
        <v>441</v>
      </c>
      <c r="R14" s="55">
        <v>0</v>
      </c>
      <c r="S14" s="53" t="s">
        <v>34</v>
      </c>
      <c r="T14" s="54" t="s">
        <v>34</v>
      </c>
      <c r="U14" s="55">
        <v>3</v>
      </c>
      <c r="V14" s="55">
        <f t="shared" si="8"/>
        <v>0.1875</v>
      </c>
      <c r="W14" s="55">
        <f t="shared" si="9"/>
        <v>7.5528571428571443</v>
      </c>
      <c r="X14" s="55">
        <v>4</v>
      </c>
      <c r="Y14" s="55" t="s">
        <v>35</v>
      </c>
      <c r="Z14" s="56">
        <f t="shared" si="19"/>
        <v>-0.75</v>
      </c>
      <c r="AA14" s="55">
        <v>0.22216666666666665</v>
      </c>
      <c r="AB14" s="55">
        <f t="shared" si="11"/>
        <v>-42.072812499999998</v>
      </c>
      <c r="AC14" s="55">
        <v>-5.8</v>
      </c>
      <c r="AD14" s="55">
        <v>-10.086752136752136</v>
      </c>
      <c r="AE14" s="55">
        <v>0</v>
      </c>
      <c r="AF14" s="55"/>
    </row>
    <row r="15" spans="1:32" s="57" customFormat="1" ht="15.75" customHeight="1">
      <c r="A15" s="2" t="s">
        <v>65</v>
      </c>
      <c r="B15" s="2" t="s">
        <v>771</v>
      </c>
      <c r="C15" s="51">
        <v>25.99</v>
      </c>
      <c r="D15" s="51">
        <v>16</v>
      </c>
      <c r="E15" s="51">
        <v>0</v>
      </c>
      <c r="F15" s="51">
        <v>435.84000000000003</v>
      </c>
      <c r="G15" s="51">
        <v>-29.56</v>
      </c>
      <c r="H15" s="51">
        <f t="shared" si="1"/>
        <v>6.782305433186489E-2</v>
      </c>
      <c r="I15" s="51">
        <f t="shared" si="2"/>
        <v>0.10376821955755743</v>
      </c>
      <c r="J15" s="51">
        <f t="shared" si="4"/>
        <v>45.226340811965834</v>
      </c>
      <c r="K15" s="51">
        <f t="shared" si="3"/>
        <v>2.8266463007478646</v>
      </c>
      <c r="L15" s="51">
        <v>139</v>
      </c>
      <c r="M15" s="51">
        <f t="shared" si="5"/>
        <v>0.11510791366906475</v>
      </c>
      <c r="N15" s="51">
        <v>996</v>
      </c>
      <c r="O15" s="51">
        <f t="shared" ref="O15:P15" si="23">D15/7</f>
        <v>2.2857142857142856</v>
      </c>
      <c r="P15" s="51">
        <f t="shared" si="23"/>
        <v>0</v>
      </c>
      <c r="Q15" s="51">
        <f t="shared" si="7"/>
        <v>435</v>
      </c>
      <c r="R15" s="55">
        <v>0</v>
      </c>
      <c r="S15" s="53" t="s">
        <v>34</v>
      </c>
      <c r="T15" s="54" t="s">
        <v>34</v>
      </c>
      <c r="U15" s="55">
        <v>1</v>
      </c>
      <c r="V15" s="55">
        <f t="shared" si="8"/>
        <v>6.25E-2</v>
      </c>
      <c r="W15" s="55">
        <f t="shared" si="9"/>
        <v>29.56</v>
      </c>
      <c r="X15" s="55">
        <v>0</v>
      </c>
      <c r="Y15" s="55" t="s">
        <v>35</v>
      </c>
      <c r="Z15" s="56">
        <f t="shared" si="19"/>
        <v>-0.75</v>
      </c>
      <c r="AA15" s="55">
        <v>0.22216666666666665</v>
      </c>
      <c r="AB15" s="55">
        <f t="shared" si="11"/>
        <v>-41.489624999999997</v>
      </c>
      <c r="AC15" s="55">
        <v>-5.8</v>
      </c>
      <c r="AD15" s="55">
        <v>-10.086752136752136</v>
      </c>
      <c r="AE15" s="55">
        <v>0</v>
      </c>
      <c r="AF15" s="55"/>
    </row>
    <row r="16" spans="1:32" s="57" customFormat="1" ht="15.75" customHeight="1">
      <c r="A16" s="2" t="s">
        <v>66</v>
      </c>
      <c r="B16" s="2" t="s">
        <v>772</v>
      </c>
      <c r="C16" s="51">
        <v>24.99</v>
      </c>
      <c r="D16" s="51">
        <v>32</v>
      </c>
      <c r="E16" s="51">
        <v>0</v>
      </c>
      <c r="F16" s="51">
        <v>862.68000000000018</v>
      </c>
      <c r="G16" s="51">
        <v>-29.080000000000002</v>
      </c>
      <c r="H16" s="51">
        <f t="shared" si="1"/>
        <v>3.3708907126628641E-2</v>
      </c>
      <c r="I16" s="51">
        <f t="shared" si="2"/>
        <v>0.18073357922280767</v>
      </c>
      <c r="J16" s="51">
        <f t="shared" si="4"/>
        <v>155.91524412393176</v>
      </c>
      <c r="K16" s="51">
        <f t="shared" si="3"/>
        <v>4.8723513788728674</v>
      </c>
      <c r="L16" s="51">
        <v>163</v>
      </c>
      <c r="M16" s="51">
        <f t="shared" si="5"/>
        <v>0.19631901840490798</v>
      </c>
      <c r="N16" s="51">
        <v>958</v>
      </c>
      <c r="O16" s="51">
        <f t="shared" ref="O16:P16" si="24">D16/7</f>
        <v>4.5714285714285712</v>
      </c>
      <c r="P16" s="51">
        <f t="shared" si="24"/>
        <v>0</v>
      </c>
      <c r="Q16" s="51">
        <f t="shared" si="7"/>
        <v>209</v>
      </c>
      <c r="R16" s="55">
        <v>0</v>
      </c>
      <c r="S16" s="53" t="s">
        <v>34</v>
      </c>
      <c r="T16" s="54" t="s">
        <v>34</v>
      </c>
      <c r="U16" s="55">
        <v>3</v>
      </c>
      <c r="V16" s="55">
        <f t="shared" si="8"/>
        <v>9.375E-2</v>
      </c>
      <c r="W16" s="55">
        <f t="shared" si="9"/>
        <v>5.8160000000000007</v>
      </c>
      <c r="X16" s="55">
        <v>2</v>
      </c>
      <c r="Y16" s="55" t="s">
        <v>35</v>
      </c>
      <c r="Z16" s="56">
        <f t="shared" si="19"/>
        <v>-0.75</v>
      </c>
      <c r="AA16" s="55">
        <v>0.22216666666666665</v>
      </c>
      <c r="AB16" s="55">
        <f t="shared" si="11"/>
        <v>-39.906687499999997</v>
      </c>
      <c r="AC16" s="55">
        <v>-5.8</v>
      </c>
      <c r="AD16" s="55">
        <v>-10.086752136752136</v>
      </c>
      <c r="AE16" s="55">
        <v>0</v>
      </c>
      <c r="AF16" s="55"/>
    </row>
    <row r="17" spans="1:32" s="57" customFormat="1" ht="15.75" customHeight="1">
      <c r="A17" s="2" t="s">
        <v>67</v>
      </c>
      <c r="B17" s="2" t="s">
        <v>773</v>
      </c>
      <c r="C17" s="51">
        <v>25.99</v>
      </c>
      <c r="D17" s="51">
        <v>27</v>
      </c>
      <c r="E17" s="51">
        <v>0</v>
      </c>
      <c r="F17" s="51">
        <v>688.73000000000013</v>
      </c>
      <c r="G17" s="51">
        <v>-47.910000000000004</v>
      </c>
      <c r="H17" s="51">
        <f t="shared" si="1"/>
        <v>6.9562818521045969E-2</v>
      </c>
      <c r="I17" s="51">
        <f t="shared" si="2"/>
        <v>0.10066064322403909</v>
      </c>
      <c r="J17" s="51">
        <f t="shared" si="4"/>
        <v>69.328004807692452</v>
      </c>
      <c r="K17" s="51">
        <f t="shared" si="3"/>
        <v>2.5677038817663873</v>
      </c>
      <c r="L17" s="51">
        <v>189</v>
      </c>
      <c r="M17" s="51">
        <f t="shared" si="5"/>
        <v>0.14285714285714285</v>
      </c>
      <c r="N17" s="51">
        <v>942</v>
      </c>
      <c r="O17" s="51">
        <f t="shared" ref="O17:P17" si="25">D17/7</f>
        <v>3.8571428571428572</v>
      </c>
      <c r="P17" s="51">
        <f t="shared" si="25"/>
        <v>0</v>
      </c>
      <c r="Q17" s="51">
        <f t="shared" si="7"/>
        <v>244</v>
      </c>
      <c r="R17" s="55">
        <v>0</v>
      </c>
      <c r="S17" s="53" t="s">
        <v>34</v>
      </c>
      <c r="T17" s="54" t="s">
        <v>34</v>
      </c>
      <c r="U17" s="55">
        <v>5</v>
      </c>
      <c r="V17" s="55">
        <f t="shared" si="8"/>
        <v>0.18518518518518517</v>
      </c>
      <c r="W17" s="55">
        <f t="shared" si="9"/>
        <v>4.3554545454545455</v>
      </c>
      <c r="X17" s="55">
        <v>6</v>
      </c>
      <c r="Y17" s="55" t="s">
        <v>35</v>
      </c>
      <c r="Z17" s="56">
        <f t="shared" si="19"/>
        <v>-0.75</v>
      </c>
      <c r="AA17" s="55">
        <v>0.22216666666666665</v>
      </c>
      <c r="AB17" s="55">
        <f t="shared" si="11"/>
        <v>-39.240187499999998</v>
      </c>
      <c r="AC17" s="55">
        <v>-5.8</v>
      </c>
      <c r="AD17" s="55">
        <v>-10.086752136752136</v>
      </c>
      <c r="AE17" s="55">
        <v>0</v>
      </c>
      <c r="AF17" s="55"/>
    </row>
    <row r="18" spans="1:32" s="57" customFormat="1" ht="15.75" customHeight="1">
      <c r="A18" s="2" t="s">
        <v>69</v>
      </c>
      <c r="B18" s="2" t="s">
        <v>774</v>
      </c>
      <c r="C18" s="51">
        <v>23.99</v>
      </c>
      <c r="D18" s="51">
        <v>21</v>
      </c>
      <c r="E18" s="51">
        <v>0</v>
      </c>
      <c r="F18" s="51">
        <v>538.79000000000008</v>
      </c>
      <c r="G18" s="51">
        <v>-51.77000000000001</v>
      </c>
      <c r="H18" s="51">
        <f t="shared" si="1"/>
        <v>9.6085673453479098E-2</v>
      </c>
      <c r="I18" s="51">
        <f t="shared" si="2"/>
        <v>0.11522546841664685</v>
      </c>
      <c r="J18" s="51">
        <f t="shared" si="4"/>
        <v>62.082330128205164</v>
      </c>
      <c r="K18" s="51">
        <f t="shared" si="3"/>
        <v>2.9563014346764365</v>
      </c>
      <c r="L18" s="51">
        <v>195</v>
      </c>
      <c r="M18" s="51">
        <f t="shared" si="5"/>
        <v>0.1076923076923077</v>
      </c>
      <c r="N18" s="51">
        <v>918</v>
      </c>
      <c r="O18" s="51">
        <f t="shared" ref="O18:P18" si="26">D18/7</f>
        <v>3</v>
      </c>
      <c r="P18" s="51">
        <f t="shared" si="26"/>
        <v>0</v>
      </c>
      <c r="Q18" s="51">
        <f t="shared" si="7"/>
        <v>306</v>
      </c>
      <c r="R18" s="55">
        <v>0</v>
      </c>
      <c r="S18" s="53" t="s">
        <v>34</v>
      </c>
      <c r="T18" s="54" t="s">
        <v>34</v>
      </c>
      <c r="U18" s="55">
        <v>5</v>
      </c>
      <c r="V18" s="55">
        <f t="shared" si="8"/>
        <v>0.23809523809523808</v>
      </c>
      <c r="W18" s="55">
        <f t="shared" si="9"/>
        <v>4.3141666666666678</v>
      </c>
      <c r="X18" s="55">
        <v>7</v>
      </c>
      <c r="Y18" s="55" t="s">
        <v>35</v>
      </c>
      <c r="Z18" s="56">
        <f t="shared" si="19"/>
        <v>-0.75</v>
      </c>
      <c r="AA18" s="55">
        <v>0.22216666666666665</v>
      </c>
      <c r="AB18" s="58">
        <f t="shared" ref="AB18:AB39" si="27">IFERROR(Z18*AA18*D18*3,0)</f>
        <v>-10.497375</v>
      </c>
      <c r="AC18" s="55">
        <v>-5.8</v>
      </c>
      <c r="AD18" s="55">
        <v>-10.086752136752136</v>
      </c>
      <c r="AE18" s="55">
        <v>0</v>
      </c>
      <c r="AF18" s="55"/>
    </row>
    <row r="19" spans="1:32" s="57" customFormat="1" ht="15.75" customHeight="1">
      <c r="A19" s="2" t="s">
        <v>71</v>
      </c>
      <c r="B19" s="2" t="s">
        <v>775</v>
      </c>
      <c r="C19" s="51">
        <v>22.62</v>
      </c>
      <c r="D19" s="51">
        <v>18</v>
      </c>
      <c r="E19" s="51">
        <v>0</v>
      </c>
      <c r="F19" s="51">
        <v>449.02000000000004</v>
      </c>
      <c r="G19" s="51">
        <v>-63.259999999999991</v>
      </c>
      <c r="H19" s="51">
        <f t="shared" si="1"/>
        <v>0.14088459311389245</v>
      </c>
      <c r="I19" s="51">
        <f t="shared" si="2"/>
        <v>5.2219748649195132E-2</v>
      </c>
      <c r="J19" s="51">
        <f t="shared" si="4"/>
        <v>23.447711538461601</v>
      </c>
      <c r="K19" s="51">
        <f t="shared" si="3"/>
        <v>1.3026506410256444</v>
      </c>
      <c r="L19" s="51">
        <v>186</v>
      </c>
      <c r="M19" s="51">
        <f t="shared" si="5"/>
        <v>9.6774193548387094E-2</v>
      </c>
      <c r="N19" s="51">
        <v>899</v>
      </c>
      <c r="O19" s="51">
        <f t="shared" ref="O19:P19" si="28">D19/7</f>
        <v>2.5714285714285716</v>
      </c>
      <c r="P19" s="51">
        <f t="shared" si="28"/>
        <v>0</v>
      </c>
      <c r="Q19" s="51">
        <f t="shared" si="7"/>
        <v>349</v>
      </c>
      <c r="R19" s="55">
        <v>0</v>
      </c>
      <c r="S19" s="53" t="s">
        <v>34</v>
      </c>
      <c r="T19" s="54" t="s">
        <v>34</v>
      </c>
      <c r="U19" s="55">
        <v>5</v>
      </c>
      <c r="V19" s="55">
        <f t="shared" si="8"/>
        <v>0.27777777777777779</v>
      </c>
      <c r="W19" s="55">
        <f t="shared" si="9"/>
        <v>3.9537499999999994</v>
      </c>
      <c r="X19" s="55">
        <v>11</v>
      </c>
      <c r="Y19" s="55" t="s">
        <v>35</v>
      </c>
      <c r="Z19" s="56">
        <f t="shared" si="19"/>
        <v>-0.75</v>
      </c>
      <c r="AA19" s="55">
        <v>0.22216666666666665</v>
      </c>
      <c r="AB19" s="55">
        <f t="shared" si="27"/>
        <v>-8.9977499999999999</v>
      </c>
      <c r="AC19" s="55">
        <v>-5.8</v>
      </c>
      <c r="AD19" s="55">
        <v>-10.086752136752136</v>
      </c>
      <c r="AE19" s="55">
        <v>0</v>
      </c>
      <c r="AF19" s="55"/>
    </row>
    <row r="20" spans="1:32" s="57" customFormat="1" ht="15.75" customHeight="1">
      <c r="A20" s="2" t="s">
        <v>73</v>
      </c>
      <c r="B20" s="2" t="s">
        <v>776</v>
      </c>
      <c r="C20" s="51">
        <v>25.87</v>
      </c>
      <c r="D20" s="51">
        <v>23</v>
      </c>
      <c r="E20" s="51">
        <v>0</v>
      </c>
      <c r="F20" s="51">
        <v>548.58000000000004</v>
      </c>
      <c r="G20" s="51">
        <v>-25.13</v>
      </c>
      <c r="H20" s="51">
        <f t="shared" si="1"/>
        <v>4.5809180064894817E-2</v>
      </c>
      <c r="I20" s="51">
        <f t="shared" si="2"/>
        <v>0.11715807330690305</v>
      </c>
      <c r="J20" s="51">
        <f t="shared" si="4"/>
        <v>64.27057585470088</v>
      </c>
      <c r="K20" s="51">
        <f t="shared" si="3"/>
        <v>2.7943728632478644</v>
      </c>
      <c r="L20" s="51">
        <v>52</v>
      </c>
      <c r="M20" s="51">
        <f t="shared" si="5"/>
        <v>0.44230769230769229</v>
      </c>
      <c r="N20" s="51">
        <v>875</v>
      </c>
      <c r="O20" s="51">
        <f t="shared" ref="O20:P20" si="29">D20/7</f>
        <v>3.2857142857142856</v>
      </c>
      <c r="P20" s="51">
        <f t="shared" si="29"/>
        <v>0</v>
      </c>
      <c r="Q20" s="51">
        <f t="shared" si="7"/>
        <v>266</v>
      </c>
      <c r="R20" s="55">
        <v>0</v>
      </c>
      <c r="S20" s="53" t="s">
        <v>34</v>
      </c>
      <c r="T20" s="54" t="s">
        <v>34</v>
      </c>
      <c r="U20" s="55">
        <v>1</v>
      </c>
      <c r="V20" s="55">
        <f t="shared" si="8"/>
        <v>4.3478260869565216E-2</v>
      </c>
      <c r="W20" s="55">
        <f t="shared" si="9"/>
        <v>5.0259999999999998</v>
      </c>
      <c r="X20" s="55">
        <v>4</v>
      </c>
      <c r="Y20" s="55" t="s">
        <v>35</v>
      </c>
      <c r="Z20" s="56">
        <f t="shared" si="19"/>
        <v>-0.75</v>
      </c>
      <c r="AA20" s="55">
        <v>0.22216666666666665</v>
      </c>
      <c r="AB20" s="55">
        <f t="shared" si="27"/>
        <v>-11.497125</v>
      </c>
      <c r="AC20" s="55">
        <v>-5.8</v>
      </c>
      <c r="AD20" s="55">
        <v>-10.086752136752136</v>
      </c>
      <c r="AE20" s="55">
        <v>0</v>
      </c>
      <c r="AF20" s="55"/>
    </row>
    <row r="21" spans="1:32" s="57" customFormat="1" ht="15.75" customHeight="1">
      <c r="A21" s="2" t="s">
        <v>75</v>
      </c>
      <c r="B21" s="2" t="s">
        <v>777</v>
      </c>
      <c r="C21" s="51">
        <v>27.04</v>
      </c>
      <c r="D21" s="51">
        <v>7</v>
      </c>
      <c r="E21" s="51">
        <v>0</v>
      </c>
      <c r="F21" s="51">
        <v>184.06</v>
      </c>
      <c r="G21" s="51">
        <v>-113.39999999999999</v>
      </c>
      <c r="H21" s="51">
        <f t="shared" si="1"/>
        <v>0.61610344452895793</v>
      </c>
      <c r="I21" s="51">
        <f t="shared" si="2"/>
        <v>-0.38930452003295091</v>
      </c>
      <c r="J21" s="51">
        <f t="shared" si="4"/>
        <v>-71.655389957264944</v>
      </c>
      <c r="K21" s="51">
        <f t="shared" si="3"/>
        <v>-10.236484279609277</v>
      </c>
      <c r="L21" s="51">
        <v>210</v>
      </c>
      <c r="M21" s="51">
        <f t="shared" si="5"/>
        <v>3.3333333333333333E-2</v>
      </c>
      <c r="N21" s="51">
        <v>871</v>
      </c>
      <c r="O21" s="51">
        <f t="shared" ref="O21:P21" si="30">D21/7</f>
        <v>1</v>
      </c>
      <c r="P21" s="51">
        <f t="shared" si="30"/>
        <v>0</v>
      </c>
      <c r="Q21" s="51">
        <f t="shared" si="7"/>
        <v>871</v>
      </c>
      <c r="R21" s="55">
        <v>0</v>
      </c>
      <c r="S21" s="53" t="s">
        <v>34</v>
      </c>
      <c r="T21" s="54" t="s">
        <v>34</v>
      </c>
      <c r="U21" s="55">
        <v>5</v>
      </c>
      <c r="V21" s="55">
        <f t="shared" si="8"/>
        <v>0.7142857142857143</v>
      </c>
      <c r="W21" s="55">
        <f t="shared" si="9"/>
        <v>9.4499999999999993</v>
      </c>
      <c r="X21" s="55">
        <v>7</v>
      </c>
      <c r="Y21" s="55" t="s">
        <v>35</v>
      </c>
      <c r="Z21" s="56">
        <f t="shared" si="19"/>
        <v>-0.75</v>
      </c>
      <c r="AA21" s="55">
        <v>0.22216666666666665</v>
      </c>
      <c r="AB21" s="55">
        <f t="shared" si="27"/>
        <v>-3.4991249999999998</v>
      </c>
      <c r="AC21" s="55">
        <v>-5.8</v>
      </c>
      <c r="AD21" s="55">
        <v>-10.086752136752136</v>
      </c>
      <c r="AE21" s="55">
        <v>0</v>
      </c>
      <c r="AF21" s="55"/>
    </row>
    <row r="22" spans="1:32" s="57" customFormat="1" ht="15.75" customHeight="1">
      <c r="A22" s="2" t="s">
        <v>77</v>
      </c>
      <c r="B22" s="2" t="s">
        <v>778</v>
      </c>
      <c r="C22" s="51">
        <v>25.07</v>
      </c>
      <c r="D22" s="51">
        <v>20</v>
      </c>
      <c r="E22" s="51">
        <v>0</v>
      </c>
      <c r="F22" s="51">
        <v>550.22</v>
      </c>
      <c r="G22" s="51">
        <v>-81.180000000000007</v>
      </c>
      <c r="H22" s="51">
        <f t="shared" si="1"/>
        <v>0.14754098360655737</v>
      </c>
      <c r="I22" s="51">
        <f t="shared" si="2"/>
        <v>0.10681992160400798</v>
      </c>
      <c r="J22" s="51">
        <f t="shared" si="4"/>
        <v>58.774457264957277</v>
      </c>
      <c r="K22" s="51">
        <f t="shared" si="3"/>
        <v>2.9387228632478637</v>
      </c>
      <c r="L22" s="51">
        <v>168</v>
      </c>
      <c r="M22" s="51">
        <f t="shared" si="5"/>
        <v>0.11904761904761904</v>
      </c>
      <c r="N22" s="51">
        <v>848</v>
      </c>
      <c r="O22" s="51">
        <f t="shared" ref="O22:P22" si="31">D22/7</f>
        <v>2.8571428571428572</v>
      </c>
      <c r="P22" s="51">
        <f t="shared" si="31"/>
        <v>0</v>
      </c>
      <c r="Q22" s="51">
        <f t="shared" si="7"/>
        <v>296</v>
      </c>
      <c r="R22" s="55">
        <v>0</v>
      </c>
      <c r="S22" s="53" t="s">
        <v>34</v>
      </c>
      <c r="T22" s="54" t="s">
        <v>34</v>
      </c>
      <c r="U22" s="55">
        <v>2</v>
      </c>
      <c r="V22" s="55">
        <f t="shared" si="8"/>
        <v>0.1</v>
      </c>
      <c r="W22" s="55">
        <f t="shared" si="9"/>
        <v>9.0200000000000014</v>
      </c>
      <c r="X22" s="55">
        <v>7</v>
      </c>
      <c r="Y22" s="55" t="s">
        <v>35</v>
      </c>
      <c r="Z22" s="56">
        <f t="shared" si="19"/>
        <v>-0.75</v>
      </c>
      <c r="AA22" s="55">
        <v>0.22216666666666665</v>
      </c>
      <c r="AB22" s="55">
        <f t="shared" si="27"/>
        <v>-9.9975000000000005</v>
      </c>
      <c r="AC22" s="55">
        <v>-5.8</v>
      </c>
      <c r="AD22" s="55">
        <v>-10.086752136752136</v>
      </c>
      <c r="AE22" s="55">
        <v>0</v>
      </c>
      <c r="AF22" s="55"/>
    </row>
    <row r="23" spans="1:32" s="57" customFormat="1" ht="15.75" customHeight="1">
      <c r="A23" s="2" t="s">
        <v>79</v>
      </c>
      <c r="B23" s="2" t="s">
        <v>779</v>
      </c>
      <c r="C23" s="51">
        <v>25.01</v>
      </c>
      <c r="D23" s="51">
        <v>15</v>
      </c>
      <c r="E23" s="51">
        <v>0</v>
      </c>
      <c r="F23" s="51">
        <v>401.44000000000005</v>
      </c>
      <c r="G23" s="51">
        <v>-99.789999999999992</v>
      </c>
      <c r="H23" s="51">
        <f t="shared" si="1"/>
        <v>0.24858011159824625</v>
      </c>
      <c r="I23" s="51">
        <f t="shared" si="2"/>
        <v>-1.0874369896577293E-2</v>
      </c>
      <c r="J23" s="51">
        <f t="shared" si="4"/>
        <v>-4.3654070512819896</v>
      </c>
      <c r="K23" s="51">
        <f t="shared" si="3"/>
        <v>-0.29102713675213265</v>
      </c>
      <c r="L23" s="51">
        <v>192</v>
      </c>
      <c r="M23" s="51">
        <f t="shared" si="5"/>
        <v>7.8125E-2</v>
      </c>
      <c r="N23" s="51">
        <v>838</v>
      </c>
      <c r="O23" s="51">
        <f t="shared" ref="O23:P23" si="32">D23/7</f>
        <v>2.1428571428571428</v>
      </c>
      <c r="P23" s="51">
        <f t="shared" si="32"/>
        <v>0</v>
      </c>
      <c r="Q23" s="51">
        <f t="shared" si="7"/>
        <v>391</v>
      </c>
      <c r="R23" s="55">
        <v>0</v>
      </c>
      <c r="S23" s="53" t="s">
        <v>34</v>
      </c>
      <c r="T23" s="54" t="s">
        <v>34</v>
      </c>
      <c r="U23" s="55">
        <v>3</v>
      </c>
      <c r="V23" s="55">
        <f t="shared" si="8"/>
        <v>0.2</v>
      </c>
      <c r="W23" s="55">
        <f t="shared" si="9"/>
        <v>6.2368749999999995</v>
      </c>
      <c r="X23" s="55">
        <v>13</v>
      </c>
      <c r="Y23" s="55" t="s">
        <v>35</v>
      </c>
      <c r="Z23" s="56">
        <f t="shared" si="19"/>
        <v>-0.75</v>
      </c>
      <c r="AA23" s="55">
        <v>0.22216666666666665</v>
      </c>
      <c r="AB23" s="55">
        <f t="shared" si="27"/>
        <v>-7.4981249999999999</v>
      </c>
      <c r="AC23" s="55">
        <v>-5.8</v>
      </c>
      <c r="AD23" s="55">
        <v>-10.086752136752136</v>
      </c>
      <c r="AE23" s="55">
        <v>0</v>
      </c>
      <c r="AF23" s="55"/>
    </row>
    <row r="24" spans="1:32" s="57" customFormat="1" ht="15.75" customHeight="1">
      <c r="A24" s="2" t="s">
        <v>80</v>
      </c>
      <c r="B24" s="2" t="s">
        <v>780</v>
      </c>
      <c r="C24" s="51">
        <v>28.99</v>
      </c>
      <c r="D24" s="51">
        <v>19</v>
      </c>
      <c r="E24" s="51">
        <v>0</v>
      </c>
      <c r="F24" s="51">
        <v>496.44999999999993</v>
      </c>
      <c r="G24" s="51">
        <v>-82.15</v>
      </c>
      <c r="H24" s="51">
        <f t="shared" si="1"/>
        <v>0.16547487158827681</v>
      </c>
      <c r="I24" s="51">
        <f t="shared" si="2"/>
        <v>5.7380570856499974E-2</v>
      </c>
      <c r="J24" s="51">
        <f t="shared" si="4"/>
        <v>28.486584401709408</v>
      </c>
      <c r="K24" s="51">
        <f t="shared" si="3"/>
        <v>1.4992939158794425</v>
      </c>
      <c r="L24" s="51">
        <v>162</v>
      </c>
      <c r="M24" s="51">
        <f t="shared" si="5"/>
        <v>0.11728395061728394</v>
      </c>
      <c r="N24" s="51">
        <v>809</v>
      </c>
      <c r="O24" s="51">
        <f t="shared" ref="O24:P24" si="33">D24/7</f>
        <v>2.7142857142857144</v>
      </c>
      <c r="P24" s="51">
        <f t="shared" si="33"/>
        <v>0</v>
      </c>
      <c r="Q24" s="51">
        <f t="shared" si="7"/>
        <v>298</v>
      </c>
      <c r="R24" s="55">
        <v>0</v>
      </c>
      <c r="S24" s="53" t="s">
        <v>34</v>
      </c>
      <c r="T24" s="54" t="s">
        <v>34</v>
      </c>
      <c r="U24" s="55">
        <v>3</v>
      </c>
      <c r="V24" s="55">
        <f t="shared" si="8"/>
        <v>0.15789473684210525</v>
      </c>
      <c r="W24" s="55">
        <f t="shared" si="9"/>
        <v>11.735714285714286</v>
      </c>
      <c r="X24" s="55">
        <v>4</v>
      </c>
      <c r="Y24" s="55" t="s">
        <v>35</v>
      </c>
      <c r="Z24" s="56">
        <f t="shared" si="19"/>
        <v>-0.75</v>
      </c>
      <c r="AA24" s="55">
        <v>0.22216666666666665</v>
      </c>
      <c r="AB24" s="55">
        <f t="shared" si="27"/>
        <v>-9.4976249999999993</v>
      </c>
      <c r="AC24" s="55">
        <v>-5.8</v>
      </c>
      <c r="AD24" s="55">
        <v>-10.086752136752136</v>
      </c>
      <c r="AE24" s="55">
        <v>0</v>
      </c>
      <c r="AF24" s="55"/>
    </row>
    <row r="25" spans="1:32" s="57" customFormat="1" ht="15.75" customHeight="1">
      <c r="A25" s="2" t="s">
        <v>81</v>
      </c>
      <c r="B25" s="2" t="s">
        <v>781</v>
      </c>
      <c r="C25" s="51"/>
      <c r="D25" s="51">
        <v>24</v>
      </c>
      <c r="E25" s="51">
        <v>0</v>
      </c>
      <c r="F25" s="51">
        <v>705.72</v>
      </c>
      <c r="G25" s="51">
        <v>-70.510000000000005</v>
      </c>
      <c r="H25" s="51">
        <f t="shared" si="1"/>
        <v>9.9912146460352555E-2</v>
      </c>
      <c r="I25" s="51">
        <f t="shared" si="2"/>
        <v>0.19281435798609753</v>
      </c>
      <c r="J25" s="51">
        <f t="shared" si="4"/>
        <v>136.07294871794875</v>
      </c>
      <c r="K25" s="51">
        <f t="shared" si="3"/>
        <v>5.6697061965811981</v>
      </c>
      <c r="L25" s="51">
        <v>116</v>
      </c>
      <c r="M25" s="51">
        <f t="shared" si="5"/>
        <v>0.20689655172413793</v>
      </c>
      <c r="N25" s="51">
        <v>795</v>
      </c>
      <c r="O25" s="51">
        <f t="shared" ref="O25:P25" si="34">D25/7</f>
        <v>3.4285714285714284</v>
      </c>
      <c r="P25" s="51">
        <f t="shared" si="34"/>
        <v>0</v>
      </c>
      <c r="Q25" s="51">
        <f t="shared" si="7"/>
        <v>231</v>
      </c>
      <c r="R25" s="55">
        <v>0</v>
      </c>
      <c r="S25" s="53" t="s">
        <v>34</v>
      </c>
      <c r="T25" s="54" t="s">
        <v>34</v>
      </c>
      <c r="U25" s="55">
        <v>6</v>
      </c>
      <c r="V25" s="55">
        <f t="shared" si="8"/>
        <v>0.25</v>
      </c>
      <c r="W25" s="55">
        <f t="shared" si="9"/>
        <v>6.41</v>
      </c>
      <c r="X25" s="55">
        <v>5</v>
      </c>
      <c r="Y25" s="55" t="s">
        <v>35</v>
      </c>
      <c r="Z25" s="56">
        <f t="shared" si="19"/>
        <v>-0.75</v>
      </c>
      <c r="AA25" s="55">
        <v>0.22216666666666665</v>
      </c>
      <c r="AB25" s="55">
        <f t="shared" si="27"/>
        <v>-11.997</v>
      </c>
      <c r="AC25" s="55">
        <v>-5.8</v>
      </c>
      <c r="AD25" s="55">
        <v>-10.086752136752136</v>
      </c>
      <c r="AE25" s="55">
        <v>0</v>
      </c>
      <c r="AF25" s="55"/>
    </row>
    <row r="26" spans="1:32" s="57" customFormat="1" ht="15.75" customHeight="1">
      <c r="A26" s="2" t="s">
        <v>83</v>
      </c>
      <c r="B26" s="2" t="s">
        <v>782</v>
      </c>
      <c r="C26" s="51">
        <f t="shared" ref="C26:C39" si="35">IFERROR(F26/D26," - ")</f>
        <v>29.384210526315787</v>
      </c>
      <c r="D26" s="51">
        <v>19</v>
      </c>
      <c r="E26" s="51">
        <v>0</v>
      </c>
      <c r="F26" s="51">
        <v>558.29999999999995</v>
      </c>
      <c r="G26" s="51">
        <v>-58.699999999999996</v>
      </c>
      <c r="H26" s="51">
        <f t="shared" si="1"/>
        <v>0.10514060540927817</v>
      </c>
      <c r="I26" s="51">
        <f t="shared" si="2"/>
        <v>0.18719162529412395</v>
      </c>
      <c r="J26" s="51">
        <f t="shared" si="4"/>
        <v>104.50908440170939</v>
      </c>
      <c r="K26" s="51">
        <f t="shared" si="3"/>
        <v>5.5004781264057572</v>
      </c>
      <c r="L26" s="51">
        <v>141</v>
      </c>
      <c r="M26" s="51">
        <f t="shared" si="5"/>
        <v>0.13475177304964539</v>
      </c>
      <c r="N26" s="51">
        <v>771</v>
      </c>
      <c r="O26" s="51">
        <f t="shared" ref="O26:P26" si="36">D26/7</f>
        <v>2.7142857142857144</v>
      </c>
      <c r="P26" s="51">
        <f t="shared" si="36"/>
        <v>0</v>
      </c>
      <c r="Q26" s="51">
        <f t="shared" si="7"/>
        <v>284</v>
      </c>
      <c r="R26" s="55">
        <v>0</v>
      </c>
      <c r="S26" s="53" t="s">
        <v>34</v>
      </c>
      <c r="T26" s="54" t="s">
        <v>34</v>
      </c>
      <c r="U26" s="55">
        <v>2</v>
      </c>
      <c r="V26" s="55">
        <f t="shared" si="8"/>
        <v>0.10526315789473684</v>
      </c>
      <c r="W26" s="55">
        <f t="shared" si="9"/>
        <v>9.7833333333333332</v>
      </c>
      <c r="X26" s="55">
        <v>4</v>
      </c>
      <c r="Y26" s="55" t="s">
        <v>35</v>
      </c>
      <c r="Z26" s="56">
        <f t="shared" si="19"/>
        <v>-0.75</v>
      </c>
      <c r="AA26" s="55">
        <v>0.22216666666666665</v>
      </c>
      <c r="AB26" s="55">
        <f t="shared" si="27"/>
        <v>-9.4976249999999993</v>
      </c>
      <c r="AC26" s="55">
        <v>-5.8</v>
      </c>
      <c r="AD26" s="55">
        <v>-10.086752136752136</v>
      </c>
      <c r="AE26" s="55">
        <v>0</v>
      </c>
      <c r="AF26" s="55"/>
    </row>
    <row r="27" spans="1:32" s="57" customFormat="1" ht="15.75" customHeight="1">
      <c r="A27" s="2" t="s">
        <v>84</v>
      </c>
      <c r="B27" s="2" t="s">
        <v>783</v>
      </c>
      <c r="C27" s="51">
        <f t="shared" si="35"/>
        <v>27.895</v>
      </c>
      <c r="D27" s="51">
        <v>18</v>
      </c>
      <c r="E27" s="51">
        <v>0</v>
      </c>
      <c r="F27" s="51">
        <v>502.11</v>
      </c>
      <c r="G27" s="51">
        <v>-48.370000000000005</v>
      </c>
      <c r="H27" s="51">
        <f t="shared" si="1"/>
        <v>9.6333472745016038E-2</v>
      </c>
      <c r="I27" s="51">
        <f t="shared" si="2"/>
        <v>0.16622694536747237</v>
      </c>
      <c r="J27" s="51">
        <f t="shared" si="4"/>
        <v>83.464211538461555</v>
      </c>
      <c r="K27" s="51">
        <f t="shared" si="3"/>
        <v>4.6369006410256421</v>
      </c>
      <c r="L27" s="51">
        <v>144</v>
      </c>
      <c r="M27" s="51">
        <f t="shared" si="5"/>
        <v>0.125</v>
      </c>
      <c r="N27" s="51">
        <v>757</v>
      </c>
      <c r="O27" s="51">
        <f t="shared" ref="O27:P27" si="37">D27/7</f>
        <v>2.5714285714285716</v>
      </c>
      <c r="P27" s="51">
        <f t="shared" si="37"/>
        <v>0</v>
      </c>
      <c r="Q27" s="51">
        <f t="shared" si="7"/>
        <v>294</v>
      </c>
      <c r="R27" s="55">
        <v>0</v>
      </c>
      <c r="S27" s="53" t="s">
        <v>34</v>
      </c>
      <c r="T27" s="54" t="s">
        <v>34</v>
      </c>
      <c r="U27" s="55">
        <v>6</v>
      </c>
      <c r="V27" s="55">
        <f t="shared" si="8"/>
        <v>0.33333333333333331</v>
      </c>
      <c r="W27" s="55">
        <f t="shared" si="9"/>
        <v>6.0462500000000006</v>
      </c>
      <c r="X27" s="55">
        <v>2</v>
      </c>
      <c r="Y27" s="55" t="s">
        <v>35</v>
      </c>
      <c r="Z27" s="56">
        <f t="shared" si="19"/>
        <v>-0.75</v>
      </c>
      <c r="AA27" s="55">
        <v>0.22216666666666665</v>
      </c>
      <c r="AB27" s="55">
        <f t="shared" si="27"/>
        <v>-8.9977499999999999</v>
      </c>
      <c r="AC27" s="55">
        <v>-5.8</v>
      </c>
      <c r="AD27" s="55">
        <v>-10.086752136752136</v>
      </c>
      <c r="AE27" s="55">
        <v>0</v>
      </c>
      <c r="AF27" s="55"/>
    </row>
    <row r="28" spans="1:32" s="57" customFormat="1" ht="15.75" customHeight="1">
      <c r="A28" s="2" t="s">
        <v>86</v>
      </c>
      <c r="B28" s="2" t="s">
        <v>784</v>
      </c>
      <c r="C28" s="51">
        <f t="shared" si="35"/>
        <v>24.414666666666673</v>
      </c>
      <c r="D28" s="51">
        <v>30</v>
      </c>
      <c r="E28" s="51">
        <v>0</v>
      </c>
      <c r="F28" s="51">
        <v>732.44000000000017</v>
      </c>
      <c r="G28" s="51">
        <v>-43.64</v>
      </c>
      <c r="H28" s="51">
        <f t="shared" si="1"/>
        <v>5.9581672218884808E-2</v>
      </c>
      <c r="I28" s="51">
        <f t="shared" si="2"/>
        <v>0.1192386897185245</v>
      </c>
      <c r="J28" s="51">
        <f t="shared" si="4"/>
        <v>87.335185897436105</v>
      </c>
      <c r="K28" s="51">
        <f t="shared" si="3"/>
        <v>2.9111728632478702</v>
      </c>
      <c r="L28" s="51">
        <v>144</v>
      </c>
      <c r="M28" s="51">
        <f t="shared" si="5"/>
        <v>0.20833333333333334</v>
      </c>
      <c r="N28" s="51">
        <v>724</v>
      </c>
      <c r="O28" s="51">
        <f t="shared" ref="O28:P28" si="38">D28/7</f>
        <v>4.2857142857142856</v>
      </c>
      <c r="P28" s="51">
        <f t="shared" si="38"/>
        <v>0</v>
      </c>
      <c r="Q28" s="51">
        <f t="shared" si="7"/>
        <v>168</v>
      </c>
      <c r="R28" s="55">
        <v>0</v>
      </c>
      <c r="S28" s="53" t="s">
        <v>34</v>
      </c>
      <c r="T28" s="54" t="s">
        <v>34</v>
      </c>
      <c r="U28" s="55">
        <v>3</v>
      </c>
      <c r="V28" s="55">
        <f t="shared" si="8"/>
        <v>0.1</v>
      </c>
      <c r="W28" s="55">
        <f t="shared" si="9"/>
        <v>4.8488888888888892</v>
      </c>
      <c r="X28" s="55">
        <v>6</v>
      </c>
      <c r="Y28" s="55" t="s">
        <v>35</v>
      </c>
      <c r="Z28" s="56">
        <f t="shared" si="19"/>
        <v>-0.75</v>
      </c>
      <c r="AA28" s="55">
        <v>0.22216666666666665</v>
      </c>
      <c r="AB28" s="55">
        <f t="shared" si="27"/>
        <v>-14.99625</v>
      </c>
      <c r="AC28" s="55">
        <v>-5.8</v>
      </c>
      <c r="AD28" s="55">
        <v>-10.086752136752136</v>
      </c>
      <c r="AE28" s="55">
        <v>0</v>
      </c>
      <c r="AF28" s="55"/>
    </row>
    <row r="29" spans="1:32" s="57" customFormat="1" ht="15.75" customHeight="1">
      <c r="A29" s="2" t="s">
        <v>87</v>
      </c>
      <c r="B29" s="2" t="s">
        <v>785</v>
      </c>
      <c r="C29" s="51">
        <f t="shared" si="35"/>
        <v>24.194000000000003</v>
      </c>
      <c r="D29" s="51">
        <v>15</v>
      </c>
      <c r="E29" s="51">
        <v>0</v>
      </c>
      <c r="F29" s="51">
        <v>362.91</v>
      </c>
      <c r="G29" s="51">
        <v>-35.07</v>
      </c>
      <c r="H29" s="51">
        <f t="shared" si="1"/>
        <v>9.6635529470116555E-2</v>
      </c>
      <c r="I29" s="51">
        <f t="shared" si="2"/>
        <v>7.6063191834664132E-2</v>
      </c>
      <c r="J29" s="51">
        <f t="shared" si="4"/>
        <v>27.604092948717962</v>
      </c>
      <c r="K29" s="51">
        <f t="shared" si="3"/>
        <v>1.8402728632478642</v>
      </c>
      <c r="L29" s="51">
        <v>122</v>
      </c>
      <c r="M29" s="51">
        <f t="shared" si="5"/>
        <v>0.12295081967213115</v>
      </c>
      <c r="N29" s="51">
        <v>705</v>
      </c>
      <c r="O29" s="51">
        <f t="shared" ref="O29:P29" si="39">D29/7</f>
        <v>2.1428571428571428</v>
      </c>
      <c r="P29" s="51">
        <f t="shared" si="39"/>
        <v>0</v>
      </c>
      <c r="Q29" s="51">
        <f t="shared" si="7"/>
        <v>329</v>
      </c>
      <c r="R29" s="55">
        <v>0</v>
      </c>
      <c r="S29" s="53" t="s">
        <v>34</v>
      </c>
      <c r="T29" s="54" t="s">
        <v>34</v>
      </c>
      <c r="U29" s="55">
        <v>3</v>
      </c>
      <c r="V29" s="55">
        <f t="shared" si="8"/>
        <v>0.2</v>
      </c>
      <c r="W29" s="55">
        <f t="shared" si="9"/>
        <v>3.188181818181818</v>
      </c>
      <c r="X29" s="55">
        <v>8</v>
      </c>
      <c r="Y29" s="55" t="s">
        <v>35</v>
      </c>
      <c r="Z29" s="56">
        <f t="shared" si="19"/>
        <v>-0.75</v>
      </c>
      <c r="AA29" s="55">
        <v>0.22216666666666665</v>
      </c>
      <c r="AB29" s="55">
        <f t="shared" si="27"/>
        <v>-7.4981249999999999</v>
      </c>
      <c r="AC29" s="55">
        <v>-5.8</v>
      </c>
      <c r="AD29" s="55">
        <v>-10.086752136752136</v>
      </c>
      <c r="AE29" s="55">
        <v>0</v>
      </c>
      <c r="AF29" s="55"/>
    </row>
    <row r="30" spans="1:32" s="57" customFormat="1" ht="15.75" customHeight="1">
      <c r="A30" s="2" t="s">
        <v>89</v>
      </c>
      <c r="B30" s="2" t="s">
        <v>786</v>
      </c>
      <c r="C30" s="51">
        <f t="shared" si="35"/>
        <v>24.150714285714287</v>
      </c>
      <c r="D30" s="51">
        <v>14</v>
      </c>
      <c r="E30" s="51">
        <v>0</v>
      </c>
      <c r="F30" s="51">
        <v>338.11</v>
      </c>
      <c r="G30" s="51">
        <v>-30.429999999999996</v>
      </c>
      <c r="H30" s="51">
        <f t="shared" si="1"/>
        <v>9.0000295761734336E-2</v>
      </c>
      <c r="I30" s="51">
        <f t="shared" si="2"/>
        <v>8.1484487549821405E-2</v>
      </c>
      <c r="J30" s="51">
        <f t="shared" si="4"/>
        <v>27.550720085470118</v>
      </c>
      <c r="K30" s="51">
        <f t="shared" si="3"/>
        <v>1.9679085775335798</v>
      </c>
      <c r="L30" s="51">
        <v>142</v>
      </c>
      <c r="M30" s="51">
        <f t="shared" si="5"/>
        <v>9.8591549295774641E-2</v>
      </c>
      <c r="N30" s="51">
        <v>688</v>
      </c>
      <c r="O30" s="51">
        <f t="shared" ref="O30:P30" si="40">D30/7</f>
        <v>2</v>
      </c>
      <c r="P30" s="51">
        <f t="shared" si="40"/>
        <v>0</v>
      </c>
      <c r="Q30" s="51">
        <f t="shared" si="7"/>
        <v>344</v>
      </c>
      <c r="R30" s="55">
        <v>0</v>
      </c>
      <c r="S30" s="53" t="s">
        <v>34</v>
      </c>
      <c r="T30" s="54" t="s">
        <v>34</v>
      </c>
      <c r="U30" s="55">
        <v>2</v>
      </c>
      <c r="V30" s="55">
        <f t="shared" si="8"/>
        <v>0.14285714285714285</v>
      </c>
      <c r="W30" s="55">
        <f t="shared" si="9"/>
        <v>10.143333333333333</v>
      </c>
      <c r="X30" s="55">
        <v>1</v>
      </c>
      <c r="Y30" s="55" t="s">
        <v>35</v>
      </c>
      <c r="Z30" s="56">
        <f t="shared" si="19"/>
        <v>-0.75</v>
      </c>
      <c r="AA30" s="55">
        <v>0.22216666666666665</v>
      </c>
      <c r="AB30" s="55">
        <f t="shared" si="27"/>
        <v>-6.9982499999999996</v>
      </c>
      <c r="AC30" s="55">
        <v>-5.8</v>
      </c>
      <c r="AD30" s="55">
        <v>-10.086752136752136</v>
      </c>
      <c r="AE30" s="55">
        <v>0</v>
      </c>
      <c r="AF30" s="55"/>
    </row>
    <row r="31" spans="1:32" s="57" customFormat="1" ht="15.75" customHeight="1">
      <c r="A31" s="2" t="s">
        <v>90</v>
      </c>
      <c r="B31" s="2" t="s">
        <v>787</v>
      </c>
      <c r="C31" s="51">
        <f t="shared" si="35"/>
        <v>23.031724137931032</v>
      </c>
      <c r="D31" s="51">
        <v>29</v>
      </c>
      <c r="E31" s="51">
        <v>0</v>
      </c>
      <c r="F31" s="51">
        <v>667.92</v>
      </c>
      <c r="G31" s="51">
        <v>-29.64</v>
      </c>
      <c r="H31" s="51">
        <f t="shared" si="1"/>
        <v>4.4376572044556237E-2</v>
      </c>
      <c r="I31" s="51">
        <f t="shared" si="2"/>
        <v>9.4142731216594944E-2</v>
      </c>
      <c r="J31" s="51">
        <f t="shared" si="4"/>
        <v>62.879813034188089</v>
      </c>
      <c r="K31" s="51">
        <f t="shared" si="3"/>
        <v>2.168269414972003</v>
      </c>
      <c r="L31" s="51">
        <v>131</v>
      </c>
      <c r="M31" s="51">
        <f t="shared" si="5"/>
        <v>0.22137404580152673</v>
      </c>
      <c r="N31" s="51">
        <v>671</v>
      </c>
      <c r="O31" s="51">
        <f t="shared" ref="O31:P31" si="41">D31/7</f>
        <v>4.1428571428571432</v>
      </c>
      <c r="P31" s="51">
        <f t="shared" si="41"/>
        <v>0</v>
      </c>
      <c r="Q31" s="51">
        <f t="shared" si="7"/>
        <v>161</v>
      </c>
      <c r="R31" s="55">
        <v>0</v>
      </c>
      <c r="S31" s="53" t="s">
        <v>34</v>
      </c>
      <c r="T31" s="54" t="s">
        <v>34</v>
      </c>
      <c r="U31" s="55">
        <v>6</v>
      </c>
      <c r="V31" s="55">
        <f t="shared" si="8"/>
        <v>0.20689655172413793</v>
      </c>
      <c r="W31" s="55">
        <f t="shared" si="9"/>
        <v>4.9400000000000004</v>
      </c>
      <c r="X31" s="55">
        <v>0</v>
      </c>
      <c r="Y31" s="55" t="s">
        <v>35</v>
      </c>
      <c r="Z31" s="56">
        <f t="shared" si="19"/>
        <v>-0.75</v>
      </c>
      <c r="AA31" s="55">
        <v>0.22216666666666665</v>
      </c>
      <c r="AB31" s="55">
        <f t="shared" si="27"/>
        <v>-14.496374999999999</v>
      </c>
      <c r="AC31" s="55">
        <v>-5.8</v>
      </c>
      <c r="AD31" s="55">
        <v>-10.086752136752136</v>
      </c>
      <c r="AE31" s="55">
        <v>0</v>
      </c>
      <c r="AF31" s="55"/>
    </row>
    <row r="32" spans="1:32" s="57" customFormat="1" ht="15.75" customHeight="1">
      <c r="A32" s="2" t="s">
        <v>92</v>
      </c>
      <c r="B32" s="2" t="s">
        <v>555</v>
      </c>
      <c r="C32" s="51">
        <f t="shared" si="35"/>
        <v>22.139285714285712</v>
      </c>
      <c r="D32" s="51">
        <v>28</v>
      </c>
      <c r="E32" s="51">
        <v>0</v>
      </c>
      <c r="F32" s="51">
        <v>619.9</v>
      </c>
      <c r="G32" s="51">
        <v>-23.27</v>
      </c>
      <c r="H32" s="51">
        <f t="shared" si="1"/>
        <v>3.7538312631069527E-2</v>
      </c>
      <c r="I32" s="51">
        <f t="shared" si="2"/>
        <v>7.2301081095241485E-2</v>
      </c>
      <c r="J32" s="51">
        <f t="shared" si="4"/>
        <v>44.819440170940197</v>
      </c>
      <c r="K32" s="51">
        <f t="shared" si="3"/>
        <v>1.6006942918192928</v>
      </c>
      <c r="L32" s="51">
        <v>172</v>
      </c>
      <c r="M32" s="51">
        <f t="shared" si="5"/>
        <v>0.16279069767441862</v>
      </c>
      <c r="N32" s="51">
        <v>634</v>
      </c>
      <c r="O32" s="51">
        <f t="shared" ref="O32:P32" si="42">D32/7</f>
        <v>4</v>
      </c>
      <c r="P32" s="51">
        <f t="shared" si="42"/>
        <v>0</v>
      </c>
      <c r="Q32" s="51">
        <f t="shared" si="7"/>
        <v>158</v>
      </c>
      <c r="R32" s="55">
        <v>0</v>
      </c>
      <c r="S32" s="53" t="s">
        <v>34</v>
      </c>
      <c r="T32" s="54" t="s">
        <v>34</v>
      </c>
      <c r="U32" s="55">
        <v>3</v>
      </c>
      <c r="V32" s="55">
        <f t="shared" si="8"/>
        <v>0.10714285714285714</v>
      </c>
      <c r="W32" s="55">
        <f t="shared" si="9"/>
        <v>3.3242857142857143</v>
      </c>
      <c r="X32" s="55">
        <v>4</v>
      </c>
      <c r="Y32" s="55" t="s">
        <v>35</v>
      </c>
      <c r="Z32" s="56">
        <f t="shared" si="19"/>
        <v>-0.75</v>
      </c>
      <c r="AA32" s="55">
        <v>0.22216666666666665</v>
      </c>
      <c r="AB32" s="55">
        <f t="shared" si="27"/>
        <v>-13.996499999999999</v>
      </c>
      <c r="AC32" s="55">
        <v>-5.8</v>
      </c>
      <c r="AD32" s="55">
        <v>-10.086752136752136</v>
      </c>
      <c r="AE32" s="55">
        <v>0</v>
      </c>
      <c r="AF32" s="52">
        <v>0.331526936563595</v>
      </c>
    </row>
    <row r="33" spans="1:32" s="57" customFormat="1" ht="15.75" customHeight="1">
      <c r="A33" s="2" t="s">
        <v>94</v>
      </c>
      <c r="B33" s="2" t="s">
        <v>788</v>
      </c>
      <c r="C33" s="51">
        <f t="shared" si="35"/>
        <v>21.993529411764708</v>
      </c>
      <c r="D33" s="51">
        <v>17</v>
      </c>
      <c r="E33" s="51">
        <v>0</v>
      </c>
      <c r="F33" s="51">
        <v>373.89000000000004</v>
      </c>
      <c r="G33" s="51">
        <v>-21.15</v>
      </c>
      <c r="H33" s="51">
        <f t="shared" si="1"/>
        <v>5.6567439621278977E-2</v>
      </c>
      <c r="I33" s="51">
        <f t="shared" si="2"/>
        <v>4.8366735337168044E-2</v>
      </c>
      <c r="J33" s="51">
        <f t="shared" si="4"/>
        <v>18.083838675213762</v>
      </c>
      <c r="K33" s="51">
        <f t="shared" si="3"/>
        <v>1.0637552161890449</v>
      </c>
      <c r="L33" s="51">
        <v>157</v>
      </c>
      <c r="M33" s="51">
        <f t="shared" si="5"/>
        <v>0.10828025477707007</v>
      </c>
      <c r="N33" s="51">
        <v>618</v>
      </c>
      <c r="O33" s="51">
        <f t="shared" ref="O33:P33" si="43">D33/7</f>
        <v>2.4285714285714284</v>
      </c>
      <c r="P33" s="51">
        <f t="shared" si="43"/>
        <v>0</v>
      </c>
      <c r="Q33" s="51">
        <f t="shared" si="7"/>
        <v>254</v>
      </c>
      <c r="R33" s="55">
        <v>0</v>
      </c>
      <c r="S33" s="53" t="s">
        <v>34</v>
      </c>
      <c r="T33" s="54" t="s">
        <v>34</v>
      </c>
      <c r="U33" s="55">
        <v>0</v>
      </c>
      <c r="V33" s="55">
        <f t="shared" si="8"/>
        <v>0</v>
      </c>
      <c r="W33" s="55">
        <f t="shared" si="9"/>
        <v>10.574999999999999</v>
      </c>
      <c r="X33" s="55">
        <v>2</v>
      </c>
      <c r="Y33" s="55" t="s">
        <v>35</v>
      </c>
      <c r="Z33" s="56">
        <f t="shared" si="19"/>
        <v>-0.75</v>
      </c>
      <c r="AA33" s="55">
        <v>0.22216666666666665</v>
      </c>
      <c r="AB33" s="55">
        <f t="shared" si="27"/>
        <v>-8.4978749999999987</v>
      </c>
      <c r="AC33" s="55">
        <v>-5.8</v>
      </c>
      <c r="AD33" s="55">
        <v>-10.086752136752136</v>
      </c>
      <c r="AE33" s="55">
        <v>0</v>
      </c>
      <c r="AF33" s="55">
        <v>0.32249674902470699</v>
      </c>
    </row>
    <row r="34" spans="1:32" s="57" customFormat="1" ht="15.75" customHeight="1">
      <c r="A34" s="2" t="s">
        <v>95</v>
      </c>
      <c r="B34" s="2" t="s">
        <v>789</v>
      </c>
      <c r="C34" s="51">
        <f t="shared" si="35"/>
        <v>21.590000000000003</v>
      </c>
      <c r="D34" s="51">
        <v>20</v>
      </c>
      <c r="E34" s="51">
        <v>0</v>
      </c>
      <c r="F34" s="51">
        <v>431.80000000000007</v>
      </c>
      <c r="G34" s="51">
        <v>-14.01</v>
      </c>
      <c r="H34" s="51">
        <f t="shared" si="1"/>
        <v>3.244557665585919E-2</v>
      </c>
      <c r="I34" s="51">
        <f t="shared" si="2"/>
        <v>5.856289315645509E-2</v>
      </c>
      <c r="J34" s="51">
        <f t="shared" si="4"/>
        <v>25.287457264957311</v>
      </c>
      <c r="K34" s="51">
        <f t="shared" si="3"/>
        <v>1.2643728632478655</v>
      </c>
      <c r="L34" s="51">
        <v>134</v>
      </c>
      <c r="M34" s="51">
        <f t="shared" si="5"/>
        <v>0.14925373134328357</v>
      </c>
      <c r="N34" s="51">
        <v>588</v>
      </c>
      <c r="O34" s="51">
        <f t="shared" ref="O34:P34" si="44">D34/7</f>
        <v>2.8571428571428572</v>
      </c>
      <c r="P34" s="51">
        <f t="shared" si="44"/>
        <v>0</v>
      </c>
      <c r="Q34" s="51">
        <f t="shared" si="7"/>
        <v>205</v>
      </c>
      <c r="R34" s="55">
        <v>0</v>
      </c>
      <c r="S34" s="53" t="s">
        <v>34</v>
      </c>
      <c r="T34" s="54" t="s">
        <v>34</v>
      </c>
      <c r="U34" s="55">
        <v>1</v>
      </c>
      <c r="V34" s="55">
        <f t="shared" si="8"/>
        <v>0.05</v>
      </c>
      <c r="W34" s="55">
        <f t="shared" si="9"/>
        <v>7.0049999999999999</v>
      </c>
      <c r="X34" s="55">
        <v>1</v>
      </c>
      <c r="Y34" s="55" t="s">
        <v>35</v>
      </c>
      <c r="Z34" s="56">
        <f t="shared" si="19"/>
        <v>-0.75</v>
      </c>
      <c r="AA34" s="55">
        <v>0.22216666666666665</v>
      </c>
      <c r="AB34" s="55">
        <f t="shared" si="27"/>
        <v>-9.9975000000000005</v>
      </c>
      <c r="AC34" s="55">
        <v>-5.8</v>
      </c>
      <c r="AD34" s="55">
        <v>-10.086752136752136</v>
      </c>
      <c r="AE34" s="55">
        <v>0</v>
      </c>
      <c r="AF34" s="55">
        <v>0.36130771823390601</v>
      </c>
    </row>
    <row r="35" spans="1:32" s="57" customFormat="1" ht="15.75" customHeight="1">
      <c r="A35" s="2" t="s">
        <v>96</v>
      </c>
      <c r="B35" s="2" t="s">
        <v>790</v>
      </c>
      <c r="C35" s="51">
        <f t="shared" si="35"/>
        <v>17.990000000000006</v>
      </c>
      <c r="D35" s="51">
        <v>32</v>
      </c>
      <c r="E35" s="51">
        <v>150</v>
      </c>
      <c r="F35" s="51">
        <v>575.68000000000018</v>
      </c>
      <c r="G35" s="51">
        <v>-33.39</v>
      </c>
      <c r="H35" s="51">
        <f t="shared" si="1"/>
        <v>5.8000972762645896E-2</v>
      </c>
      <c r="I35" s="51">
        <f t="shared" si="2"/>
        <v>-0.11887518825748358</v>
      </c>
      <c r="J35" s="51">
        <f t="shared" si="4"/>
        <v>-68.434068376068169</v>
      </c>
      <c r="K35" s="51">
        <f t="shared" si="3"/>
        <v>-2.1385646367521303</v>
      </c>
      <c r="L35" s="51">
        <v>155</v>
      </c>
      <c r="M35" s="51">
        <f t="shared" si="5"/>
        <v>0.20645161290322581</v>
      </c>
      <c r="N35" s="51">
        <v>566</v>
      </c>
      <c r="O35" s="51">
        <f t="shared" ref="O35:P35" si="45">D35/7</f>
        <v>4.5714285714285712</v>
      </c>
      <c r="P35" s="51">
        <f t="shared" si="45"/>
        <v>21.428571428571427</v>
      </c>
      <c r="Q35" s="51">
        <f t="shared" si="7"/>
        <v>21</v>
      </c>
      <c r="R35" s="55">
        <v>0</v>
      </c>
      <c r="S35" s="53" t="s">
        <v>34</v>
      </c>
      <c r="T35" s="54" t="s">
        <v>34</v>
      </c>
      <c r="U35" s="55">
        <v>0</v>
      </c>
      <c r="V35" s="55">
        <f t="shared" si="8"/>
        <v>0</v>
      </c>
      <c r="W35" s="55">
        <f t="shared" si="9"/>
        <v>11.13</v>
      </c>
      <c r="X35" s="55">
        <v>3</v>
      </c>
      <c r="Y35" s="55" t="s">
        <v>35</v>
      </c>
      <c r="Z35" s="56">
        <f t="shared" si="19"/>
        <v>-0.75</v>
      </c>
      <c r="AA35" s="55">
        <v>0.22216666666666665</v>
      </c>
      <c r="AB35" s="55">
        <f t="shared" si="27"/>
        <v>-15.995999999999999</v>
      </c>
      <c r="AC35" s="55">
        <v>-5.8</v>
      </c>
      <c r="AD35" s="55">
        <v>-10.086752136752136</v>
      </c>
      <c r="AE35" s="55">
        <v>0</v>
      </c>
      <c r="AF35" s="55">
        <v>0.380821917808219</v>
      </c>
    </row>
    <row r="36" spans="1:32" s="57" customFormat="1" ht="15.75" customHeight="1">
      <c r="A36" s="2" t="s">
        <v>98</v>
      </c>
      <c r="B36" s="2" t="s">
        <v>791</v>
      </c>
      <c r="C36" s="51">
        <f t="shared" si="35"/>
        <v>18.684000000000005</v>
      </c>
      <c r="D36" s="51">
        <v>20</v>
      </c>
      <c r="E36" s="51">
        <v>1</v>
      </c>
      <c r="F36" s="51">
        <v>373.68000000000006</v>
      </c>
      <c r="G36" s="51">
        <v>-51.33</v>
      </c>
      <c r="H36" s="51">
        <f t="shared" si="1"/>
        <v>0.1373635195889531</v>
      </c>
      <c r="I36" s="51">
        <f t="shared" si="2"/>
        <v>-0.16440414990109894</v>
      </c>
      <c r="J36" s="51">
        <f t="shared" si="4"/>
        <v>-61.434542735042669</v>
      </c>
      <c r="K36" s="51">
        <f t="shared" si="3"/>
        <v>-3.0717271367521333</v>
      </c>
      <c r="L36" s="51">
        <v>134</v>
      </c>
      <c r="M36" s="51">
        <f t="shared" si="5"/>
        <v>0.14925373134328357</v>
      </c>
      <c r="N36" s="51">
        <v>539</v>
      </c>
      <c r="O36" s="51">
        <f t="shared" ref="O36:P36" si="46">D36/7</f>
        <v>2.8571428571428572</v>
      </c>
      <c r="P36" s="51">
        <f t="shared" si="46"/>
        <v>0.14285714285714285</v>
      </c>
      <c r="Q36" s="51">
        <f t="shared" si="7"/>
        <v>179</v>
      </c>
      <c r="R36" s="55">
        <v>0</v>
      </c>
      <c r="S36" s="53"/>
      <c r="T36" s="54" t="s">
        <v>34</v>
      </c>
      <c r="U36" s="55"/>
      <c r="V36" s="55">
        <f t="shared" si="8"/>
        <v>0</v>
      </c>
      <c r="W36" s="55">
        <f t="shared" si="9"/>
        <v>0</v>
      </c>
      <c r="X36" s="55"/>
      <c r="Y36" s="55" t="s">
        <v>35</v>
      </c>
      <c r="Z36" s="56">
        <f t="shared" si="19"/>
        <v>-0.75</v>
      </c>
      <c r="AA36" s="55">
        <v>0.22216666666666665</v>
      </c>
      <c r="AB36" s="55">
        <f t="shared" si="27"/>
        <v>-9.9975000000000005</v>
      </c>
      <c r="AC36" s="55">
        <v>-5.8</v>
      </c>
      <c r="AD36" s="55">
        <v>-10.086752136752136</v>
      </c>
      <c r="AE36" s="55">
        <v>0</v>
      </c>
      <c r="AF36" s="55">
        <v>0.42424242424242398</v>
      </c>
    </row>
    <row r="37" spans="1:32" s="57" customFormat="1" ht="15.75" customHeight="1">
      <c r="A37" s="2" t="s">
        <v>99</v>
      </c>
      <c r="B37" s="2"/>
      <c r="C37" s="51">
        <f t="shared" si="35"/>
        <v>19.296666666666667</v>
      </c>
      <c r="D37" s="51">
        <v>33</v>
      </c>
      <c r="E37" s="51">
        <v>0</v>
      </c>
      <c r="F37" s="51">
        <v>636.79</v>
      </c>
      <c r="G37" s="51">
        <v>-35</v>
      </c>
      <c r="H37" s="51">
        <f t="shared" si="1"/>
        <v>5.4963174672969115E-2</v>
      </c>
      <c r="I37" s="51">
        <f t="shared" si="2"/>
        <v>-5.4157878598628313E-2</v>
      </c>
      <c r="J37" s="51">
        <f t="shared" si="4"/>
        <v>-34.48719551282052</v>
      </c>
      <c r="K37" s="51">
        <f t="shared" si="3"/>
        <v>-1.045066530691531</v>
      </c>
      <c r="L37" s="51">
        <v>144</v>
      </c>
      <c r="M37" s="51">
        <f t="shared" si="5"/>
        <v>0.22916666666666666</v>
      </c>
      <c r="N37" s="51">
        <v>511</v>
      </c>
      <c r="O37" s="51">
        <f t="shared" ref="O37:P37" si="47">D37/7</f>
        <v>4.7142857142857144</v>
      </c>
      <c r="P37" s="51">
        <f t="shared" si="47"/>
        <v>0</v>
      </c>
      <c r="Q37" s="51">
        <f t="shared" si="7"/>
        <v>108</v>
      </c>
      <c r="R37" s="55">
        <v>0</v>
      </c>
      <c r="S37" s="53" t="s">
        <v>34</v>
      </c>
      <c r="T37" s="54" t="s">
        <v>34</v>
      </c>
      <c r="U37" s="55">
        <v>1</v>
      </c>
      <c r="V37" s="55">
        <f t="shared" si="8"/>
        <v>3.0303030303030304E-2</v>
      </c>
      <c r="W37" s="55">
        <f t="shared" si="9"/>
        <v>8.75</v>
      </c>
      <c r="X37" s="55">
        <v>3</v>
      </c>
      <c r="Y37" s="55" t="s">
        <v>35</v>
      </c>
      <c r="Z37" s="56">
        <f t="shared" si="19"/>
        <v>-0.75</v>
      </c>
      <c r="AA37" s="55">
        <v>0.22216666666666665</v>
      </c>
      <c r="AB37" s="55">
        <f t="shared" si="27"/>
        <v>-16.495874999999998</v>
      </c>
      <c r="AC37" s="55">
        <v>-5.8</v>
      </c>
      <c r="AD37" s="55">
        <v>-10.086752136752136</v>
      </c>
      <c r="AE37" s="55">
        <v>0</v>
      </c>
      <c r="AF37" s="55">
        <v>0.44575645756457499</v>
      </c>
    </row>
    <row r="38" spans="1:32" s="57" customFormat="1" ht="15.75" customHeight="1">
      <c r="A38" s="2" t="s">
        <v>100</v>
      </c>
      <c r="B38" s="2" t="s">
        <v>792</v>
      </c>
      <c r="C38" s="51">
        <f t="shared" si="35"/>
        <v>19.124583333333337</v>
      </c>
      <c r="D38" s="51">
        <v>24</v>
      </c>
      <c r="E38" s="51">
        <v>1</v>
      </c>
      <c r="F38" s="51">
        <v>458.99000000000007</v>
      </c>
      <c r="G38" s="51">
        <v>-56.24</v>
      </c>
      <c r="H38" s="51">
        <f t="shared" si="1"/>
        <v>0.12252990261225734</v>
      </c>
      <c r="I38" s="51">
        <f t="shared" si="2"/>
        <v>-0.12936567524793824</v>
      </c>
      <c r="J38" s="51">
        <f t="shared" si="4"/>
        <v>-59.377551282051186</v>
      </c>
      <c r="K38" s="51">
        <f t="shared" si="3"/>
        <v>-2.4740646367521326</v>
      </c>
      <c r="L38" s="51">
        <v>124</v>
      </c>
      <c r="M38" s="51">
        <f t="shared" si="5"/>
        <v>0.19354838709677419</v>
      </c>
      <c r="N38" s="51">
        <v>476</v>
      </c>
      <c r="O38" s="51">
        <f t="shared" ref="O38:P38" si="48">D38/7</f>
        <v>3.4285714285714284</v>
      </c>
      <c r="P38" s="51">
        <f t="shared" si="48"/>
        <v>0.14285714285714285</v>
      </c>
      <c r="Q38" s="51">
        <f t="shared" si="7"/>
        <v>133</v>
      </c>
      <c r="R38" s="55">
        <v>0</v>
      </c>
      <c r="S38" s="53"/>
      <c r="T38" s="54" t="s">
        <v>34</v>
      </c>
      <c r="U38" s="55">
        <v>3</v>
      </c>
      <c r="V38" s="55">
        <f t="shared" si="8"/>
        <v>0.125</v>
      </c>
      <c r="W38" s="55">
        <f t="shared" si="9"/>
        <v>14.06</v>
      </c>
      <c r="X38" s="55">
        <v>1</v>
      </c>
      <c r="Y38" s="55" t="s">
        <v>35</v>
      </c>
      <c r="Z38" s="56">
        <f t="shared" si="19"/>
        <v>-0.75</v>
      </c>
      <c r="AA38" s="55">
        <v>0.22216666666666665</v>
      </c>
      <c r="AB38" s="55">
        <f t="shared" si="27"/>
        <v>-11.997</v>
      </c>
      <c r="AC38" s="55">
        <v>-5.8</v>
      </c>
      <c r="AD38" s="55">
        <v>-10.086752136752136</v>
      </c>
      <c r="AE38" s="55">
        <v>0</v>
      </c>
      <c r="AF38" s="55">
        <v>0.47040737893927698</v>
      </c>
    </row>
    <row r="39" spans="1:32" s="57" customFormat="1" ht="15.75" customHeight="1">
      <c r="A39" s="2" t="s">
        <v>101</v>
      </c>
      <c r="B39" s="2" t="s">
        <v>793</v>
      </c>
      <c r="C39" s="51">
        <f t="shared" si="35"/>
        <v>19.017272727272733</v>
      </c>
      <c r="D39" s="51">
        <v>22</v>
      </c>
      <c r="E39" s="51">
        <v>1</v>
      </c>
      <c r="F39" s="51">
        <v>418.38000000000011</v>
      </c>
      <c r="G39" s="51">
        <v>-52.43</v>
      </c>
      <c r="H39" s="51">
        <f t="shared" si="1"/>
        <v>0.12531669773889761</v>
      </c>
      <c r="I39" s="51">
        <f t="shared" si="2"/>
        <v>-0.13698742054722043</v>
      </c>
      <c r="J39" s="51">
        <f>F39*0.85+G39+AD39*D39+D39*AC39+AE40+AB39</f>
        <v>-57.312797008546106</v>
      </c>
      <c r="K39" s="51">
        <f t="shared" si="3"/>
        <v>-2.6051271367520958</v>
      </c>
      <c r="L39" s="51">
        <v>142</v>
      </c>
      <c r="M39" s="51">
        <f t="shared" si="5"/>
        <v>0.15492957746478872</v>
      </c>
      <c r="N39" s="51">
        <v>331</v>
      </c>
      <c r="O39" s="51">
        <f t="shared" ref="O39:P39" si="49">D39/7</f>
        <v>3.1428571428571428</v>
      </c>
      <c r="P39" s="51">
        <f t="shared" si="49"/>
        <v>0.14285714285714285</v>
      </c>
      <c r="Q39" s="51">
        <f t="shared" si="7"/>
        <v>100</v>
      </c>
      <c r="R39" s="55">
        <v>0</v>
      </c>
      <c r="S39" s="53" t="s">
        <v>34</v>
      </c>
      <c r="T39" s="54" t="s">
        <v>34</v>
      </c>
      <c r="U39" s="55">
        <v>4</v>
      </c>
      <c r="V39" s="55">
        <f t="shared" si="8"/>
        <v>0.18181818181818182</v>
      </c>
      <c r="W39" s="55">
        <f t="shared" si="9"/>
        <v>5.8255555555555558</v>
      </c>
      <c r="X39" s="55">
        <v>5</v>
      </c>
      <c r="Y39" s="55" t="s">
        <v>35</v>
      </c>
      <c r="Z39" s="56">
        <f t="shared" si="19"/>
        <v>-0.75</v>
      </c>
      <c r="AA39" s="55">
        <v>0.22216666666666665</v>
      </c>
      <c r="AB39" s="55">
        <f t="shared" si="27"/>
        <v>-10.997250000000001</v>
      </c>
      <c r="AC39" s="55">
        <v>-5.8</v>
      </c>
      <c r="AD39" s="55">
        <v>-10.0867521367521</v>
      </c>
      <c r="AE39" s="55">
        <v>0</v>
      </c>
      <c r="AF39" s="55">
        <v>0.50322580645161197</v>
      </c>
    </row>
    <row r="40" spans="1:32" s="57" customFormat="1" ht="15.75" customHeight="1">
      <c r="A40" s="2" t="s">
        <v>102</v>
      </c>
      <c r="B40" s="2" t="s">
        <v>794</v>
      </c>
      <c r="C40" s="51">
        <v>19.086923076923082</v>
      </c>
      <c r="D40" s="51">
        <v>26</v>
      </c>
      <c r="E40" s="51">
        <v>0</v>
      </c>
      <c r="F40" s="51">
        <v>496.2600000000001</v>
      </c>
      <c r="G40" s="51">
        <v>-43.6</v>
      </c>
      <c r="H40" s="51">
        <v>8.7857171643896323E-2</v>
      </c>
      <c r="I40" s="51">
        <v>-9.638356014096347E-2</v>
      </c>
      <c r="J40" s="51">
        <v>-47.831305555554543</v>
      </c>
      <c r="K40" s="51">
        <v>-1.8396655982905594</v>
      </c>
      <c r="L40" s="51">
        <v>133</v>
      </c>
      <c r="M40" s="51">
        <v>0.19548872180451127</v>
      </c>
      <c r="N40" s="51">
        <v>429</v>
      </c>
      <c r="O40" s="51">
        <v>3.7142857142857144</v>
      </c>
      <c r="P40" s="51">
        <v>0</v>
      </c>
      <c r="Q40" s="51">
        <v>115</v>
      </c>
      <c r="R40" s="55">
        <v>0</v>
      </c>
      <c r="S40" s="53" t="s">
        <v>34</v>
      </c>
      <c r="T40" s="54" t="s">
        <v>34</v>
      </c>
      <c r="U40" s="55">
        <v>4</v>
      </c>
      <c r="V40" s="55">
        <v>0.15384615384615385</v>
      </c>
      <c r="W40" s="55">
        <v>5.45</v>
      </c>
      <c r="X40" s="55">
        <v>4</v>
      </c>
      <c r="Y40" s="55" t="s">
        <v>35</v>
      </c>
      <c r="Z40" s="56">
        <v>-0.75</v>
      </c>
      <c r="AA40" s="55">
        <v>0.22216666666666665</v>
      </c>
      <c r="AB40" s="55">
        <v>-12.99675</v>
      </c>
      <c r="AC40" s="55">
        <v>-5.8</v>
      </c>
      <c r="AD40" s="55">
        <v>-10.0867521367521</v>
      </c>
      <c r="AE40" s="55">
        <v>0</v>
      </c>
      <c r="AF40" s="55">
        <v>0.52404643449419497</v>
      </c>
    </row>
    <row r="41" spans="1:32" s="57" customFormat="1" ht="15.75" customHeight="1">
      <c r="A41" s="2" t="s">
        <v>105</v>
      </c>
      <c r="B41" s="2" t="s">
        <v>795</v>
      </c>
      <c r="C41" s="51">
        <f t="shared" ref="C41:C56" si="50">IFERROR(F41/D41," - ")</f>
        <v>22.852142857142862</v>
      </c>
      <c r="D41" s="51">
        <v>28</v>
      </c>
      <c r="E41" s="51">
        <v>0</v>
      </c>
      <c r="F41" s="51">
        <v>639.86000000000013</v>
      </c>
      <c r="G41" s="51">
        <v>-40.6</v>
      </c>
      <c r="H41" s="51">
        <f t="shared" ref="H41:H56" si="51">G41/F41*-1</f>
        <v>6.3451379989372669E-2</v>
      </c>
      <c r="I41" s="51">
        <f t="shared" ref="I41:I56" si="52">J41/F41</f>
        <v>6.9476823322197415E-2</v>
      </c>
      <c r="J41" s="51">
        <f t="shared" ref="J41:J48" si="53">F41*0.85+G41+AD41*D41+D41*AC41+AE42+AB41</f>
        <v>44.455440170941245</v>
      </c>
      <c r="K41" s="51">
        <f t="shared" ref="K41:K56" si="54">J41/D41</f>
        <v>1.5876942918193302</v>
      </c>
      <c r="L41" s="51">
        <v>106</v>
      </c>
      <c r="M41" s="51">
        <f t="shared" ref="M41:M56" si="55">IFERROR(D41/L41,"-")</f>
        <v>0.26415094339622641</v>
      </c>
      <c r="N41" s="51">
        <v>401</v>
      </c>
      <c r="O41" s="51">
        <f t="shared" ref="O41:P41" si="56">D41/7</f>
        <v>4</v>
      </c>
      <c r="P41" s="51">
        <f t="shared" si="56"/>
        <v>0</v>
      </c>
      <c r="Q41" s="51">
        <f t="shared" ref="Q41:Q56" si="57">ROUNDDOWN(N41/(O41+P41),0)</f>
        <v>100</v>
      </c>
      <c r="R41" s="55">
        <v>0</v>
      </c>
      <c r="S41" s="53" t="s">
        <v>34</v>
      </c>
      <c r="T41" s="54" t="s">
        <v>34</v>
      </c>
      <c r="U41" s="55">
        <v>3</v>
      </c>
      <c r="V41" s="55">
        <f t="shared" ref="V41:V56" si="58">IFERROR(U41/D41,0)</f>
        <v>0.10714285714285714</v>
      </c>
      <c r="W41" s="55">
        <f t="shared" ref="W41:W56" si="59">IFERROR(G41/(U41+X41)*-1,0)</f>
        <v>10.15</v>
      </c>
      <c r="X41" s="55">
        <v>1</v>
      </c>
      <c r="Y41" s="52" t="s">
        <v>35</v>
      </c>
      <c r="Z41" s="56">
        <f t="shared" ref="Z41:Z43" si="60">IF(OR(Y41="UsLargeStandardSize",Y41="UsSmallStandardSize"),-0.75,-0.48)</f>
        <v>-0.75</v>
      </c>
      <c r="AA41" s="55">
        <v>0.22216666666666665</v>
      </c>
      <c r="AB41" s="55">
        <f t="shared" ref="AB41:AB56" si="61">IFERROR(Z41*AA41*D41*3,0)</f>
        <v>-13.996499999999999</v>
      </c>
      <c r="AC41" s="55">
        <v>-5.8</v>
      </c>
      <c r="AD41" s="55">
        <v>-10.0867521367521</v>
      </c>
      <c r="AE41" s="55">
        <v>0</v>
      </c>
      <c r="AF41" s="55">
        <v>0.54878048780487798</v>
      </c>
    </row>
    <row r="42" spans="1:32" s="57" customFormat="1" ht="15.75" customHeight="1">
      <c r="A42" s="2" t="s">
        <v>106</v>
      </c>
      <c r="B42" s="2" t="s">
        <v>796</v>
      </c>
      <c r="C42" s="51">
        <f t="shared" si="50"/>
        <v>24.15148148148149</v>
      </c>
      <c r="D42" s="51">
        <v>27</v>
      </c>
      <c r="E42" s="51">
        <v>0</v>
      </c>
      <c r="F42" s="51">
        <v>652.09000000000026</v>
      </c>
      <c r="G42" s="51">
        <v>-60.169999999999995</v>
      </c>
      <c r="H42" s="51">
        <f t="shared" si="51"/>
        <v>9.2272539066693207E-2</v>
      </c>
      <c r="I42" s="51">
        <f t="shared" si="52"/>
        <v>7.9233797953800006E-2</v>
      </c>
      <c r="J42" s="51">
        <f t="shared" si="53"/>
        <v>51.667567307693467</v>
      </c>
      <c r="K42" s="51">
        <f t="shared" si="54"/>
        <v>1.9136136039886469</v>
      </c>
      <c r="L42" s="51">
        <v>103</v>
      </c>
      <c r="M42" s="51">
        <f t="shared" si="55"/>
        <v>0.26213592233009708</v>
      </c>
      <c r="N42" s="51">
        <v>374</v>
      </c>
      <c r="O42" s="51">
        <f t="shared" ref="O42:P42" si="62">D42/7</f>
        <v>3.8571428571428572</v>
      </c>
      <c r="P42" s="51">
        <f t="shared" si="62"/>
        <v>0</v>
      </c>
      <c r="Q42" s="51">
        <f t="shared" si="57"/>
        <v>96</v>
      </c>
      <c r="R42" s="55">
        <f ca="1">IFERROR(__xludf.DUMMYFUNCTION("IFERROR(VLOOKUP($B$2,IMPORTRANGE(""https://docs.google.com/spreadsheets/d/1iVgg6Mw12RULLujzHmfOFIY8Q_KaAD8anoZzgtVAQ74/edit#gid=1503384807"",""Second Star - Summary!A1:AD2000""),9,FALSE),"""")"),1220)</f>
        <v>1220</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3</v>
      </c>
      <c r="V42" s="55">
        <f t="shared" si="58"/>
        <v>0.1111111111111111</v>
      </c>
      <c r="W42" s="55">
        <f t="shared" si="59"/>
        <v>10.028333333333332</v>
      </c>
      <c r="X42" s="55">
        <v>3</v>
      </c>
      <c r="Y42" s="55" t="s">
        <v>35</v>
      </c>
      <c r="Z42" s="56">
        <f t="shared" si="60"/>
        <v>-0.75</v>
      </c>
      <c r="AA42" s="55">
        <v>0.22216666666666665</v>
      </c>
      <c r="AB42" s="55">
        <f t="shared" si="61"/>
        <v>-13.496625</v>
      </c>
      <c r="AC42" s="55">
        <v>-5.8</v>
      </c>
      <c r="AD42" s="55">
        <v>-10.0867521367521</v>
      </c>
      <c r="AE42" s="55">
        <v>0</v>
      </c>
      <c r="AF42" s="55">
        <v>0.59043280182232305</v>
      </c>
    </row>
    <row r="43" spans="1:32" s="57" customFormat="1" ht="15.75" customHeight="1">
      <c r="A43" s="2" t="s">
        <v>107</v>
      </c>
      <c r="B43" s="2" t="s">
        <v>797</v>
      </c>
      <c r="C43" s="51">
        <f t="shared" si="50"/>
        <v>26.080000000000002</v>
      </c>
      <c r="D43" s="51">
        <v>24</v>
      </c>
      <c r="E43" s="51">
        <v>0</v>
      </c>
      <c r="F43" s="51">
        <v>625.92000000000007</v>
      </c>
      <c r="G43" s="51">
        <v>-65.489999999999995</v>
      </c>
      <c r="H43" s="51">
        <f t="shared" si="51"/>
        <v>0.10462998466257667</v>
      </c>
      <c r="I43" s="51">
        <f t="shared" si="52"/>
        <v>0.11704842267054837</v>
      </c>
      <c r="J43" s="51">
        <f t="shared" si="53"/>
        <v>73.262948717949641</v>
      </c>
      <c r="K43" s="51">
        <f t="shared" si="54"/>
        <v>3.0526228632479016</v>
      </c>
      <c r="L43" s="51">
        <v>148</v>
      </c>
      <c r="M43" s="51">
        <f t="shared" si="55"/>
        <v>0.16216216216216217</v>
      </c>
      <c r="N43" s="51">
        <v>348</v>
      </c>
      <c r="O43" s="51">
        <f t="shared" ref="O43:P43" si="63">D43/7</f>
        <v>3.4285714285714284</v>
      </c>
      <c r="P43" s="51">
        <f t="shared" si="63"/>
        <v>0</v>
      </c>
      <c r="Q43" s="51">
        <f t="shared" si="57"/>
        <v>101</v>
      </c>
      <c r="R43" s="55">
        <v>0</v>
      </c>
      <c r="S43" s="53" t="s">
        <v>34</v>
      </c>
      <c r="T43" s="54" t="s">
        <v>34</v>
      </c>
      <c r="U43" s="55">
        <v>4</v>
      </c>
      <c r="V43" s="55">
        <f t="shared" si="58"/>
        <v>0.16666666666666666</v>
      </c>
      <c r="W43" s="55">
        <f t="shared" si="59"/>
        <v>13.097999999999999</v>
      </c>
      <c r="X43" s="55">
        <v>1</v>
      </c>
      <c r="Y43" s="55" t="s">
        <v>35</v>
      </c>
      <c r="Z43" s="56">
        <f t="shared" si="60"/>
        <v>-0.75</v>
      </c>
      <c r="AA43" s="55">
        <v>0.22216666666666665</v>
      </c>
      <c r="AB43" s="55">
        <f t="shared" si="61"/>
        <v>-11.997</v>
      </c>
      <c r="AC43" s="55">
        <v>-5.8</v>
      </c>
      <c r="AD43" s="55">
        <v>-10.0867521367521</v>
      </c>
      <c r="AE43" s="55">
        <v>0</v>
      </c>
      <c r="AF43" s="55">
        <v>0.63710061993323797</v>
      </c>
    </row>
    <row r="44" spans="1:32" s="57" customFormat="1" ht="15.75" customHeight="1">
      <c r="A44" s="2" t="s">
        <v>108</v>
      </c>
      <c r="B44" s="2" t="s">
        <v>798</v>
      </c>
      <c r="C44" s="51">
        <f t="shared" si="50"/>
        <v>19.801176470588238</v>
      </c>
      <c r="D44" s="51">
        <v>34</v>
      </c>
      <c r="E44" s="51">
        <v>1</v>
      </c>
      <c r="F44" s="51">
        <v>673.24000000000012</v>
      </c>
      <c r="G44" s="51">
        <v>-52.180000000000007</v>
      </c>
      <c r="H44" s="51">
        <f t="shared" si="51"/>
        <v>7.7505792882181679E-2</v>
      </c>
      <c r="I44" s="51">
        <f t="shared" si="52"/>
        <v>-0.11060241912181584</v>
      </c>
      <c r="J44" s="51">
        <f t="shared" si="53"/>
        <v>-74.461972649571308</v>
      </c>
      <c r="K44" s="51">
        <f t="shared" si="54"/>
        <v>-2.1900580191050385</v>
      </c>
      <c r="L44" s="51">
        <v>110</v>
      </c>
      <c r="M44" s="51">
        <f t="shared" si="55"/>
        <v>0.30909090909090908</v>
      </c>
      <c r="N44" s="51">
        <v>296</v>
      </c>
      <c r="O44" s="51">
        <f t="shared" ref="O44:P44" si="64">D44/7</f>
        <v>4.8571428571428568</v>
      </c>
      <c r="P44" s="51">
        <f t="shared" si="64"/>
        <v>0.14285714285714285</v>
      </c>
      <c r="Q44" s="51">
        <f t="shared" si="57"/>
        <v>59</v>
      </c>
      <c r="R44" s="55">
        <v>0</v>
      </c>
      <c r="S44" s="53" t="s">
        <v>34</v>
      </c>
      <c r="T44" s="54" t="s">
        <v>34</v>
      </c>
      <c r="U44" s="55">
        <v>5</v>
      </c>
      <c r="V44" s="55">
        <f t="shared" si="58"/>
        <v>0.14705882352941177</v>
      </c>
      <c r="W44" s="55">
        <f t="shared" si="59"/>
        <v>10.436000000000002</v>
      </c>
      <c r="X44" s="55">
        <v>0</v>
      </c>
      <c r="Y44" s="55" t="s">
        <v>35</v>
      </c>
      <c r="Z44" s="56">
        <f t="shared" ref="Z44:Z56" si="65">IF(OR(Y44="UsLargeStandardSize",Y44="UsSmallStandardSize"),-2.4,-1.2)</f>
        <v>-2.4</v>
      </c>
      <c r="AA44" s="55">
        <v>0.22216666666666665</v>
      </c>
      <c r="AB44" s="55">
        <f t="shared" si="61"/>
        <v>-54.386399999999995</v>
      </c>
      <c r="AC44" s="55">
        <v>-5.8</v>
      </c>
      <c r="AD44" s="55">
        <v>-10.0867521367521</v>
      </c>
      <c r="AE44" s="55">
        <v>0</v>
      </c>
      <c r="AF44" s="55">
        <v>0.70576236613972398</v>
      </c>
    </row>
    <row r="45" spans="1:32" s="57" customFormat="1" ht="15.75" customHeight="1">
      <c r="A45" s="2" t="s">
        <v>109</v>
      </c>
      <c r="B45" s="2" t="s">
        <v>799</v>
      </c>
      <c r="C45" s="51">
        <f t="shared" si="50"/>
        <v>17.459090909090921</v>
      </c>
      <c r="D45" s="51">
        <v>66</v>
      </c>
      <c r="E45" s="51">
        <v>120</v>
      </c>
      <c r="F45" s="51">
        <v>1152.3000000000009</v>
      </c>
      <c r="G45" s="51">
        <v>-7.2100000000000009</v>
      </c>
      <c r="H45" s="51">
        <f t="shared" si="51"/>
        <v>6.2570511151609784E-3</v>
      </c>
      <c r="I45" s="51">
        <f t="shared" si="52"/>
        <v>-0.15781848565967008</v>
      </c>
      <c r="J45" s="51">
        <f t="shared" si="53"/>
        <v>-181.85424102563798</v>
      </c>
      <c r="K45" s="51">
        <f t="shared" si="54"/>
        <v>-2.7553672882672422</v>
      </c>
      <c r="L45" s="51">
        <v>135</v>
      </c>
      <c r="M45" s="51">
        <f t="shared" si="55"/>
        <v>0.48888888888888887</v>
      </c>
      <c r="N45" s="51">
        <v>252</v>
      </c>
      <c r="O45" s="51">
        <f t="shared" ref="O45:P45" si="66">D45/7</f>
        <v>9.4285714285714288</v>
      </c>
      <c r="P45" s="51">
        <f t="shared" si="66"/>
        <v>17.142857142857142</v>
      </c>
      <c r="Q45" s="51">
        <f t="shared" si="57"/>
        <v>9</v>
      </c>
      <c r="R45" s="55">
        <v>0</v>
      </c>
      <c r="S45" s="53" t="s">
        <v>34</v>
      </c>
      <c r="T45" s="54" t="s">
        <v>34</v>
      </c>
      <c r="U45" s="55">
        <v>0</v>
      </c>
      <c r="V45" s="55">
        <f t="shared" si="58"/>
        <v>0</v>
      </c>
      <c r="W45" s="55">
        <f t="shared" si="59"/>
        <v>0</v>
      </c>
      <c r="X45" s="55">
        <v>0</v>
      </c>
      <c r="Y45" s="55" t="s">
        <v>35</v>
      </c>
      <c r="Z45" s="56">
        <f t="shared" si="65"/>
        <v>-2.4</v>
      </c>
      <c r="AA45" s="55">
        <v>0.22216666666666665</v>
      </c>
      <c r="AB45" s="55">
        <f t="shared" si="61"/>
        <v>-105.57359999999998</v>
      </c>
      <c r="AC45" s="55">
        <v>-5.8</v>
      </c>
      <c r="AD45" s="55">
        <v>-10.0867521367521</v>
      </c>
      <c r="AE45" s="55">
        <v>0</v>
      </c>
      <c r="AF45" s="55">
        <v>0.79699248120300703</v>
      </c>
    </row>
    <row r="46" spans="1:32" s="57" customFormat="1" ht="15.75" customHeight="1">
      <c r="A46" s="2" t="s">
        <v>111</v>
      </c>
      <c r="B46" s="2" t="s">
        <v>800</v>
      </c>
      <c r="C46" s="51">
        <f t="shared" si="50"/>
        <v>22.833478260869562</v>
      </c>
      <c r="D46" s="51">
        <v>23</v>
      </c>
      <c r="E46" s="51">
        <v>0</v>
      </c>
      <c r="F46" s="51">
        <v>525.16999999999996</v>
      </c>
      <c r="G46" s="51">
        <v>-0.08</v>
      </c>
      <c r="H46" s="51">
        <f t="shared" si="51"/>
        <v>1.5233162594969249E-4</v>
      </c>
      <c r="I46" s="51">
        <f t="shared" si="52"/>
        <v>8.4026888159456289E-2</v>
      </c>
      <c r="J46" s="51">
        <f t="shared" si="53"/>
        <v>44.128400854701653</v>
      </c>
      <c r="K46" s="51">
        <f t="shared" si="54"/>
        <v>1.9186261241174631</v>
      </c>
      <c r="L46" s="51">
        <v>68</v>
      </c>
      <c r="M46" s="51">
        <f t="shared" si="55"/>
        <v>0.33823529411764708</v>
      </c>
      <c r="N46" s="51">
        <v>215</v>
      </c>
      <c r="O46" s="51">
        <f t="shared" ref="O46:P46" si="67">D46/7</f>
        <v>3.2857142857142856</v>
      </c>
      <c r="P46" s="51">
        <f t="shared" si="67"/>
        <v>0</v>
      </c>
      <c r="Q46" s="51">
        <f t="shared" si="57"/>
        <v>65</v>
      </c>
      <c r="R46" s="55">
        <v>0</v>
      </c>
      <c r="S46" s="53" t="s">
        <v>34</v>
      </c>
      <c r="T46" s="54" t="s">
        <v>34</v>
      </c>
      <c r="U46" s="55">
        <v>0</v>
      </c>
      <c r="V46" s="55">
        <f t="shared" si="58"/>
        <v>0</v>
      </c>
      <c r="W46" s="55">
        <f t="shared" si="59"/>
        <v>0</v>
      </c>
      <c r="X46" s="55">
        <v>0</v>
      </c>
      <c r="Y46" s="55" t="s">
        <v>35</v>
      </c>
      <c r="Z46" s="56">
        <f t="shared" si="65"/>
        <v>-2.4</v>
      </c>
      <c r="AA46" s="55">
        <v>0.22216666666666665</v>
      </c>
      <c r="AB46" s="55">
        <f t="shared" si="61"/>
        <v>-36.79079999999999</v>
      </c>
      <c r="AC46" s="55">
        <v>-5.8</v>
      </c>
      <c r="AD46" s="55">
        <v>-10.0867521367521</v>
      </c>
      <c r="AE46" s="55">
        <v>0</v>
      </c>
      <c r="AF46" s="55">
        <v>0.90487238979118301</v>
      </c>
    </row>
    <row r="47" spans="1:32" s="57" customFormat="1" ht="15.75" customHeight="1">
      <c r="A47" s="2" t="s">
        <v>113</v>
      </c>
      <c r="B47" s="2" t="s">
        <v>801</v>
      </c>
      <c r="C47" s="51">
        <f t="shared" si="50"/>
        <v>24.527812499999996</v>
      </c>
      <c r="D47" s="51">
        <v>32</v>
      </c>
      <c r="E47" s="51">
        <v>0</v>
      </c>
      <c r="F47" s="51">
        <v>784.88999999999987</v>
      </c>
      <c r="G47" s="51">
        <v>-0.18</v>
      </c>
      <c r="H47" s="51">
        <f t="shared" si="51"/>
        <v>2.293314986813439E-4</v>
      </c>
      <c r="I47" s="51">
        <f t="shared" si="52"/>
        <v>0.1368513188140156</v>
      </c>
      <c r="J47" s="51">
        <f t="shared" si="53"/>
        <v>107.41323162393269</v>
      </c>
      <c r="K47" s="51">
        <f t="shared" si="54"/>
        <v>3.3566634882478965</v>
      </c>
      <c r="L47" s="51">
        <v>86</v>
      </c>
      <c r="M47" s="51">
        <f t="shared" si="55"/>
        <v>0.37209302325581395</v>
      </c>
      <c r="N47" s="51">
        <v>187</v>
      </c>
      <c r="O47" s="51">
        <f t="shared" ref="O47:P47" si="68">D47/7</f>
        <v>4.5714285714285712</v>
      </c>
      <c r="P47" s="51">
        <f t="shared" si="68"/>
        <v>0</v>
      </c>
      <c r="Q47" s="51">
        <f t="shared" si="57"/>
        <v>40</v>
      </c>
      <c r="R47" s="55">
        <v>0</v>
      </c>
      <c r="S47" s="53" t="s">
        <v>34</v>
      </c>
      <c r="T47" s="54" t="s">
        <v>34</v>
      </c>
      <c r="U47" s="55">
        <v>0</v>
      </c>
      <c r="V47" s="55">
        <f t="shared" si="58"/>
        <v>0</v>
      </c>
      <c r="W47" s="55">
        <f t="shared" si="59"/>
        <v>0</v>
      </c>
      <c r="X47" s="55">
        <v>0</v>
      </c>
      <c r="Y47" s="55" t="s">
        <v>35</v>
      </c>
      <c r="Z47" s="56">
        <f t="shared" si="65"/>
        <v>-2.4</v>
      </c>
      <c r="AA47" s="55">
        <v>0.22216666666666665</v>
      </c>
      <c r="AB47" s="55">
        <f t="shared" si="61"/>
        <v>-51.18719999999999</v>
      </c>
      <c r="AC47" s="55">
        <v>-5.8</v>
      </c>
      <c r="AD47" s="55">
        <v>-10.0867521367521</v>
      </c>
      <c r="AE47" s="55">
        <v>0</v>
      </c>
      <c r="AF47" s="55">
        <v>0.97337461300309602</v>
      </c>
    </row>
    <row r="48" spans="1:32" s="57" customFormat="1" ht="15.75" customHeight="1">
      <c r="A48" s="2" t="s">
        <v>115</v>
      </c>
      <c r="B48" s="2" t="s">
        <v>555</v>
      </c>
      <c r="C48" s="51">
        <f t="shared" si="50"/>
        <v>20.382222222222225</v>
      </c>
      <c r="D48" s="51">
        <v>27</v>
      </c>
      <c r="E48" s="51">
        <v>0</v>
      </c>
      <c r="F48" s="51">
        <v>550.32000000000005</v>
      </c>
      <c r="G48" s="51">
        <v>-0.06</v>
      </c>
      <c r="H48" s="51">
        <f t="shared" si="51"/>
        <v>1.0902747492368076E-4</v>
      </c>
      <c r="I48" s="51">
        <f t="shared" si="52"/>
        <v>-8.0307960682995776E-3</v>
      </c>
      <c r="J48" s="51">
        <f t="shared" si="53"/>
        <v>-4.4195076923066239</v>
      </c>
      <c r="K48" s="51">
        <f t="shared" si="54"/>
        <v>-0.16368547008543052</v>
      </c>
      <c r="L48" s="51">
        <v>88</v>
      </c>
      <c r="M48" s="51">
        <f t="shared" si="55"/>
        <v>0.30681818181818182</v>
      </c>
      <c r="N48" s="51">
        <v>166</v>
      </c>
      <c r="O48" s="51">
        <f t="shared" ref="O48:P48" si="69">D48/7</f>
        <v>3.8571428571428572</v>
      </c>
      <c r="P48" s="51">
        <f t="shared" si="69"/>
        <v>0</v>
      </c>
      <c r="Q48" s="51">
        <f t="shared" si="57"/>
        <v>43</v>
      </c>
      <c r="R48" s="55">
        <f ca="1">IFERROR(__xludf.DUMMYFUNCTION("IFERROR(VLOOKUP($B$2,IMPORTRANGE(""https://docs.google.com/spreadsheets/d/1iVgg6Mw12RULLujzHmfOFIY8Q_KaAD8anoZzgtVAQ74/edit#gid=1503384807"",""Second Star - Summary!A1:AD2000""),9,FALSE),"""")"),1220)</f>
        <v>1220</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1</v>
      </c>
      <c r="V48" s="55">
        <f t="shared" si="58"/>
        <v>3.7037037037037035E-2</v>
      </c>
      <c r="W48" s="55">
        <f t="shared" si="59"/>
        <v>0.06</v>
      </c>
      <c r="X48" s="55">
        <v>0</v>
      </c>
      <c r="Y48" s="55" t="s">
        <v>35</v>
      </c>
      <c r="Z48" s="56">
        <f t="shared" si="65"/>
        <v>-2.4</v>
      </c>
      <c r="AA48" s="55">
        <v>0.22216666666666665</v>
      </c>
      <c r="AB48" s="55">
        <f t="shared" si="61"/>
        <v>-43.189199999999985</v>
      </c>
      <c r="AC48" s="55">
        <v>-5.8</v>
      </c>
      <c r="AD48" s="55">
        <v>-10.0867521367521</v>
      </c>
      <c r="AE48" s="55">
        <v>0</v>
      </c>
      <c r="AF48" s="55">
        <v>1.0038610038610001</v>
      </c>
    </row>
    <row r="49" spans="1:32" s="57" customFormat="1" ht="15.75" customHeight="1">
      <c r="A49" s="2" t="s">
        <v>117</v>
      </c>
      <c r="B49" s="2" t="s">
        <v>802</v>
      </c>
      <c r="C49" s="51">
        <f t="shared" si="50"/>
        <v>21.112500000000004</v>
      </c>
      <c r="D49" s="51">
        <v>24</v>
      </c>
      <c r="E49" s="51">
        <v>0</v>
      </c>
      <c r="F49" s="51">
        <v>506.7000000000001</v>
      </c>
      <c r="G49" s="51">
        <v>-0.16</v>
      </c>
      <c r="H49" s="51">
        <f t="shared" si="51"/>
        <v>3.1576869942766917E-4</v>
      </c>
      <c r="I49" s="51">
        <f t="shared" si="52"/>
        <v>1.9788333763468845E-2</v>
      </c>
      <c r="J49" s="51">
        <f t="shared" ref="J49:J56" si="70">F49*0.85+G49+AD49*D49+D49*AC49+AE49+AB49</f>
        <v>10.026748717949665</v>
      </c>
      <c r="K49" s="51">
        <f t="shared" si="54"/>
        <v>0.41778119658123608</v>
      </c>
      <c r="L49" s="51">
        <v>85</v>
      </c>
      <c r="M49" s="51">
        <f t="shared" si="55"/>
        <v>0.28235294117647058</v>
      </c>
      <c r="N49" s="51">
        <v>142</v>
      </c>
      <c r="O49" s="51">
        <f t="shared" ref="O49:P49" si="71">D49/7</f>
        <v>3.4285714285714284</v>
      </c>
      <c r="P49" s="51">
        <f t="shared" si="71"/>
        <v>0</v>
      </c>
      <c r="Q49" s="51">
        <f t="shared" si="57"/>
        <v>41</v>
      </c>
      <c r="R49" s="55">
        <f ca="1">IFERROR(__xludf.DUMMYFUNCTION("IFERROR(VLOOKUP($B$2,IMPORTRANGE(""https://docs.google.com/spreadsheets/d/1iVgg6Mw12RULLujzHmfOFIY8Q_KaAD8anoZzgtVAQ74/edit#gid=1503384807"",""Second Star - Summary!A1:AD2000""),9,FALSE),"""")"),1220)</f>
        <v>1220</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58"/>
        <v>0</v>
      </c>
      <c r="W49" s="55">
        <f t="shared" si="59"/>
        <v>0</v>
      </c>
      <c r="X49" s="55">
        <v>0</v>
      </c>
      <c r="Y49" s="55" t="s">
        <v>35</v>
      </c>
      <c r="Z49" s="56">
        <f t="shared" si="65"/>
        <v>-2.4</v>
      </c>
      <c r="AA49" s="55">
        <v>0.22216666666666665</v>
      </c>
      <c r="AB49" s="55">
        <f t="shared" si="61"/>
        <v>-38.390399999999993</v>
      </c>
      <c r="AC49" s="55">
        <v>-5.8</v>
      </c>
      <c r="AD49" s="55">
        <v>-10.1215771367521</v>
      </c>
      <c r="AE49" s="55">
        <v>0</v>
      </c>
      <c r="AF49" s="55">
        <v>1.1009174311926599</v>
      </c>
    </row>
    <row r="50" spans="1:32" s="57" customFormat="1" ht="15.75" customHeight="1">
      <c r="A50" s="2" t="s">
        <v>119</v>
      </c>
      <c r="B50" s="2" t="s">
        <v>803</v>
      </c>
      <c r="C50" s="51">
        <f t="shared" si="50"/>
        <v>20.688181818181821</v>
      </c>
      <c r="D50" s="51">
        <v>11</v>
      </c>
      <c r="E50" s="51">
        <v>0</v>
      </c>
      <c r="F50" s="51">
        <v>227.57000000000002</v>
      </c>
      <c r="G50" s="51">
        <v>-7.0000000000000007E-2</v>
      </c>
      <c r="H50" s="51">
        <f t="shared" si="51"/>
        <v>3.0759766225776686E-4</v>
      </c>
      <c r="I50" s="51">
        <f t="shared" si="52"/>
        <v>2.7751966240142875E-3</v>
      </c>
      <c r="J50" s="51">
        <f t="shared" si="70"/>
        <v>0.63155149572693148</v>
      </c>
      <c r="K50" s="51">
        <f t="shared" si="54"/>
        <v>5.7413772338811953E-2</v>
      </c>
      <c r="L50" s="51">
        <v>75</v>
      </c>
      <c r="M50" s="51">
        <f t="shared" si="55"/>
        <v>0.14666666666666667</v>
      </c>
      <c r="N50" s="51">
        <v>135</v>
      </c>
      <c r="O50" s="51">
        <f t="shared" ref="O50:P50" si="72">D50/7</f>
        <v>1.5714285714285714</v>
      </c>
      <c r="P50" s="51">
        <f t="shared" si="72"/>
        <v>0</v>
      </c>
      <c r="Q50" s="51">
        <f t="shared" si="57"/>
        <v>85</v>
      </c>
      <c r="R50" s="55">
        <f ca="1">IFERROR(__xludf.DUMMYFUNCTION("IFERROR(VLOOKUP($B$2,IMPORTRANGE(""https://docs.google.com/spreadsheets/d/1iVgg6Mw12RULLujzHmfOFIY8Q_KaAD8anoZzgtVAQ74/edit#gid=1503384807"",""Second Star - Summary!A1:AD2000""),9,FALSE),"""")"),1220)</f>
        <v>1220</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58"/>
        <v>0</v>
      </c>
      <c r="W50" s="55">
        <f t="shared" si="59"/>
        <v>0</v>
      </c>
      <c r="X50" s="55">
        <v>0</v>
      </c>
      <c r="Y50" s="55" t="s">
        <v>35</v>
      </c>
      <c r="Z50" s="56">
        <f t="shared" si="65"/>
        <v>-2.4</v>
      </c>
      <c r="AA50" s="55">
        <v>0.22216666666666665</v>
      </c>
      <c r="AB50" s="55">
        <f t="shared" si="61"/>
        <v>-17.595599999999997</v>
      </c>
      <c r="AC50" s="55">
        <v>-5.8</v>
      </c>
      <c r="AD50" s="55">
        <v>-10.1215771367521</v>
      </c>
      <c r="AE50" s="55">
        <v>0</v>
      </c>
      <c r="AF50" s="55">
        <v>1.1235955056179701</v>
      </c>
    </row>
    <row r="51" spans="1:32" s="57" customFormat="1" ht="15.75" customHeight="1">
      <c r="A51" s="2" t="s">
        <v>121</v>
      </c>
      <c r="B51" s="2" t="s">
        <v>804</v>
      </c>
      <c r="C51" s="51">
        <f t="shared" si="50"/>
        <v>20.019565217391307</v>
      </c>
      <c r="D51" s="51">
        <v>23</v>
      </c>
      <c r="E51" s="51">
        <v>0</v>
      </c>
      <c r="F51" s="51">
        <v>460.45000000000005</v>
      </c>
      <c r="G51" s="51">
        <v>0</v>
      </c>
      <c r="H51" s="51">
        <f t="shared" si="51"/>
        <v>0</v>
      </c>
      <c r="I51" s="51">
        <f t="shared" si="52"/>
        <v>-2.5202680302526318E-2</v>
      </c>
      <c r="J51" s="51">
        <f t="shared" si="70"/>
        <v>-11.604574145298244</v>
      </c>
      <c r="K51" s="51">
        <f t="shared" si="54"/>
        <v>-0.50454670196948892</v>
      </c>
      <c r="L51" s="51">
        <v>65</v>
      </c>
      <c r="M51" s="51">
        <f t="shared" si="55"/>
        <v>0.35384615384615387</v>
      </c>
      <c r="N51" s="51">
        <v>109</v>
      </c>
      <c r="O51" s="51">
        <f t="shared" ref="O51:P51" si="73">D51/7</f>
        <v>3.2857142857142856</v>
      </c>
      <c r="P51" s="51">
        <f t="shared" si="73"/>
        <v>0</v>
      </c>
      <c r="Q51" s="51">
        <f t="shared" si="57"/>
        <v>33</v>
      </c>
      <c r="R51" s="55">
        <f ca="1">IFERROR(__xludf.DUMMYFUNCTION("IFERROR(VLOOKUP($B$2,IMPORTRANGE(""https://docs.google.com/spreadsheets/d/1iVgg6Mw12RULLujzHmfOFIY8Q_KaAD8anoZzgtVAQ74/edit#gid=1503384807"",""Second Star - Summary!A1:AD2000""),9,FALSE),"""")"),1220)</f>
        <v>1220</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1</v>
      </c>
      <c r="V51" s="55">
        <f t="shared" si="58"/>
        <v>4.3478260869565216E-2</v>
      </c>
      <c r="W51" s="55">
        <f t="shared" si="59"/>
        <v>0</v>
      </c>
      <c r="X51" s="55">
        <v>0</v>
      </c>
      <c r="Y51" s="55" t="s">
        <v>35</v>
      </c>
      <c r="Z51" s="56">
        <f t="shared" si="65"/>
        <v>-2.4</v>
      </c>
      <c r="AA51" s="55">
        <v>0.22216666666666665</v>
      </c>
      <c r="AB51" s="55">
        <f t="shared" si="61"/>
        <v>-36.79079999999999</v>
      </c>
      <c r="AC51" s="55">
        <v>-5.8</v>
      </c>
      <c r="AD51" s="55">
        <v>-10.1215771367521</v>
      </c>
      <c r="AE51" s="55">
        <v>0</v>
      </c>
      <c r="AF51" s="55">
        <v>1.18663406682966</v>
      </c>
    </row>
    <row r="52" spans="1:32" s="57" customFormat="1" ht="15.75" customHeight="1">
      <c r="A52" s="2" t="s">
        <v>123</v>
      </c>
      <c r="B52" s="2" t="s">
        <v>805</v>
      </c>
      <c r="C52" s="51">
        <f t="shared" si="50"/>
        <v>21.99</v>
      </c>
      <c r="D52" s="51">
        <v>12</v>
      </c>
      <c r="E52" s="51">
        <v>1</v>
      </c>
      <c r="F52" s="51">
        <v>263.88</v>
      </c>
      <c r="G52" s="51">
        <v>-0.08</v>
      </c>
      <c r="H52" s="51">
        <f t="shared" si="51"/>
        <v>3.0316810671517357E-4</v>
      </c>
      <c r="I52" s="51">
        <f t="shared" si="52"/>
        <v>5.291751689773689E-2</v>
      </c>
      <c r="J52" s="51">
        <f t="shared" si="70"/>
        <v>13.96387435897481</v>
      </c>
      <c r="K52" s="51">
        <f t="shared" si="54"/>
        <v>1.1636561965812342</v>
      </c>
      <c r="L52" s="51">
        <v>79</v>
      </c>
      <c r="M52" s="51">
        <f t="shared" si="55"/>
        <v>0.15189873417721519</v>
      </c>
      <c r="N52" s="51">
        <v>243</v>
      </c>
      <c r="O52" s="51">
        <f t="shared" ref="O52:P52" si="74">D52/7</f>
        <v>1.7142857142857142</v>
      </c>
      <c r="P52" s="51">
        <f t="shared" si="74"/>
        <v>0.14285714285714285</v>
      </c>
      <c r="Q52" s="51">
        <f t="shared" si="57"/>
        <v>130</v>
      </c>
      <c r="R52" s="55">
        <f ca="1">IFERROR(__xludf.DUMMYFUNCTION("IFERROR(VLOOKUP($B$2,IMPORTRANGE(""https://docs.google.com/spreadsheets/d/1iVgg6Mw12RULLujzHmfOFIY8Q_KaAD8anoZzgtVAQ74/edit#gid=1503384807"",""Second Star - Summary!A1:AD2000""),9,FALSE),"""")"),1220)</f>
        <v>1220</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58"/>
        <v>0</v>
      </c>
      <c r="W52" s="55">
        <f t="shared" si="59"/>
        <v>0</v>
      </c>
      <c r="X52" s="55">
        <v>0</v>
      </c>
      <c r="Y52" s="55" t="s">
        <v>35</v>
      </c>
      <c r="Z52" s="56">
        <f t="shared" si="65"/>
        <v>-2.4</v>
      </c>
      <c r="AA52" s="55">
        <v>0.22216666666666665</v>
      </c>
      <c r="AB52" s="55">
        <f t="shared" si="61"/>
        <v>-19.195199999999996</v>
      </c>
      <c r="AC52" s="55">
        <v>-5.8</v>
      </c>
      <c r="AD52" s="55">
        <v>-10.1215771367521</v>
      </c>
      <c r="AE52" s="55">
        <v>0</v>
      </c>
      <c r="AF52" s="55">
        <v>1.1188811188811101</v>
      </c>
    </row>
    <row r="53" spans="1:32" s="57" customFormat="1">
      <c r="A53" s="2" t="s">
        <v>38</v>
      </c>
      <c r="B53" s="2" t="s">
        <v>806</v>
      </c>
      <c r="C53" s="51">
        <f t="shared" si="50"/>
        <v>21.809642857142858</v>
      </c>
      <c r="D53" s="51">
        <v>28</v>
      </c>
      <c r="E53" s="51">
        <v>0</v>
      </c>
      <c r="F53" s="51">
        <v>610.67000000000007</v>
      </c>
      <c r="G53" s="51">
        <v>-9.7100000000000009</v>
      </c>
      <c r="H53" s="51">
        <f t="shared" si="51"/>
        <v>1.5900568228339365E-2</v>
      </c>
      <c r="I53" s="51">
        <f t="shared" si="52"/>
        <v>3.073106615838549E-2</v>
      </c>
      <c r="J53" s="51">
        <f t="shared" si="70"/>
        <v>18.766540170941269</v>
      </c>
      <c r="K53" s="51">
        <f t="shared" si="54"/>
        <v>0.67023357753361679</v>
      </c>
      <c r="L53" s="51">
        <v>71</v>
      </c>
      <c r="M53" s="51">
        <f t="shared" si="55"/>
        <v>0.39436619718309857</v>
      </c>
      <c r="N53" s="51">
        <v>196</v>
      </c>
      <c r="O53" s="51">
        <f t="shared" ref="O53:P53" si="75">D53/7</f>
        <v>4</v>
      </c>
      <c r="P53" s="51">
        <f t="shared" si="75"/>
        <v>0</v>
      </c>
      <c r="Q53" s="51">
        <f t="shared" si="57"/>
        <v>49</v>
      </c>
      <c r="R53" s="55">
        <f ca="1">IFERROR(__xludf.DUMMYFUNCTION("IFERROR(VLOOKUP($B$2,IMPORTRANGE(""https://docs.google.com/spreadsheets/d/1iVgg6Mw12RULLujzHmfOFIY8Q_KaAD8anoZzgtVAQ74/edit#gid=1503384807"",""Second Star - Summary!A1:AD2000""),9,FALSE),"""")"),1220)</f>
        <v>1220</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1</v>
      </c>
      <c r="V53" s="55">
        <f t="shared" si="58"/>
        <v>3.5714285714285712E-2</v>
      </c>
      <c r="W53" s="55">
        <f t="shared" si="59"/>
        <v>3.2366666666666668</v>
      </c>
      <c r="X53" s="55">
        <v>2</v>
      </c>
      <c r="Y53" s="55" t="s">
        <v>35</v>
      </c>
      <c r="Z53" s="56">
        <f t="shared" si="65"/>
        <v>-2.4</v>
      </c>
      <c r="AA53" s="55">
        <v>0.22216666666666665</v>
      </c>
      <c r="AB53" s="55">
        <f t="shared" si="61"/>
        <v>-44.788799999999995</v>
      </c>
      <c r="AC53" s="55">
        <v>-5.8</v>
      </c>
      <c r="AD53" s="55">
        <v>-10.1215771367521</v>
      </c>
      <c r="AE53" s="55">
        <v>0</v>
      </c>
      <c r="AF53" s="55">
        <v>1.28070175438596</v>
      </c>
    </row>
    <row r="54" spans="1:32" s="57" customFormat="1">
      <c r="A54" s="2" t="s">
        <v>40</v>
      </c>
      <c r="B54" s="2" t="s">
        <v>807</v>
      </c>
      <c r="C54" s="51">
        <f t="shared" si="50"/>
        <v>21.790833333333335</v>
      </c>
      <c r="D54" s="51">
        <v>12</v>
      </c>
      <c r="E54" s="51">
        <v>0</v>
      </c>
      <c r="F54" s="51">
        <v>261.49</v>
      </c>
      <c r="G54" s="51">
        <v>-18.279999999999998</v>
      </c>
      <c r="H54" s="51">
        <f t="shared" si="51"/>
        <v>6.9907071016100025E-2</v>
      </c>
      <c r="I54" s="51">
        <f t="shared" si="52"/>
        <v>-2.3968892275135465E-2</v>
      </c>
      <c r="J54" s="51">
        <f t="shared" si="70"/>
        <v>-6.2676256410251732</v>
      </c>
      <c r="K54" s="51">
        <f t="shared" si="54"/>
        <v>-0.5223021367520978</v>
      </c>
      <c r="L54" s="51">
        <v>96</v>
      </c>
      <c r="M54" s="51">
        <f t="shared" si="55"/>
        <v>0.125</v>
      </c>
      <c r="N54" s="51">
        <v>178</v>
      </c>
      <c r="O54" s="51">
        <f t="shared" ref="O54:P54" si="76">D54/7</f>
        <v>1.7142857142857142</v>
      </c>
      <c r="P54" s="51">
        <f t="shared" si="76"/>
        <v>0</v>
      </c>
      <c r="Q54" s="51">
        <f t="shared" si="57"/>
        <v>103</v>
      </c>
      <c r="R54" s="55">
        <f ca="1">IFERROR(__xludf.DUMMYFUNCTION("IFERROR(VLOOKUP($B$2,IMPORTRANGE(""https://docs.google.com/spreadsheets/d/1iVgg6Mw12RULLujzHmfOFIY8Q_KaAD8anoZzgtVAQ74/edit#gid=1503384807"",""Second Star - Summary!A1:AD2000""),9,FALSE),"""")"),1220)</f>
        <v>1220</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2</v>
      </c>
      <c r="V54" s="55">
        <f t="shared" si="58"/>
        <v>0.16666666666666666</v>
      </c>
      <c r="W54" s="55">
        <f t="shared" si="59"/>
        <v>9.1399999999999988</v>
      </c>
      <c r="X54" s="55">
        <v>0</v>
      </c>
      <c r="Y54" s="55" t="s">
        <v>35</v>
      </c>
      <c r="Z54" s="56">
        <f t="shared" si="65"/>
        <v>-2.4</v>
      </c>
      <c r="AA54" s="55">
        <v>0.22216666666666665</v>
      </c>
      <c r="AB54" s="55">
        <f t="shared" si="61"/>
        <v>-19.195199999999996</v>
      </c>
      <c r="AC54" s="55">
        <v>-5.8</v>
      </c>
      <c r="AD54" s="55">
        <v>-10.1215771367521</v>
      </c>
      <c r="AE54" s="55">
        <v>0</v>
      </c>
      <c r="AF54" s="55">
        <v>1.43693239152371</v>
      </c>
    </row>
    <row r="55" spans="1:32" s="57" customFormat="1" ht="15.75" customHeight="1">
      <c r="A55" s="2" t="s">
        <v>32</v>
      </c>
      <c r="B55" s="2" t="s">
        <v>808</v>
      </c>
      <c r="C55" s="51">
        <f t="shared" si="50"/>
        <v>21.990000000000002</v>
      </c>
      <c r="D55" s="51">
        <v>16</v>
      </c>
      <c r="E55" s="51">
        <v>0</v>
      </c>
      <c r="F55" s="51">
        <v>351.84000000000003</v>
      </c>
      <c r="G55" s="51">
        <v>-10.31</v>
      </c>
      <c r="H55" s="51">
        <f t="shared" si="51"/>
        <v>2.9303092314688493E-2</v>
      </c>
      <c r="I55" s="51">
        <f t="shared" si="52"/>
        <v>2.3917592689763616E-2</v>
      </c>
      <c r="J55" s="51">
        <f t="shared" si="70"/>
        <v>8.4151658119664319</v>
      </c>
      <c r="K55" s="51">
        <f t="shared" si="54"/>
        <v>0.52594786324790199</v>
      </c>
      <c r="L55" s="51">
        <v>63</v>
      </c>
      <c r="M55" s="51">
        <f t="shared" si="55"/>
        <v>0.25396825396825395</v>
      </c>
      <c r="N55" s="51">
        <v>163</v>
      </c>
      <c r="O55" s="51">
        <f t="shared" ref="O55:P55" si="77">D55/7</f>
        <v>2.2857142857142856</v>
      </c>
      <c r="P55" s="51">
        <f t="shared" si="77"/>
        <v>0</v>
      </c>
      <c r="Q55" s="51">
        <f t="shared" si="57"/>
        <v>71</v>
      </c>
      <c r="R55" s="55">
        <v>0</v>
      </c>
      <c r="S55" s="53" t="s">
        <v>34</v>
      </c>
      <c r="T55" s="54" t="s">
        <v>34</v>
      </c>
      <c r="U55" s="55">
        <v>1</v>
      </c>
      <c r="V55" s="55">
        <f t="shared" si="58"/>
        <v>6.25E-2</v>
      </c>
      <c r="W55" s="55">
        <f t="shared" si="59"/>
        <v>10.31</v>
      </c>
      <c r="X55" s="55">
        <v>0</v>
      </c>
      <c r="Y55" s="55" t="s">
        <v>35</v>
      </c>
      <c r="Z55" s="56">
        <f t="shared" si="65"/>
        <v>-2.4</v>
      </c>
      <c r="AA55" s="55">
        <v>0.22216666666666665</v>
      </c>
      <c r="AB55" s="55">
        <f t="shared" si="61"/>
        <v>-25.593599999999995</v>
      </c>
      <c r="AC55" s="55">
        <v>-5.8</v>
      </c>
      <c r="AD55" s="55">
        <v>-10.1215771367521</v>
      </c>
      <c r="AE55" s="55">
        <v>0</v>
      </c>
      <c r="AF55" s="55">
        <v>1.5906432748538</v>
      </c>
    </row>
    <row r="56" spans="1:32" s="57" customFormat="1" ht="15.75" customHeight="1">
      <c r="A56" s="2" t="s">
        <v>36</v>
      </c>
      <c r="B56" s="2"/>
      <c r="C56" s="51">
        <f t="shared" si="50"/>
        <v>21.990000000000006</v>
      </c>
      <c r="D56" s="51">
        <v>47</v>
      </c>
      <c r="E56" s="51">
        <v>0</v>
      </c>
      <c r="F56" s="51">
        <v>1033.5300000000002</v>
      </c>
      <c r="G56" s="51">
        <v>-23.82</v>
      </c>
      <c r="H56" s="51">
        <f t="shared" si="51"/>
        <v>2.3047226495602445E-2</v>
      </c>
      <c r="I56" s="51">
        <f t="shared" si="52"/>
        <v>3.0173458508849685E-2</v>
      </c>
      <c r="J56" s="51">
        <f t="shared" si="70"/>
        <v>31.18517457265142</v>
      </c>
      <c r="K56" s="51">
        <f t="shared" si="54"/>
        <v>0.66351435260960467</v>
      </c>
      <c r="L56" s="51">
        <v>90</v>
      </c>
      <c r="M56" s="51">
        <f t="shared" si="55"/>
        <v>0.52222222222222225</v>
      </c>
      <c r="N56" s="51">
        <v>118</v>
      </c>
      <c r="O56" s="51">
        <f t="shared" ref="O56:P56" si="78">D56/7</f>
        <v>6.7142857142857144</v>
      </c>
      <c r="P56" s="51">
        <f t="shared" si="78"/>
        <v>0</v>
      </c>
      <c r="Q56" s="51">
        <f t="shared" si="57"/>
        <v>17</v>
      </c>
      <c r="R56" s="55">
        <f ca="1">IFERROR(__xludf.DUMMYFUNCTION("IFERROR(VLOOKUP($B$2,IMPORTRANGE(""https://docs.google.com/spreadsheets/d/1iVgg6Mw12RULLujzHmfOFIY8Q_KaAD8anoZzgtVAQ74/edit#gid=1503384807"",""Second Star - Summary!A1:AD2000""),9,FALSE),"""")"),1220)</f>
        <v>1220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3</v>
      </c>
      <c r="V56" s="55">
        <f t="shared" si="58"/>
        <v>6.3829787234042548E-2</v>
      </c>
      <c r="W56" s="55">
        <f t="shared" si="59"/>
        <v>7.94</v>
      </c>
      <c r="X56" s="55">
        <v>0</v>
      </c>
      <c r="Y56" s="55" t="s">
        <v>35</v>
      </c>
      <c r="Z56" s="56">
        <f t="shared" si="65"/>
        <v>-2.4</v>
      </c>
      <c r="AA56" s="55">
        <v>0.22216666666666665</v>
      </c>
      <c r="AB56" s="55">
        <f t="shared" si="61"/>
        <v>-75.18119999999999</v>
      </c>
      <c r="AC56" s="55">
        <v>-5.8</v>
      </c>
      <c r="AD56" s="55">
        <v>-10.1215771367521</v>
      </c>
      <c r="AE56" s="55">
        <v>0</v>
      </c>
      <c r="AF56" s="55">
        <v>1.6319290465631899</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E185" s="2"/>
      <c r="P185" s="2"/>
      <c r="AF185" s="23"/>
    </row>
    <row r="186" spans="1:32" ht="15.75" customHeight="1">
      <c r="E186" s="2"/>
      <c r="P186" s="2"/>
      <c r="AF186" s="23"/>
    </row>
    <row r="187" spans="1:32" ht="15.75" customHeight="1">
      <c r="E187" s="2"/>
      <c r="P187" s="2"/>
      <c r="AF187" s="23"/>
    </row>
    <row r="188" spans="1:32" ht="15.75" customHeight="1">
      <c r="E188" s="2"/>
      <c r="P188" s="2"/>
      <c r="AF188" s="23"/>
    </row>
    <row r="189" spans="1:32" ht="15.75" customHeight="1">
      <c r="E189" s="2"/>
      <c r="P189" s="2"/>
      <c r="AF189" s="23"/>
    </row>
    <row r="190" spans="1:32" ht="15.75" customHeight="1">
      <c r="E190" s="2"/>
      <c r="P190" s="2"/>
      <c r="AF190" s="23"/>
    </row>
    <row r="191" spans="1:32" ht="15.75" customHeight="1">
      <c r="E191" s="2"/>
      <c r="P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c r="AF239" s="23"/>
    </row>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39:Q1000">
    <cfRule type="cellIs" dxfId="380" priority="1" operator="lessThan">
      <formula>100</formula>
    </cfRule>
  </conditionalFormatting>
  <conditionalFormatting sqref="Q1:Q3 Q39:Q1000">
    <cfRule type="cellIs" dxfId="379" priority="2" operator="lessThan">
      <formula>100</formula>
    </cfRule>
  </conditionalFormatting>
  <conditionalFormatting sqref="I1:I3 I57:I1000">
    <cfRule type="cellIs" dxfId="378" priority="3" operator="lessThan">
      <formula>0.05</formula>
    </cfRule>
  </conditionalFormatting>
  <conditionalFormatting sqref="I4:I17">
    <cfRule type="cellIs" dxfId="377" priority="4" operator="lessThan">
      <formula>0.05</formula>
    </cfRule>
  </conditionalFormatting>
  <conditionalFormatting sqref="I18:I56">
    <cfRule type="cellIs" dxfId="376" priority="5" operator="lessThan">
      <formula>0.05</formula>
    </cfRule>
  </conditionalFormatting>
  <conditionalFormatting sqref="Q4:Q56">
    <cfRule type="cellIs" dxfId="375" priority="6" operator="lessThan">
      <formula>100</formula>
    </cfRule>
  </conditionalFormatting>
  <conditionalFormatting sqref="Q4:Q56">
    <cfRule type="cellIs" dxfId="374" priority="7" operator="lessThan">
      <formula>100</formula>
    </cfRule>
  </conditionalFormatting>
  <pageMargins left="0.7" right="0.7" top="0.75" bottom="0.75" header="0" footer="0"/>
  <pageSetup orientation="portrait"/>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20"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Info!B1:BJ5000""),4,FALSE),"""")"),"Hephaestus Crafts Blocking Mats for Knitting - Pack of 9 GRAY Blocking Boards with Grids for Needlepoint or Crochet. 150 T-pins")</f>
        <v>Hephaestus Crafts Blocking Mats for Knitting - Pack of 9 GRAY Blocking Boards with Grids for Needlepoint or Crochet. 150 T-pins</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Info!B1:BJ5000""),3,FALSE),"""")"),"B0767HV4M6")</f>
        <v>B0767HV4M6</v>
      </c>
      <c r="B2" s="4" t="s">
        <v>809</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14.068674985145565</v>
      </c>
      <c r="D3" s="8">
        <f>SUM(D4:D99819)</f>
        <v>4048</v>
      </c>
      <c r="E3" s="8"/>
      <c r="F3" s="9">
        <f t="shared" ref="F3:G3" si="0">SUM(F4:F99819)</f>
        <v>104013.85999999986</v>
      </c>
      <c r="G3" s="9">
        <f t="shared" si="0"/>
        <v>-5056.3499999999985</v>
      </c>
      <c r="H3" s="10">
        <f t="shared" ref="H3:H39" si="1">G3/F3*-1</f>
        <v>4.8612271479973976E-2</v>
      </c>
      <c r="I3" s="11">
        <f t="shared" ref="I3:I39" si="2">J3/F3</f>
        <v>0.24668727653041911</v>
      </c>
      <c r="J3" s="9">
        <f>SUM(J4:J99819)</f>
        <v>25658.895844816263</v>
      </c>
      <c r="K3" s="9">
        <f t="shared" ref="K3:K39" si="3">J3/D3</f>
        <v>6.3386600407154798</v>
      </c>
      <c r="L3" s="8"/>
      <c r="M3" s="12"/>
      <c r="N3" s="13"/>
      <c r="O3" s="8" t="str">
        <f ca="1">IFERROR(__xludf.DUMMYFUNCTION("IFERROR(VLOOKUP(B2,IMPORTRANGE(""https://docs.google.com/spreadsheets/d/1owCo6kL_VFQ5nPTdNogErmCBLjNiktT1m3SzTrxu3R0/edit#gid=2146806407"",""Second Star - Compiled!b1:g5000""),2,FALSE),"""")"),"19 - March
19 - April
17 - May
17 - Jun
17 - Jul
19 - Aug
17 - Sept
17 - Oct
17 - Nov
19 - Dec
19 - Jan
19 - Feb")</f>
        <v>19 - March
19 - April
17 - May
17 - Jun
17 - Jul
19 - Aug
17 - Sept
17 - Oct
17 - Nov
19 - Dec
19 - Jan
19 - Feb</v>
      </c>
      <c r="P3" s="8"/>
      <c r="Q3" s="14"/>
      <c r="R3" s="13"/>
      <c r="S3" s="13"/>
      <c r="T3" s="13"/>
      <c r="U3" s="8">
        <f>SUM(U4:U99819)</f>
        <v>1417</v>
      </c>
      <c r="V3" s="10">
        <f>AVERAGE(V4:V99819)</f>
        <v>0.2872628734174677</v>
      </c>
      <c r="W3" s="9">
        <f>ROUND(AVERAGE(W4:W99819),2)</f>
        <v>2.9</v>
      </c>
      <c r="X3" s="8"/>
      <c r="Y3" s="8"/>
      <c r="Z3" s="8"/>
      <c r="AA3" s="8"/>
      <c r="AB3" s="8"/>
      <c r="AC3" s="15"/>
      <c r="AD3" s="9"/>
      <c r="AE3" s="9">
        <f>SUM(AE4:AE99819)</f>
        <v>0</v>
      </c>
      <c r="AF3" s="16"/>
    </row>
    <row r="4" spans="1:32" s="57" customFormat="1">
      <c r="A4" s="17" t="s">
        <v>48</v>
      </c>
      <c r="B4" s="2" t="s">
        <v>810</v>
      </c>
      <c r="C4" s="50">
        <v>25.99</v>
      </c>
      <c r="D4" s="51">
        <v>133</v>
      </c>
      <c r="E4" s="51">
        <v>0</v>
      </c>
      <c r="F4" s="51">
        <v>3452.6699999999887</v>
      </c>
      <c r="G4" s="51">
        <v>-187.14000000000001</v>
      </c>
      <c r="H4" s="51">
        <f t="shared" si="1"/>
        <v>5.4201530989060824E-2</v>
      </c>
      <c r="I4" s="51">
        <f t="shared" si="2"/>
        <v>0.27142354275368585</v>
      </c>
      <c r="J4" s="51">
        <f t="shared" ref="J4:J38" si="4">F4*0.85+G4+AD4*D4+D4*AC4+AE4+AB4</f>
        <v>937.13592335936551</v>
      </c>
      <c r="K4" s="51">
        <f t="shared" si="3"/>
        <v>7.0461347621004924</v>
      </c>
      <c r="L4" s="51">
        <v>444</v>
      </c>
      <c r="M4" s="51">
        <f t="shared" ref="M4:M39" si="5">IFERROR(D4/L4,"-")</f>
        <v>0.29954954954954954</v>
      </c>
      <c r="N4" s="51">
        <v>1357</v>
      </c>
      <c r="O4" s="51">
        <f t="shared" ref="O4:P4" si="6">D4/7</f>
        <v>19</v>
      </c>
      <c r="P4" s="51">
        <f t="shared" si="6"/>
        <v>0</v>
      </c>
      <c r="Q4" s="51">
        <f t="shared" ref="Q4:Q39" si="7">ROUNDDOWN(N4/(O4+P4),0)</f>
        <v>71</v>
      </c>
      <c r="R4" s="52">
        <v>1242</v>
      </c>
      <c r="S4" s="53">
        <v>1242</v>
      </c>
      <c r="T4" s="54">
        <v>43876</v>
      </c>
      <c r="U4" s="52">
        <v>48</v>
      </c>
      <c r="V4" s="55">
        <f t="shared" ref="V4:V39" si="8">IFERROR(U4/D4,0)</f>
        <v>0.36090225563909772</v>
      </c>
      <c r="W4" s="55">
        <f t="shared" ref="W4:W39" si="9">IFERROR(G4/(U4+X4)*-1,0)</f>
        <v>3.8987500000000002</v>
      </c>
      <c r="X4" s="52">
        <v>0</v>
      </c>
      <c r="Y4" s="56" t="s">
        <v>35</v>
      </c>
      <c r="Z4" s="56">
        <f t="shared" ref="Z4:Z10" si="10">IF(OR(Y4="UsLargeStandardSize",Y4="UsSmallStandardSize"),-0.69,-0.48)</f>
        <v>-0.69</v>
      </c>
      <c r="AA4" s="55">
        <v>0.37198958333333337</v>
      </c>
      <c r="AB4" s="55">
        <f t="shared" ref="AB4:AB17" si="11">IFERROR((Z4*AA4*N4)/4,0)</f>
        <v>-87.076251640625003</v>
      </c>
      <c r="AC4" s="55">
        <v>-6.02</v>
      </c>
      <c r="AD4" s="55">
        <v>-6.9380249999999997</v>
      </c>
      <c r="AE4" s="55">
        <v>0</v>
      </c>
      <c r="AF4" s="55"/>
    </row>
    <row r="5" spans="1:32" s="57" customFormat="1" ht="15.75" customHeight="1">
      <c r="A5" s="2" t="s">
        <v>49</v>
      </c>
      <c r="B5" s="2" t="s">
        <v>811</v>
      </c>
      <c r="C5" s="51">
        <v>25.99</v>
      </c>
      <c r="D5" s="51">
        <v>125</v>
      </c>
      <c r="E5" s="51">
        <v>0</v>
      </c>
      <c r="F5" s="51">
        <v>3248.7499999999909</v>
      </c>
      <c r="G5" s="51">
        <v>-191.88</v>
      </c>
      <c r="H5" s="51">
        <f t="shared" si="1"/>
        <v>5.9062716429396082E-2</v>
      </c>
      <c r="I5" s="51">
        <f t="shared" si="2"/>
        <v>0.24197346327914412</v>
      </c>
      <c r="J5" s="51">
        <f t="shared" si="4"/>
        <v>786.11128882811727</v>
      </c>
      <c r="K5" s="51">
        <f t="shared" si="3"/>
        <v>6.2888903106249385</v>
      </c>
      <c r="L5" s="51">
        <v>528</v>
      </c>
      <c r="M5" s="51">
        <f t="shared" si="5"/>
        <v>0.23674242424242425</v>
      </c>
      <c r="N5" s="51">
        <v>2551</v>
      </c>
      <c r="O5" s="51">
        <f t="shared" ref="O5:P5" si="12">D5/7</f>
        <v>17.857142857142858</v>
      </c>
      <c r="P5" s="51">
        <f t="shared" si="12"/>
        <v>0</v>
      </c>
      <c r="Q5" s="51">
        <f t="shared" si="7"/>
        <v>142</v>
      </c>
      <c r="R5" s="55">
        <v>1242</v>
      </c>
      <c r="S5" s="53">
        <v>1242</v>
      </c>
      <c r="T5" s="54">
        <v>43876</v>
      </c>
      <c r="U5" s="55">
        <v>32</v>
      </c>
      <c r="V5" s="55">
        <f t="shared" si="8"/>
        <v>0.25600000000000001</v>
      </c>
      <c r="W5" s="55">
        <f t="shared" si="9"/>
        <v>5.9962499999999999</v>
      </c>
      <c r="X5" s="55">
        <v>0</v>
      </c>
      <c r="Y5" s="55" t="s">
        <v>35</v>
      </c>
      <c r="Z5" s="56">
        <f t="shared" si="10"/>
        <v>-0.69</v>
      </c>
      <c r="AA5" s="55">
        <v>0.37198958333333337</v>
      </c>
      <c r="AB5" s="55">
        <f t="shared" si="11"/>
        <v>-163.693086171875</v>
      </c>
      <c r="AC5" s="55">
        <v>-6.02</v>
      </c>
      <c r="AD5" s="55">
        <v>-6.9380249999999997</v>
      </c>
      <c r="AE5" s="55">
        <v>0</v>
      </c>
      <c r="AF5" s="55"/>
    </row>
    <row r="6" spans="1:32" s="57" customFormat="1" ht="15.75" customHeight="1">
      <c r="A6" s="2" t="s">
        <v>51</v>
      </c>
      <c r="B6" s="2" t="s">
        <v>812</v>
      </c>
      <c r="C6" s="51">
        <v>27.99</v>
      </c>
      <c r="D6" s="51">
        <v>97</v>
      </c>
      <c r="E6" s="51">
        <v>0</v>
      </c>
      <c r="F6" s="51">
        <v>2587.0299999999961</v>
      </c>
      <c r="G6" s="51">
        <v>-170.86999999999995</v>
      </c>
      <c r="H6" s="51">
        <f t="shared" si="1"/>
        <v>6.6048712229854395E-2</v>
      </c>
      <c r="I6" s="51">
        <f t="shared" si="2"/>
        <v>0.23821719603415809</v>
      </c>
      <c r="J6" s="51">
        <f t="shared" si="4"/>
        <v>616.27503265624705</v>
      </c>
      <c r="K6" s="51">
        <f t="shared" si="3"/>
        <v>6.3533508521262583</v>
      </c>
      <c r="L6" s="51">
        <v>509</v>
      </c>
      <c r="M6" s="51">
        <f t="shared" si="5"/>
        <v>0.19056974459724951</v>
      </c>
      <c r="N6" s="51">
        <v>2414</v>
      </c>
      <c r="O6" s="51">
        <f t="shared" ref="O6:P6" si="13">D6/7</f>
        <v>13.857142857142858</v>
      </c>
      <c r="P6" s="51">
        <f t="shared" si="13"/>
        <v>0</v>
      </c>
      <c r="Q6" s="51">
        <f t="shared" si="7"/>
        <v>174</v>
      </c>
      <c r="R6" s="55">
        <v>1242</v>
      </c>
      <c r="S6" s="53">
        <v>1242</v>
      </c>
      <c r="T6" s="54">
        <v>43876</v>
      </c>
      <c r="U6" s="55">
        <v>44</v>
      </c>
      <c r="V6" s="55">
        <f t="shared" si="8"/>
        <v>0.45360824742268041</v>
      </c>
      <c r="W6" s="55">
        <f t="shared" si="9"/>
        <v>3.8834090909090899</v>
      </c>
      <c r="X6" s="55">
        <v>0</v>
      </c>
      <c r="Y6" s="55" t="s">
        <v>35</v>
      </c>
      <c r="Z6" s="56">
        <f t="shared" si="10"/>
        <v>-0.69</v>
      </c>
      <c r="AA6" s="55">
        <v>0.37198958333333337</v>
      </c>
      <c r="AB6" s="55">
        <f t="shared" si="11"/>
        <v>-154.90204234375</v>
      </c>
      <c r="AC6" s="55">
        <v>-6.02</v>
      </c>
      <c r="AD6" s="55">
        <v>-6.9380249999999997</v>
      </c>
      <c r="AE6" s="55">
        <v>0</v>
      </c>
      <c r="AF6" s="55"/>
    </row>
    <row r="7" spans="1:32" s="57" customFormat="1" ht="15.75" customHeight="1">
      <c r="A7" s="2" t="s">
        <v>53</v>
      </c>
      <c r="B7" s="2" t="s">
        <v>813</v>
      </c>
      <c r="C7" s="51">
        <v>24.99</v>
      </c>
      <c r="D7" s="51">
        <v>88</v>
      </c>
      <c r="E7" s="51">
        <v>0</v>
      </c>
      <c r="F7" s="51">
        <v>2415.1199999999976</v>
      </c>
      <c r="G7" s="51">
        <v>-156.39999999999998</v>
      </c>
      <c r="H7" s="51">
        <f t="shared" si="1"/>
        <v>6.4758686938951329E-2</v>
      </c>
      <c r="I7" s="51">
        <f t="shared" si="2"/>
        <v>0.25041116334928437</v>
      </c>
      <c r="J7" s="51">
        <f t="shared" si="4"/>
        <v>604.77300882812301</v>
      </c>
      <c r="K7" s="51">
        <f t="shared" si="3"/>
        <v>6.8724205548650339</v>
      </c>
      <c r="L7" s="51">
        <v>490</v>
      </c>
      <c r="M7" s="51">
        <f t="shared" si="5"/>
        <v>0.17959183673469387</v>
      </c>
      <c r="N7" s="51">
        <v>2359</v>
      </c>
      <c r="O7" s="51">
        <f t="shared" ref="O7:P7" si="14">D7/7</f>
        <v>12.571428571428571</v>
      </c>
      <c r="P7" s="51">
        <f t="shared" si="14"/>
        <v>0</v>
      </c>
      <c r="Q7" s="51">
        <f t="shared" si="7"/>
        <v>187</v>
      </c>
      <c r="R7" s="55">
        <v>1242</v>
      </c>
      <c r="S7" s="53">
        <v>1242</v>
      </c>
      <c r="T7" s="54">
        <v>43876</v>
      </c>
      <c r="U7" s="55">
        <v>26</v>
      </c>
      <c r="V7" s="55">
        <f t="shared" si="8"/>
        <v>0.29545454545454547</v>
      </c>
      <c r="W7" s="55">
        <f t="shared" si="9"/>
        <v>6.0153846153846144</v>
      </c>
      <c r="X7" s="55">
        <v>0</v>
      </c>
      <c r="Y7" s="55" t="s">
        <v>35</v>
      </c>
      <c r="Z7" s="56">
        <f t="shared" si="10"/>
        <v>-0.69</v>
      </c>
      <c r="AA7" s="55">
        <v>0.37198958333333337</v>
      </c>
      <c r="AB7" s="55">
        <f t="shared" si="11"/>
        <v>-151.37279117187501</v>
      </c>
      <c r="AC7" s="55">
        <v>-6.02</v>
      </c>
      <c r="AD7" s="55">
        <v>-6.9380249999999997</v>
      </c>
      <c r="AE7" s="55">
        <v>0</v>
      </c>
      <c r="AF7" s="55"/>
    </row>
    <row r="8" spans="1:32" s="57" customFormat="1" ht="15.75" customHeight="1">
      <c r="A8" s="2" t="s">
        <v>54</v>
      </c>
      <c r="B8" s="2" t="s">
        <v>814</v>
      </c>
      <c r="C8" s="51">
        <v>26.99</v>
      </c>
      <c r="D8" s="51">
        <v>83</v>
      </c>
      <c r="E8" s="51">
        <v>0</v>
      </c>
      <c r="F8" s="51">
        <v>2189.1699999999992</v>
      </c>
      <c r="G8" s="51">
        <v>-132.67999999999998</v>
      </c>
      <c r="H8" s="51">
        <f t="shared" si="1"/>
        <v>6.0607444830689271E-2</v>
      </c>
      <c r="I8" s="51">
        <f t="shared" si="2"/>
        <v>0.2325622600403347</v>
      </c>
      <c r="J8" s="51">
        <f t="shared" si="4"/>
        <v>509.11832281249934</v>
      </c>
      <c r="K8" s="51">
        <f t="shared" si="3"/>
        <v>6.1339556965361366</v>
      </c>
      <c r="L8" s="51">
        <v>457</v>
      </c>
      <c r="M8" s="51">
        <f t="shared" si="5"/>
        <v>0.18161925601750548</v>
      </c>
      <c r="N8" s="51">
        <v>2236</v>
      </c>
      <c r="O8" s="51">
        <f t="shared" ref="O8:P8" si="15">D8/7</f>
        <v>11.857142857142858</v>
      </c>
      <c r="P8" s="51">
        <f t="shared" si="15"/>
        <v>0</v>
      </c>
      <c r="Q8" s="51">
        <f t="shared" si="7"/>
        <v>188</v>
      </c>
      <c r="R8" s="55">
        <v>1242</v>
      </c>
      <c r="S8" s="53">
        <v>1242</v>
      </c>
      <c r="T8" s="54">
        <v>43879</v>
      </c>
      <c r="U8" s="55">
        <v>29</v>
      </c>
      <c r="V8" s="55">
        <f t="shared" si="8"/>
        <v>0.3493975903614458</v>
      </c>
      <c r="W8" s="55">
        <f t="shared" si="9"/>
        <v>4.5751724137931031</v>
      </c>
      <c r="X8" s="55">
        <v>0</v>
      </c>
      <c r="Y8" s="55" t="s">
        <v>35</v>
      </c>
      <c r="Z8" s="56">
        <f t="shared" si="10"/>
        <v>-0.69</v>
      </c>
      <c r="AA8" s="55">
        <v>0.37198958333333337</v>
      </c>
      <c r="AB8" s="55">
        <f t="shared" si="11"/>
        <v>-143.48010218749999</v>
      </c>
      <c r="AC8" s="55">
        <v>-6.02</v>
      </c>
      <c r="AD8" s="55">
        <v>-6.9380249999999997</v>
      </c>
      <c r="AE8" s="55">
        <v>0</v>
      </c>
      <c r="AF8" s="55"/>
    </row>
    <row r="9" spans="1:32" s="57" customFormat="1" ht="15.75" customHeight="1">
      <c r="A9" s="2" t="s">
        <v>56</v>
      </c>
      <c r="B9" s="2" t="s">
        <v>815</v>
      </c>
      <c r="C9" s="51">
        <v>24.99</v>
      </c>
      <c r="D9" s="51">
        <v>102</v>
      </c>
      <c r="E9" s="51">
        <v>0</v>
      </c>
      <c r="F9" s="51">
        <v>2639.9899999999966</v>
      </c>
      <c r="G9" s="51">
        <v>-150.68</v>
      </c>
      <c r="H9" s="51">
        <f t="shared" si="1"/>
        <v>5.7075973772628005E-2</v>
      </c>
      <c r="I9" s="51">
        <f t="shared" si="2"/>
        <v>0.23926874091694708</v>
      </c>
      <c r="J9" s="51">
        <f t="shared" si="4"/>
        <v>631.66708333333031</v>
      </c>
      <c r="K9" s="51">
        <f t="shared" si="3"/>
        <v>6.1928145424836307</v>
      </c>
      <c r="L9" s="51">
        <v>436</v>
      </c>
      <c r="M9" s="51">
        <f t="shared" si="5"/>
        <v>0.23394495412844038</v>
      </c>
      <c r="N9" s="51">
        <v>2176</v>
      </c>
      <c r="O9" s="51">
        <f t="shared" ref="O9:P9" si="16">D9/7</f>
        <v>14.571428571428571</v>
      </c>
      <c r="P9" s="51">
        <f t="shared" si="16"/>
        <v>0</v>
      </c>
      <c r="Q9" s="51">
        <f t="shared" si="7"/>
        <v>149</v>
      </c>
      <c r="R9" s="55">
        <v>0</v>
      </c>
      <c r="S9" s="53" t="s">
        <v>34</v>
      </c>
      <c r="T9" s="54" t="s">
        <v>34</v>
      </c>
      <c r="U9" s="55">
        <v>37</v>
      </c>
      <c r="V9" s="55">
        <f t="shared" si="8"/>
        <v>0.36274509803921567</v>
      </c>
      <c r="W9" s="55">
        <f t="shared" si="9"/>
        <v>4.072432432432433</v>
      </c>
      <c r="X9" s="55">
        <v>0</v>
      </c>
      <c r="Y9" s="55" t="s">
        <v>35</v>
      </c>
      <c r="Z9" s="56">
        <f t="shared" si="10"/>
        <v>-0.69</v>
      </c>
      <c r="AA9" s="55">
        <v>0.37277777777777776</v>
      </c>
      <c r="AB9" s="55">
        <f t="shared" si="11"/>
        <v>-139.92586666666665</v>
      </c>
      <c r="AC9" s="55">
        <v>-6.02</v>
      </c>
      <c r="AD9" s="55">
        <v>-6.9380249999999997</v>
      </c>
      <c r="AE9" s="55">
        <v>0</v>
      </c>
      <c r="AF9" s="55"/>
    </row>
    <row r="10" spans="1:32" s="57" customFormat="1" ht="15.75" customHeight="1">
      <c r="A10" s="2" t="s">
        <v>58</v>
      </c>
      <c r="B10" s="2" t="s">
        <v>816</v>
      </c>
      <c r="C10" s="51">
        <v>25.99</v>
      </c>
      <c r="D10" s="51">
        <v>89</v>
      </c>
      <c r="E10" s="51">
        <v>0</v>
      </c>
      <c r="F10" s="51">
        <v>2253.1099999999988</v>
      </c>
      <c r="G10" s="51">
        <v>-195.67999999999998</v>
      </c>
      <c r="H10" s="51">
        <f t="shared" si="1"/>
        <v>8.684884448606596E-2</v>
      </c>
      <c r="I10" s="51">
        <f t="shared" si="2"/>
        <v>0.19284648404501598</v>
      </c>
      <c r="J10" s="51">
        <f t="shared" si="4"/>
        <v>434.50434166666571</v>
      </c>
      <c r="K10" s="51">
        <f t="shared" si="3"/>
        <v>4.8820712546816374</v>
      </c>
      <c r="L10" s="51">
        <v>503</v>
      </c>
      <c r="M10" s="51">
        <f t="shared" si="5"/>
        <v>0.17693836978131214</v>
      </c>
      <c r="N10" s="51">
        <v>2048</v>
      </c>
      <c r="O10" s="51">
        <f t="shared" ref="O10:P10" si="17">D10/7</f>
        <v>12.714285714285714</v>
      </c>
      <c r="P10" s="51">
        <f t="shared" si="17"/>
        <v>0</v>
      </c>
      <c r="Q10" s="51">
        <f t="shared" si="7"/>
        <v>161</v>
      </c>
      <c r="R10" s="55">
        <v>0</v>
      </c>
      <c r="S10" s="53" t="s">
        <v>34</v>
      </c>
      <c r="T10" s="54" t="s">
        <v>34</v>
      </c>
      <c r="U10" s="55">
        <v>35</v>
      </c>
      <c r="V10" s="55">
        <f t="shared" si="8"/>
        <v>0.39325842696629215</v>
      </c>
      <c r="W10" s="55">
        <f t="shared" si="9"/>
        <v>5.5908571428571419</v>
      </c>
      <c r="X10" s="55">
        <v>0</v>
      </c>
      <c r="Y10" s="55" t="s">
        <v>35</v>
      </c>
      <c r="Z10" s="56">
        <f t="shared" si="10"/>
        <v>-0.69</v>
      </c>
      <c r="AA10" s="55">
        <v>0.37277777777777776</v>
      </c>
      <c r="AB10" s="55">
        <f t="shared" si="11"/>
        <v>-131.69493333333332</v>
      </c>
      <c r="AC10" s="55">
        <v>-6.02</v>
      </c>
      <c r="AD10" s="55">
        <v>-6.9380249999999997</v>
      </c>
      <c r="AE10" s="55">
        <v>0</v>
      </c>
      <c r="AF10" s="55"/>
    </row>
    <row r="11" spans="1:32" s="57" customFormat="1" ht="15.75" customHeight="1">
      <c r="A11" s="2" t="s">
        <v>60</v>
      </c>
      <c r="B11" s="2" t="s">
        <v>817</v>
      </c>
      <c r="C11" s="51">
        <v>24.99</v>
      </c>
      <c r="D11" s="51">
        <v>108</v>
      </c>
      <c r="E11" s="51">
        <v>0</v>
      </c>
      <c r="F11" s="51">
        <v>2735.9199999999951</v>
      </c>
      <c r="G11" s="51">
        <v>-196.08999999999997</v>
      </c>
      <c r="H11" s="51">
        <f t="shared" si="1"/>
        <v>7.1672417322144036E-2</v>
      </c>
      <c r="I11" s="51">
        <f t="shared" si="2"/>
        <v>0.20986058010955355</v>
      </c>
      <c r="J11" s="51">
        <f t="shared" si="4"/>
        <v>574.16175833332875</v>
      </c>
      <c r="K11" s="51">
        <f t="shared" si="3"/>
        <v>5.3163125771604518</v>
      </c>
      <c r="L11" s="51">
        <v>539</v>
      </c>
      <c r="M11" s="51">
        <f t="shared" si="5"/>
        <v>0.20037105751391465</v>
      </c>
      <c r="N11" s="51">
        <v>1982</v>
      </c>
      <c r="O11" s="51">
        <f t="shared" ref="O11:P11" si="18">D11/7</f>
        <v>15.428571428571429</v>
      </c>
      <c r="P11" s="51">
        <f t="shared" si="18"/>
        <v>0</v>
      </c>
      <c r="Q11" s="51">
        <f t="shared" si="7"/>
        <v>128</v>
      </c>
      <c r="R11" s="55">
        <v>0</v>
      </c>
      <c r="S11" s="53" t="s">
        <v>34</v>
      </c>
      <c r="T11" s="54" t="s">
        <v>34</v>
      </c>
      <c r="U11" s="55">
        <v>41</v>
      </c>
      <c r="V11" s="55">
        <f t="shared" si="8"/>
        <v>0.37962962962962965</v>
      </c>
      <c r="W11" s="55">
        <f t="shared" si="9"/>
        <v>4.7826829268292679</v>
      </c>
      <c r="X11" s="55">
        <v>0</v>
      </c>
      <c r="Y11" s="55" t="s">
        <v>35</v>
      </c>
      <c r="Z11" s="56">
        <f t="shared" ref="Z11:Z39" si="19">IF(OR(Y11="UsLargeStandardSize",Y11="UsSmallStandardSize"),-0.75,-0.48)</f>
        <v>-0.75</v>
      </c>
      <c r="AA11" s="55">
        <v>0.37277777777777776</v>
      </c>
      <c r="AB11" s="55">
        <f t="shared" si="11"/>
        <v>-138.53354166666665</v>
      </c>
      <c r="AC11" s="55">
        <v>-6.18</v>
      </c>
      <c r="AD11" s="55">
        <v>-6.9380249999999997</v>
      </c>
      <c r="AE11" s="55">
        <v>0</v>
      </c>
      <c r="AF11" s="55"/>
    </row>
    <row r="12" spans="1:32" s="57" customFormat="1" ht="15.75" customHeight="1">
      <c r="A12" s="2" t="s">
        <v>62</v>
      </c>
      <c r="B12" s="2" t="s">
        <v>818</v>
      </c>
      <c r="C12" s="51">
        <v>21.99</v>
      </c>
      <c r="D12" s="51">
        <v>107</v>
      </c>
      <c r="E12" s="51">
        <v>0</v>
      </c>
      <c r="F12" s="51">
        <v>2649.9299999999953</v>
      </c>
      <c r="G12" s="51">
        <v>-200.14999999999998</v>
      </c>
      <c r="H12" s="51">
        <f t="shared" si="1"/>
        <v>7.5530297026714044E-2</v>
      </c>
      <c r="I12" s="51">
        <f t="shared" si="2"/>
        <v>0.19875960245490645</v>
      </c>
      <c r="J12" s="51">
        <f t="shared" si="4"/>
        <v>526.69903333332934</v>
      </c>
      <c r="K12" s="51">
        <f t="shared" si="3"/>
        <v>4.9224208722741061</v>
      </c>
      <c r="L12" s="51">
        <v>440</v>
      </c>
      <c r="M12" s="51">
        <f t="shared" si="5"/>
        <v>0.24318181818181819</v>
      </c>
      <c r="N12" s="51">
        <v>2000</v>
      </c>
      <c r="O12" s="51">
        <f t="shared" ref="O12:P12" si="20">D12/7</f>
        <v>15.285714285714286</v>
      </c>
      <c r="P12" s="51">
        <f t="shared" si="20"/>
        <v>0</v>
      </c>
      <c r="Q12" s="51">
        <f t="shared" si="7"/>
        <v>130</v>
      </c>
      <c r="R12" s="55">
        <v>0</v>
      </c>
      <c r="S12" s="53" t="s">
        <v>34</v>
      </c>
      <c r="T12" s="54" t="s">
        <v>34</v>
      </c>
      <c r="U12" s="55">
        <v>35</v>
      </c>
      <c r="V12" s="55">
        <f t="shared" si="8"/>
        <v>0.32710280373831774</v>
      </c>
      <c r="W12" s="55">
        <f t="shared" si="9"/>
        <v>5.718571428571428</v>
      </c>
      <c r="X12" s="55">
        <v>0</v>
      </c>
      <c r="Y12" s="55" t="s">
        <v>35</v>
      </c>
      <c r="Z12" s="56">
        <f t="shared" si="19"/>
        <v>-0.75</v>
      </c>
      <c r="AA12" s="55">
        <v>0.37277777777777776</v>
      </c>
      <c r="AB12" s="55">
        <f t="shared" si="11"/>
        <v>-139.79166666666666</v>
      </c>
      <c r="AC12" s="55">
        <v>-6.18</v>
      </c>
      <c r="AD12" s="55">
        <v>-6.7713999999999999</v>
      </c>
      <c r="AE12" s="55">
        <v>0</v>
      </c>
      <c r="AF12" s="55"/>
    </row>
    <row r="13" spans="1:32" s="57" customFormat="1" ht="15.75" customHeight="1">
      <c r="A13" s="2" t="s">
        <v>63</v>
      </c>
      <c r="B13" s="2" t="s">
        <v>819</v>
      </c>
      <c r="C13" s="51">
        <v>21.99</v>
      </c>
      <c r="D13" s="51">
        <v>154</v>
      </c>
      <c r="E13" s="51">
        <v>0</v>
      </c>
      <c r="F13" s="51">
        <v>3471.4599999999878</v>
      </c>
      <c r="G13" s="51">
        <v>-212.06</v>
      </c>
      <c r="H13" s="51">
        <f t="shared" si="1"/>
        <v>6.1086689750134163E-2</v>
      </c>
      <c r="I13" s="51">
        <f t="shared" si="2"/>
        <v>0.17524551509547143</v>
      </c>
      <c r="J13" s="51">
        <f t="shared" si="4"/>
        <v>608.35779583332305</v>
      </c>
      <c r="K13" s="51">
        <f t="shared" si="3"/>
        <v>3.9503752976189808</v>
      </c>
      <c r="L13" s="51">
        <v>516</v>
      </c>
      <c r="M13" s="51">
        <f t="shared" si="5"/>
        <v>0.29844961240310075</v>
      </c>
      <c r="N13" s="51">
        <v>1943</v>
      </c>
      <c r="O13" s="51">
        <f t="shared" ref="O13:P13" si="21">D13/7</f>
        <v>22</v>
      </c>
      <c r="P13" s="51">
        <f t="shared" si="21"/>
        <v>0</v>
      </c>
      <c r="Q13" s="51">
        <f t="shared" si="7"/>
        <v>88</v>
      </c>
      <c r="R13" s="55">
        <v>0</v>
      </c>
      <c r="S13" s="53" t="s">
        <v>34</v>
      </c>
      <c r="T13" s="54" t="s">
        <v>34</v>
      </c>
      <c r="U13" s="55">
        <v>69</v>
      </c>
      <c r="V13" s="55">
        <f t="shared" si="8"/>
        <v>0.44805194805194803</v>
      </c>
      <c r="W13" s="55">
        <f t="shared" si="9"/>
        <v>3.0733333333333333</v>
      </c>
      <c r="X13" s="55">
        <v>0</v>
      </c>
      <c r="Y13" s="55" t="s">
        <v>35</v>
      </c>
      <c r="Z13" s="56">
        <f t="shared" si="19"/>
        <v>-0.75</v>
      </c>
      <c r="AA13" s="55">
        <v>0.37277777777777776</v>
      </c>
      <c r="AB13" s="55">
        <f t="shared" si="11"/>
        <v>-135.80760416666664</v>
      </c>
      <c r="AC13" s="55">
        <v>-6.18</v>
      </c>
      <c r="AD13" s="55">
        <v>-6.7713999999999999</v>
      </c>
      <c r="AE13" s="55">
        <v>0</v>
      </c>
      <c r="AF13" s="55"/>
    </row>
    <row r="14" spans="1:32" s="57" customFormat="1" ht="15.75" customHeight="1">
      <c r="A14" s="2" t="s">
        <v>64</v>
      </c>
      <c r="B14" s="2"/>
      <c r="C14" s="51">
        <v>22.99</v>
      </c>
      <c r="D14" s="51">
        <v>133</v>
      </c>
      <c r="E14" s="51">
        <v>0</v>
      </c>
      <c r="F14" s="51">
        <v>2972.6699999999928</v>
      </c>
      <c r="G14" s="51">
        <v>-159.03</v>
      </c>
      <c r="H14" s="51">
        <f t="shared" si="1"/>
        <v>5.349736095833052E-2</v>
      </c>
      <c r="I14" s="51">
        <f t="shared" si="2"/>
        <v>0.17027806231434875</v>
      </c>
      <c r="J14" s="51">
        <f t="shared" si="4"/>
        <v>506.18048749999389</v>
      </c>
      <c r="K14" s="51">
        <f t="shared" si="3"/>
        <v>3.805868327067623</v>
      </c>
      <c r="L14" s="51">
        <v>474</v>
      </c>
      <c r="M14" s="51">
        <f t="shared" si="5"/>
        <v>0.28059071729957807</v>
      </c>
      <c r="N14" s="51">
        <v>1989</v>
      </c>
      <c r="O14" s="51">
        <f t="shared" ref="O14:P14" si="22">D14/7</f>
        <v>19</v>
      </c>
      <c r="P14" s="51">
        <f t="shared" si="22"/>
        <v>0</v>
      </c>
      <c r="Q14" s="51">
        <f t="shared" si="7"/>
        <v>104</v>
      </c>
      <c r="R14" s="55">
        <v>0</v>
      </c>
      <c r="S14" s="53" t="s">
        <v>34</v>
      </c>
      <c r="T14" s="54" t="s">
        <v>34</v>
      </c>
      <c r="U14" s="55">
        <v>74</v>
      </c>
      <c r="V14" s="55">
        <f t="shared" si="8"/>
        <v>0.55639097744360899</v>
      </c>
      <c r="W14" s="55">
        <f t="shared" si="9"/>
        <v>2.1490540540540541</v>
      </c>
      <c r="X14" s="55">
        <v>0</v>
      </c>
      <c r="Y14" s="55" t="s">
        <v>35</v>
      </c>
      <c r="Z14" s="56">
        <f t="shared" si="19"/>
        <v>-0.75</v>
      </c>
      <c r="AA14" s="55">
        <v>0.37277777777777776</v>
      </c>
      <c r="AB14" s="55">
        <f t="shared" si="11"/>
        <v>-139.02281249999999</v>
      </c>
      <c r="AC14" s="55">
        <v>-6.18</v>
      </c>
      <c r="AD14" s="55">
        <v>-6.7713999999999999</v>
      </c>
      <c r="AE14" s="55">
        <v>0</v>
      </c>
      <c r="AF14" s="55"/>
    </row>
    <row r="15" spans="1:32" s="57" customFormat="1" ht="15.75" customHeight="1">
      <c r="A15" s="2" t="s">
        <v>65</v>
      </c>
      <c r="B15" s="2" t="s">
        <v>810</v>
      </c>
      <c r="C15" s="51">
        <v>22.99</v>
      </c>
      <c r="D15" s="51">
        <v>139</v>
      </c>
      <c r="E15" s="51">
        <v>0</v>
      </c>
      <c r="F15" s="51">
        <v>3109.6099999999915</v>
      </c>
      <c r="G15" s="51">
        <v>-140.35999999999999</v>
      </c>
      <c r="H15" s="51">
        <f t="shared" si="1"/>
        <v>4.5137493126147774E-2</v>
      </c>
      <c r="I15" s="51">
        <f t="shared" si="2"/>
        <v>0.18282154085774763</v>
      </c>
      <c r="J15" s="51">
        <f t="shared" si="4"/>
        <v>568.50369166665905</v>
      </c>
      <c r="K15" s="51">
        <f t="shared" si="3"/>
        <v>4.0899546163068994</v>
      </c>
      <c r="L15" s="51">
        <v>380</v>
      </c>
      <c r="M15" s="51">
        <f t="shared" si="5"/>
        <v>0.36578947368421055</v>
      </c>
      <c r="N15" s="51">
        <v>1918</v>
      </c>
      <c r="O15" s="51">
        <f t="shared" ref="O15:P15" si="23">D15/7</f>
        <v>19.857142857142858</v>
      </c>
      <c r="P15" s="51">
        <f t="shared" si="23"/>
        <v>0</v>
      </c>
      <c r="Q15" s="51">
        <f t="shared" si="7"/>
        <v>96</v>
      </c>
      <c r="R15" s="55">
        <v>0</v>
      </c>
      <c r="S15" s="53" t="s">
        <v>34</v>
      </c>
      <c r="T15" s="54" t="s">
        <v>34</v>
      </c>
      <c r="U15" s="55">
        <v>55</v>
      </c>
      <c r="V15" s="55">
        <f t="shared" si="8"/>
        <v>0.39568345323741005</v>
      </c>
      <c r="W15" s="55">
        <f t="shared" si="9"/>
        <v>2.5519999999999996</v>
      </c>
      <c r="X15" s="55">
        <v>0</v>
      </c>
      <c r="Y15" s="55" t="s">
        <v>35</v>
      </c>
      <c r="Z15" s="56">
        <f t="shared" si="19"/>
        <v>-0.75</v>
      </c>
      <c r="AA15" s="55">
        <v>0.37277777777777776</v>
      </c>
      <c r="AB15" s="55">
        <f t="shared" si="11"/>
        <v>-134.06020833333332</v>
      </c>
      <c r="AC15" s="55">
        <v>-6.18</v>
      </c>
      <c r="AD15" s="55">
        <v>-6.7713999999999999</v>
      </c>
      <c r="AE15" s="55">
        <v>0</v>
      </c>
      <c r="AF15" s="55"/>
    </row>
    <row r="16" spans="1:32" s="57" customFormat="1" ht="15.75" customHeight="1">
      <c r="A16" s="2" t="s">
        <v>66</v>
      </c>
      <c r="B16" s="2" t="s">
        <v>810</v>
      </c>
      <c r="C16" s="51">
        <v>21.95</v>
      </c>
      <c r="D16" s="51">
        <v>135</v>
      </c>
      <c r="E16" s="51">
        <v>0</v>
      </c>
      <c r="F16" s="51">
        <v>3005.6499999999919</v>
      </c>
      <c r="G16" s="51">
        <v>-68.94</v>
      </c>
      <c r="H16" s="51">
        <f t="shared" si="1"/>
        <v>2.2936802355563748E-2</v>
      </c>
      <c r="I16" s="51">
        <f t="shared" si="2"/>
        <v>0.20420799854717875</v>
      </c>
      <c r="J16" s="51">
        <f t="shared" si="4"/>
        <v>613.77777083332614</v>
      </c>
      <c r="K16" s="51">
        <f t="shared" si="3"/>
        <v>4.5465020061727861</v>
      </c>
      <c r="L16" s="51">
        <v>383</v>
      </c>
      <c r="M16" s="51">
        <f t="shared" si="5"/>
        <v>0.35248041775456918</v>
      </c>
      <c r="N16" s="51">
        <v>1769</v>
      </c>
      <c r="O16" s="51">
        <f t="shared" ref="O16:P16" si="24">D16/7</f>
        <v>19.285714285714285</v>
      </c>
      <c r="P16" s="51">
        <f t="shared" si="24"/>
        <v>0</v>
      </c>
      <c r="Q16" s="51">
        <f t="shared" si="7"/>
        <v>91</v>
      </c>
      <c r="R16" s="55">
        <v>0</v>
      </c>
      <c r="S16" s="53" t="s">
        <v>34</v>
      </c>
      <c r="T16" s="54" t="s">
        <v>34</v>
      </c>
      <c r="U16" s="55">
        <v>28</v>
      </c>
      <c r="V16" s="55">
        <f t="shared" si="8"/>
        <v>0.2074074074074074</v>
      </c>
      <c r="W16" s="55">
        <f t="shared" si="9"/>
        <v>2.4621428571428572</v>
      </c>
      <c r="X16" s="55">
        <v>0</v>
      </c>
      <c r="Y16" s="55" t="s">
        <v>35</v>
      </c>
      <c r="Z16" s="56">
        <f t="shared" si="19"/>
        <v>-0.75</v>
      </c>
      <c r="AA16" s="55">
        <v>0.37277777777777776</v>
      </c>
      <c r="AB16" s="55">
        <f t="shared" si="11"/>
        <v>-123.64572916666665</v>
      </c>
      <c r="AC16" s="55">
        <v>-6.18</v>
      </c>
      <c r="AD16" s="55">
        <v>-6.7713999999999999</v>
      </c>
      <c r="AE16" s="55">
        <v>0</v>
      </c>
      <c r="AF16" s="55"/>
    </row>
    <row r="17" spans="1:32" s="57" customFormat="1" ht="15.75" customHeight="1">
      <c r="A17" s="2" t="s">
        <v>67</v>
      </c>
      <c r="B17" s="2" t="s">
        <v>820</v>
      </c>
      <c r="C17" s="51">
        <v>21.99</v>
      </c>
      <c r="D17" s="51">
        <v>98</v>
      </c>
      <c r="E17" s="51">
        <v>0</v>
      </c>
      <c r="F17" s="51">
        <v>2131.5100000000007</v>
      </c>
      <c r="G17" s="51">
        <v>0</v>
      </c>
      <c r="H17" s="51">
        <f t="shared" si="1"/>
        <v>0</v>
      </c>
      <c r="I17" s="51">
        <f t="shared" si="2"/>
        <v>0.19901978136000634</v>
      </c>
      <c r="J17" s="51">
        <f t="shared" si="4"/>
        <v>424.21265416666722</v>
      </c>
      <c r="K17" s="51">
        <f t="shared" si="3"/>
        <v>4.3287005527210942</v>
      </c>
      <c r="L17" s="51">
        <v>366</v>
      </c>
      <c r="M17" s="51">
        <f t="shared" si="5"/>
        <v>0.26775956284153007</v>
      </c>
      <c r="N17" s="51">
        <v>1693</v>
      </c>
      <c r="O17" s="51">
        <f t="shared" ref="O17:P17" si="25">D17/7</f>
        <v>14</v>
      </c>
      <c r="P17" s="51">
        <f t="shared" si="25"/>
        <v>0</v>
      </c>
      <c r="Q17" s="51">
        <f t="shared" si="7"/>
        <v>120</v>
      </c>
      <c r="R17" s="55">
        <v>0</v>
      </c>
      <c r="S17" s="53" t="s">
        <v>34</v>
      </c>
      <c r="T17" s="54" t="s">
        <v>34</v>
      </c>
      <c r="U17" s="55">
        <v>0</v>
      </c>
      <c r="V17" s="55">
        <f t="shared" si="8"/>
        <v>0</v>
      </c>
      <c r="W17" s="55">
        <f t="shared" si="9"/>
        <v>0</v>
      </c>
      <c r="X17" s="55">
        <v>0</v>
      </c>
      <c r="Y17" s="55" t="s">
        <v>35</v>
      </c>
      <c r="Z17" s="56">
        <f t="shared" si="19"/>
        <v>-0.75</v>
      </c>
      <c r="AA17" s="55">
        <v>0.37277777777777776</v>
      </c>
      <c r="AB17" s="55">
        <f t="shared" si="11"/>
        <v>-118.33364583333332</v>
      </c>
      <c r="AC17" s="55">
        <v>-6.18</v>
      </c>
      <c r="AD17" s="55">
        <v>-6.7713999999999999</v>
      </c>
      <c r="AE17" s="55">
        <v>0</v>
      </c>
      <c r="AF17" s="55"/>
    </row>
    <row r="18" spans="1:32" s="57" customFormat="1" ht="15.75" customHeight="1">
      <c r="A18" s="2" t="s">
        <v>69</v>
      </c>
      <c r="B18" s="2" t="s">
        <v>810</v>
      </c>
      <c r="C18" s="51">
        <v>21.99</v>
      </c>
      <c r="D18" s="51">
        <v>117</v>
      </c>
      <c r="E18" s="51">
        <v>0</v>
      </c>
      <c r="F18" s="51">
        <v>2576.3899999999971</v>
      </c>
      <c r="G18" s="51">
        <v>-16.57</v>
      </c>
      <c r="H18" s="51">
        <f t="shared" si="1"/>
        <v>6.4314797061004033E-3</v>
      </c>
      <c r="I18" s="51">
        <f t="shared" si="2"/>
        <v>0.21732499738005426</v>
      </c>
      <c r="J18" s="51">
        <f t="shared" si="4"/>
        <v>559.91394999999739</v>
      </c>
      <c r="K18" s="51">
        <f t="shared" si="3"/>
        <v>4.7855893162392942</v>
      </c>
      <c r="L18" s="51">
        <v>379</v>
      </c>
      <c r="M18" s="51">
        <f t="shared" si="5"/>
        <v>0.30870712401055411</v>
      </c>
      <c r="N18" s="51">
        <v>1515</v>
      </c>
      <c r="O18" s="51">
        <f t="shared" ref="O18:P18" si="26">D18/7</f>
        <v>16.714285714285715</v>
      </c>
      <c r="P18" s="51">
        <f t="shared" si="26"/>
        <v>0</v>
      </c>
      <c r="Q18" s="51">
        <f t="shared" si="7"/>
        <v>90</v>
      </c>
      <c r="R18" s="55">
        <v>0</v>
      </c>
      <c r="S18" s="53" t="s">
        <v>34</v>
      </c>
      <c r="T18" s="54" t="s">
        <v>34</v>
      </c>
      <c r="U18" s="55">
        <v>15</v>
      </c>
      <c r="V18" s="55">
        <f t="shared" si="8"/>
        <v>0.12820512820512819</v>
      </c>
      <c r="W18" s="55">
        <f t="shared" si="9"/>
        <v>1.1046666666666667</v>
      </c>
      <c r="X18" s="55">
        <v>0</v>
      </c>
      <c r="Y18" s="55" t="s">
        <v>35</v>
      </c>
      <c r="Z18" s="56">
        <f t="shared" si="19"/>
        <v>-0.75</v>
      </c>
      <c r="AA18" s="55">
        <v>0.37277777777777776</v>
      </c>
      <c r="AB18" s="58">
        <f t="shared" ref="AB18:AB39" si="27">IFERROR(Z18*AA18*D18*3,0)</f>
        <v>-98.133749999999978</v>
      </c>
      <c r="AC18" s="55">
        <v>-6.18</v>
      </c>
      <c r="AD18" s="55">
        <v>-6.7713999999999999</v>
      </c>
      <c r="AE18" s="55">
        <v>0</v>
      </c>
      <c r="AF18" s="55"/>
    </row>
    <row r="19" spans="1:32" s="57" customFormat="1" ht="15.75" customHeight="1">
      <c r="A19" s="2" t="s">
        <v>71</v>
      </c>
      <c r="B19" s="2" t="s">
        <v>821</v>
      </c>
      <c r="C19" s="51">
        <v>21.95</v>
      </c>
      <c r="D19" s="51">
        <v>95</v>
      </c>
      <c r="E19" s="51">
        <v>0</v>
      </c>
      <c r="F19" s="51">
        <v>2092.8900000000012</v>
      </c>
      <c r="G19" s="51">
        <v>-102.53</v>
      </c>
      <c r="H19" s="51">
        <f t="shared" si="1"/>
        <v>4.8989674564836154E-2</v>
      </c>
      <c r="I19" s="51">
        <f t="shared" si="2"/>
        <v>0.17505088657311221</v>
      </c>
      <c r="J19" s="51">
        <f t="shared" si="4"/>
        <v>366.36225000000104</v>
      </c>
      <c r="K19" s="51">
        <f t="shared" si="3"/>
        <v>3.8564447368421164</v>
      </c>
      <c r="L19" s="51">
        <v>551</v>
      </c>
      <c r="M19" s="51">
        <f t="shared" si="5"/>
        <v>0.17241379310344829</v>
      </c>
      <c r="N19" s="51">
        <v>1460</v>
      </c>
      <c r="O19" s="51">
        <f t="shared" ref="O19:P19" si="28">D19/7</f>
        <v>13.571428571428571</v>
      </c>
      <c r="P19" s="51">
        <f t="shared" si="28"/>
        <v>0</v>
      </c>
      <c r="Q19" s="51">
        <f t="shared" si="7"/>
        <v>107</v>
      </c>
      <c r="R19" s="55">
        <v>0</v>
      </c>
      <c r="S19" s="53" t="s">
        <v>34</v>
      </c>
      <c r="T19" s="54" t="s">
        <v>34</v>
      </c>
      <c r="U19" s="55">
        <v>51</v>
      </c>
      <c r="V19" s="55">
        <f t="shared" si="8"/>
        <v>0.5368421052631579</v>
      </c>
      <c r="W19" s="55">
        <f t="shared" si="9"/>
        <v>2.010392156862745</v>
      </c>
      <c r="X19" s="55">
        <v>0</v>
      </c>
      <c r="Y19" s="55" t="s">
        <v>35</v>
      </c>
      <c r="Z19" s="56">
        <f t="shared" si="19"/>
        <v>-0.75</v>
      </c>
      <c r="AA19" s="55">
        <v>0.37277777777777776</v>
      </c>
      <c r="AB19" s="55">
        <f t="shared" si="27"/>
        <v>-79.681249999999977</v>
      </c>
      <c r="AC19" s="55">
        <v>-6.18</v>
      </c>
      <c r="AD19" s="55">
        <v>-6.7713999999999999</v>
      </c>
      <c r="AE19" s="55">
        <v>0</v>
      </c>
      <c r="AF19" s="55"/>
    </row>
    <row r="20" spans="1:32" s="57" customFormat="1" ht="15.75" customHeight="1">
      <c r="A20" s="2" t="s">
        <v>73</v>
      </c>
      <c r="B20" s="2" t="s">
        <v>822</v>
      </c>
      <c r="C20" s="51">
        <v>22.99</v>
      </c>
      <c r="D20" s="51">
        <v>125</v>
      </c>
      <c r="E20" s="51">
        <v>0</v>
      </c>
      <c r="F20" s="51">
        <v>2753.9899999999948</v>
      </c>
      <c r="G20" s="51">
        <v>-144.07</v>
      </c>
      <c r="H20" s="51">
        <f t="shared" si="1"/>
        <v>5.2313189227266715E-2</v>
      </c>
      <c r="I20" s="51">
        <f t="shared" si="2"/>
        <v>0.17176995922279906</v>
      </c>
      <c r="J20" s="51">
        <f t="shared" si="4"/>
        <v>473.05274999999551</v>
      </c>
      <c r="K20" s="51">
        <f t="shared" si="3"/>
        <v>3.7844219999999642</v>
      </c>
      <c r="L20" s="51">
        <v>620</v>
      </c>
      <c r="M20" s="51">
        <f t="shared" si="5"/>
        <v>0.20161290322580644</v>
      </c>
      <c r="N20" s="51">
        <v>1246</v>
      </c>
      <c r="O20" s="51">
        <f t="shared" ref="O20:P20" si="29">D20/7</f>
        <v>17.857142857142858</v>
      </c>
      <c r="P20" s="51">
        <f t="shared" si="29"/>
        <v>0</v>
      </c>
      <c r="Q20" s="51">
        <f t="shared" si="7"/>
        <v>69</v>
      </c>
      <c r="R20" s="55">
        <v>0</v>
      </c>
      <c r="S20" s="53" t="s">
        <v>34</v>
      </c>
      <c r="T20" s="54" t="s">
        <v>34</v>
      </c>
      <c r="U20" s="55">
        <v>66</v>
      </c>
      <c r="V20" s="55">
        <f t="shared" si="8"/>
        <v>0.52800000000000002</v>
      </c>
      <c r="W20" s="55">
        <f t="shared" si="9"/>
        <v>2.1828787878787876</v>
      </c>
      <c r="X20" s="55">
        <v>0</v>
      </c>
      <c r="Y20" s="55" t="s">
        <v>35</v>
      </c>
      <c r="Z20" s="56">
        <f t="shared" si="19"/>
        <v>-0.75</v>
      </c>
      <c r="AA20" s="55">
        <v>0.37277777777777776</v>
      </c>
      <c r="AB20" s="55">
        <f t="shared" si="27"/>
        <v>-104.84375</v>
      </c>
      <c r="AC20" s="55">
        <v>-6.18</v>
      </c>
      <c r="AD20" s="55">
        <v>-6.7713999999999999</v>
      </c>
      <c r="AE20" s="55">
        <v>0</v>
      </c>
      <c r="AF20" s="55"/>
    </row>
    <row r="21" spans="1:32" s="57" customFormat="1" ht="15.75" customHeight="1">
      <c r="A21" s="2" t="s">
        <v>75</v>
      </c>
      <c r="B21" s="2" t="s">
        <v>823</v>
      </c>
      <c r="C21" s="51">
        <v>23.95</v>
      </c>
      <c r="D21" s="51">
        <v>135</v>
      </c>
      <c r="E21" s="51">
        <v>0</v>
      </c>
      <c r="F21" s="51">
        <v>2980.7299999999918</v>
      </c>
      <c r="G21" s="51">
        <v>-87.38</v>
      </c>
      <c r="H21" s="51">
        <f t="shared" si="1"/>
        <v>2.931496646794585E-2</v>
      </c>
      <c r="I21" s="51">
        <f t="shared" si="2"/>
        <v>0.19611647146839689</v>
      </c>
      <c r="J21" s="51">
        <f t="shared" si="4"/>
        <v>584.57024999999305</v>
      </c>
      <c r="K21" s="51">
        <f t="shared" si="3"/>
        <v>4.3301499999999482</v>
      </c>
      <c r="L21" s="51">
        <v>654</v>
      </c>
      <c r="M21" s="51">
        <f t="shared" si="5"/>
        <v>0.20642201834862386</v>
      </c>
      <c r="N21" s="51">
        <v>1212</v>
      </c>
      <c r="O21" s="51">
        <f t="shared" ref="O21:P21" si="30">D21/7</f>
        <v>19.285714285714285</v>
      </c>
      <c r="P21" s="51">
        <f t="shared" si="30"/>
        <v>0</v>
      </c>
      <c r="Q21" s="51">
        <f t="shared" si="7"/>
        <v>62</v>
      </c>
      <c r="R21" s="55">
        <v>0</v>
      </c>
      <c r="S21" s="53" t="s">
        <v>34</v>
      </c>
      <c r="T21" s="54" t="s">
        <v>34</v>
      </c>
      <c r="U21" s="55">
        <v>35</v>
      </c>
      <c r="V21" s="55">
        <f t="shared" si="8"/>
        <v>0.25925925925925924</v>
      </c>
      <c r="W21" s="55">
        <f t="shared" si="9"/>
        <v>2.4965714285714284</v>
      </c>
      <c r="X21" s="55">
        <v>0</v>
      </c>
      <c r="Y21" s="55" t="s">
        <v>35</v>
      </c>
      <c r="Z21" s="56">
        <f t="shared" si="19"/>
        <v>-0.75</v>
      </c>
      <c r="AA21" s="55">
        <v>0.37277777777777776</v>
      </c>
      <c r="AB21" s="55">
        <f t="shared" si="27"/>
        <v>-113.23124999999997</v>
      </c>
      <c r="AC21" s="55">
        <v>-6.18</v>
      </c>
      <c r="AD21" s="55">
        <v>-6.7713999999999999</v>
      </c>
      <c r="AE21" s="55">
        <v>0</v>
      </c>
      <c r="AF21" s="55"/>
    </row>
    <row r="22" spans="1:32" s="57" customFormat="1" ht="15.75" customHeight="1">
      <c r="A22" s="2" t="s">
        <v>77</v>
      </c>
      <c r="B22" s="2" t="s">
        <v>824</v>
      </c>
      <c r="C22" s="51">
        <v>26.99</v>
      </c>
      <c r="D22" s="51">
        <v>53</v>
      </c>
      <c r="E22" s="51">
        <v>0</v>
      </c>
      <c r="F22" s="51">
        <v>1273.2700000000007</v>
      </c>
      <c r="G22" s="51">
        <v>-83.789999999999992</v>
      </c>
      <c r="H22" s="51">
        <f t="shared" si="1"/>
        <v>6.5806938041420862E-2</v>
      </c>
      <c r="I22" s="51">
        <f t="shared" si="2"/>
        <v>0.21017659255303314</v>
      </c>
      <c r="J22" s="51">
        <f t="shared" si="4"/>
        <v>267.61155000000065</v>
      </c>
      <c r="K22" s="51">
        <f t="shared" si="3"/>
        <v>5.0492745283018987</v>
      </c>
      <c r="L22" s="51">
        <v>581</v>
      </c>
      <c r="M22" s="51">
        <f t="shared" si="5"/>
        <v>9.1222030981067126E-2</v>
      </c>
      <c r="N22" s="51">
        <v>1117</v>
      </c>
      <c r="O22" s="51">
        <f t="shared" ref="O22:P22" si="31">D22/7</f>
        <v>7.5714285714285712</v>
      </c>
      <c r="P22" s="51">
        <f t="shared" si="31"/>
        <v>0</v>
      </c>
      <c r="Q22" s="51">
        <f t="shared" si="7"/>
        <v>147</v>
      </c>
      <c r="R22" s="55">
        <v>0</v>
      </c>
      <c r="S22" s="53" t="s">
        <v>34</v>
      </c>
      <c r="T22" s="54" t="s">
        <v>34</v>
      </c>
      <c r="U22" s="55">
        <v>23</v>
      </c>
      <c r="V22" s="55">
        <f t="shared" si="8"/>
        <v>0.43396226415094341</v>
      </c>
      <c r="W22" s="55">
        <f t="shared" si="9"/>
        <v>3.6430434782608692</v>
      </c>
      <c r="X22" s="55">
        <v>0</v>
      </c>
      <c r="Y22" s="55" t="s">
        <v>35</v>
      </c>
      <c r="Z22" s="56">
        <f t="shared" si="19"/>
        <v>-0.75</v>
      </c>
      <c r="AA22" s="55">
        <v>0.37277777777777776</v>
      </c>
      <c r="AB22" s="55">
        <f t="shared" si="27"/>
        <v>-44.453749999999999</v>
      </c>
      <c r="AC22" s="55">
        <v>-6.18</v>
      </c>
      <c r="AD22" s="55">
        <v>-6.7713999999999999</v>
      </c>
      <c r="AE22" s="55">
        <v>0</v>
      </c>
      <c r="AF22" s="55"/>
    </row>
    <row r="23" spans="1:32" s="57" customFormat="1" ht="15.75" customHeight="1">
      <c r="A23" s="2" t="s">
        <v>79</v>
      </c>
      <c r="B23" s="2" t="s">
        <v>810</v>
      </c>
      <c r="C23" s="51">
        <v>26.95</v>
      </c>
      <c r="D23" s="51">
        <v>118</v>
      </c>
      <c r="E23" s="51">
        <v>0</v>
      </c>
      <c r="F23" s="51">
        <v>3069.8399999999933</v>
      </c>
      <c r="G23" s="51">
        <v>-111.38999999999999</v>
      </c>
      <c r="H23" s="51">
        <f t="shared" si="1"/>
        <v>3.6285278711594163E-2</v>
      </c>
      <c r="I23" s="51">
        <f t="shared" si="2"/>
        <v>0.28364224194094678</v>
      </c>
      <c r="J23" s="51">
        <f t="shared" si="4"/>
        <v>870.73629999999423</v>
      </c>
      <c r="K23" s="51">
        <f t="shared" si="3"/>
        <v>7.3791211864406288</v>
      </c>
      <c r="L23" s="51">
        <v>570</v>
      </c>
      <c r="M23" s="51">
        <f t="shared" si="5"/>
        <v>0.20701754385964913</v>
      </c>
      <c r="N23" s="51">
        <v>1042</v>
      </c>
      <c r="O23" s="51">
        <f t="shared" ref="O23:P23" si="32">D23/7</f>
        <v>16.857142857142858</v>
      </c>
      <c r="P23" s="51">
        <f t="shared" si="32"/>
        <v>0</v>
      </c>
      <c r="Q23" s="51">
        <f t="shared" si="7"/>
        <v>61</v>
      </c>
      <c r="R23" s="55">
        <v>1336</v>
      </c>
      <c r="S23" s="53" t="s">
        <v>34</v>
      </c>
      <c r="T23" s="54" t="s">
        <v>34</v>
      </c>
      <c r="U23" s="55">
        <v>27</v>
      </c>
      <c r="V23" s="55">
        <f t="shared" si="8"/>
        <v>0.2288135593220339</v>
      </c>
      <c r="W23" s="55">
        <f t="shared" si="9"/>
        <v>4.1255555555555548</v>
      </c>
      <c r="X23" s="55">
        <v>0</v>
      </c>
      <c r="Y23" s="55" t="s">
        <v>35</v>
      </c>
      <c r="Z23" s="56">
        <f t="shared" si="19"/>
        <v>-0.75</v>
      </c>
      <c r="AA23" s="55">
        <v>0.37277777777777776</v>
      </c>
      <c r="AB23" s="55">
        <f t="shared" si="27"/>
        <v>-98.972499999999982</v>
      </c>
      <c r="AC23" s="55">
        <v>-6.18</v>
      </c>
      <c r="AD23" s="55">
        <v>-6.7713999999999999</v>
      </c>
      <c r="AE23" s="55">
        <v>0</v>
      </c>
      <c r="AF23" s="55"/>
    </row>
    <row r="24" spans="1:32" s="57" customFormat="1" ht="15.75" customHeight="1">
      <c r="A24" s="2" t="s">
        <v>80</v>
      </c>
      <c r="B24" s="2" t="s">
        <v>810</v>
      </c>
      <c r="C24" s="51"/>
      <c r="D24" s="51">
        <v>104</v>
      </c>
      <c r="E24" s="51">
        <v>0</v>
      </c>
      <c r="F24" s="51">
        <v>2803.3999999999969</v>
      </c>
      <c r="G24" s="51">
        <v>-111.37</v>
      </c>
      <c r="H24" s="51">
        <f t="shared" si="1"/>
        <v>3.972676036241711E-2</v>
      </c>
      <c r="I24" s="51">
        <f t="shared" si="2"/>
        <v>0.2986888777912528</v>
      </c>
      <c r="J24" s="51">
        <f t="shared" si="4"/>
        <v>837.34439999999722</v>
      </c>
      <c r="K24" s="51">
        <f t="shared" si="3"/>
        <v>8.0513884615384352</v>
      </c>
      <c r="L24" s="51">
        <v>567</v>
      </c>
      <c r="M24" s="51">
        <f t="shared" si="5"/>
        <v>0.18342151675485008</v>
      </c>
      <c r="N24" s="51">
        <v>899</v>
      </c>
      <c r="O24" s="51">
        <f t="shared" ref="O24:P24" si="33">D24/7</f>
        <v>14.857142857142858</v>
      </c>
      <c r="P24" s="51">
        <f t="shared" si="33"/>
        <v>0</v>
      </c>
      <c r="Q24" s="51">
        <f t="shared" si="7"/>
        <v>60</v>
      </c>
      <c r="R24" s="55">
        <v>1336</v>
      </c>
      <c r="S24" s="53" t="s">
        <v>34</v>
      </c>
      <c r="T24" s="54" t="s">
        <v>34</v>
      </c>
      <c r="U24" s="55">
        <v>53</v>
      </c>
      <c r="V24" s="55">
        <f t="shared" si="8"/>
        <v>0.50961538461538458</v>
      </c>
      <c r="W24" s="55">
        <f t="shared" si="9"/>
        <v>2.1013207547169812</v>
      </c>
      <c r="X24" s="55">
        <v>0</v>
      </c>
      <c r="Y24" s="55" t="s">
        <v>35</v>
      </c>
      <c r="Z24" s="56">
        <f t="shared" si="19"/>
        <v>-0.75</v>
      </c>
      <c r="AA24" s="55">
        <v>0.37277777777777776</v>
      </c>
      <c r="AB24" s="55">
        <f t="shared" si="27"/>
        <v>-87.22999999999999</v>
      </c>
      <c r="AC24" s="55">
        <v>-6.18</v>
      </c>
      <c r="AD24" s="55">
        <v>-6.7713999999999999</v>
      </c>
      <c r="AE24" s="55">
        <v>0</v>
      </c>
      <c r="AF24" s="55"/>
    </row>
    <row r="25" spans="1:32" s="57" customFormat="1" ht="15.75" customHeight="1">
      <c r="A25" s="2" t="s">
        <v>81</v>
      </c>
      <c r="B25" s="2" t="s">
        <v>810</v>
      </c>
      <c r="C25" s="51"/>
      <c r="D25" s="51">
        <v>114</v>
      </c>
      <c r="E25" s="51">
        <v>0</v>
      </c>
      <c r="F25" s="51">
        <v>3088.4999999999959</v>
      </c>
      <c r="G25" s="51">
        <v>-100.02</v>
      </c>
      <c r="H25" s="51">
        <f t="shared" si="1"/>
        <v>3.238465274405055E-2</v>
      </c>
      <c r="I25" s="51">
        <f t="shared" si="2"/>
        <v>0.30860543953375352</v>
      </c>
      <c r="J25" s="51">
        <f t="shared" si="4"/>
        <v>953.12789999999643</v>
      </c>
      <c r="K25" s="51">
        <f t="shared" si="3"/>
        <v>8.3607710526315469</v>
      </c>
      <c r="L25" s="51">
        <v>346</v>
      </c>
      <c r="M25" s="51">
        <f t="shared" si="5"/>
        <v>0.32947976878612717</v>
      </c>
      <c r="N25" s="51">
        <v>843</v>
      </c>
      <c r="O25" s="51">
        <f t="shared" ref="O25:P25" si="34">D25/7</f>
        <v>16.285714285714285</v>
      </c>
      <c r="P25" s="51">
        <f t="shared" si="34"/>
        <v>0</v>
      </c>
      <c r="Q25" s="51">
        <f t="shared" si="7"/>
        <v>51</v>
      </c>
      <c r="R25" s="55">
        <v>1336</v>
      </c>
      <c r="S25" s="53" t="s">
        <v>34</v>
      </c>
      <c r="T25" s="54" t="s">
        <v>34</v>
      </c>
      <c r="U25" s="55">
        <v>21</v>
      </c>
      <c r="V25" s="55">
        <f t="shared" si="8"/>
        <v>0.18421052631578946</v>
      </c>
      <c r="W25" s="55">
        <f t="shared" si="9"/>
        <v>4.7628571428571425</v>
      </c>
      <c r="X25" s="55">
        <v>0</v>
      </c>
      <c r="Y25" s="55" t="s">
        <v>35</v>
      </c>
      <c r="Z25" s="56">
        <f t="shared" si="19"/>
        <v>-0.75</v>
      </c>
      <c r="AA25" s="55">
        <v>0.37277777777777776</v>
      </c>
      <c r="AB25" s="55">
        <f t="shared" si="27"/>
        <v>-95.617499999999978</v>
      </c>
      <c r="AC25" s="55">
        <v>-6.18</v>
      </c>
      <c r="AD25" s="55">
        <v>-6.7713999999999999</v>
      </c>
      <c r="AE25" s="55">
        <v>0</v>
      </c>
      <c r="AF25" s="55"/>
    </row>
    <row r="26" spans="1:32" s="57" customFormat="1" ht="15.75" customHeight="1">
      <c r="A26" s="2" t="s">
        <v>83</v>
      </c>
      <c r="B26" s="2" t="s">
        <v>810</v>
      </c>
      <c r="C26" s="51">
        <f t="shared" ref="C26:C39" si="35">IFERROR(F26/D26," - ")</f>
        <v>26.957264150943363</v>
      </c>
      <c r="D26" s="51">
        <v>106</v>
      </c>
      <c r="E26" s="51">
        <v>0</v>
      </c>
      <c r="F26" s="51">
        <v>2857.4699999999966</v>
      </c>
      <c r="G26" s="51">
        <v>-171.65</v>
      </c>
      <c r="H26" s="51">
        <f t="shared" si="1"/>
        <v>6.0070621913790943E-2</v>
      </c>
      <c r="I26" s="51">
        <f t="shared" si="2"/>
        <v>0.27837338624727398</v>
      </c>
      <c r="J26" s="51">
        <f t="shared" si="4"/>
        <v>795.4435999999971</v>
      </c>
      <c r="K26" s="51">
        <f t="shared" si="3"/>
        <v>7.5041849056603498</v>
      </c>
      <c r="L26" s="51">
        <v>517</v>
      </c>
      <c r="M26" s="51">
        <f t="shared" si="5"/>
        <v>0.20502901353965183</v>
      </c>
      <c r="N26" s="51">
        <v>671</v>
      </c>
      <c r="O26" s="51">
        <f t="shared" ref="O26:P26" si="36">D26/7</f>
        <v>15.142857142857142</v>
      </c>
      <c r="P26" s="51">
        <f t="shared" si="36"/>
        <v>0</v>
      </c>
      <c r="Q26" s="51">
        <f t="shared" si="7"/>
        <v>44</v>
      </c>
      <c r="R26" s="55">
        <v>0</v>
      </c>
      <c r="S26" s="53" t="s">
        <v>34</v>
      </c>
      <c r="T26" s="54" t="s">
        <v>34</v>
      </c>
      <c r="U26" s="55">
        <v>48</v>
      </c>
      <c r="V26" s="55">
        <f t="shared" si="8"/>
        <v>0.45283018867924529</v>
      </c>
      <c r="W26" s="55">
        <f t="shared" si="9"/>
        <v>3.5760416666666668</v>
      </c>
      <c r="X26" s="55">
        <v>0</v>
      </c>
      <c r="Y26" s="55" t="s">
        <v>35</v>
      </c>
      <c r="Z26" s="56">
        <f t="shared" si="19"/>
        <v>-0.75</v>
      </c>
      <c r="AA26" s="55">
        <v>0.37277777777777776</v>
      </c>
      <c r="AB26" s="55">
        <f t="shared" si="27"/>
        <v>-88.907499999999999</v>
      </c>
      <c r="AC26" s="55">
        <v>-6.18</v>
      </c>
      <c r="AD26" s="55">
        <v>-6.7713999999999999</v>
      </c>
      <c r="AE26" s="55">
        <v>0</v>
      </c>
      <c r="AF26" s="55"/>
    </row>
    <row r="27" spans="1:32" s="57" customFormat="1" ht="15.75" customHeight="1">
      <c r="A27" s="2" t="s">
        <v>84</v>
      </c>
      <c r="B27" s="2" t="s">
        <v>810</v>
      </c>
      <c r="C27" s="51">
        <f t="shared" si="35"/>
        <v>26.861944444444394</v>
      </c>
      <c r="D27" s="51">
        <v>108</v>
      </c>
      <c r="E27" s="51">
        <v>0</v>
      </c>
      <c r="F27" s="51">
        <v>2901.0899999999947</v>
      </c>
      <c r="G27" s="51">
        <v>-144.79000000000002</v>
      </c>
      <c r="H27" s="51">
        <f t="shared" si="1"/>
        <v>4.9908827371781046E-2</v>
      </c>
      <c r="I27" s="51">
        <f t="shared" si="2"/>
        <v>0.28671992251188244</v>
      </c>
      <c r="J27" s="51">
        <f t="shared" si="4"/>
        <v>831.80029999999545</v>
      </c>
      <c r="K27" s="51">
        <f t="shared" si="3"/>
        <v>7.7018546296295876</v>
      </c>
      <c r="L27" s="51">
        <v>445</v>
      </c>
      <c r="M27" s="51">
        <f t="shared" si="5"/>
        <v>0.24269662921348314</v>
      </c>
      <c r="N27" s="51">
        <v>622</v>
      </c>
      <c r="O27" s="51">
        <f t="shared" ref="O27:P27" si="37">D27/7</f>
        <v>15.428571428571429</v>
      </c>
      <c r="P27" s="51">
        <f t="shared" si="37"/>
        <v>0</v>
      </c>
      <c r="Q27" s="51">
        <f t="shared" si="7"/>
        <v>40</v>
      </c>
      <c r="R27" s="55">
        <v>0</v>
      </c>
      <c r="S27" s="53" t="s">
        <v>34</v>
      </c>
      <c r="T27" s="54" t="s">
        <v>34</v>
      </c>
      <c r="U27" s="55">
        <v>33</v>
      </c>
      <c r="V27" s="55">
        <f t="shared" si="8"/>
        <v>0.30555555555555558</v>
      </c>
      <c r="W27" s="55">
        <f t="shared" si="9"/>
        <v>4.3875757575757586</v>
      </c>
      <c r="X27" s="55">
        <v>0</v>
      </c>
      <c r="Y27" s="55" t="s">
        <v>35</v>
      </c>
      <c r="Z27" s="56">
        <f t="shared" si="19"/>
        <v>-0.75</v>
      </c>
      <c r="AA27" s="55">
        <v>0.37277777777777776</v>
      </c>
      <c r="AB27" s="55">
        <f t="shared" si="27"/>
        <v>-90.584999999999994</v>
      </c>
      <c r="AC27" s="55">
        <v>-6.18</v>
      </c>
      <c r="AD27" s="55">
        <v>-6.7713999999999999</v>
      </c>
      <c r="AE27" s="55">
        <v>0</v>
      </c>
      <c r="AF27" s="55"/>
    </row>
    <row r="28" spans="1:32" s="57" customFormat="1" ht="15.75" customHeight="1">
      <c r="A28" s="2" t="s">
        <v>86</v>
      </c>
      <c r="B28" s="2" t="s">
        <v>825</v>
      </c>
      <c r="C28" s="51">
        <f t="shared" si="35"/>
        <v>26.955555555555527</v>
      </c>
      <c r="D28" s="51">
        <v>108</v>
      </c>
      <c r="E28" s="51">
        <v>0</v>
      </c>
      <c r="F28" s="51">
        <v>2911.1999999999971</v>
      </c>
      <c r="G28" s="51">
        <v>-145.47999999999999</v>
      </c>
      <c r="H28" s="51">
        <f t="shared" si="1"/>
        <v>4.9972519923055833E-2</v>
      </c>
      <c r="I28" s="51">
        <f t="shared" si="2"/>
        <v>0.28901240224177244</v>
      </c>
      <c r="J28" s="51">
        <f t="shared" si="4"/>
        <v>841.37290540624713</v>
      </c>
      <c r="K28" s="51">
        <f t="shared" si="3"/>
        <v>7.7904898648726588</v>
      </c>
      <c r="L28" s="51">
        <v>497</v>
      </c>
      <c r="M28" s="51">
        <f t="shared" si="5"/>
        <v>0.21730382293762576</v>
      </c>
      <c r="N28" s="51">
        <v>476</v>
      </c>
      <c r="O28" s="51">
        <f t="shared" ref="O28:P28" si="38">D28/7</f>
        <v>15.428571428571429</v>
      </c>
      <c r="P28" s="51">
        <f t="shared" si="38"/>
        <v>0</v>
      </c>
      <c r="Q28" s="51">
        <f t="shared" si="7"/>
        <v>30</v>
      </c>
      <c r="R28" s="55">
        <v>0</v>
      </c>
      <c r="S28" s="53" t="s">
        <v>34</v>
      </c>
      <c r="T28" s="54" t="s">
        <v>34</v>
      </c>
      <c r="U28" s="55">
        <v>37</v>
      </c>
      <c r="V28" s="55">
        <f t="shared" si="8"/>
        <v>0.34259259259259262</v>
      </c>
      <c r="W28" s="55">
        <f t="shared" si="9"/>
        <v>3.9318918918918917</v>
      </c>
      <c r="X28" s="55">
        <v>0</v>
      </c>
      <c r="Y28" s="55" t="s">
        <v>35</v>
      </c>
      <c r="Z28" s="56">
        <f t="shared" si="19"/>
        <v>-0.75</v>
      </c>
      <c r="AA28" s="55">
        <v>0.36590903125000007</v>
      </c>
      <c r="AB28" s="55">
        <f t="shared" si="27"/>
        <v>-88.915894593750011</v>
      </c>
      <c r="AC28" s="55">
        <v>-6.18</v>
      </c>
      <c r="AD28" s="55">
        <v>-6.7713999999999999</v>
      </c>
      <c r="AE28" s="55">
        <v>0</v>
      </c>
      <c r="AF28" s="55"/>
    </row>
    <row r="29" spans="1:32" s="57" customFormat="1" ht="15.75" customHeight="1">
      <c r="A29" s="2" t="s">
        <v>87</v>
      </c>
      <c r="B29" s="2" t="s">
        <v>826</v>
      </c>
      <c r="C29" s="51">
        <f t="shared" si="35"/>
        <v>27.236597938144339</v>
      </c>
      <c r="D29" s="51">
        <v>97</v>
      </c>
      <c r="E29" s="51">
        <v>2</v>
      </c>
      <c r="F29" s="51">
        <v>2641.9500000000007</v>
      </c>
      <c r="G29" s="51">
        <v>-145.06</v>
      </c>
      <c r="H29" s="51">
        <f t="shared" si="1"/>
        <v>5.4906413823123057E-2</v>
      </c>
      <c r="I29" s="51">
        <f t="shared" si="2"/>
        <v>0.28935144644285021</v>
      </c>
      <c r="J29" s="51">
        <f t="shared" si="4"/>
        <v>764.4520539296883</v>
      </c>
      <c r="K29" s="51">
        <f t="shared" si="3"/>
        <v>7.8809490095844152</v>
      </c>
      <c r="L29" s="51">
        <v>484</v>
      </c>
      <c r="M29" s="51">
        <f t="shared" si="5"/>
        <v>0.20041322314049587</v>
      </c>
      <c r="N29" s="51">
        <v>411</v>
      </c>
      <c r="O29" s="51">
        <f t="shared" ref="O29:P29" si="39">D29/7</f>
        <v>13.857142857142858</v>
      </c>
      <c r="P29" s="51">
        <f t="shared" si="39"/>
        <v>0.2857142857142857</v>
      </c>
      <c r="Q29" s="51">
        <f t="shared" si="7"/>
        <v>29</v>
      </c>
      <c r="R29" s="55">
        <v>0</v>
      </c>
      <c r="S29" s="53" t="s">
        <v>34</v>
      </c>
      <c r="T29" s="54" t="s">
        <v>34</v>
      </c>
      <c r="U29" s="55">
        <v>35</v>
      </c>
      <c r="V29" s="55">
        <f t="shared" si="8"/>
        <v>0.36082474226804123</v>
      </c>
      <c r="W29" s="55">
        <f t="shared" si="9"/>
        <v>4.144571428571429</v>
      </c>
      <c r="X29" s="55">
        <v>0</v>
      </c>
      <c r="Y29" s="55" t="s">
        <v>35</v>
      </c>
      <c r="Z29" s="56">
        <f t="shared" si="19"/>
        <v>-0.75</v>
      </c>
      <c r="AA29" s="55">
        <v>0.36590903125000007</v>
      </c>
      <c r="AB29" s="55">
        <f t="shared" si="27"/>
        <v>-79.859646070312508</v>
      </c>
      <c r="AC29" s="55">
        <v>-6.18</v>
      </c>
      <c r="AD29" s="55">
        <v>-6.7713999999999999</v>
      </c>
      <c r="AE29" s="55">
        <v>0</v>
      </c>
      <c r="AF29" s="55"/>
    </row>
    <row r="30" spans="1:32" s="57" customFormat="1" ht="15.75" customHeight="1">
      <c r="A30" s="2" t="s">
        <v>89</v>
      </c>
      <c r="B30" s="2" t="s">
        <v>827</v>
      </c>
      <c r="C30" s="51">
        <f t="shared" si="35"/>
        <v>27.979130434782572</v>
      </c>
      <c r="D30" s="51">
        <v>115</v>
      </c>
      <c r="E30" s="51">
        <v>0</v>
      </c>
      <c r="F30" s="51">
        <v>3217.5999999999958</v>
      </c>
      <c r="G30" s="51">
        <v>-149.49</v>
      </c>
      <c r="H30" s="51">
        <f t="shared" si="1"/>
        <v>4.6460094480358094E-2</v>
      </c>
      <c r="I30" s="51">
        <f t="shared" si="2"/>
        <v>0.31121955437719429</v>
      </c>
      <c r="J30" s="51">
        <f t="shared" si="4"/>
        <v>1001.380038164059</v>
      </c>
      <c r="K30" s="51">
        <f t="shared" si="3"/>
        <v>8.7076525057744263</v>
      </c>
      <c r="L30" s="51">
        <v>512</v>
      </c>
      <c r="M30" s="51">
        <f t="shared" si="5"/>
        <v>0.224609375</v>
      </c>
      <c r="N30" s="51">
        <v>272</v>
      </c>
      <c r="O30" s="51">
        <f t="shared" ref="O30:P30" si="40">D30/7</f>
        <v>16.428571428571427</v>
      </c>
      <c r="P30" s="51">
        <f t="shared" si="40"/>
        <v>0</v>
      </c>
      <c r="Q30" s="51">
        <f t="shared" si="7"/>
        <v>16</v>
      </c>
      <c r="R30" s="55">
        <v>0</v>
      </c>
      <c r="S30" s="53" t="s">
        <v>34</v>
      </c>
      <c r="T30" s="54" t="s">
        <v>34</v>
      </c>
      <c r="U30" s="55">
        <v>36</v>
      </c>
      <c r="V30" s="55">
        <f t="shared" si="8"/>
        <v>0.31304347826086959</v>
      </c>
      <c r="W30" s="55">
        <f t="shared" si="9"/>
        <v>4.1524999999999999</v>
      </c>
      <c r="X30" s="55">
        <v>0</v>
      </c>
      <c r="Y30" s="55" t="s">
        <v>35</v>
      </c>
      <c r="Z30" s="56">
        <f t="shared" si="19"/>
        <v>-0.75</v>
      </c>
      <c r="AA30" s="55">
        <v>0.36590903125000007</v>
      </c>
      <c r="AB30" s="55">
        <f t="shared" si="27"/>
        <v>-94.678961835937514</v>
      </c>
      <c r="AC30" s="55">
        <v>-6.18</v>
      </c>
      <c r="AD30" s="55">
        <v>-6.7713999999999999</v>
      </c>
      <c r="AE30" s="55">
        <v>0</v>
      </c>
      <c r="AF30" s="55"/>
    </row>
    <row r="31" spans="1:32" s="57" customFormat="1" ht="15.75" customHeight="1">
      <c r="A31" s="2" t="s">
        <v>90</v>
      </c>
      <c r="B31" s="2" t="s">
        <v>828</v>
      </c>
      <c r="C31" s="51">
        <f t="shared" si="35"/>
        <v>28.91511627906976</v>
      </c>
      <c r="D31" s="51">
        <v>86</v>
      </c>
      <c r="E31" s="51">
        <v>0</v>
      </c>
      <c r="F31" s="51">
        <v>2486.6999999999994</v>
      </c>
      <c r="G31" s="51">
        <v>-130.57</v>
      </c>
      <c r="H31" s="51">
        <f t="shared" si="1"/>
        <v>5.2507339043712561E-2</v>
      </c>
      <c r="I31" s="51">
        <f t="shared" si="2"/>
        <v>0.32110877968919632</v>
      </c>
      <c r="J31" s="51">
        <f t="shared" si="4"/>
        <v>798.50120245312428</v>
      </c>
      <c r="K31" s="51">
        <f t="shared" si="3"/>
        <v>9.2848977029433062</v>
      </c>
      <c r="L31" s="51">
        <v>431</v>
      </c>
      <c r="M31" s="51">
        <f t="shared" si="5"/>
        <v>0.19953596287703015</v>
      </c>
      <c r="N31" s="51">
        <v>206</v>
      </c>
      <c r="O31" s="51">
        <f t="shared" ref="O31:P31" si="41">D31/7</f>
        <v>12.285714285714286</v>
      </c>
      <c r="P31" s="51">
        <f t="shared" si="41"/>
        <v>0</v>
      </c>
      <c r="Q31" s="51">
        <f t="shared" si="7"/>
        <v>16</v>
      </c>
      <c r="R31" s="55">
        <v>0</v>
      </c>
      <c r="S31" s="53" t="s">
        <v>34</v>
      </c>
      <c r="T31" s="54" t="s">
        <v>34</v>
      </c>
      <c r="U31" s="55">
        <v>38</v>
      </c>
      <c r="V31" s="55">
        <f t="shared" si="8"/>
        <v>0.44186046511627908</v>
      </c>
      <c r="W31" s="55">
        <f t="shared" si="9"/>
        <v>3.436052631578947</v>
      </c>
      <c r="X31" s="55">
        <v>0</v>
      </c>
      <c r="Y31" s="55" t="s">
        <v>35</v>
      </c>
      <c r="Z31" s="56">
        <f t="shared" si="19"/>
        <v>-0.75</v>
      </c>
      <c r="AA31" s="55">
        <v>0.36590903125000007</v>
      </c>
      <c r="AB31" s="55">
        <f t="shared" si="27"/>
        <v>-70.803397546875004</v>
      </c>
      <c r="AC31" s="55">
        <v>-6.18</v>
      </c>
      <c r="AD31" s="55">
        <v>-6.7713999999999999</v>
      </c>
      <c r="AE31" s="55">
        <v>0</v>
      </c>
      <c r="AF31" s="55"/>
    </row>
    <row r="32" spans="1:32" s="57" customFormat="1" ht="15.75" customHeight="1">
      <c r="A32" s="2" t="s">
        <v>92</v>
      </c>
      <c r="B32" s="2" t="s">
        <v>829</v>
      </c>
      <c r="C32" s="51">
        <f t="shared" si="35"/>
        <v>28.949999999999978</v>
      </c>
      <c r="D32" s="51">
        <v>94</v>
      </c>
      <c r="E32" s="51">
        <v>0</v>
      </c>
      <c r="F32" s="51">
        <v>2721.2999999999979</v>
      </c>
      <c r="G32" s="51">
        <v>-130.97</v>
      </c>
      <c r="H32" s="51">
        <f t="shared" si="1"/>
        <v>4.8127733068753939E-2</v>
      </c>
      <c r="I32" s="51">
        <f t="shared" si="2"/>
        <v>0.32606241130732516</v>
      </c>
      <c r="J32" s="51">
        <f t="shared" si="4"/>
        <v>887.31363989062334</v>
      </c>
      <c r="K32" s="51">
        <f t="shared" si="3"/>
        <v>9.4395068073470565</v>
      </c>
      <c r="L32" s="51">
        <v>423</v>
      </c>
      <c r="M32" s="51">
        <f t="shared" si="5"/>
        <v>0.22222222222222221</v>
      </c>
      <c r="N32" s="51">
        <v>90</v>
      </c>
      <c r="O32" s="51">
        <f t="shared" ref="O32:P32" si="42">D32/7</f>
        <v>13.428571428571429</v>
      </c>
      <c r="P32" s="51">
        <f t="shared" si="42"/>
        <v>0</v>
      </c>
      <c r="Q32" s="51">
        <f t="shared" si="7"/>
        <v>6</v>
      </c>
      <c r="R32" s="55">
        <v>1698</v>
      </c>
      <c r="S32" s="53" t="s">
        <v>34</v>
      </c>
      <c r="T32" s="54" t="s">
        <v>34</v>
      </c>
      <c r="U32" s="55">
        <v>27</v>
      </c>
      <c r="V32" s="55">
        <f t="shared" si="8"/>
        <v>0.28723404255319152</v>
      </c>
      <c r="W32" s="55">
        <f t="shared" si="9"/>
        <v>4.8507407407407408</v>
      </c>
      <c r="X32" s="55">
        <v>0</v>
      </c>
      <c r="Y32" s="55" t="s">
        <v>35</v>
      </c>
      <c r="Z32" s="56">
        <f t="shared" si="19"/>
        <v>-0.75</v>
      </c>
      <c r="AA32" s="55">
        <v>0.36590903125000007</v>
      </c>
      <c r="AB32" s="55">
        <f t="shared" si="27"/>
        <v>-77.389760109375004</v>
      </c>
      <c r="AC32" s="55">
        <v>-6.18</v>
      </c>
      <c r="AD32" s="55">
        <v>-6.7713999999999999</v>
      </c>
      <c r="AE32" s="55">
        <v>0</v>
      </c>
      <c r="AF32" s="52">
        <v>1.6747361887026599</v>
      </c>
    </row>
    <row r="33" spans="1:32" s="57" customFormat="1" ht="15.75" customHeight="1">
      <c r="A33" s="2" t="s">
        <v>94</v>
      </c>
      <c r="B33" s="2" t="s">
        <v>830</v>
      </c>
      <c r="C33" s="51">
        <f t="shared" si="35"/>
        <v>28.950000000000031</v>
      </c>
      <c r="D33" s="51">
        <v>66</v>
      </c>
      <c r="E33" s="51">
        <v>0</v>
      </c>
      <c r="F33" s="51">
        <v>1910.7000000000021</v>
      </c>
      <c r="G33" s="51">
        <v>-127.60000000000001</v>
      </c>
      <c r="H33" s="51">
        <f t="shared" si="1"/>
        <v>6.6781807714450137E-2</v>
      </c>
      <c r="I33" s="51">
        <f t="shared" si="2"/>
        <v>0.30740833666162992</v>
      </c>
      <c r="J33" s="51">
        <f t="shared" si="4"/>
        <v>587.36510885937696</v>
      </c>
      <c r="K33" s="51">
        <f t="shared" si="3"/>
        <v>8.899471346354197</v>
      </c>
      <c r="L33" s="51">
        <v>418</v>
      </c>
      <c r="M33" s="51">
        <f t="shared" si="5"/>
        <v>0.15789473684210525</v>
      </c>
      <c r="N33" s="51">
        <v>60</v>
      </c>
      <c r="O33" s="51">
        <f t="shared" ref="O33:P33" si="43">D33/7</f>
        <v>9.4285714285714288</v>
      </c>
      <c r="P33" s="51">
        <f t="shared" si="43"/>
        <v>0</v>
      </c>
      <c r="Q33" s="51">
        <f t="shared" si="7"/>
        <v>6</v>
      </c>
      <c r="R33" s="55">
        <v>2700</v>
      </c>
      <c r="S33" s="53">
        <v>1002</v>
      </c>
      <c r="T33" s="54">
        <v>44105</v>
      </c>
      <c r="U33" s="55">
        <v>21</v>
      </c>
      <c r="V33" s="55">
        <f t="shared" si="8"/>
        <v>0.31818181818181818</v>
      </c>
      <c r="W33" s="55">
        <f t="shared" si="9"/>
        <v>6.0761904761904768</v>
      </c>
      <c r="X33" s="55">
        <v>0</v>
      </c>
      <c r="Y33" s="55" t="s">
        <v>35</v>
      </c>
      <c r="Z33" s="56">
        <f t="shared" si="19"/>
        <v>-0.75</v>
      </c>
      <c r="AA33" s="55">
        <v>0.36590903125000007</v>
      </c>
      <c r="AB33" s="55">
        <f t="shared" si="27"/>
        <v>-54.337491140625005</v>
      </c>
      <c r="AC33" s="55">
        <v>-6.18</v>
      </c>
      <c r="AD33" s="55">
        <v>-6.7713999999999999</v>
      </c>
      <c r="AE33" s="55">
        <v>0</v>
      </c>
      <c r="AF33" s="55">
        <v>1.8019601216627199</v>
      </c>
    </row>
    <row r="34" spans="1:32" s="57" customFormat="1" ht="15.75" customHeight="1">
      <c r="A34" s="2" t="s">
        <v>95</v>
      </c>
      <c r="B34" s="2" t="s">
        <v>831</v>
      </c>
      <c r="C34" s="51">
        <f t="shared" si="35"/>
        <v>28.46750000000003</v>
      </c>
      <c r="D34" s="51">
        <v>60</v>
      </c>
      <c r="E34" s="51">
        <v>0</v>
      </c>
      <c r="F34" s="51">
        <v>1708.0500000000018</v>
      </c>
      <c r="G34" s="51">
        <v>-56.990000000000009</v>
      </c>
      <c r="H34" s="51">
        <f t="shared" si="1"/>
        <v>3.3365533795849035E-2</v>
      </c>
      <c r="I34" s="51">
        <f t="shared" si="2"/>
        <v>0.33276003675609672</v>
      </c>
      <c r="J34" s="51">
        <f t="shared" si="4"/>
        <v>568.3707807812516</v>
      </c>
      <c r="K34" s="51">
        <f t="shared" si="3"/>
        <v>9.4728463463541939</v>
      </c>
      <c r="L34" s="51">
        <v>435</v>
      </c>
      <c r="M34" s="51">
        <f t="shared" si="5"/>
        <v>0.13793103448275862</v>
      </c>
      <c r="N34" s="51">
        <v>12</v>
      </c>
      <c r="O34" s="51">
        <f t="shared" ref="O34:P34" si="44">D34/7</f>
        <v>8.5714285714285712</v>
      </c>
      <c r="P34" s="51">
        <f t="shared" si="44"/>
        <v>0</v>
      </c>
      <c r="Q34" s="51">
        <f t="shared" si="7"/>
        <v>1</v>
      </c>
      <c r="R34" s="55">
        <v>2700</v>
      </c>
      <c r="S34" s="53">
        <v>1002</v>
      </c>
      <c r="T34" s="54">
        <v>44105</v>
      </c>
      <c r="U34" s="55">
        <v>14</v>
      </c>
      <c r="V34" s="55">
        <f t="shared" si="8"/>
        <v>0.23333333333333334</v>
      </c>
      <c r="W34" s="55">
        <f t="shared" si="9"/>
        <v>4.0707142857142866</v>
      </c>
      <c r="X34" s="55">
        <v>0</v>
      </c>
      <c r="Y34" s="55" t="s">
        <v>35</v>
      </c>
      <c r="Z34" s="56">
        <f t="shared" si="19"/>
        <v>-0.75</v>
      </c>
      <c r="AA34" s="55">
        <v>0.36590903125000007</v>
      </c>
      <c r="AB34" s="55">
        <f t="shared" si="27"/>
        <v>-49.397719218750012</v>
      </c>
      <c r="AC34" s="55">
        <v>-6.18</v>
      </c>
      <c r="AD34" s="55">
        <v>-6.7713999999999999</v>
      </c>
      <c r="AE34" s="55">
        <v>0</v>
      </c>
      <c r="AF34" s="55">
        <v>2.08598452278589</v>
      </c>
    </row>
    <row r="35" spans="1:32" s="57" customFormat="1" ht="15.75" customHeight="1">
      <c r="A35" s="2" t="s">
        <v>96</v>
      </c>
      <c r="B35" s="2"/>
      <c r="C35" s="51">
        <f t="shared" si="35"/>
        <v>28.949999999999996</v>
      </c>
      <c r="D35" s="51">
        <v>8</v>
      </c>
      <c r="E35" s="51">
        <v>0</v>
      </c>
      <c r="F35" s="51">
        <v>231.59999999999997</v>
      </c>
      <c r="G35" s="51">
        <v>0</v>
      </c>
      <c r="H35" s="51">
        <f t="shared" si="1"/>
        <v>0</v>
      </c>
      <c r="I35" s="51">
        <f t="shared" si="2"/>
        <v>0.37419014437607934</v>
      </c>
      <c r="J35" s="51">
        <f t="shared" si="4"/>
        <v>86.66243743749996</v>
      </c>
      <c r="K35" s="51">
        <f t="shared" si="3"/>
        <v>10.832804679687495</v>
      </c>
      <c r="L35" s="51">
        <v>470</v>
      </c>
      <c r="M35" s="51">
        <f t="shared" si="5"/>
        <v>1.7021276595744681E-2</v>
      </c>
      <c r="N35" s="51">
        <v>35</v>
      </c>
      <c r="O35" s="51">
        <f t="shared" ref="O35:P35" si="45">D35/7</f>
        <v>1.1428571428571428</v>
      </c>
      <c r="P35" s="51">
        <f t="shared" si="45"/>
        <v>0</v>
      </c>
      <c r="Q35" s="51">
        <f t="shared" si="7"/>
        <v>30</v>
      </c>
      <c r="R35" s="55">
        <v>1002</v>
      </c>
      <c r="S35" s="53">
        <v>1002</v>
      </c>
      <c r="T35" s="54">
        <v>44105</v>
      </c>
      <c r="U35" s="55">
        <v>0</v>
      </c>
      <c r="V35" s="55">
        <f t="shared" si="8"/>
        <v>0</v>
      </c>
      <c r="W35" s="55">
        <f t="shared" si="9"/>
        <v>0</v>
      </c>
      <c r="X35" s="55">
        <v>0</v>
      </c>
      <c r="Y35" s="55" t="s">
        <v>35</v>
      </c>
      <c r="Z35" s="56">
        <f t="shared" si="19"/>
        <v>-0.75</v>
      </c>
      <c r="AA35" s="55">
        <v>0.36590903125000007</v>
      </c>
      <c r="AB35" s="55">
        <f t="shared" si="27"/>
        <v>-6.5863625625000006</v>
      </c>
      <c r="AC35" s="55">
        <v>-6.18</v>
      </c>
      <c r="AD35" s="55">
        <v>-6.7713999999999999</v>
      </c>
      <c r="AE35" s="55">
        <v>0</v>
      </c>
      <c r="AF35" s="55">
        <v>2.1664392905866299</v>
      </c>
    </row>
    <row r="36" spans="1:32" s="57" customFormat="1" ht="15.75" customHeight="1">
      <c r="A36" s="2" t="s">
        <v>98</v>
      </c>
      <c r="B36" s="2"/>
      <c r="C36" s="51">
        <f t="shared" si="35"/>
        <v>28.949999999999992</v>
      </c>
      <c r="D36" s="51">
        <v>12</v>
      </c>
      <c r="E36" s="51">
        <v>0</v>
      </c>
      <c r="F36" s="51">
        <v>347.39999999999992</v>
      </c>
      <c r="G36" s="51">
        <v>0</v>
      </c>
      <c r="H36" s="51">
        <f t="shared" si="1"/>
        <v>0</v>
      </c>
      <c r="I36" s="51">
        <f t="shared" si="2"/>
        <v>0.37419014437607923</v>
      </c>
      <c r="J36" s="51">
        <f t="shared" si="4"/>
        <v>129.9936561562499</v>
      </c>
      <c r="K36" s="51">
        <f t="shared" si="3"/>
        <v>10.832804679687492</v>
      </c>
      <c r="L36" s="51">
        <v>479</v>
      </c>
      <c r="M36" s="51">
        <f t="shared" si="5"/>
        <v>2.5052192066805846E-2</v>
      </c>
      <c r="N36" s="51">
        <v>5</v>
      </c>
      <c r="O36" s="51">
        <f t="shared" ref="O36:P36" si="46">D36/7</f>
        <v>1.7142857142857142</v>
      </c>
      <c r="P36" s="51">
        <f t="shared" si="46"/>
        <v>0</v>
      </c>
      <c r="Q36" s="51">
        <f t="shared" si="7"/>
        <v>2</v>
      </c>
      <c r="R36" s="55">
        <v>1002</v>
      </c>
      <c r="S36" s="53"/>
      <c r="T36" s="54">
        <v>44105</v>
      </c>
      <c r="U36" s="55"/>
      <c r="V36" s="55">
        <f t="shared" si="8"/>
        <v>0</v>
      </c>
      <c r="W36" s="55">
        <f t="shared" si="9"/>
        <v>0</v>
      </c>
      <c r="X36" s="55"/>
      <c r="Y36" s="55" t="s">
        <v>35</v>
      </c>
      <c r="Z36" s="56">
        <f t="shared" si="19"/>
        <v>-0.75</v>
      </c>
      <c r="AA36" s="55">
        <v>0.36590903125000007</v>
      </c>
      <c r="AB36" s="55">
        <f t="shared" si="27"/>
        <v>-9.8795438437500014</v>
      </c>
      <c r="AC36" s="55">
        <v>-6.18</v>
      </c>
      <c r="AD36" s="55">
        <v>-6.7713999999999999</v>
      </c>
      <c r="AE36" s="55">
        <v>0</v>
      </c>
      <c r="AF36" s="55">
        <v>2.3757852655625298</v>
      </c>
    </row>
    <row r="37" spans="1:32" s="57" customFormat="1" ht="15.75" customHeight="1">
      <c r="A37" s="2" t="s">
        <v>99</v>
      </c>
      <c r="B37" s="2"/>
      <c r="C37" s="51">
        <f t="shared" si="35"/>
        <v>28.7</v>
      </c>
      <c r="D37" s="51">
        <v>4</v>
      </c>
      <c r="E37" s="51">
        <v>0</v>
      </c>
      <c r="F37" s="51">
        <v>114.8</v>
      </c>
      <c r="G37" s="51">
        <v>-1.08</v>
      </c>
      <c r="H37" s="51">
        <f t="shared" si="1"/>
        <v>9.4076655052264813E-3</v>
      </c>
      <c r="I37" s="51">
        <f t="shared" si="2"/>
        <v>0.36063779371733451</v>
      </c>
      <c r="J37" s="51">
        <f t="shared" si="4"/>
        <v>41.401218718750002</v>
      </c>
      <c r="K37" s="51">
        <f t="shared" si="3"/>
        <v>10.3503046796875</v>
      </c>
      <c r="L37" s="51">
        <v>278</v>
      </c>
      <c r="M37" s="51">
        <f t="shared" si="5"/>
        <v>1.4388489208633094E-2</v>
      </c>
      <c r="N37" s="51">
        <v>2</v>
      </c>
      <c r="O37" s="51">
        <f t="shared" ref="O37:P37" si="47">D37/7</f>
        <v>0.5714285714285714</v>
      </c>
      <c r="P37" s="51">
        <f t="shared" si="47"/>
        <v>0</v>
      </c>
      <c r="Q37" s="51">
        <f t="shared" si="7"/>
        <v>3</v>
      </c>
      <c r="R37" s="55">
        <v>702</v>
      </c>
      <c r="S37" s="53">
        <v>702</v>
      </c>
      <c r="T37" s="54">
        <v>44105</v>
      </c>
      <c r="U37" s="55">
        <v>1</v>
      </c>
      <c r="V37" s="55">
        <f t="shared" si="8"/>
        <v>0.25</v>
      </c>
      <c r="W37" s="55">
        <f t="shared" si="9"/>
        <v>1.08</v>
      </c>
      <c r="X37" s="55">
        <v>0</v>
      </c>
      <c r="Y37" s="55" t="s">
        <v>35</v>
      </c>
      <c r="Z37" s="56">
        <f t="shared" si="19"/>
        <v>-0.75</v>
      </c>
      <c r="AA37" s="55">
        <v>0.36590903125000007</v>
      </c>
      <c r="AB37" s="55">
        <f t="shared" si="27"/>
        <v>-3.2931812812500003</v>
      </c>
      <c r="AC37" s="55">
        <v>-6.18</v>
      </c>
      <c r="AD37" s="55">
        <v>-6.7713999999999999</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1</v>
      </c>
      <c r="O38" s="51">
        <f t="shared" ref="O38:P38" si="48">D38/7</f>
        <v>0</v>
      </c>
      <c r="P38" s="51">
        <f t="shared" si="48"/>
        <v>0</v>
      </c>
      <c r="Q38" s="51" t="e">
        <f t="shared" si="7"/>
        <v>#DIV/0!</v>
      </c>
      <c r="R38" s="55">
        <v>702</v>
      </c>
      <c r="S38" s="53"/>
      <c r="T38" s="54">
        <v>44105</v>
      </c>
      <c r="U38" s="55">
        <v>0</v>
      </c>
      <c r="V38" s="55">
        <f t="shared" si="8"/>
        <v>0</v>
      </c>
      <c r="W38" s="55">
        <f t="shared" si="9"/>
        <v>0</v>
      </c>
      <c r="X38" s="55">
        <v>0</v>
      </c>
      <c r="Y38" s="55" t="s">
        <v>35</v>
      </c>
      <c r="Z38" s="56">
        <f t="shared" si="19"/>
        <v>-0.75</v>
      </c>
      <c r="AA38" s="55">
        <v>0.36590903125000007</v>
      </c>
      <c r="AB38" s="55">
        <f t="shared" si="27"/>
        <v>0</v>
      </c>
      <c r="AC38" s="55">
        <v>-6.18</v>
      </c>
      <c r="AD38" s="55">
        <v>-6.7713999999999999</v>
      </c>
      <c r="AE38" s="55">
        <v>0</v>
      </c>
      <c r="AF38" s="55">
        <v>2.7450331125827798</v>
      </c>
    </row>
    <row r="39" spans="1:32" s="57" customFormat="1" ht="15.75" customHeight="1">
      <c r="A39" s="2" t="s">
        <v>101</v>
      </c>
      <c r="B39" s="2"/>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1</v>
      </c>
      <c r="O39" s="51">
        <f t="shared" ref="O39:P39" si="49">D39/7</f>
        <v>0</v>
      </c>
      <c r="P39" s="51">
        <f t="shared" si="49"/>
        <v>0</v>
      </c>
      <c r="Q39" s="51" t="e">
        <f t="shared" si="7"/>
        <v>#DIV/0!</v>
      </c>
      <c r="R39" s="55">
        <v>702</v>
      </c>
      <c r="S39" s="53">
        <v>702</v>
      </c>
      <c r="T39" s="54">
        <v>44105</v>
      </c>
      <c r="U39" s="55">
        <v>0</v>
      </c>
      <c r="V39" s="55">
        <f t="shared" si="8"/>
        <v>0</v>
      </c>
      <c r="W39" s="55">
        <f t="shared" si="9"/>
        <v>0</v>
      </c>
      <c r="X39" s="55">
        <v>0</v>
      </c>
      <c r="Y39" s="55" t="s">
        <v>35</v>
      </c>
      <c r="Z39" s="56">
        <f t="shared" si="19"/>
        <v>-0.75</v>
      </c>
      <c r="AA39" s="55">
        <v>0.36590903125000007</v>
      </c>
      <c r="AB39" s="55">
        <f t="shared" si="27"/>
        <v>0</v>
      </c>
      <c r="AC39" s="55">
        <v>-6.18</v>
      </c>
      <c r="AD39" s="55">
        <v>-6.7713999999999999</v>
      </c>
      <c r="AE39" s="55">
        <v>0</v>
      </c>
      <c r="AF39" s="55">
        <v>2.9234042553191402</v>
      </c>
    </row>
    <row r="40" spans="1:32" s="57" customFormat="1" ht="15.75" customHeight="1">
      <c r="A40" s="2" t="s">
        <v>102</v>
      </c>
      <c r="B40" s="2"/>
      <c r="C40" s="51">
        <v>27.95</v>
      </c>
      <c r="D40" s="51">
        <v>2</v>
      </c>
      <c r="E40" s="51">
        <v>0</v>
      </c>
      <c r="F40" s="51">
        <v>55.9</v>
      </c>
      <c r="G40" s="51">
        <v>-1.2000000000000002</v>
      </c>
      <c r="H40" s="51">
        <v>2.1466905187835426E-2</v>
      </c>
      <c r="I40" s="51">
        <v>0.33569963075805009</v>
      </c>
      <c r="J40" s="51">
        <v>18.765609359374999</v>
      </c>
      <c r="K40" s="51">
        <v>9.3828046796874993</v>
      </c>
      <c r="L40" s="51">
        <v>63</v>
      </c>
      <c r="M40" s="51">
        <v>3.1746031746031744E-2</v>
      </c>
      <c r="N40" s="51">
        <v>1</v>
      </c>
      <c r="O40" s="51">
        <v>0.2857142857142857</v>
      </c>
      <c r="P40" s="51">
        <v>0</v>
      </c>
      <c r="Q40" s="51">
        <v>3</v>
      </c>
      <c r="R40" s="55">
        <v>702</v>
      </c>
      <c r="S40" s="53">
        <v>702</v>
      </c>
      <c r="T40" s="54">
        <v>44103</v>
      </c>
      <c r="U40" s="55">
        <v>0</v>
      </c>
      <c r="V40" s="55">
        <v>0</v>
      </c>
      <c r="W40" s="55">
        <v>0</v>
      </c>
      <c r="X40" s="55">
        <v>0</v>
      </c>
      <c r="Y40" s="55" t="s">
        <v>35</v>
      </c>
      <c r="Z40" s="56">
        <v>-0.75</v>
      </c>
      <c r="AA40" s="55">
        <v>0.36590903125000007</v>
      </c>
      <c r="AB40" s="55">
        <v>-1.6465906406250002</v>
      </c>
      <c r="AC40" s="55">
        <v>-6.18</v>
      </c>
      <c r="AD40" s="55">
        <v>-6.7713999999999999</v>
      </c>
      <c r="AE40" s="55">
        <v>0</v>
      </c>
      <c r="AF40" s="55" t="e">
        <v>#N/A</v>
      </c>
    </row>
    <row r="41" spans="1:32" s="57" customFormat="1" ht="15.75" customHeight="1">
      <c r="A41" s="2" t="s">
        <v>105</v>
      </c>
      <c r="B41" s="2"/>
      <c r="C41" s="51">
        <f t="shared" ref="C41:C56" si="50">IFERROR(F41/D41," - ")</f>
        <v>27.95</v>
      </c>
      <c r="D41" s="51">
        <v>1</v>
      </c>
      <c r="E41" s="51">
        <v>0</v>
      </c>
      <c r="F41" s="51">
        <v>27.95</v>
      </c>
      <c r="G41" s="51">
        <v>-3.3600000000000003</v>
      </c>
      <c r="H41" s="51">
        <f t="shared" ref="H41:H56" si="51">G41/F41*-1</f>
        <v>0.12021466905187837</v>
      </c>
      <c r="I41" s="51">
        <f t="shared" ref="I41:I56" si="52">J41/F41</f>
        <v>0.23695186689400721</v>
      </c>
      <c r="J41" s="51">
        <f t="shared" ref="J41:J48" si="53">F41*0.85+G41+AD41*D41+D41*AC41+AE42+AB41</f>
        <v>6.6228046796875013</v>
      </c>
      <c r="K41" s="51">
        <f t="shared" ref="K41:K56" si="54">J41/D41</f>
        <v>6.6228046796875013</v>
      </c>
      <c r="L41" s="51">
        <v>37</v>
      </c>
      <c r="M41" s="51">
        <f t="shared" ref="M41:M56" si="55">IFERROR(D41/L41,"-")</f>
        <v>2.7027027027027029E-2</v>
      </c>
      <c r="N41" s="51">
        <v>0</v>
      </c>
      <c r="O41" s="51">
        <f t="shared" ref="O41:P41" si="56">D41/7</f>
        <v>0.14285714285714285</v>
      </c>
      <c r="P41" s="51">
        <f t="shared" si="56"/>
        <v>0</v>
      </c>
      <c r="Q41" s="51">
        <f t="shared" ref="Q41:Q56" si="57">ROUNDDOWN(N41/(O41+P41),0)</f>
        <v>0</v>
      </c>
      <c r="R41" s="55">
        <v>702</v>
      </c>
      <c r="S41" s="53">
        <v>702</v>
      </c>
      <c r="T41" s="54">
        <v>44103</v>
      </c>
      <c r="U41" s="55">
        <v>1</v>
      </c>
      <c r="V41" s="55">
        <f t="shared" ref="V41:V56" si="58">IFERROR(U41/D41,0)</f>
        <v>1</v>
      </c>
      <c r="W41" s="55">
        <f t="shared" ref="W41:W56" si="59">IFERROR(G41/(U41+X41)*-1,0)</f>
        <v>3.3600000000000003</v>
      </c>
      <c r="X41" s="55">
        <v>0</v>
      </c>
      <c r="Y41" s="55" t="s">
        <v>35</v>
      </c>
      <c r="Z41" s="56">
        <f t="shared" ref="Z41:Z43" si="60">IF(OR(Y41="UsLargeStandardSize",Y41="UsSmallStandardSize"),-0.75,-0.48)</f>
        <v>-0.75</v>
      </c>
      <c r="AA41" s="55">
        <v>0.36590903125000007</v>
      </c>
      <c r="AB41" s="55">
        <f t="shared" ref="AB41:AB56" si="61">IFERROR(Z41*AA41*D41*3,0)</f>
        <v>-0.82329532031250008</v>
      </c>
      <c r="AC41" s="55">
        <v>-6.18</v>
      </c>
      <c r="AD41" s="55">
        <v>-6.7713999999999999</v>
      </c>
      <c r="AE41" s="55">
        <v>0</v>
      </c>
      <c r="AF41" s="55" t="e">
        <v>#N/A</v>
      </c>
    </row>
    <row r="42" spans="1:32" s="57" customFormat="1" ht="15.75" customHeight="1">
      <c r="A42" s="2" t="s">
        <v>106</v>
      </c>
      <c r="B42" s="2"/>
      <c r="C42" s="51" t="str">
        <f t="shared" si="50"/>
        <v xml:space="preserve"> - </v>
      </c>
      <c r="D42" s="51">
        <v>0</v>
      </c>
      <c r="E42" s="51">
        <v>0</v>
      </c>
      <c r="F42" s="51">
        <v>0</v>
      </c>
      <c r="G42" s="51">
        <v>0</v>
      </c>
      <c r="H42" s="51" t="e">
        <f t="shared" si="51"/>
        <v>#DIV/0!</v>
      </c>
      <c r="I42" s="51" t="e">
        <f t="shared" si="52"/>
        <v>#DIV/0!</v>
      </c>
      <c r="J42" s="51">
        <f t="shared" si="53"/>
        <v>0</v>
      </c>
      <c r="K42" s="51" t="e">
        <f t="shared" si="54"/>
        <v>#DIV/0!</v>
      </c>
      <c r="L42" s="51">
        <v>0</v>
      </c>
      <c r="M42" s="51" t="str">
        <f t="shared" si="55"/>
        <v>-</v>
      </c>
      <c r="N42" s="51">
        <v>0</v>
      </c>
      <c r="O42" s="51">
        <f t="shared" ref="O42:P42" si="62">D42/7</f>
        <v>0</v>
      </c>
      <c r="P42" s="51">
        <f t="shared" si="62"/>
        <v>0</v>
      </c>
      <c r="Q42" s="51" t="e">
        <f t="shared" si="57"/>
        <v>#DIV/0!</v>
      </c>
      <c r="R42" s="55">
        <f ca="1">IFERROR(__xludf.DUMMYFUNCTION("IFERROR(VLOOKUP($B$2,IMPORTRANGE(""https://docs.google.com/spreadsheets/d/1iVgg6Mw12RULLujzHmfOFIY8Q_KaAD8anoZzgtVAQ74/edit#gid=1503384807"",""Second Star - Summary!A1:AD2000""),9,FALSE),"""")"),0)</f>
        <v>0</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0</v>
      </c>
      <c r="V42" s="55">
        <f t="shared" si="58"/>
        <v>0</v>
      </c>
      <c r="W42" s="55">
        <f t="shared" si="59"/>
        <v>0</v>
      </c>
      <c r="X42" s="55">
        <v>0</v>
      </c>
      <c r="Y42" s="55" t="s">
        <v>35</v>
      </c>
      <c r="Z42" s="56">
        <f t="shared" si="60"/>
        <v>-0.75</v>
      </c>
      <c r="AA42" s="55">
        <v>0.36590903125000007</v>
      </c>
      <c r="AB42" s="55">
        <f t="shared" si="61"/>
        <v>0</v>
      </c>
      <c r="AC42" s="55">
        <v>-6.18</v>
      </c>
      <c r="AD42" s="55">
        <v>-6.7713999999999999</v>
      </c>
      <c r="AE42" s="55">
        <v>0</v>
      </c>
      <c r="AF42" s="55" t="e">
        <v>#N/A</v>
      </c>
    </row>
    <row r="43" spans="1:32" s="57" customFormat="1" ht="15.75" customHeight="1">
      <c r="A43" s="2" t="s">
        <v>107</v>
      </c>
      <c r="B43" s="2"/>
      <c r="C43" s="51">
        <f t="shared" si="50"/>
        <v>27.949999999999996</v>
      </c>
      <c r="D43" s="51">
        <v>8</v>
      </c>
      <c r="E43" s="51">
        <v>0</v>
      </c>
      <c r="F43" s="51">
        <v>223.59999999999997</v>
      </c>
      <c r="G43" s="51">
        <v>-28.110000000000003</v>
      </c>
      <c r="H43" s="51">
        <f t="shared" si="51"/>
        <v>0.1257155635062612</v>
      </c>
      <c r="I43" s="51">
        <f t="shared" si="52"/>
        <v>0.2314509724396242</v>
      </c>
      <c r="J43" s="51">
        <f t="shared" si="53"/>
        <v>51.752437437499964</v>
      </c>
      <c r="K43" s="51">
        <f t="shared" si="54"/>
        <v>6.4690546796874955</v>
      </c>
      <c r="L43" s="51">
        <v>71</v>
      </c>
      <c r="M43" s="51">
        <f t="shared" si="55"/>
        <v>0.11267605633802817</v>
      </c>
      <c r="N43" s="51">
        <v>0</v>
      </c>
      <c r="O43" s="51">
        <f t="shared" ref="O43:P43" si="63">D43/7</f>
        <v>1.1428571428571428</v>
      </c>
      <c r="P43" s="51">
        <f t="shared" si="63"/>
        <v>0</v>
      </c>
      <c r="Q43" s="51">
        <f t="shared" si="57"/>
        <v>0</v>
      </c>
      <c r="R43" s="55">
        <v>702</v>
      </c>
      <c r="S43" s="53">
        <v>702</v>
      </c>
      <c r="T43" s="54">
        <v>44112</v>
      </c>
      <c r="U43" s="55">
        <v>3</v>
      </c>
      <c r="V43" s="55">
        <f t="shared" si="58"/>
        <v>0.375</v>
      </c>
      <c r="W43" s="55">
        <f t="shared" si="59"/>
        <v>9.370000000000001</v>
      </c>
      <c r="X43" s="55">
        <v>0</v>
      </c>
      <c r="Y43" s="55" t="s">
        <v>35</v>
      </c>
      <c r="Z43" s="56">
        <f t="shared" si="60"/>
        <v>-0.75</v>
      </c>
      <c r="AA43" s="55">
        <v>0.36590903125000007</v>
      </c>
      <c r="AB43" s="55">
        <f t="shared" si="61"/>
        <v>-6.5863625625000006</v>
      </c>
      <c r="AC43" s="55">
        <v>-6.18</v>
      </c>
      <c r="AD43" s="55">
        <v>-6.7713999999999999</v>
      </c>
      <c r="AE43" s="55">
        <v>0</v>
      </c>
      <c r="AF43" s="55" t="e">
        <v>#N/A</v>
      </c>
    </row>
    <row r="44" spans="1:32" s="57" customFormat="1" ht="15.75" customHeight="1">
      <c r="A44" s="2" t="s">
        <v>108</v>
      </c>
      <c r="B44" s="2"/>
      <c r="C44" s="51" t="str">
        <f t="shared" si="50"/>
        <v xml:space="preserve"> - </v>
      </c>
      <c r="D44" s="51">
        <v>0</v>
      </c>
      <c r="E44" s="51">
        <v>0</v>
      </c>
      <c r="F44" s="51">
        <v>0</v>
      </c>
      <c r="G44" s="51">
        <v>0</v>
      </c>
      <c r="H44" s="51" t="e">
        <f t="shared" si="51"/>
        <v>#DIV/0!</v>
      </c>
      <c r="I44" s="51" t="e">
        <f t="shared" si="52"/>
        <v>#DIV/0!</v>
      </c>
      <c r="J44" s="51">
        <f t="shared" si="53"/>
        <v>0</v>
      </c>
      <c r="K44" s="51" t="e">
        <f t="shared" si="54"/>
        <v>#DIV/0!</v>
      </c>
      <c r="L44" s="51">
        <v>0</v>
      </c>
      <c r="M44" s="51" t="str">
        <f t="shared" si="55"/>
        <v>-</v>
      </c>
      <c r="N44" s="51">
        <v>0</v>
      </c>
      <c r="O44" s="51">
        <f t="shared" ref="O44:P44" si="64">D44/7</f>
        <v>0</v>
      </c>
      <c r="P44" s="51">
        <f t="shared" si="64"/>
        <v>0</v>
      </c>
      <c r="Q44" s="51" t="e">
        <f t="shared" si="57"/>
        <v>#DIV/0!</v>
      </c>
      <c r="R44" s="55">
        <v>1506</v>
      </c>
      <c r="S44" s="53" t="s">
        <v>34</v>
      </c>
      <c r="T44" s="54" t="s">
        <v>34</v>
      </c>
      <c r="U44" s="55">
        <v>0</v>
      </c>
      <c r="V44" s="55">
        <f t="shared" si="58"/>
        <v>0</v>
      </c>
      <c r="W44" s="55">
        <f t="shared" si="59"/>
        <v>0</v>
      </c>
      <c r="X44" s="55">
        <v>0</v>
      </c>
      <c r="Y44" s="55" t="e">
        <v>#N/A</v>
      </c>
      <c r="Z44" s="56" t="e">
        <f t="shared" ref="Z44:Z56" si="65">IF(OR(Y44="UsLargeStandardSize",Y44="UsSmallStandardSize"),-2.4,-1.2)</f>
        <v>#N/A</v>
      </c>
      <c r="AA44" s="55" t="e">
        <v>#N/A</v>
      </c>
      <c r="AB44" s="55">
        <f t="shared" si="61"/>
        <v>0</v>
      </c>
      <c r="AC44" s="55">
        <v>0</v>
      </c>
      <c r="AD44" s="55">
        <v>-6.7713999999999999</v>
      </c>
      <c r="AE44" s="55">
        <v>0</v>
      </c>
      <c r="AF44" s="55" t="e">
        <v>#N/A</v>
      </c>
    </row>
    <row r="45" spans="1:32" s="57" customFormat="1" ht="15.75" customHeight="1">
      <c r="A45" s="2" t="s">
        <v>109</v>
      </c>
      <c r="B45" s="2"/>
      <c r="C45" s="51" t="str">
        <f t="shared" si="50"/>
        <v xml:space="preserve"> - </v>
      </c>
      <c r="D45" s="51">
        <v>0</v>
      </c>
      <c r="E45" s="51">
        <v>0</v>
      </c>
      <c r="F45" s="51">
        <v>0</v>
      </c>
      <c r="G45" s="51">
        <v>0</v>
      </c>
      <c r="H45" s="51" t="e">
        <f t="shared" si="51"/>
        <v>#DIV/0!</v>
      </c>
      <c r="I45" s="51" t="e">
        <f t="shared" si="52"/>
        <v>#DIV/0!</v>
      </c>
      <c r="J45" s="51">
        <f t="shared" si="53"/>
        <v>0</v>
      </c>
      <c r="K45" s="51" t="e">
        <f t="shared" si="54"/>
        <v>#DIV/0!</v>
      </c>
      <c r="L45" s="51">
        <v>0</v>
      </c>
      <c r="M45" s="51" t="str">
        <f t="shared" si="55"/>
        <v>-</v>
      </c>
      <c r="N45" s="51">
        <v>677</v>
      </c>
      <c r="O45" s="51">
        <f t="shared" ref="O45:P45" si="66">D45/7</f>
        <v>0</v>
      </c>
      <c r="P45" s="51">
        <f t="shared" si="66"/>
        <v>0</v>
      </c>
      <c r="Q45" s="51" t="e">
        <f t="shared" si="57"/>
        <v>#DIV/0!</v>
      </c>
      <c r="R45" s="55">
        <v>1506</v>
      </c>
      <c r="S45" s="53" t="s">
        <v>34</v>
      </c>
      <c r="T45" s="54" t="s">
        <v>34</v>
      </c>
      <c r="U45" s="55">
        <v>0</v>
      </c>
      <c r="V45" s="55">
        <f t="shared" si="58"/>
        <v>0</v>
      </c>
      <c r="W45" s="55">
        <f t="shared" si="59"/>
        <v>0</v>
      </c>
      <c r="X45" s="55">
        <v>0</v>
      </c>
      <c r="Y45" s="55" t="s">
        <v>35</v>
      </c>
      <c r="Z45" s="56">
        <f t="shared" si="65"/>
        <v>-2.4</v>
      </c>
      <c r="AA45" s="55">
        <v>0.36590903125000007</v>
      </c>
      <c r="AB45" s="55">
        <f t="shared" si="61"/>
        <v>0</v>
      </c>
      <c r="AC45" s="55">
        <v>-6.18</v>
      </c>
      <c r="AD45" s="55">
        <v>-6.7713999999999999</v>
      </c>
      <c r="AE45" s="55">
        <v>0</v>
      </c>
      <c r="AF45" s="55">
        <v>0.68033775633293103</v>
      </c>
    </row>
    <row r="46" spans="1:32" s="57" customFormat="1" ht="15.75" customHeight="1">
      <c r="A46" s="2" t="s">
        <v>111</v>
      </c>
      <c r="B46" s="2"/>
      <c r="C46" s="51">
        <f t="shared" si="50"/>
        <v>27.950000000000031</v>
      </c>
      <c r="D46" s="51">
        <v>72</v>
      </c>
      <c r="E46" s="51">
        <v>0</v>
      </c>
      <c r="F46" s="51">
        <v>2012.4000000000021</v>
      </c>
      <c r="G46" s="51">
        <v>-146.44</v>
      </c>
      <c r="H46" s="51">
        <f t="shared" si="51"/>
        <v>7.2768833233949434E-2</v>
      </c>
      <c r="I46" s="51">
        <f t="shared" si="52"/>
        <v>0.21840750069568737</v>
      </c>
      <c r="J46" s="51">
        <f t="shared" si="53"/>
        <v>439.52325440000175</v>
      </c>
      <c r="K46" s="51">
        <f t="shared" si="54"/>
        <v>6.1044896444444685</v>
      </c>
      <c r="L46" s="51">
        <v>402</v>
      </c>
      <c r="M46" s="51">
        <f t="shared" si="55"/>
        <v>0.17910447761194029</v>
      </c>
      <c r="N46" s="51">
        <v>568</v>
      </c>
      <c r="O46" s="51">
        <f t="shared" ref="O46:P46" si="67">D46/7</f>
        <v>10.285714285714286</v>
      </c>
      <c r="P46" s="51">
        <f t="shared" si="67"/>
        <v>0</v>
      </c>
      <c r="Q46" s="51">
        <f t="shared" si="57"/>
        <v>55</v>
      </c>
      <c r="R46" s="55">
        <v>1218</v>
      </c>
      <c r="S46" s="53" t="s">
        <v>34</v>
      </c>
      <c r="T46" s="54" t="s">
        <v>34</v>
      </c>
      <c r="U46" s="55">
        <v>36</v>
      </c>
      <c r="V46" s="55">
        <f t="shared" si="58"/>
        <v>0.5</v>
      </c>
      <c r="W46" s="55">
        <f t="shared" si="59"/>
        <v>4.0677777777777777</v>
      </c>
      <c r="X46" s="55">
        <v>0</v>
      </c>
      <c r="Y46" s="55" t="s">
        <v>35</v>
      </c>
      <c r="Z46" s="56">
        <f t="shared" si="65"/>
        <v>-2.4</v>
      </c>
      <c r="AA46" s="55">
        <v>0.37051687037037034</v>
      </c>
      <c r="AB46" s="55">
        <f t="shared" si="61"/>
        <v>-192.07594559999998</v>
      </c>
      <c r="AC46" s="55">
        <v>-6.18</v>
      </c>
      <c r="AD46" s="55">
        <v>-6.7713999999999999</v>
      </c>
      <c r="AE46" s="55">
        <v>0</v>
      </c>
      <c r="AF46" s="55">
        <v>1.0312965722801699</v>
      </c>
    </row>
    <row r="47" spans="1:32" s="57" customFormat="1" ht="15.75" customHeight="1">
      <c r="A47" s="2" t="s">
        <v>113</v>
      </c>
      <c r="B47" s="2"/>
      <c r="C47" s="51">
        <f t="shared" si="50"/>
        <v>27.94999999999995</v>
      </c>
      <c r="D47" s="51">
        <v>140</v>
      </c>
      <c r="E47" s="51">
        <v>0</v>
      </c>
      <c r="F47" s="51">
        <v>3912.9999999999927</v>
      </c>
      <c r="G47" s="51">
        <v>-175.14000000000001</v>
      </c>
      <c r="H47" s="51">
        <f t="shared" si="51"/>
        <v>4.475849731663694E-2</v>
      </c>
      <c r="I47" s="51">
        <f t="shared" si="52"/>
        <v>0.24641783661299835</v>
      </c>
      <c r="J47" s="51">
        <f t="shared" si="53"/>
        <v>964.23299466666072</v>
      </c>
      <c r="K47" s="51">
        <f t="shared" si="54"/>
        <v>6.8873785333332904</v>
      </c>
      <c r="L47" s="51">
        <v>502</v>
      </c>
      <c r="M47" s="51">
        <f t="shared" si="55"/>
        <v>0.2788844621513944</v>
      </c>
      <c r="N47" s="51">
        <v>415</v>
      </c>
      <c r="O47" s="51">
        <f t="shared" ref="O47:P47" si="68">D47/7</f>
        <v>20</v>
      </c>
      <c r="P47" s="51">
        <f t="shared" si="68"/>
        <v>0</v>
      </c>
      <c r="Q47" s="51">
        <f t="shared" si="57"/>
        <v>20</v>
      </c>
      <c r="R47" s="55">
        <v>3438</v>
      </c>
      <c r="S47" s="53">
        <v>1218</v>
      </c>
      <c r="T47" s="54">
        <v>44195</v>
      </c>
      <c r="U47" s="55">
        <v>62</v>
      </c>
      <c r="V47" s="55">
        <f t="shared" si="58"/>
        <v>0.44285714285714284</v>
      </c>
      <c r="W47" s="55">
        <f t="shared" si="59"/>
        <v>2.8248387096774197</v>
      </c>
      <c r="X47" s="55">
        <v>0</v>
      </c>
      <c r="Y47" s="55" t="s">
        <v>35</v>
      </c>
      <c r="Z47" s="56">
        <f t="shared" si="65"/>
        <v>-2.4</v>
      </c>
      <c r="AA47" s="55">
        <v>0.37051687037037034</v>
      </c>
      <c r="AB47" s="55">
        <f t="shared" si="61"/>
        <v>-373.48100533333331</v>
      </c>
      <c r="AC47" s="55">
        <v>-6.18</v>
      </c>
      <c r="AD47" s="55">
        <v>-6.7713999999999999</v>
      </c>
      <c r="AE47" s="55">
        <v>0</v>
      </c>
      <c r="AF47" s="55">
        <v>2.3632567849686801</v>
      </c>
    </row>
    <row r="48" spans="1:32" s="57" customFormat="1" ht="15.75" customHeight="1">
      <c r="A48" s="2" t="s">
        <v>115</v>
      </c>
      <c r="B48" s="2"/>
      <c r="C48" s="51">
        <f t="shared" si="50"/>
        <v>27.949999999999935</v>
      </c>
      <c r="D48" s="51">
        <v>144</v>
      </c>
      <c r="E48" s="51">
        <v>0</v>
      </c>
      <c r="F48" s="51">
        <v>4024.7999999999906</v>
      </c>
      <c r="G48" s="51">
        <v>-177.57999999999998</v>
      </c>
      <c r="H48" s="51">
        <f t="shared" si="51"/>
        <v>4.4121447028423869E-2</v>
      </c>
      <c r="I48" s="51">
        <f t="shared" si="52"/>
        <v>0.24705488690121102</v>
      </c>
      <c r="J48" s="51">
        <f t="shared" si="53"/>
        <v>994.34650879999185</v>
      </c>
      <c r="K48" s="51">
        <f t="shared" si="54"/>
        <v>6.9051840888888325</v>
      </c>
      <c r="L48" s="51">
        <v>545</v>
      </c>
      <c r="M48" s="51">
        <f t="shared" si="55"/>
        <v>0.26422018348623855</v>
      </c>
      <c r="N48" s="51">
        <v>331</v>
      </c>
      <c r="O48" s="51">
        <f t="shared" ref="O48:P48" si="69">D48/7</f>
        <v>20.571428571428573</v>
      </c>
      <c r="P48" s="51">
        <f t="shared" si="69"/>
        <v>0</v>
      </c>
      <c r="Q48" s="51">
        <f t="shared" si="57"/>
        <v>16</v>
      </c>
      <c r="R48" s="55">
        <f ca="1">IFERROR(__xludf.DUMMYFUNCTION("IFERROR(VLOOKUP($B$2,IMPORTRANGE(""https://docs.google.com/spreadsheets/d/1iVgg6Mw12RULLujzHmfOFIY8Q_KaAD8anoZzgtVAQ74/edit#gid=1503384807"",""Second Star - Summary!A1:AD2000""),9,FALSE),"""")"),0)</f>
        <v>0</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45</v>
      </c>
      <c r="V48" s="55">
        <f t="shared" si="58"/>
        <v>0.3125</v>
      </c>
      <c r="W48" s="55">
        <f t="shared" si="59"/>
        <v>3.9462222222222221</v>
      </c>
      <c r="X48" s="55">
        <v>0</v>
      </c>
      <c r="Y48" s="55" t="s">
        <v>35</v>
      </c>
      <c r="Z48" s="56">
        <f t="shared" si="65"/>
        <v>-2.4</v>
      </c>
      <c r="AA48" s="55">
        <v>0.37051687037037034</v>
      </c>
      <c r="AB48" s="55">
        <f t="shared" si="61"/>
        <v>-384.15189119999997</v>
      </c>
      <c r="AC48" s="55">
        <v>-6.18</v>
      </c>
      <c r="AD48" s="55">
        <v>-6.7713999999999999</v>
      </c>
      <c r="AE48" s="55">
        <v>0</v>
      </c>
      <c r="AF48" s="55">
        <v>3.5820895522387999</v>
      </c>
    </row>
    <row r="49" spans="1:32" s="57" customFormat="1" ht="15.75" customHeight="1">
      <c r="A49" s="2" t="s">
        <v>117</v>
      </c>
      <c r="B49" s="2" t="s">
        <v>832</v>
      </c>
      <c r="C49" s="51">
        <f t="shared" si="50"/>
        <v>27.949999999999914</v>
      </c>
      <c r="D49" s="51">
        <v>173</v>
      </c>
      <c r="E49" s="51">
        <v>0</v>
      </c>
      <c r="F49" s="51">
        <v>4835.3499999999849</v>
      </c>
      <c r="G49" s="51">
        <v>-168.26999999999998</v>
      </c>
      <c r="H49" s="51">
        <f t="shared" si="51"/>
        <v>3.4799962774152961E-2</v>
      </c>
      <c r="I49" s="51">
        <f t="shared" si="52"/>
        <v>0.25873867035499037</v>
      </c>
      <c r="J49" s="51">
        <f t="shared" ref="J49:J56" si="70">F49*0.85+G49+AD49*D49+D49*AC49+AE49+AB49</f>
        <v>1251.0920297009989</v>
      </c>
      <c r="K49" s="51">
        <f t="shared" si="54"/>
        <v>7.2317458364219585</v>
      </c>
      <c r="L49" s="51">
        <v>601</v>
      </c>
      <c r="M49" s="51">
        <f t="shared" si="55"/>
        <v>0.28785357737104827</v>
      </c>
      <c r="N49" s="51">
        <v>142</v>
      </c>
      <c r="O49" s="51">
        <f t="shared" ref="O49:P49" si="71">D49/7</f>
        <v>24.714285714285715</v>
      </c>
      <c r="P49" s="51">
        <f t="shared" si="71"/>
        <v>0</v>
      </c>
      <c r="Q49" s="51">
        <f t="shared" si="57"/>
        <v>5</v>
      </c>
      <c r="R49" s="55">
        <f ca="1">IFERROR(__xludf.DUMMYFUNCTION("IFERROR(VLOOKUP($B$2,IMPORTRANGE(""https://docs.google.com/spreadsheets/d/1iVgg6Mw12RULLujzHmfOFIY8Q_KaAD8anoZzgtVAQ74/edit#gid=1503384807"",""Second Star - Summary!A1:AD2000""),9,FALSE),"""")"),0)</f>
        <v>0</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61</v>
      </c>
      <c r="V49" s="55">
        <f t="shared" si="58"/>
        <v>0.35260115606936415</v>
      </c>
      <c r="W49" s="55">
        <f t="shared" si="59"/>
        <v>2.7585245901639341</v>
      </c>
      <c r="X49" s="55">
        <v>0</v>
      </c>
      <c r="Y49" s="55" t="s">
        <v>35</v>
      </c>
      <c r="Z49" s="56">
        <f t="shared" si="65"/>
        <v>-2.4</v>
      </c>
      <c r="AA49" s="55">
        <v>0.37051687037037034</v>
      </c>
      <c r="AB49" s="55">
        <f t="shared" si="61"/>
        <v>-461.51581373333329</v>
      </c>
      <c r="AC49" s="55">
        <v>-6.18</v>
      </c>
      <c r="AD49" s="55">
        <v>-6.7053737373737299</v>
      </c>
      <c r="AE49" s="55">
        <v>0</v>
      </c>
      <c r="AF49" s="55">
        <v>9.8604651162790695</v>
      </c>
    </row>
    <row r="50" spans="1:32" s="57" customFormat="1" ht="15.75" customHeight="1">
      <c r="A50" s="2" t="s">
        <v>119</v>
      </c>
      <c r="B50" s="2" t="s">
        <v>833</v>
      </c>
      <c r="C50" s="51">
        <f t="shared" si="50"/>
        <v>27.94999999999995</v>
      </c>
      <c r="D50" s="51">
        <v>125</v>
      </c>
      <c r="E50" s="51">
        <v>0</v>
      </c>
      <c r="F50" s="51">
        <v>3493.7499999999936</v>
      </c>
      <c r="G50" s="51">
        <v>-168.90000000000003</v>
      </c>
      <c r="H50" s="51">
        <f t="shared" si="51"/>
        <v>4.8343470483005462E-2</v>
      </c>
      <c r="I50" s="51">
        <f t="shared" si="52"/>
        <v>0.24519516264613853</v>
      </c>
      <c r="J50" s="51">
        <f t="shared" si="70"/>
        <v>856.65059949494491</v>
      </c>
      <c r="K50" s="51">
        <f t="shared" si="54"/>
        <v>6.8532047959595594</v>
      </c>
      <c r="L50" s="51">
        <v>674</v>
      </c>
      <c r="M50" s="51">
        <f t="shared" si="55"/>
        <v>0.18545994065281898</v>
      </c>
      <c r="N50" s="51">
        <v>16</v>
      </c>
      <c r="O50" s="51">
        <f t="shared" ref="O50:P50" si="72">D50/7</f>
        <v>17.857142857142858</v>
      </c>
      <c r="P50" s="51">
        <f t="shared" si="72"/>
        <v>0</v>
      </c>
      <c r="Q50" s="51">
        <f t="shared" si="57"/>
        <v>0</v>
      </c>
      <c r="R50" s="55">
        <f ca="1">IFERROR(__xludf.DUMMYFUNCTION("IFERROR(VLOOKUP($B$2,IMPORTRANGE(""https://docs.google.com/spreadsheets/d/1iVgg6Mw12RULLujzHmfOFIY8Q_KaAD8anoZzgtVAQ74/edit#gid=1503384807"",""Second Star - Summary!A1:AD2000""),9,FALSE),"""")"),0)</f>
        <v>0</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55</v>
      </c>
      <c r="V50" s="55">
        <f t="shared" si="58"/>
        <v>0.44</v>
      </c>
      <c r="W50" s="55">
        <f t="shared" si="59"/>
        <v>3.0709090909090917</v>
      </c>
      <c r="X50" s="55">
        <v>0</v>
      </c>
      <c r="Y50" s="55" t="s">
        <v>35</v>
      </c>
      <c r="Z50" s="56">
        <f t="shared" si="65"/>
        <v>-2.4</v>
      </c>
      <c r="AA50" s="55">
        <v>0.37051687037037034</v>
      </c>
      <c r="AB50" s="55">
        <f t="shared" si="61"/>
        <v>-333.46518333333336</v>
      </c>
      <c r="AC50" s="55">
        <v>-6.18</v>
      </c>
      <c r="AD50" s="55">
        <v>-6.7053737373737299</v>
      </c>
      <c r="AE50" s="55">
        <v>0</v>
      </c>
      <c r="AF50" s="55">
        <v>3.2860759493670799</v>
      </c>
    </row>
    <row r="51" spans="1:32" s="57" customFormat="1" ht="15.75" customHeight="1">
      <c r="A51" s="2" t="s">
        <v>121</v>
      </c>
      <c r="B51" s="2"/>
      <c r="C51" s="51" t="str">
        <f t="shared" si="50"/>
        <v xml:space="preserve"> - </v>
      </c>
      <c r="D51" s="51">
        <v>0</v>
      </c>
      <c r="E51" s="51">
        <v>0</v>
      </c>
      <c r="F51" s="51">
        <v>0</v>
      </c>
      <c r="G51" s="51">
        <v>0</v>
      </c>
      <c r="H51" s="51" t="e">
        <f t="shared" si="51"/>
        <v>#DIV/0!</v>
      </c>
      <c r="I51" s="51" t="e">
        <f t="shared" si="52"/>
        <v>#DIV/0!</v>
      </c>
      <c r="J51" s="51">
        <f t="shared" si="70"/>
        <v>0</v>
      </c>
      <c r="K51" s="51" t="e">
        <f t="shared" si="54"/>
        <v>#DIV/0!</v>
      </c>
      <c r="L51" s="51">
        <v>238</v>
      </c>
      <c r="M51" s="51">
        <f t="shared" si="55"/>
        <v>0</v>
      </c>
      <c r="N51" s="51">
        <v>7</v>
      </c>
      <c r="O51" s="51">
        <f t="shared" ref="O51:P51" si="73">D51/7</f>
        <v>0</v>
      </c>
      <c r="P51" s="51">
        <f t="shared" si="73"/>
        <v>0</v>
      </c>
      <c r="Q51" s="51" t="e">
        <f t="shared" si="57"/>
        <v>#DIV/0!</v>
      </c>
      <c r="R51" s="55">
        <f ca="1">IFERROR(__xludf.DUMMYFUNCTION("IFERROR(VLOOKUP($B$2,IMPORTRANGE(""https://docs.google.com/spreadsheets/d/1iVgg6Mw12RULLujzHmfOFIY8Q_KaAD8anoZzgtVAQ74/edit#gid=1503384807"",""Second Star - Summary!A1:AD2000""),9,FALSE),"""")"),0)</f>
        <v>0</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1</v>
      </c>
      <c r="V51" s="55">
        <f t="shared" si="58"/>
        <v>0</v>
      </c>
      <c r="W51" s="55">
        <f t="shared" si="59"/>
        <v>0</v>
      </c>
      <c r="X51" s="55">
        <v>0</v>
      </c>
      <c r="Y51" s="55" t="e">
        <v>#N/A</v>
      </c>
      <c r="Z51" s="56" t="e">
        <f t="shared" si="65"/>
        <v>#N/A</v>
      </c>
      <c r="AA51" s="55" t="e">
        <v>#N/A</v>
      </c>
      <c r="AB51" s="55">
        <f t="shared" si="61"/>
        <v>0</v>
      </c>
      <c r="AC51" s="55">
        <v>0</v>
      </c>
      <c r="AD51" s="55">
        <v>-6.7053737373737299</v>
      </c>
      <c r="AE51" s="55">
        <v>0</v>
      </c>
      <c r="AF51" s="55">
        <v>4.3584905660377302</v>
      </c>
    </row>
    <row r="52" spans="1:32" s="57" customFormat="1" ht="15.75" customHeight="1">
      <c r="A52" s="2" t="s">
        <v>123</v>
      </c>
      <c r="B52" s="2"/>
      <c r="C52" s="51" t="str">
        <f t="shared" si="50"/>
        <v xml:space="preserve"> - </v>
      </c>
      <c r="D52" s="51">
        <v>0</v>
      </c>
      <c r="E52" s="51">
        <v>0</v>
      </c>
      <c r="F52" s="51">
        <v>0</v>
      </c>
      <c r="G52" s="51">
        <v>0</v>
      </c>
      <c r="H52" s="51" t="e">
        <f t="shared" si="51"/>
        <v>#DIV/0!</v>
      </c>
      <c r="I52" s="51" t="e">
        <f t="shared" si="52"/>
        <v>#DIV/0!</v>
      </c>
      <c r="J52" s="51">
        <f t="shared" si="70"/>
        <v>0</v>
      </c>
      <c r="K52" s="51" t="e">
        <f t="shared" si="54"/>
        <v>#DIV/0!</v>
      </c>
      <c r="L52" s="51">
        <v>0</v>
      </c>
      <c r="M52" s="51" t="str">
        <f t="shared" si="55"/>
        <v>-</v>
      </c>
      <c r="N52" s="51">
        <v>24</v>
      </c>
      <c r="O52" s="51">
        <f t="shared" ref="O52:P52" si="74">D52/7</f>
        <v>0</v>
      </c>
      <c r="P52" s="51">
        <f t="shared" si="74"/>
        <v>0</v>
      </c>
      <c r="Q52" s="51" t="e">
        <f t="shared" si="57"/>
        <v>#DIV/0!</v>
      </c>
      <c r="R52" s="55">
        <f ca="1">IFERROR(__xludf.DUMMYFUNCTION("IFERROR(VLOOKUP($B$2,IMPORTRANGE(""https://docs.google.com/spreadsheets/d/1iVgg6Mw12RULLujzHmfOFIY8Q_KaAD8anoZzgtVAQ74/edit#gid=1503384807"",""Second Star - Summary!A1:AD2000""),9,FALSE),"""")"),0)</f>
        <v>0</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58"/>
        <v>0</v>
      </c>
      <c r="W52" s="55">
        <f t="shared" si="59"/>
        <v>0</v>
      </c>
      <c r="X52" s="55">
        <v>0</v>
      </c>
      <c r="Y52" s="55" t="e">
        <v>#N/A</v>
      </c>
      <c r="Z52" s="56" t="e">
        <f t="shared" si="65"/>
        <v>#N/A</v>
      </c>
      <c r="AA52" s="55" t="e">
        <v>#N/A</v>
      </c>
      <c r="AB52" s="55">
        <f t="shared" si="61"/>
        <v>0</v>
      </c>
      <c r="AC52" s="55">
        <v>0</v>
      </c>
      <c r="AD52" s="55">
        <v>-6.7053737373737299</v>
      </c>
      <c r="AE52" s="55">
        <v>0</v>
      </c>
      <c r="AF52" s="55">
        <v>5.2082551594746702</v>
      </c>
    </row>
    <row r="53" spans="1:32" s="57" customFormat="1">
      <c r="A53" s="2" t="s">
        <v>38</v>
      </c>
      <c r="B53" s="2"/>
      <c r="C53" s="51" t="str">
        <f t="shared" si="50"/>
        <v xml:space="preserve"> - </v>
      </c>
      <c r="D53" s="51">
        <v>0</v>
      </c>
      <c r="E53" s="51">
        <v>0</v>
      </c>
      <c r="F53" s="51">
        <v>0</v>
      </c>
      <c r="G53" s="51">
        <v>0</v>
      </c>
      <c r="H53" s="51" t="e">
        <f t="shared" si="51"/>
        <v>#DIV/0!</v>
      </c>
      <c r="I53" s="51" t="e">
        <f t="shared" si="52"/>
        <v>#DIV/0!</v>
      </c>
      <c r="J53" s="51">
        <f t="shared" si="70"/>
        <v>0</v>
      </c>
      <c r="K53" s="51" t="e">
        <f t="shared" si="54"/>
        <v>#DIV/0!</v>
      </c>
      <c r="L53" s="51">
        <v>0</v>
      </c>
      <c r="M53" s="51" t="str">
        <f t="shared" si="55"/>
        <v>-</v>
      </c>
      <c r="N53" s="51">
        <v>27</v>
      </c>
      <c r="O53" s="51">
        <f t="shared" ref="O53:P53" si="75">D53/7</f>
        <v>0</v>
      </c>
      <c r="P53" s="51">
        <f t="shared" si="75"/>
        <v>0</v>
      </c>
      <c r="Q53" s="51" t="e">
        <f t="shared" si="57"/>
        <v>#DIV/0!</v>
      </c>
      <c r="R53" s="55">
        <f ca="1">IFERROR(__xludf.DUMMYFUNCTION("IFERROR(VLOOKUP($B$2,IMPORTRANGE(""https://docs.google.com/spreadsheets/d/1iVgg6Mw12RULLujzHmfOFIY8Q_KaAD8anoZzgtVAQ74/edit#gid=1503384807"",""Second Star - Summary!A1:AD2000""),9,FALSE),"""")"),0)</f>
        <v>0</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58"/>
        <v>0</v>
      </c>
      <c r="W53" s="55">
        <f t="shared" si="59"/>
        <v>0</v>
      </c>
      <c r="X53" s="55">
        <v>0</v>
      </c>
      <c r="Y53" s="55" t="e">
        <v>#N/A</v>
      </c>
      <c r="Z53" s="56" t="e">
        <f t="shared" si="65"/>
        <v>#N/A</v>
      </c>
      <c r="AA53" s="55" t="e">
        <v>#N/A</v>
      </c>
      <c r="AB53" s="55">
        <f t="shared" si="61"/>
        <v>0</v>
      </c>
      <c r="AC53" s="55">
        <v>0</v>
      </c>
      <c r="AD53" s="55">
        <v>-6.7053737373737299</v>
      </c>
      <c r="AE53" s="55">
        <v>0</v>
      </c>
      <c r="AF53" s="55">
        <v>8.1982507288629698</v>
      </c>
    </row>
    <row r="54" spans="1:32" s="57" customFormat="1">
      <c r="A54" s="2" t="s">
        <v>40</v>
      </c>
      <c r="B54" s="2"/>
      <c r="C54" s="51">
        <f t="shared" si="50"/>
        <v>27.950000000000003</v>
      </c>
      <c r="D54" s="51">
        <v>21</v>
      </c>
      <c r="E54" s="51">
        <v>0</v>
      </c>
      <c r="F54" s="51">
        <v>586.95000000000005</v>
      </c>
      <c r="G54" s="51">
        <v>-6.37</v>
      </c>
      <c r="H54" s="51">
        <f t="shared" si="51"/>
        <v>1.0852713178294573E-2</v>
      </c>
      <c r="I54" s="51">
        <f t="shared" si="52"/>
        <v>0.28268591995085041</v>
      </c>
      <c r="J54" s="51">
        <f t="shared" si="70"/>
        <v>165.92250071515167</v>
      </c>
      <c r="K54" s="51">
        <f t="shared" si="54"/>
        <v>7.9010714626262697</v>
      </c>
      <c r="L54" s="51">
        <v>309</v>
      </c>
      <c r="M54" s="51">
        <f t="shared" si="55"/>
        <v>6.7961165048543687E-2</v>
      </c>
      <c r="N54" s="51">
        <v>4</v>
      </c>
      <c r="O54" s="51">
        <f t="shared" ref="O54:P54" si="76">D54/7</f>
        <v>3</v>
      </c>
      <c r="P54" s="51">
        <f t="shared" si="76"/>
        <v>0</v>
      </c>
      <c r="Q54" s="51">
        <f t="shared" si="57"/>
        <v>1</v>
      </c>
      <c r="R54" s="55">
        <f ca="1">IFERROR(__xludf.DUMMYFUNCTION("IFERROR(VLOOKUP($B$2,IMPORTRANGE(""https://docs.google.com/spreadsheets/d/1iVgg6Mw12RULLujzHmfOFIY8Q_KaAD8anoZzgtVAQ74/edit#gid=1503384807"",""Second Star - Summary!A1:AD2000""),9,FALSE),"""")"),0)</f>
        <v>0</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4</v>
      </c>
      <c r="V54" s="55">
        <f t="shared" si="58"/>
        <v>0.19047619047619047</v>
      </c>
      <c r="W54" s="55">
        <f t="shared" si="59"/>
        <v>1.5925</v>
      </c>
      <c r="X54" s="55">
        <v>0</v>
      </c>
      <c r="Y54" s="55" t="s">
        <v>35</v>
      </c>
      <c r="Z54" s="56">
        <f t="shared" si="65"/>
        <v>-2.4</v>
      </c>
      <c r="AA54" s="55">
        <v>0.37051687037037034</v>
      </c>
      <c r="AB54" s="55">
        <f t="shared" si="61"/>
        <v>-56.022150799999991</v>
      </c>
      <c r="AC54" s="55">
        <v>-6.18</v>
      </c>
      <c r="AD54" s="55">
        <v>-6.7053737373737299</v>
      </c>
      <c r="AE54" s="55">
        <v>0</v>
      </c>
      <c r="AF54" s="55">
        <v>3.6313131313131302</v>
      </c>
    </row>
    <row r="55" spans="1:32" s="57" customFormat="1" ht="15.75" customHeight="1">
      <c r="A55" s="2" t="s">
        <v>32</v>
      </c>
      <c r="B55" s="2"/>
      <c r="C55" s="51">
        <f t="shared" si="50"/>
        <v>27.949999999999992</v>
      </c>
      <c r="D55" s="51">
        <v>19</v>
      </c>
      <c r="E55" s="51">
        <v>0</v>
      </c>
      <c r="F55" s="51">
        <v>531.04999999999984</v>
      </c>
      <c r="G55" s="51">
        <v>-57.160000000000004</v>
      </c>
      <c r="H55" s="51">
        <f t="shared" si="51"/>
        <v>0.10763581583655027</v>
      </c>
      <c r="I55" s="51">
        <f t="shared" si="52"/>
        <v>0.18590281729259459</v>
      </c>
      <c r="J55" s="51">
        <f t="shared" si="70"/>
        <v>98.723691123232328</v>
      </c>
      <c r="K55" s="51">
        <f t="shared" si="54"/>
        <v>5.1959837433280169</v>
      </c>
      <c r="L55" s="51">
        <v>182</v>
      </c>
      <c r="M55" s="51">
        <f t="shared" si="55"/>
        <v>0.1043956043956044</v>
      </c>
      <c r="N55" s="51">
        <v>11</v>
      </c>
      <c r="O55" s="51">
        <f t="shared" ref="O55:P55" si="77">D55/7</f>
        <v>2.7142857142857144</v>
      </c>
      <c r="P55" s="51">
        <f t="shared" si="77"/>
        <v>0</v>
      </c>
      <c r="Q55" s="51">
        <f t="shared" si="57"/>
        <v>4</v>
      </c>
      <c r="R55" s="55">
        <v>0</v>
      </c>
      <c r="S55" s="53" t="s">
        <v>34</v>
      </c>
      <c r="T55" s="54" t="s">
        <v>34</v>
      </c>
      <c r="U55" s="55">
        <v>10</v>
      </c>
      <c r="V55" s="55">
        <f t="shared" si="58"/>
        <v>0.52631578947368418</v>
      </c>
      <c r="W55" s="55">
        <f t="shared" si="59"/>
        <v>5.7160000000000002</v>
      </c>
      <c r="X55" s="55">
        <v>0</v>
      </c>
      <c r="Y55" s="55" t="s">
        <v>35</v>
      </c>
      <c r="Z55" s="56">
        <f t="shared" si="65"/>
        <v>-2.4</v>
      </c>
      <c r="AA55" s="55">
        <v>0.37051687037037034</v>
      </c>
      <c r="AB55" s="55">
        <f t="shared" si="61"/>
        <v>-50.686707866666666</v>
      </c>
      <c r="AC55" s="55">
        <v>-6.18</v>
      </c>
      <c r="AD55" s="55">
        <v>-6.7053737373737299</v>
      </c>
      <c r="AE55" s="55">
        <v>0</v>
      </c>
      <c r="AF55" s="55">
        <v>4.9664429530201302</v>
      </c>
    </row>
    <row r="56" spans="1:32" s="57" customFormat="1" ht="15.75" customHeight="1">
      <c r="A56" s="2" t="s">
        <v>36</v>
      </c>
      <c r="B56" s="2"/>
      <c r="C56" s="51">
        <f t="shared" si="50"/>
        <v>28.061111111111114</v>
      </c>
      <c r="D56" s="51">
        <v>27</v>
      </c>
      <c r="E56" s="51">
        <v>0</v>
      </c>
      <c r="F56" s="51">
        <v>757.65000000000009</v>
      </c>
      <c r="G56" s="51">
        <v>-1.06</v>
      </c>
      <c r="H56" s="51">
        <f t="shared" si="51"/>
        <v>1.3990628918366E-3</v>
      </c>
      <c r="I56" s="51">
        <f t="shared" si="52"/>
        <v>0.29434294131975097</v>
      </c>
      <c r="J56" s="51">
        <f t="shared" si="70"/>
        <v>223.00892949090937</v>
      </c>
      <c r="K56" s="51">
        <f t="shared" si="54"/>
        <v>8.2595899811447921</v>
      </c>
      <c r="L56" s="51">
        <v>326</v>
      </c>
      <c r="M56" s="51">
        <f t="shared" si="55"/>
        <v>8.2822085889570546E-2</v>
      </c>
      <c r="N56" s="51">
        <v>14</v>
      </c>
      <c r="O56" s="51">
        <f t="shared" ref="O56:P56" si="78">D56/7</f>
        <v>3.8571428571428572</v>
      </c>
      <c r="P56" s="51">
        <f t="shared" si="78"/>
        <v>0</v>
      </c>
      <c r="Q56" s="51">
        <f t="shared" si="57"/>
        <v>3</v>
      </c>
      <c r="R56" s="55">
        <f ca="1">IFERROR(__xludf.DUMMYFUNCTION("IFERROR(VLOOKUP($B$2,IMPORTRANGE(""https://docs.google.com/spreadsheets/d/1iVgg6Mw12RULLujzHmfOFIY8Q_KaAD8anoZzgtVAQ74/edit#gid=1503384807"",""Second Star - Summary!A1:AD2000""),9,FALSE),"""")"),0)</f>
        <v>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5</v>
      </c>
      <c r="V56" s="55">
        <f t="shared" si="58"/>
        <v>0.18518518518518517</v>
      </c>
      <c r="W56" s="55">
        <f t="shared" si="59"/>
        <v>0.21200000000000002</v>
      </c>
      <c r="X56" s="55">
        <v>0</v>
      </c>
      <c r="Y56" s="55" t="s">
        <v>35</v>
      </c>
      <c r="Z56" s="56">
        <f t="shared" si="65"/>
        <v>-2.4</v>
      </c>
      <c r="AA56" s="55">
        <v>0.37051687037037034</v>
      </c>
      <c r="AB56" s="55">
        <f t="shared" si="61"/>
        <v>-72.028479599999997</v>
      </c>
      <c r="AC56" s="55">
        <v>-6.18</v>
      </c>
      <c r="AD56" s="55">
        <v>-6.7053737373737299</v>
      </c>
      <c r="AE56" s="55">
        <v>0</v>
      </c>
      <c r="AF56" s="55">
        <v>6.9255079006772</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E221" s="2"/>
      <c r="P221" s="2"/>
      <c r="AF221" s="23"/>
    </row>
    <row r="222" spans="1:32" ht="15.75" customHeight="1">
      <c r="E222" s="2"/>
      <c r="P222" s="2"/>
      <c r="AF222" s="23"/>
    </row>
    <row r="223" spans="1:32" ht="15.75" customHeight="1">
      <c r="E223" s="2"/>
      <c r="P223" s="2"/>
      <c r="AF223" s="23"/>
    </row>
    <row r="224" spans="1: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373" priority="1" operator="lessThan">
      <formula>100</formula>
    </cfRule>
  </conditionalFormatting>
  <conditionalFormatting sqref="Q1:Q3 Q57:Q1000">
    <cfRule type="cellIs" dxfId="372" priority="2" operator="lessThan">
      <formula>100</formula>
    </cfRule>
  </conditionalFormatting>
  <conditionalFormatting sqref="I1:I3 I57:I1000">
    <cfRule type="cellIs" dxfId="371" priority="3" operator="lessThan">
      <formula>0.05</formula>
    </cfRule>
  </conditionalFormatting>
  <conditionalFormatting sqref="I4:I17">
    <cfRule type="cellIs" dxfId="370" priority="4" operator="lessThan">
      <formula>0.05</formula>
    </cfRule>
  </conditionalFormatting>
  <conditionalFormatting sqref="I18:I56">
    <cfRule type="cellIs" dxfId="369" priority="5" operator="lessThan">
      <formula>0.05</formula>
    </cfRule>
  </conditionalFormatting>
  <conditionalFormatting sqref="Q4:Q56">
    <cfRule type="cellIs" dxfId="368" priority="6" operator="lessThan">
      <formula>100</formula>
    </cfRule>
  </conditionalFormatting>
  <conditionalFormatting sqref="Q4:Q56">
    <cfRule type="cellIs" dxfId="367" priority="7" operator="lessThan">
      <formula>100</formula>
    </cfRule>
  </conditionalFormatting>
  <pageMargins left="0.7" right="0.7" top="0.75" bottom="0.75" header="0" footer="0"/>
  <pageSetup orientation="portrait"/>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20"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Info!B1:BJ5000""),4,FALSE),"""")"),"32 oz Amber Glass Beer Bottles for Home Brewing - 6 Pack with Airtight Rubber Seal Flip Caps")</f>
        <v>32 oz Amber Glass Beer Bottles for Home Brewing - 6 Pack with Airtight Rubber Seal Flip Caps</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Info!B1:BJ5000""),3,FALSE),"""")"),"B085JZVVDF")</f>
        <v>B085JZVVDF</v>
      </c>
      <c r="B2" s="4" t="s">
        <v>834</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18.114513606654778</v>
      </c>
      <c r="D3" s="8">
        <f>SUM(D4:D99819)</f>
        <v>2</v>
      </c>
      <c r="E3" s="8"/>
      <c r="F3" s="9">
        <f t="shared" ref="F3:G3" si="0">SUM(F4:F99819)</f>
        <v>61.98</v>
      </c>
      <c r="G3" s="9">
        <f t="shared" si="0"/>
        <v>0</v>
      </c>
      <c r="H3" s="10">
        <f>G3/F3*-1</f>
        <v>0</v>
      </c>
      <c r="I3" s="11">
        <f>J3/F3</f>
        <v>0.16133026782833157</v>
      </c>
      <c r="J3" s="9">
        <f>SUM(J4:J99819)</f>
        <v>9.9992499999999893</v>
      </c>
      <c r="K3" s="9">
        <f>J3/D3</f>
        <v>4.9996249999999947</v>
      </c>
      <c r="L3" s="8"/>
      <c r="M3" s="12"/>
      <c r="N3" s="13"/>
      <c r="O3" s="8" t="str">
        <f ca="1">IFERROR(__xludf.DUMMYFUNCTION("IFERROR(VLOOKUP(B2,IMPORTRANGE(""https://docs.google.com/spreadsheets/d/1owCo6kL_VFQ5nPTdNogErmCBLjNiktT1m3SzTrxu3R0/edit#gid=2146806407"",""Second Star - Compiled!b1:g5000""),2,FALSE),"""")"),"3.5 - March
3.5 - April
3.5 - May
3.5 - Jun
3.5 - Jul
3.5 - Aug
3.5 - Sept
2 - Oct
2 - Nov
2 - Dec
3.5 - Jan
3.5 - Feb")</f>
        <v>3.5 - March
3.5 - April
3.5 - May
3.5 - Jun
3.5 - Jul
3.5 - Aug
3.5 - Sept
2 - Oct
2 - Nov
2 - Dec
3.5 - Jan
3.5 - Feb</v>
      </c>
      <c r="P3" s="8"/>
      <c r="Q3" s="14"/>
      <c r="R3" s="13"/>
      <c r="S3" s="13"/>
      <c r="T3" s="13"/>
      <c r="U3" s="8">
        <f>SUM(U4:U99819)</f>
        <v>0</v>
      </c>
      <c r="V3" s="10">
        <f>AVERAGE(V4:V99819)</f>
        <v>0</v>
      </c>
      <c r="W3" s="9">
        <f>ROUND(AVERAGE(W4:W99819),2)</f>
        <v>0</v>
      </c>
      <c r="X3" s="8"/>
      <c r="Y3" s="8"/>
      <c r="Z3" s="8"/>
      <c r="AA3" s="8"/>
      <c r="AB3" s="8"/>
      <c r="AC3" s="15"/>
      <c r="AD3" s="9"/>
      <c r="AE3" s="9">
        <f>SUM(AE4:AE99819)</f>
        <v>0</v>
      </c>
      <c r="AF3" s="16"/>
    </row>
    <row r="4" spans="1:32" s="57" customFormat="1" hidden="1">
      <c r="A4" s="17"/>
      <c r="B4" s="2"/>
      <c r="C4" s="50"/>
      <c r="D4" s="51"/>
      <c r="E4" s="51"/>
      <c r="F4" s="51"/>
      <c r="G4" s="51"/>
      <c r="H4" s="51"/>
      <c r="I4" s="51"/>
      <c r="J4" s="51"/>
      <c r="K4" s="51"/>
      <c r="L4" s="51"/>
      <c r="M4" s="51"/>
      <c r="N4" s="51"/>
      <c r="O4" s="51"/>
      <c r="P4" s="51"/>
      <c r="Q4" s="51"/>
      <c r="R4" s="52"/>
      <c r="S4" s="53"/>
      <c r="T4" s="54"/>
      <c r="U4" s="52"/>
      <c r="V4" s="55"/>
      <c r="W4" s="55"/>
      <c r="X4" s="52"/>
      <c r="Y4" s="56"/>
      <c r="Z4" s="56"/>
      <c r="AA4" s="55"/>
      <c r="AB4" s="55"/>
      <c r="AC4" s="55"/>
      <c r="AD4" s="55"/>
      <c r="AE4" s="55"/>
      <c r="AF4" s="55"/>
    </row>
    <row r="5" spans="1:32" s="57" customFormat="1" ht="15.75" hidden="1" customHeight="1">
      <c r="A5" s="2"/>
      <c r="B5" s="2"/>
      <c r="C5" s="51"/>
      <c r="D5" s="51"/>
      <c r="E5" s="51"/>
      <c r="F5" s="51"/>
      <c r="G5" s="51"/>
      <c r="H5" s="51"/>
      <c r="I5" s="51"/>
      <c r="J5" s="51"/>
      <c r="K5" s="51"/>
      <c r="L5" s="51"/>
      <c r="M5" s="51"/>
      <c r="N5" s="51"/>
      <c r="O5" s="51"/>
      <c r="P5" s="51"/>
      <c r="Q5" s="51"/>
      <c r="R5" s="55"/>
      <c r="S5" s="53"/>
      <c r="T5" s="54"/>
      <c r="U5" s="55"/>
      <c r="V5" s="55"/>
      <c r="W5" s="55"/>
      <c r="X5" s="55"/>
      <c r="Y5" s="55"/>
      <c r="Z5" s="56"/>
      <c r="AA5" s="55"/>
      <c r="AB5" s="55"/>
      <c r="AC5" s="55"/>
      <c r="AD5" s="55"/>
      <c r="AE5" s="55"/>
      <c r="AF5" s="55"/>
    </row>
    <row r="6" spans="1:32" s="57" customFormat="1" ht="15.75" hidden="1" customHeight="1">
      <c r="A6" s="2"/>
      <c r="B6" s="2"/>
      <c r="C6" s="51"/>
      <c r="D6" s="51"/>
      <c r="E6" s="51"/>
      <c r="F6" s="51"/>
      <c r="G6" s="51"/>
      <c r="H6" s="51"/>
      <c r="I6" s="51"/>
      <c r="J6" s="51"/>
      <c r="K6" s="51"/>
      <c r="L6" s="51"/>
      <c r="M6" s="51"/>
      <c r="N6" s="51"/>
      <c r="O6" s="51"/>
      <c r="P6" s="51"/>
      <c r="Q6" s="51"/>
      <c r="R6" s="55"/>
      <c r="S6" s="53"/>
      <c r="T6" s="54"/>
      <c r="U6" s="55"/>
      <c r="V6" s="55"/>
      <c r="W6" s="55"/>
      <c r="X6" s="55"/>
      <c r="Y6" s="55"/>
      <c r="Z6" s="56"/>
      <c r="AA6" s="55"/>
      <c r="AB6" s="55"/>
      <c r="AC6" s="55"/>
      <c r="AD6" s="55"/>
      <c r="AE6" s="55"/>
      <c r="AF6" s="55"/>
    </row>
    <row r="7" spans="1:32" s="57" customFormat="1" ht="15.75" hidden="1" customHeight="1">
      <c r="A7" s="2"/>
      <c r="B7" s="2"/>
      <c r="C7" s="51"/>
      <c r="D7" s="51"/>
      <c r="E7" s="51"/>
      <c r="F7" s="51"/>
      <c r="G7" s="51"/>
      <c r="H7" s="51"/>
      <c r="I7" s="51"/>
      <c r="J7" s="51"/>
      <c r="K7" s="51"/>
      <c r="L7" s="51"/>
      <c r="M7" s="51"/>
      <c r="N7" s="51"/>
      <c r="O7" s="51"/>
      <c r="P7" s="51"/>
      <c r="Q7" s="51"/>
      <c r="R7" s="55"/>
      <c r="S7" s="53"/>
      <c r="T7" s="54"/>
      <c r="U7" s="55"/>
      <c r="V7" s="55"/>
      <c r="W7" s="55"/>
      <c r="X7" s="55"/>
      <c r="Y7" s="55"/>
      <c r="Z7" s="56"/>
      <c r="AA7" s="55"/>
      <c r="AB7" s="55"/>
      <c r="AC7" s="55"/>
      <c r="AD7" s="55"/>
      <c r="AE7" s="55"/>
      <c r="AF7" s="55"/>
    </row>
    <row r="8" spans="1:32" s="57" customFormat="1" ht="15.75" hidden="1" customHeight="1">
      <c r="A8" s="2"/>
      <c r="B8" s="2"/>
      <c r="C8" s="51"/>
      <c r="D8" s="51"/>
      <c r="E8" s="51"/>
      <c r="F8" s="51"/>
      <c r="G8" s="51"/>
      <c r="H8" s="51"/>
      <c r="I8" s="51"/>
      <c r="J8" s="51"/>
      <c r="K8" s="51"/>
      <c r="L8" s="51"/>
      <c r="M8" s="51"/>
      <c r="N8" s="51"/>
      <c r="O8" s="51"/>
      <c r="P8" s="51"/>
      <c r="Q8" s="51"/>
      <c r="R8" s="55"/>
      <c r="S8" s="53"/>
      <c r="T8" s="54"/>
      <c r="U8" s="55"/>
      <c r="V8" s="55"/>
      <c r="W8" s="55"/>
      <c r="X8" s="55"/>
      <c r="Y8" s="55"/>
      <c r="Z8" s="56"/>
      <c r="AA8" s="55"/>
      <c r="AB8" s="55"/>
      <c r="AC8" s="55"/>
      <c r="AD8" s="55"/>
      <c r="AE8" s="55"/>
      <c r="AF8" s="55"/>
    </row>
    <row r="9" spans="1:32" s="57" customFormat="1" ht="15.75" hidden="1" customHeight="1">
      <c r="A9" s="2"/>
      <c r="B9" s="2"/>
      <c r="C9" s="51"/>
      <c r="D9" s="51"/>
      <c r="E9" s="51"/>
      <c r="F9" s="51"/>
      <c r="G9" s="51"/>
      <c r="H9" s="51"/>
      <c r="I9" s="51"/>
      <c r="J9" s="51"/>
      <c r="K9" s="51"/>
      <c r="L9" s="51"/>
      <c r="M9" s="51"/>
      <c r="N9" s="51"/>
      <c r="O9" s="51"/>
      <c r="P9" s="51"/>
      <c r="Q9" s="51"/>
      <c r="R9" s="55"/>
      <c r="S9" s="53"/>
      <c r="T9" s="54"/>
      <c r="U9" s="55"/>
      <c r="V9" s="55"/>
      <c r="W9" s="55"/>
      <c r="X9" s="55"/>
      <c r="Y9" s="55"/>
      <c r="Z9" s="56"/>
      <c r="AA9" s="55"/>
      <c r="AB9" s="55"/>
      <c r="AC9" s="55"/>
      <c r="AD9" s="55"/>
      <c r="AE9" s="55"/>
      <c r="AF9" s="55"/>
    </row>
    <row r="10" spans="1:32" s="57" customFormat="1" ht="15.75" hidden="1" customHeight="1">
      <c r="A10" s="2"/>
      <c r="B10" s="2"/>
      <c r="C10" s="51"/>
      <c r="D10" s="51"/>
      <c r="E10" s="51"/>
      <c r="F10" s="51"/>
      <c r="G10" s="51"/>
      <c r="H10" s="51"/>
      <c r="I10" s="51"/>
      <c r="J10" s="51"/>
      <c r="K10" s="51"/>
      <c r="L10" s="51"/>
      <c r="M10" s="51"/>
      <c r="N10" s="51"/>
      <c r="O10" s="51"/>
      <c r="P10" s="51"/>
      <c r="Q10" s="51"/>
      <c r="R10" s="55"/>
      <c r="S10" s="53"/>
      <c r="T10" s="54"/>
      <c r="U10" s="55"/>
      <c r="V10" s="55"/>
      <c r="W10" s="55"/>
      <c r="X10" s="55"/>
      <c r="Y10" s="55"/>
      <c r="Z10" s="56"/>
      <c r="AA10" s="55"/>
      <c r="AB10" s="55"/>
      <c r="AC10" s="55"/>
      <c r="AD10" s="55"/>
      <c r="AE10" s="55"/>
      <c r="AF10" s="55"/>
    </row>
    <row r="11" spans="1:32" s="57" customFormat="1" ht="15.75" hidden="1" customHeight="1">
      <c r="A11" s="2"/>
      <c r="B11" s="2"/>
      <c r="C11" s="51"/>
      <c r="D11" s="51"/>
      <c r="E11" s="51"/>
      <c r="F11" s="51"/>
      <c r="G11" s="51"/>
      <c r="H11" s="51"/>
      <c r="I11" s="51"/>
      <c r="J11" s="51"/>
      <c r="K11" s="51"/>
      <c r="L11" s="51"/>
      <c r="M11" s="51"/>
      <c r="N11" s="51"/>
      <c r="O11" s="51"/>
      <c r="P11" s="51"/>
      <c r="Q11" s="51"/>
      <c r="R11" s="55"/>
      <c r="S11" s="53"/>
      <c r="T11" s="54"/>
      <c r="U11" s="55"/>
      <c r="V11" s="55"/>
      <c r="W11" s="55"/>
      <c r="X11" s="55"/>
      <c r="Y11" s="55"/>
      <c r="Z11" s="56"/>
      <c r="AA11" s="55"/>
      <c r="AB11" s="55"/>
      <c r="AC11" s="55"/>
      <c r="AD11" s="55"/>
      <c r="AE11" s="55"/>
      <c r="AF11" s="55"/>
    </row>
    <row r="12" spans="1:32" s="57" customFormat="1" ht="15.75" hidden="1" customHeight="1">
      <c r="A12" s="2"/>
      <c r="B12" s="2"/>
      <c r="C12" s="51"/>
      <c r="D12" s="51"/>
      <c r="E12" s="51"/>
      <c r="F12" s="51"/>
      <c r="G12" s="51"/>
      <c r="H12" s="51"/>
      <c r="I12" s="51"/>
      <c r="J12" s="51"/>
      <c r="K12" s="51"/>
      <c r="L12" s="51"/>
      <c r="M12" s="51"/>
      <c r="N12" s="51"/>
      <c r="O12" s="51"/>
      <c r="P12" s="51"/>
      <c r="Q12" s="51"/>
      <c r="R12" s="55"/>
      <c r="S12" s="53"/>
      <c r="T12" s="54"/>
      <c r="U12" s="55"/>
      <c r="V12" s="55"/>
      <c r="W12" s="55"/>
      <c r="X12" s="55"/>
      <c r="Y12" s="55"/>
      <c r="Z12" s="56"/>
      <c r="AA12" s="55"/>
      <c r="AB12" s="55"/>
      <c r="AC12" s="55"/>
      <c r="AD12" s="55"/>
      <c r="AE12" s="55"/>
      <c r="AF12" s="55"/>
    </row>
    <row r="13" spans="1:32" s="57" customFormat="1" ht="15.75" hidden="1" customHeight="1">
      <c r="A13" s="2"/>
      <c r="B13" s="2"/>
      <c r="C13" s="51"/>
      <c r="D13" s="51"/>
      <c r="E13" s="51"/>
      <c r="F13" s="51"/>
      <c r="G13" s="51"/>
      <c r="H13" s="51"/>
      <c r="I13" s="51"/>
      <c r="J13" s="51"/>
      <c r="K13" s="51"/>
      <c r="L13" s="51"/>
      <c r="M13" s="51"/>
      <c r="N13" s="51"/>
      <c r="O13" s="51"/>
      <c r="P13" s="51"/>
      <c r="Q13" s="51"/>
      <c r="R13" s="55"/>
      <c r="S13" s="53"/>
      <c r="T13" s="54"/>
      <c r="U13" s="55"/>
      <c r="V13" s="55"/>
      <c r="W13" s="55"/>
      <c r="X13" s="55"/>
      <c r="Y13" s="55"/>
      <c r="Z13" s="56"/>
      <c r="AA13" s="55"/>
      <c r="AB13" s="55"/>
      <c r="AC13" s="55"/>
      <c r="AD13" s="55"/>
      <c r="AE13" s="55"/>
      <c r="AF13" s="55"/>
    </row>
    <row r="14" spans="1:32" s="57" customFormat="1" ht="15.75" hidden="1" customHeight="1">
      <c r="A14" s="2"/>
      <c r="B14" s="2"/>
      <c r="C14" s="51"/>
      <c r="D14" s="51"/>
      <c r="E14" s="51"/>
      <c r="F14" s="51"/>
      <c r="G14" s="51"/>
      <c r="H14" s="51"/>
      <c r="I14" s="51"/>
      <c r="J14" s="51"/>
      <c r="K14" s="51"/>
      <c r="L14" s="51"/>
      <c r="M14" s="51"/>
      <c r="N14" s="51"/>
      <c r="O14" s="51"/>
      <c r="P14" s="51"/>
      <c r="Q14" s="51"/>
      <c r="R14" s="55"/>
      <c r="S14" s="53"/>
      <c r="T14" s="54"/>
      <c r="U14" s="55"/>
      <c r="V14" s="55"/>
      <c r="W14" s="55"/>
      <c r="X14" s="55"/>
      <c r="Y14" s="55"/>
      <c r="Z14" s="56"/>
      <c r="AA14" s="55"/>
      <c r="AB14" s="55"/>
      <c r="AC14" s="55"/>
      <c r="AD14" s="55"/>
      <c r="AE14" s="55"/>
      <c r="AF14" s="55"/>
    </row>
    <row r="15" spans="1:32" s="57" customFormat="1" ht="15.75" hidden="1" customHeight="1">
      <c r="A15" s="2"/>
      <c r="B15" s="2"/>
      <c r="C15" s="51"/>
      <c r="D15" s="51"/>
      <c r="E15" s="51"/>
      <c r="F15" s="51"/>
      <c r="G15" s="51"/>
      <c r="H15" s="51"/>
      <c r="I15" s="51"/>
      <c r="J15" s="51"/>
      <c r="K15" s="51"/>
      <c r="L15" s="51"/>
      <c r="M15" s="51"/>
      <c r="N15" s="51"/>
      <c r="O15" s="51"/>
      <c r="P15" s="51"/>
      <c r="Q15" s="51"/>
      <c r="R15" s="55"/>
      <c r="S15" s="53"/>
      <c r="T15" s="54"/>
      <c r="U15" s="55"/>
      <c r="V15" s="55"/>
      <c r="W15" s="55"/>
      <c r="X15" s="55"/>
      <c r="Y15" s="55"/>
      <c r="Z15" s="56"/>
      <c r="AA15" s="55"/>
      <c r="AB15" s="55"/>
      <c r="AC15" s="55"/>
      <c r="AD15" s="55"/>
      <c r="AE15" s="55"/>
      <c r="AF15" s="55"/>
    </row>
    <row r="16" spans="1:32" s="57" customFormat="1" ht="15.75" hidden="1" customHeight="1">
      <c r="A16" s="2"/>
      <c r="B16" s="2"/>
      <c r="C16" s="51"/>
      <c r="D16" s="51"/>
      <c r="E16" s="51"/>
      <c r="F16" s="51"/>
      <c r="G16" s="51"/>
      <c r="H16" s="51"/>
      <c r="I16" s="51"/>
      <c r="J16" s="51"/>
      <c r="K16" s="51"/>
      <c r="L16" s="51"/>
      <c r="M16" s="51"/>
      <c r="N16" s="51"/>
      <c r="O16" s="51"/>
      <c r="P16" s="51"/>
      <c r="Q16" s="51"/>
      <c r="R16" s="55"/>
      <c r="S16" s="53"/>
      <c r="T16" s="54"/>
      <c r="U16" s="55"/>
      <c r="V16" s="55"/>
      <c r="W16" s="55"/>
      <c r="X16" s="55"/>
      <c r="Y16" s="55"/>
      <c r="Z16" s="56"/>
      <c r="AA16" s="55"/>
      <c r="AB16" s="55"/>
      <c r="AC16" s="55"/>
      <c r="AD16" s="55"/>
      <c r="AE16" s="55"/>
      <c r="AF16" s="55"/>
    </row>
    <row r="17" spans="1:32" s="57" customFormat="1" ht="15.75" hidden="1" customHeight="1">
      <c r="A17" s="2"/>
      <c r="B17" s="2"/>
      <c r="C17" s="51"/>
      <c r="D17" s="51"/>
      <c r="E17" s="51"/>
      <c r="F17" s="51"/>
      <c r="G17" s="51"/>
      <c r="H17" s="51"/>
      <c r="I17" s="51"/>
      <c r="J17" s="51"/>
      <c r="K17" s="51"/>
      <c r="L17" s="51"/>
      <c r="M17" s="51"/>
      <c r="N17" s="51"/>
      <c r="O17" s="51"/>
      <c r="P17" s="51"/>
      <c r="Q17" s="51"/>
      <c r="R17" s="55"/>
      <c r="S17" s="53"/>
      <c r="T17" s="54"/>
      <c r="U17" s="55"/>
      <c r="V17" s="55"/>
      <c r="W17" s="55"/>
      <c r="X17" s="55"/>
      <c r="Y17" s="55"/>
      <c r="Z17" s="56"/>
      <c r="AA17" s="55"/>
      <c r="AB17" s="55"/>
      <c r="AC17" s="55"/>
      <c r="AD17" s="55"/>
      <c r="AE17" s="55"/>
      <c r="AF17" s="55"/>
    </row>
    <row r="18" spans="1:32" s="57" customFormat="1" ht="15.75" hidden="1" customHeight="1">
      <c r="A18" s="2"/>
      <c r="B18" s="2"/>
      <c r="C18" s="51"/>
      <c r="D18" s="51"/>
      <c r="E18" s="51"/>
      <c r="F18" s="51"/>
      <c r="G18" s="51"/>
      <c r="H18" s="51"/>
      <c r="I18" s="51"/>
      <c r="J18" s="51"/>
      <c r="K18" s="51"/>
      <c r="L18" s="51"/>
      <c r="M18" s="51"/>
      <c r="N18" s="51"/>
      <c r="O18" s="51"/>
      <c r="P18" s="51"/>
      <c r="Q18" s="51"/>
      <c r="R18" s="55"/>
      <c r="S18" s="53"/>
      <c r="T18" s="54"/>
      <c r="U18" s="55"/>
      <c r="V18" s="55"/>
      <c r="W18" s="55"/>
      <c r="X18" s="55"/>
      <c r="Y18" s="55"/>
      <c r="Z18" s="56"/>
      <c r="AA18" s="55"/>
      <c r="AB18" s="58"/>
      <c r="AC18" s="55"/>
      <c r="AD18" s="55"/>
      <c r="AE18" s="55"/>
      <c r="AF18" s="55"/>
    </row>
    <row r="19" spans="1:32" s="57" customFormat="1" ht="15.75" hidden="1" customHeight="1">
      <c r="A19" s="2"/>
      <c r="B19" s="2"/>
      <c r="C19" s="51"/>
      <c r="D19" s="51"/>
      <c r="E19" s="51"/>
      <c r="F19" s="51"/>
      <c r="G19" s="51"/>
      <c r="H19" s="51"/>
      <c r="I19" s="51"/>
      <c r="J19" s="51"/>
      <c r="K19" s="51"/>
      <c r="L19" s="51"/>
      <c r="M19" s="51"/>
      <c r="N19" s="51"/>
      <c r="O19" s="51"/>
      <c r="P19" s="51"/>
      <c r="Q19" s="51"/>
      <c r="R19" s="55"/>
      <c r="S19" s="53"/>
      <c r="T19" s="54"/>
      <c r="U19" s="55"/>
      <c r="V19" s="55"/>
      <c r="W19" s="55"/>
      <c r="X19" s="55"/>
      <c r="Y19" s="55"/>
      <c r="Z19" s="56"/>
      <c r="AA19" s="55"/>
      <c r="AB19" s="55"/>
      <c r="AC19" s="55"/>
      <c r="AD19" s="55"/>
      <c r="AE19" s="55"/>
      <c r="AF19" s="55"/>
    </row>
    <row r="20" spans="1:32" s="57" customFormat="1" ht="15.75" hidden="1" customHeight="1">
      <c r="A20" s="2"/>
      <c r="B20" s="2"/>
      <c r="C20" s="51"/>
      <c r="D20" s="51"/>
      <c r="E20" s="51"/>
      <c r="F20" s="51"/>
      <c r="G20" s="51"/>
      <c r="H20" s="51"/>
      <c r="I20" s="51"/>
      <c r="J20" s="51"/>
      <c r="K20" s="51"/>
      <c r="L20" s="51"/>
      <c r="M20" s="51"/>
      <c r="N20" s="51"/>
      <c r="O20" s="51"/>
      <c r="P20" s="51"/>
      <c r="Q20" s="51"/>
      <c r="R20" s="55"/>
      <c r="S20" s="53"/>
      <c r="T20" s="54"/>
      <c r="U20" s="55"/>
      <c r="V20" s="55"/>
      <c r="W20" s="55"/>
      <c r="X20" s="55"/>
      <c r="Y20" s="55"/>
      <c r="Z20" s="56"/>
      <c r="AA20" s="55"/>
      <c r="AB20" s="55"/>
      <c r="AC20" s="55"/>
      <c r="AD20" s="55"/>
      <c r="AE20" s="55"/>
      <c r="AF20" s="55"/>
    </row>
    <row r="21" spans="1:32" s="57" customFormat="1" ht="15.75" hidden="1" customHeight="1">
      <c r="A21" s="2"/>
      <c r="B21" s="2"/>
      <c r="C21" s="51"/>
      <c r="D21" s="51"/>
      <c r="E21" s="51"/>
      <c r="F21" s="51"/>
      <c r="G21" s="51"/>
      <c r="H21" s="51"/>
      <c r="I21" s="51"/>
      <c r="J21" s="51"/>
      <c r="K21" s="51"/>
      <c r="L21" s="51"/>
      <c r="M21" s="51"/>
      <c r="N21" s="51"/>
      <c r="O21" s="51"/>
      <c r="P21" s="51"/>
      <c r="Q21" s="51"/>
      <c r="R21" s="55"/>
      <c r="S21" s="53"/>
      <c r="T21" s="54"/>
      <c r="U21" s="55"/>
      <c r="V21" s="55"/>
      <c r="W21" s="55"/>
      <c r="X21" s="55"/>
      <c r="Y21" s="55"/>
      <c r="Z21" s="56"/>
      <c r="AA21" s="55"/>
      <c r="AB21" s="55"/>
      <c r="AC21" s="55"/>
      <c r="AD21" s="55"/>
      <c r="AE21" s="55"/>
      <c r="AF21" s="55"/>
    </row>
    <row r="22" spans="1:32" s="57" customFormat="1" ht="15.75" hidden="1" customHeight="1">
      <c r="A22" s="2"/>
      <c r="B22" s="2"/>
      <c r="C22" s="51"/>
      <c r="D22" s="51"/>
      <c r="E22" s="51"/>
      <c r="F22" s="51"/>
      <c r="G22" s="51"/>
      <c r="H22" s="51"/>
      <c r="I22" s="51"/>
      <c r="J22" s="51"/>
      <c r="K22" s="51"/>
      <c r="L22" s="51"/>
      <c r="M22" s="51"/>
      <c r="N22" s="51"/>
      <c r="O22" s="51"/>
      <c r="P22" s="51"/>
      <c r="Q22" s="51"/>
      <c r="R22" s="55"/>
      <c r="S22" s="53"/>
      <c r="T22" s="54"/>
      <c r="U22" s="55"/>
      <c r="V22" s="55"/>
      <c r="W22" s="55"/>
      <c r="X22" s="55"/>
      <c r="Y22" s="55"/>
      <c r="Z22" s="56"/>
      <c r="AA22" s="55"/>
      <c r="AB22" s="55"/>
      <c r="AC22" s="55"/>
      <c r="AD22" s="55"/>
      <c r="AE22" s="55"/>
      <c r="AF22" s="55"/>
    </row>
    <row r="23" spans="1:32" s="57" customFormat="1" ht="15.75" hidden="1" customHeight="1">
      <c r="A23" s="2"/>
      <c r="B23" s="2"/>
      <c r="C23" s="51"/>
      <c r="D23" s="51"/>
      <c r="E23" s="51"/>
      <c r="F23" s="51"/>
      <c r="G23" s="51"/>
      <c r="H23" s="51"/>
      <c r="I23" s="51"/>
      <c r="J23" s="51"/>
      <c r="K23" s="51"/>
      <c r="L23" s="51"/>
      <c r="M23" s="51"/>
      <c r="N23" s="51"/>
      <c r="O23" s="51"/>
      <c r="P23" s="51"/>
      <c r="Q23" s="51"/>
      <c r="R23" s="55"/>
      <c r="S23" s="53"/>
      <c r="T23" s="54"/>
      <c r="U23" s="55"/>
      <c r="V23" s="55"/>
      <c r="W23" s="55"/>
      <c r="X23" s="55"/>
      <c r="Y23" s="55"/>
      <c r="Z23" s="56"/>
      <c r="AA23" s="55"/>
      <c r="AB23" s="55"/>
      <c r="AC23" s="55"/>
      <c r="AD23" s="55"/>
      <c r="AE23" s="55"/>
      <c r="AF23" s="55"/>
    </row>
    <row r="24" spans="1:32" s="57" customFormat="1" ht="15.75" hidden="1" customHeight="1">
      <c r="A24" s="2"/>
      <c r="B24" s="2"/>
      <c r="C24" s="51"/>
      <c r="D24" s="51"/>
      <c r="E24" s="51"/>
      <c r="F24" s="51"/>
      <c r="G24" s="51"/>
      <c r="H24" s="51"/>
      <c r="I24" s="51"/>
      <c r="J24" s="51"/>
      <c r="K24" s="51"/>
      <c r="L24" s="51"/>
      <c r="M24" s="51"/>
      <c r="N24" s="51"/>
      <c r="O24" s="51"/>
      <c r="P24" s="51"/>
      <c r="Q24" s="51"/>
      <c r="R24" s="55"/>
      <c r="S24" s="53"/>
      <c r="T24" s="54"/>
      <c r="U24" s="55"/>
      <c r="V24" s="55"/>
      <c r="W24" s="55"/>
      <c r="X24" s="55"/>
      <c r="Y24" s="55"/>
      <c r="Z24" s="56"/>
      <c r="AA24" s="55"/>
      <c r="AB24" s="55"/>
      <c r="AC24" s="55"/>
      <c r="AD24" s="55"/>
      <c r="AE24" s="55"/>
      <c r="AF24" s="55"/>
    </row>
    <row r="25" spans="1:32" s="57" customFormat="1" ht="15.75" hidden="1" customHeight="1">
      <c r="A25" s="2"/>
      <c r="B25" s="2"/>
      <c r="C25" s="51"/>
      <c r="D25" s="51"/>
      <c r="E25" s="51"/>
      <c r="F25" s="51"/>
      <c r="G25" s="51"/>
      <c r="H25" s="51"/>
      <c r="I25" s="51"/>
      <c r="J25" s="51"/>
      <c r="K25" s="51"/>
      <c r="L25" s="51"/>
      <c r="M25" s="51"/>
      <c r="N25" s="51"/>
      <c r="O25" s="51"/>
      <c r="P25" s="51"/>
      <c r="Q25" s="51"/>
      <c r="R25" s="55"/>
      <c r="S25" s="53"/>
      <c r="T25" s="54"/>
      <c r="U25" s="55"/>
      <c r="V25" s="55"/>
      <c r="W25" s="55"/>
      <c r="X25" s="55"/>
      <c r="Y25" s="55"/>
      <c r="Z25" s="56"/>
      <c r="AA25" s="55"/>
      <c r="AB25" s="55"/>
      <c r="AC25" s="55"/>
      <c r="AD25" s="55"/>
      <c r="AE25" s="55"/>
      <c r="AF25" s="55"/>
    </row>
    <row r="26" spans="1:32" s="57" customFormat="1" ht="15.75" hidden="1" customHeight="1">
      <c r="A26" s="2"/>
      <c r="B26" s="2"/>
      <c r="C26" s="51"/>
      <c r="D26" s="51"/>
      <c r="E26" s="51"/>
      <c r="F26" s="51"/>
      <c r="G26" s="51"/>
      <c r="H26" s="51"/>
      <c r="I26" s="51"/>
      <c r="J26" s="51"/>
      <c r="K26" s="51"/>
      <c r="L26" s="51"/>
      <c r="M26" s="51"/>
      <c r="N26" s="51"/>
      <c r="O26" s="51"/>
      <c r="P26" s="51"/>
      <c r="Q26" s="51"/>
      <c r="R26" s="55"/>
      <c r="S26" s="53"/>
      <c r="T26" s="54"/>
      <c r="U26" s="55"/>
      <c r="V26" s="55"/>
      <c r="W26" s="55"/>
      <c r="X26" s="55"/>
      <c r="Y26" s="55"/>
      <c r="Z26" s="56"/>
      <c r="AA26" s="55"/>
      <c r="AB26" s="55"/>
      <c r="AC26" s="55"/>
      <c r="AD26" s="55"/>
      <c r="AE26" s="55"/>
      <c r="AF26" s="55"/>
    </row>
    <row r="27" spans="1:32" s="57" customFormat="1" ht="15.75" hidden="1" customHeight="1">
      <c r="A27" s="2"/>
      <c r="B27" s="2"/>
      <c r="C27" s="51"/>
      <c r="D27" s="51"/>
      <c r="E27" s="51"/>
      <c r="F27" s="51"/>
      <c r="G27" s="51"/>
      <c r="H27" s="51"/>
      <c r="I27" s="51"/>
      <c r="J27" s="51"/>
      <c r="K27" s="51"/>
      <c r="L27" s="51"/>
      <c r="M27" s="51"/>
      <c r="N27" s="51"/>
      <c r="O27" s="51"/>
      <c r="P27" s="51"/>
      <c r="Q27" s="51"/>
      <c r="R27" s="55"/>
      <c r="S27" s="53"/>
      <c r="T27" s="54"/>
      <c r="U27" s="55"/>
      <c r="V27" s="55"/>
      <c r="W27" s="55"/>
      <c r="X27" s="55"/>
      <c r="Y27" s="55"/>
      <c r="Z27" s="56"/>
      <c r="AA27" s="55"/>
      <c r="AB27" s="55"/>
      <c r="AC27" s="55"/>
      <c r="AD27" s="55"/>
      <c r="AE27" s="55"/>
      <c r="AF27" s="55"/>
    </row>
    <row r="28" spans="1:32" s="57" customFormat="1" ht="15.75" hidden="1" customHeight="1">
      <c r="A28" s="2"/>
      <c r="B28" s="2"/>
      <c r="C28" s="51"/>
      <c r="D28" s="51"/>
      <c r="E28" s="51"/>
      <c r="F28" s="51"/>
      <c r="G28" s="51"/>
      <c r="H28" s="51"/>
      <c r="I28" s="51"/>
      <c r="J28" s="51"/>
      <c r="K28" s="51"/>
      <c r="L28" s="51"/>
      <c r="M28" s="51"/>
      <c r="N28" s="51"/>
      <c r="O28" s="51"/>
      <c r="P28" s="51"/>
      <c r="Q28" s="51"/>
      <c r="R28" s="55"/>
      <c r="S28" s="53"/>
      <c r="T28" s="54"/>
      <c r="U28" s="55"/>
      <c r="V28" s="55"/>
      <c r="W28" s="55"/>
      <c r="X28" s="55"/>
      <c r="Y28" s="55"/>
      <c r="Z28" s="56"/>
      <c r="AA28" s="55"/>
      <c r="AB28" s="55"/>
      <c r="AC28" s="55"/>
      <c r="AD28" s="55"/>
      <c r="AE28" s="55"/>
      <c r="AF28" s="55"/>
    </row>
    <row r="29" spans="1:32" s="57" customFormat="1" ht="15.75" hidden="1" customHeight="1">
      <c r="A29" s="2"/>
      <c r="B29" s="2"/>
      <c r="C29" s="51"/>
      <c r="D29" s="51"/>
      <c r="E29" s="51"/>
      <c r="F29" s="51"/>
      <c r="G29" s="51"/>
      <c r="H29" s="51"/>
      <c r="I29" s="51"/>
      <c r="J29" s="51"/>
      <c r="K29" s="51"/>
      <c r="L29" s="51"/>
      <c r="M29" s="51"/>
      <c r="N29" s="51"/>
      <c r="O29" s="51"/>
      <c r="P29" s="51"/>
      <c r="Q29" s="51"/>
      <c r="R29" s="55"/>
      <c r="S29" s="53"/>
      <c r="T29" s="54"/>
      <c r="U29" s="55"/>
      <c r="V29" s="55"/>
      <c r="W29" s="55"/>
      <c r="X29" s="55"/>
      <c r="Y29" s="55"/>
      <c r="Z29" s="56"/>
      <c r="AA29" s="55"/>
      <c r="AB29" s="55"/>
      <c r="AC29" s="55"/>
      <c r="AD29" s="55"/>
      <c r="AE29" s="55"/>
      <c r="AF29" s="55"/>
    </row>
    <row r="30" spans="1:32" s="57" customFormat="1" ht="15.75" hidden="1" customHeight="1">
      <c r="A30" s="2"/>
      <c r="B30" s="2"/>
      <c r="C30" s="51"/>
      <c r="D30" s="51"/>
      <c r="E30" s="51"/>
      <c r="F30" s="51"/>
      <c r="G30" s="51"/>
      <c r="H30" s="51"/>
      <c r="I30" s="51"/>
      <c r="J30" s="51"/>
      <c r="K30" s="51"/>
      <c r="L30" s="51"/>
      <c r="M30" s="51"/>
      <c r="N30" s="51"/>
      <c r="O30" s="51"/>
      <c r="P30" s="51"/>
      <c r="Q30" s="51"/>
      <c r="R30" s="55"/>
      <c r="S30" s="53"/>
      <c r="T30" s="54"/>
      <c r="U30" s="55"/>
      <c r="V30" s="55"/>
      <c r="W30" s="55"/>
      <c r="X30" s="55"/>
      <c r="Y30" s="55"/>
      <c r="Z30" s="56"/>
      <c r="AA30" s="55"/>
      <c r="AB30" s="55"/>
      <c r="AC30" s="55"/>
      <c r="AD30" s="55"/>
      <c r="AE30" s="55"/>
      <c r="AF30" s="55"/>
    </row>
    <row r="31" spans="1:32" s="57" customFormat="1" ht="15.75" hidden="1" customHeight="1">
      <c r="A31" s="2"/>
      <c r="B31" s="2"/>
      <c r="C31" s="51"/>
      <c r="D31" s="51"/>
      <c r="E31" s="51"/>
      <c r="F31" s="51"/>
      <c r="G31" s="51"/>
      <c r="H31" s="51"/>
      <c r="I31" s="51"/>
      <c r="J31" s="51"/>
      <c r="K31" s="51"/>
      <c r="L31" s="51"/>
      <c r="M31" s="51"/>
      <c r="N31" s="51"/>
      <c r="O31" s="51"/>
      <c r="P31" s="51"/>
      <c r="Q31" s="51"/>
      <c r="R31" s="55"/>
      <c r="S31" s="53"/>
      <c r="T31" s="54"/>
      <c r="U31" s="55"/>
      <c r="V31" s="55"/>
      <c r="W31" s="55"/>
      <c r="X31" s="55"/>
      <c r="Y31" s="55"/>
      <c r="Z31" s="56"/>
      <c r="AA31" s="55"/>
      <c r="AB31" s="55"/>
      <c r="AC31" s="55"/>
      <c r="AD31" s="55"/>
      <c r="AE31" s="55"/>
      <c r="AF31" s="55"/>
    </row>
    <row r="32" spans="1:32" s="57" customFormat="1" ht="15.75" hidden="1" customHeight="1">
      <c r="A32" s="2"/>
      <c r="B32" s="2"/>
      <c r="C32" s="51"/>
      <c r="D32" s="51"/>
      <c r="E32" s="51"/>
      <c r="F32" s="51"/>
      <c r="G32" s="51"/>
      <c r="H32" s="51"/>
      <c r="I32" s="51"/>
      <c r="J32" s="51"/>
      <c r="K32" s="51"/>
      <c r="L32" s="51"/>
      <c r="M32" s="51"/>
      <c r="N32" s="51"/>
      <c r="O32" s="51"/>
      <c r="P32" s="51"/>
      <c r="Q32" s="51"/>
      <c r="R32" s="55"/>
      <c r="S32" s="53"/>
      <c r="T32" s="54"/>
      <c r="U32" s="55"/>
      <c r="V32" s="55"/>
      <c r="W32" s="55"/>
      <c r="X32" s="55"/>
      <c r="Y32" s="55"/>
      <c r="Z32" s="56"/>
      <c r="AA32" s="55"/>
      <c r="AB32" s="55"/>
      <c r="AC32" s="55"/>
      <c r="AD32" s="55"/>
      <c r="AE32" s="55"/>
      <c r="AF32" s="52"/>
    </row>
    <row r="33" spans="1:32" s="57" customFormat="1" ht="15.75" hidden="1" customHeight="1">
      <c r="A33" s="2"/>
      <c r="B33" s="2"/>
      <c r="C33" s="51"/>
      <c r="D33" s="51"/>
      <c r="E33" s="51"/>
      <c r="F33" s="51"/>
      <c r="G33" s="51"/>
      <c r="H33" s="51"/>
      <c r="I33" s="51"/>
      <c r="J33" s="51"/>
      <c r="K33" s="51"/>
      <c r="L33" s="51"/>
      <c r="M33" s="51"/>
      <c r="N33" s="51"/>
      <c r="O33" s="51"/>
      <c r="P33" s="51"/>
      <c r="Q33" s="51"/>
      <c r="R33" s="55"/>
      <c r="S33" s="53"/>
      <c r="T33" s="54"/>
      <c r="U33" s="55"/>
      <c r="V33" s="55"/>
      <c r="W33" s="55"/>
      <c r="X33" s="55"/>
      <c r="Y33" s="55"/>
      <c r="Z33" s="56"/>
      <c r="AA33" s="55"/>
      <c r="AB33" s="55"/>
      <c r="AC33" s="55"/>
      <c r="AD33" s="55"/>
      <c r="AE33" s="55"/>
      <c r="AF33" s="55"/>
    </row>
    <row r="34" spans="1:32" s="57" customFormat="1" ht="15.75" hidden="1" customHeight="1">
      <c r="A34" s="2"/>
      <c r="B34" s="2"/>
      <c r="C34" s="51"/>
      <c r="D34" s="51"/>
      <c r="E34" s="51"/>
      <c r="F34" s="51"/>
      <c r="G34" s="51"/>
      <c r="H34" s="51"/>
      <c r="I34" s="51"/>
      <c r="J34" s="51"/>
      <c r="K34" s="51"/>
      <c r="L34" s="51"/>
      <c r="M34" s="51"/>
      <c r="N34" s="51"/>
      <c r="O34" s="51"/>
      <c r="P34" s="51"/>
      <c r="Q34" s="51"/>
      <c r="R34" s="55"/>
      <c r="S34" s="53"/>
      <c r="T34" s="54"/>
      <c r="U34" s="55"/>
      <c r="V34" s="55"/>
      <c r="W34" s="55"/>
      <c r="X34" s="55"/>
      <c r="Y34" s="55"/>
      <c r="Z34" s="56"/>
      <c r="AA34" s="55"/>
      <c r="AB34" s="55"/>
      <c r="AC34" s="55"/>
      <c r="AD34" s="55"/>
      <c r="AE34" s="55"/>
      <c r="AF34" s="55"/>
    </row>
    <row r="35" spans="1:32" s="57" customFormat="1" ht="15.75" hidden="1" customHeight="1">
      <c r="A35" s="2"/>
      <c r="B35" s="2"/>
      <c r="C35" s="51"/>
      <c r="D35" s="51"/>
      <c r="E35" s="51"/>
      <c r="F35" s="51"/>
      <c r="G35" s="51"/>
      <c r="H35" s="51"/>
      <c r="I35" s="51"/>
      <c r="J35" s="51"/>
      <c r="K35" s="51"/>
      <c r="L35" s="51"/>
      <c r="M35" s="51"/>
      <c r="N35" s="51"/>
      <c r="O35" s="51"/>
      <c r="P35" s="51"/>
      <c r="Q35" s="51"/>
      <c r="R35" s="55"/>
      <c r="S35" s="53"/>
      <c r="T35" s="54"/>
      <c r="U35" s="55"/>
      <c r="V35" s="55"/>
      <c r="W35" s="55"/>
      <c r="X35" s="55"/>
      <c r="Y35" s="55"/>
      <c r="Z35" s="56"/>
      <c r="AA35" s="55"/>
      <c r="AB35" s="55"/>
      <c r="AC35" s="55"/>
      <c r="AD35" s="55"/>
      <c r="AE35" s="55"/>
      <c r="AF35" s="55"/>
    </row>
    <row r="36" spans="1:32" s="57" customFormat="1" ht="15.75" hidden="1" customHeight="1">
      <c r="A36" s="2"/>
      <c r="B36" s="2"/>
      <c r="C36" s="51"/>
      <c r="D36" s="51"/>
      <c r="E36" s="51"/>
      <c r="F36" s="51"/>
      <c r="G36" s="51"/>
      <c r="H36" s="51"/>
      <c r="I36" s="51"/>
      <c r="J36" s="51"/>
      <c r="K36" s="51"/>
      <c r="L36" s="51"/>
      <c r="M36" s="51"/>
      <c r="N36" s="51"/>
      <c r="O36" s="51"/>
      <c r="P36" s="51"/>
      <c r="Q36" s="51"/>
      <c r="R36" s="55"/>
      <c r="S36" s="53"/>
      <c r="T36" s="54"/>
      <c r="U36" s="55"/>
      <c r="V36" s="55"/>
      <c r="W36" s="55"/>
      <c r="X36" s="55"/>
      <c r="Y36" s="55"/>
      <c r="Z36" s="56"/>
      <c r="AA36" s="55"/>
      <c r="AB36" s="55"/>
      <c r="AC36" s="55"/>
      <c r="AD36" s="55"/>
      <c r="AE36" s="55"/>
      <c r="AF36" s="55"/>
    </row>
    <row r="37" spans="1:32" s="57" customFormat="1" ht="15.75" hidden="1" customHeight="1">
      <c r="A37" s="2"/>
      <c r="B37" s="2"/>
      <c r="C37" s="51"/>
      <c r="D37" s="51"/>
      <c r="E37" s="51"/>
      <c r="F37" s="51"/>
      <c r="G37" s="51"/>
      <c r="H37" s="51"/>
      <c r="I37" s="51"/>
      <c r="J37" s="51"/>
      <c r="K37" s="51"/>
      <c r="L37" s="51"/>
      <c r="M37" s="51"/>
      <c r="N37" s="51"/>
      <c r="O37" s="51"/>
      <c r="P37" s="51"/>
      <c r="Q37" s="51"/>
      <c r="R37" s="55"/>
      <c r="S37" s="53"/>
      <c r="T37" s="54"/>
      <c r="U37" s="55"/>
      <c r="V37" s="55"/>
      <c r="W37" s="55"/>
      <c r="X37" s="55"/>
      <c r="Y37" s="55"/>
      <c r="Z37" s="56"/>
      <c r="AA37" s="55"/>
      <c r="AB37" s="55"/>
      <c r="AC37" s="55"/>
      <c r="AD37" s="55"/>
      <c r="AE37" s="55"/>
      <c r="AF37" s="55"/>
    </row>
    <row r="38" spans="1:32" s="57" customFormat="1" ht="15.75" hidden="1" customHeight="1">
      <c r="A38" s="2"/>
      <c r="B38" s="2"/>
      <c r="C38" s="51"/>
      <c r="D38" s="51"/>
      <c r="E38" s="51"/>
      <c r="F38" s="51"/>
      <c r="G38" s="51"/>
      <c r="H38" s="51"/>
      <c r="I38" s="51"/>
      <c r="J38" s="51"/>
      <c r="K38" s="51"/>
      <c r="L38" s="51"/>
      <c r="M38" s="51"/>
      <c r="N38" s="51"/>
      <c r="O38" s="51"/>
      <c r="P38" s="51"/>
      <c r="Q38" s="51"/>
      <c r="R38" s="55"/>
      <c r="S38" s="53"/>
      <c r="T38" s="54"/>
      <c r="U38" s="55"/>
      <c r="V38" s="55"/>
      <c r="W38" s="55"/>
      <c r="X38" s="55"/>
      <c r="Y38" s="55"/>
      <c r="Z38" s="56"/>
      <c r="AA38" s="55"/>
      <c r="AB38" s="55"/>
      <c r="AC38" s="55"/>
      <c r="AD38" s="55"/>
      <c r="AE38" s="55"/>
      <c r="AF38" s="55"/>
    </row>
    <row r="39" spans="1:32" s="57" customFormat="1" ht="15.75" hidden="1" customHeight="1">
      <c r="A39" s="2"/>
      <c r="B39" s="2"/>
      <c r="C39" s="51"/>
      <c r="D39" s="51"/>
      <c r="E39" s="51"/>
      <c r="F39" s="51"/>
      <c r="G39" s="51"/>
      <c r="H39" s="51"/>
      <c r="I39" s="51"/>
      <c r="J39" s="51"/>
      <c r="K39" s="51"/>
      <c r="L39" s="51"/>
      <c r="M39" s="51"/>
      <c r="N39" s="51"/>
      <c r="O39" s="51"/>
      <c r="P39" s="51"/>
      <c r="Q39" s="51"/>
      <c r="R39" s="55"/>
      <c r="S39" s="53"/>
      <c r="T39" s="54"/>
      <c r="U39" s="55"/>
      <c r="V39" s="55"/>
      <c r="W39" s="55"/>
      <c r="X39" s="55"/>
      <c r="Y39" s="55"/>
      <c r="Z39" s="56"/>
      <c r="AA39" s="55"/>
      <c r="AB39" s="55"/>
      <c r="AC39" s="55"/>
      <c r="AD39" s="55"/>
      <c r="AE39" s="55"/>
      <c r="AF39" s="55"/>
    </row>
    <row r="40" spans="1:32" s="57" customFormat="1" ht="15.75" hidden="1" customHeight="1">
      <c r="A40" s="2"/>
      <c r="B40" s="2"/>
      <c r="C40" s="51"/>
      <c r="D40" s="51"/>
      <c r="E40" s="51"/>
      <c r="F40" s="51"/>
      <c r="G40" s="51"/>
      <c r="H40" s="51"/>
      <c r="I40" s="51"/>
      <c r="J40" s="51"/>
      <c r="K40" s="51"/>
      <c r="L40" s="51"/>
      <c r="M40" s="51"/>
      <c r="N40" s="51"/>
      <c r="O40" s="51"/>
      <c r="P40" s="51"/>
      <c r="Q40" s="51"/>
      <c r="R40" s="55"/>
      <c r="S40" s="53"/>
      <c r="T40" s="54"/>
      <c r="U40" s="55"/>
      <c r="V40" s="55"/>
      <c r="W40" s="55"/>
      <c r="X40" s="55"/>
      <c r="Y40" s="55"/>
      <c r="Z40" s="56"/>
      <c r="AA40" s="55"/>
      <c r="AB40" s="55"/>
      <c r="AC40" s="55"/>
      <c r="AD40" s="55"/>
      <c r="AE40" s="55"/>
      <c r="AF40" s="55"/>
    </row>
    <row r="41" spans="1:32" s="57" customFormat="1" ht="15.75" hidden="1" customHeight="1">
      <c r="A41" s="2"/>
      <c r="B41" s="2"/>
      <c r="C41" s="51"/>
      <c r="D41" s="51"/>
      <c r="E41" s="51"/>
      <c r="F41" s="51"/>
      <c r="G41" s="51"/>
      <c r="H41" s="51"/>
      <c r="I41" s="51"/>
      <c r="J41" s="51"/>
      <c r="K41" s="51"/>
      <c r="L41" s="51"/>
      <c r="M41" s="51"/>
      <c r="N41" s="51"/>
      <c r="O41" s="51"/>
      <c r="P41" s="51"/>
      <c r="Q41" s="51"/>
      <c r="R41" s="55"/>
      <c r="S41" s="53"/>
      <c r="T41" s="54"/>
      <c r="U41" s="55"/>
      <c r="V41" s="55"/>
      <c r="W41" s="55"/>
      <c r="X41" s="55"/>
      <c r="Y41" s="55"/>
      <c r="Z41" s="56"/>
      <c r="AA41" s="55"/>
      <c r="AB41" s="55"/>
      <c r="AC41" s="55"/>
      <c r="AD41" s="55"/>
      <c r="AE41" s="55"/>
      <c r="AF41" s="55"/>
    </row>
    <row r="42" spans="1:32" s="57" customFormat="1" ht="15.75" hidden="1" customHeight="1">
      <c r="A42" s="2"/>
      <c r="B42" s="2"/>
      <c r="C42" s="51"/>
      <c r="D42" s="51"/>
      <c r="E42" s="51"/>
      <c r="F42" s="51"/>
      <c r="G42" s="51"/>
      <c r="H42" s="51"/>
      <c r="I42" s="51"/>
      <c r="J42" s="51"/>
      <c r="K42" s="51"/>
      <c r="L42" s="51"/>
      <c r="M42" s="51"/>
      <c r="N42" s="51"/>
      <c r="O42" s="51"/>
      <c r="P42" s="51"/>
      <c r="Q42" s="51"/>
      <c r="R42" s="55"/>
      <c r="S42" s="53"/>
      <c r="T42" s="54"/>
      <c r="U42" s="55"/>
      <c r="V42" s="55"/>
      <c r="W42" s="55"/>
      <c r="X42" s="55"/>
      <c r="Y42" s="55"/>
      <c r="Z42" s="56"/>
      <c r="AA42" s="55"/>
      <c r="AB42" s="55"/>
      <c r="AC42" s="55"/>
      <c r="AD42" s="55"/>
      <c r="AE42" s="55"/>
      <c r="AF42" s="55"/>
    </row>
    <row r="43" spans="1:32" s="57" customFormat="1" ht="15.75" hidden="1" customHeight="1">
      <c r="A43" s="2"/>
      <c r="B43" s="2"/>
      <c r="C43" s="51"/>
      <c r="D43" s="51"/>
      <c r="E43" s="51"/>
      <c r="F43" s="51"/>
      <c r="G43" s="51"/>
      <c r="H43" s="51"/>
      <c r="I43" s="51"/>
      <c r="J43" s="51"/>
      <c r="K43" s="51"/>
      <c r="L43" s="51"/>
      <c r="M43" s="51"/>
      <c r="N43" s="51"/>
      <c r="O43" s="51"/>
      <c r="P43" s="51"/>
      <c r="Q43" s="51"/>
      <c r="R43" s="55"/>
      <c r="S43" s="53"/>
      <c r="T43" s="54"/>
      <c r="U43" s="55"/>
      <c r="V43" s="55"/>
      <c r="W43" s="55"/>
      <c r="X43" s="55"/>
      <c r="Y43" s="55"/>
      <c r="Z43" s="56"/>
      <c r="AA43" s="55"/>
      <c r="AB43" s="55"/>
      <c r="AC43" s="55"/>
      <c r="AD43" s="55"/>
      <c r="AE43" s="55"/>
      <c r="AF43" s="55"/>
    </row>
    <row r="44" spans="1:32" s="57" customFormat="1" ht="15.75" hidden="1" customHeight="1">
      <c r="A44" s="2"/>
      <c r="B44" s="2"/>
      <c r="C44" s="51"/>
      <c r="D44" s="51"/>
      <c r="E44" s="51"/>
      <c r="F44" s="51"/>
      <c r="G44" s="51"/>
      <c r="H44" s="51"/>
      <c r="I44" s="51"/>
      <c r="J44" s="51"/>
      <c r="K44" s="51"/>
      <c r="L44" s="51"/>
      <c r="M44" s="51"/>
      <c r="N44" s="51"/>
      <c r="O44" s="51"/>
      <c r="P44" s="51"/>
      <c r="Q44" s="51"/>
      <c r="R44" s="55"/>
      <c r="S44" s="53"/>
      <c r="T44" s="54"/>
      <c r="U44" s="55"/>
      <c r="V44" s="55"/>
      <c r="W44" s="55"/>
      <c r="X44" s="55"/>
      <c r="Y44" s="55"/>
      <c r="Z44" s="56"/>
      <c r="AA44" s="55"/>
      <c r="AB44" s="55"/>
      <c r="AC44" s="55"/>
      <c r="AD44" s="55"/>
      <c r="AE44" s="55"/>
      <c r="AF44" s="55"/>
    </row>
    <row r="45" spans="1:32" s="57" customFormat="1" ht="15.75" hidden="1" customHeight="1">
      <c r="A45" s="2"/>
      <c r="B45" s="2"/>
      <c r="C45" s="51"/>
      <c r="D45" s="51"/>
      <c r="E45" s="51"/>
      <c r="F45" s="51"/>
      <c r="G45" s="51"/>
      <c r="H45" s="51"/>
      <c r="I45" s="51"/>
      <c r="J45" s="51"/>
      <c r="K45" s="51"/>
      <c r="L45" s="51"/>
      <c r="M45" s="51"/>
      <c r="N45" s="51"/>
      <c r="O45" s="51"/>
      <c r="P45" s="51"/>
      <c r="Q45" s="51"/>
      <c r="R45" s="55"/>
      <c r="S45" s="53"/>
      <c r="T45" s="54"/>
      <c r="U45" s="55"/>
      <c r="V45" s="55"/>
      <c r="W45" s="55"/>
      <c r="X45" s="55"/>
      <c r="Y45" s="55"/>
      <c r="Z45" s="56"/>
      <c r="AA45" s="55"/>
      <c r="AB45" s="55"/>
      <c r="AC45" s="55"/>
      <c r="AD45" s="55"/>
      <c r="AE45" s="55"/>
      <c r="AF45" s="55"/>
    </row>
    <row r="46" spans="1:32" s="57" customFormat="1" ht="15.75" hidden="1" customHeight="1">
      <c r="A46" s="2"/>
      <c r="B46" s="2"/>
      <c r="C46" s="51"/>
      <c r="D46" s="51"/>
      <c r="E46" s="51"/>
      <c r="F46" s="51"/>
      <c r="G46" s="51"/>
      <c r="H46" s="51"/>
      <c r="I46" s="51"/>
      <c r="J46" s="51"/>
      <c r="K46" s="51"/>
      <c r="L46" s="51"/>
      <c r="M46" s="51"/>
      <c r="N46" s="51"/>
      <c r="O46" s="51"/>
      <c r="P46" s="51"/>
      <c r="Q46" s="51"/>
      <c r="R46" s="55"/>
      <c r="S46" s="53"/>
      <c r="T46" s="54"/>
      <c r="U46" s="55"/>
      <c r="V46" s="55"/>
      <c r="W46" s="55"/>
      <c r="X46" s="55"/>
      <c r="Y46" s="55"/>
      <c r="Z46" s="56"/>
      <c r="AA46" s="55"/>
      <c r="AB46" s="55"/>
      <c r="AC46" s="55"/>
      <c r="AD46" s="55"/>
      <c r="AE46" s="55"/>
      <c r="AF46" s="55"/>
    </row>
    <row r="47" spans="1:32" s="57" customFormat="1" ht="15.75" hidden="1" customHeight="1">
      <c r="A47" s="2"/>
      <c r="B47" s="2"/>
      <c r="C47" s="51"/>
      <c r="D47" s="51"/>
      <c r="E47" s="51"/>
      <c r="F47" s="51"/>
      <c r="G47" s="51"/>
      <c r="H47" s="51"/>
      <c r="I47" s="51"/>
      <c r="J47" s="51"/>
      <c r="K47" s="51"/>
      <c r="L47" s="51"/>
      <c r="M47" s="51"/>
      <c r="N47" s="51"/>
      <c r="O47" s="51"/>
      <c r="P47" s="51"/>
      <c r="Q47" s="51"/>
      <c r="R47" s="55"/>
      <c r="S47" s="53"/>
      <c r="T47" s="54"/>
      <c r="U47" s="55"/>
      <c r="V47" s="55"/>
      <c r="W47" s="55"/>
      <c r="X47" s="55"/>
      <c r="Y47" s="55"/>
      <c r="Z47" s="56"/>
      <c r="AA47" s="55"/>
      <c r="AB47" s="55"/>
      <c r="AC47" s="55"/>
      <c r="AD47" s="55"/>
      <c r="AE47" s="55"/>
      <c r="AF47" s="55"/>
    </row>
    <row r="48" spans="1:32" s="57" customFormat="1" ht="15.75" hidden="1" customHeight="1">
      <c r="A48" s="2"/>
      <c r="B48" s="2"/>
      <c r="C48" s="51"/>
      <c r="D48" s="51"/>
      <c r="E48" s="51"/>
      <c r="F48" s="51"/>
      <c r="G48" s="51"/>
      <c r="H48" s="51"/>
      <c r="I48" s="51"/>
      <c r="J48" s="51"/>
      <c r="K48" s="51"/>
      <c r="L48" s="51"/>
      <c r="M48" s="51"/>
      <c r="N48" s="51"/>
      <c r="O48" s="51"/>
      <c r="P48" s="51"/>
      <c r="Q48" s="51"/>
      <c r="R48" s="55"/>
      <c r="S48" s="53"/>
      <c r="T48" s="54"/>
      <c r="U48" s="55"/>
      <c r="V48" s="55"/>
      <c r="W48" s="55"/>
      <c r="X48" s="55"/>
      <c r="Y48" s="55"/>
      <c r="Z48" s="56"/>
      <c r="AA48" s="55"/>
      <c r="AB48" s="55"/>
      <c r="AC48" s="55"/>
      <c r="AD48" s="55"/>
      <c r="AE48" s="55"/>
      <c r="AF48" s="55"/>
    </row>
    <row r="49" spans="1:32" s="57" customFormat="1" ht="15.75" hidden="1" customHeight="1">
      <c r="A49" s="2"/>
      <c r="B49" s="2"/>
      <c r="C49" s="51"/>
      <c r="D49" s="51"/>
      <c r="E49" s="51"/>
      <c r="F49" s="51"/>
      <c r="G49" s="51"/>
      <c r="H49" s="51"/>
      <c r="I49" s="51"/>
      <c r="J49" s="51"/>
      <c r="K49" s="51"/>
      <c r="L49" s="51"/>
      <c r="M49" s="51"/>
      <c r="N49" s="51"/>
      <c r="O49" s="51"/>
      <c r="P49" s="51"/>
      <c r="Q49" s="51"/>
      <c r="R49" s="55"/>
      <c r="S49" s="53"/>
      <c r="T49" s="54"/>
      <c r="U49" s="55"/>
      <c r="V49" s="55"/>
      <c r="W49" s="55"/>
      <c r="X49" s="55"/>
      <c r="Y49" s="55"/>
      <c r="Z49" s="56"/>
      <c r="AA49" s="55"/>
      <c r="AB49" s="55"/>
      <c r="AC49" s="55"/>
      <c r="AD49" s="55"/>
      <c r="AE49" s="55"/>
      <c r="AF49" s="55"/>
    </row>
    <row r="50" spans="1:32" s="57" customFormat="1" ht="15.75" hidden="1" customHeight="1">
      <c r="A50" s="2"/>
      <c r="B50" s="2"/>
      <c r="C50" s="51"/>
      <c r="D50" s="51"/>
      <c r="E50" s="51"/>
      <c r="F50" s="51"/>
      <c r="G50" s="51"/>
      <c r="H50" s="51"/>
      <c r="I50" s="51"/>
      <c r="J50" s="51"/>
      <c r="K50" s="51"/>
      <c r="L50" s="51"/>
      <c r="M50" s="51"/>
      <c r="N50" s="51"/>
      <c r="O50" s="51"/>
      <c r="P50" s="51"/>
      <c r="Q50" s="51"/>
      <c r="R50" s="55"/>
      <c r="S50" s="53"/>
      <c r="T50" s="54"/>
      <c r="U50" s="55"/>
      <c r="V50" s="55"/>
      <c r="W50" s="55"/>
      <c r="X50" s="55"/>
      <c r="Y50" s="55"/>
      <c r="Z50" s="56"/>
      <c r="AA50" s="55"/>
      <c r="AB50" s="55"/>
      <c r="AC50" s="55"/>
      <c r="AD50" s="55"/>
      <c r="AE50" s="55"/>
      <c r="AF50" s="55"/>
    </row>
    <row r="51" spans="1:32" s="57" customFormat="1" ht="15.75" hidden="1" customHeight="1">
      <c r="A51" s="2"/>
      <c r="B51" s="2"/>
      <c r="C51" s="51"/>
      <c r="D51" s="51"/>
      <c r="E51" s="51"/>
      <c r="F51" s="51"/>
      <c r="G51" s="51"/>
      <c r="H51" s="51"/>
      <c r="I51" s="51"/>
      <c r="J51" s="51"/>
      <c r="K51" s="51"/>
      <c r="L51" s="51"/>
      <c r="M51" s="51"/>
      <c r="N51" s="51"/>
      <c r="O51" s="51"/>
      <c r="P51" s="51"/>
      <c r="Q51" s="51"/>
      <c r="R51" s="55"/>
      <c r="S51" s="53"/>
      <c r="T51" s="54"/>
      <c r="U51" s="55"/>
      <c r="V51" s="55"/>
      <c r="W51" s="55"/>
      <c r="X51" s="55"/>
      <c r="Y51" s="55"/>
      <c r="Z51" s="56"/>
      <c r="AA51" s="55"/>
      <c r="AB51" s="55"/>
      <c r="AC51" s="55"/>
      <c r="AD51" s="55"/>
      <c r="AE51" s="55"/>
      <c r="AF51" s="55"/>
    </row>
    <row r="52" spans="1:32" s="57" customFormat="1" ht="15.75" hidden="1" customHeight="1">
      <c r="A52" s="2"/>
      <c r="B52" s="2"/>
      <c r="C52" s="51"/>
      <c r="D52" s="51"/>
      <c r="E52" s="51"/>
      <c r="F52" s="51"/>
      <c r="G52" s="51"/>
      <c r="H52" s="51"/>
      <c r="I52" s="51"/>
      <c r="J52" s="51"/>
      <c r="K52" s="51"/>
      <c r="L52" s="51"/>
      <c r="M52" s="51"/>
      <c r="N52" s="51"/>
      <c r="O52" s="51"/>
      <c r="P52" s="51"/>
      <c r="Q52" s="51"/>
      <c r="R52" s="55"/>
      <c r="S52" s="53"/>
      <c r="T52" s="54"/>
      <c r="U52" s="55"/>
      <c r="V52" s="55"/>
      <c r="W52" s="55"/>
      <c r="X52" s="55"/>
      <c r="Y52" s="55"/>
      <c r="Z52" s="56"/>
      <c r="AA52" s="55"/>
      <c r="AB52" s="55"/>
      <c r="AC52" s="55"/>
      <c r="AD52" s="55"/>
      <c r="AE52" s="55"/>
      <c r="AF52" s="55"/>
    </row>
    <row r="53" spans="1:32" s="57" customFormat="1">
      <c r="A53" s="2"/>
      <c r="B53" s="2"/>
      <c r="C53" s="51"/>
      <c r="D53" s="51"/>
      <c r="E53" s="51"/>
      <c r="F53" s="51"/>
      <c r="G53" s="51"/>
      <c r="H53" s="51"/>
      <c r="I53" s="51"/>
      <c r="J53" s="51"/>
      <c r="K53" s="51"/>
      <c r="L53" s="51"/>
      <c r="M53" s="51"/>
      <c r="N53" s="51"/>
      <c r="O53" s="51"/>
      <c r="P53" s="51"/>
      <c r="Q53" s="51"/>
      <c r="R53" s="55"/>
      <c r="S53" s="53"/>
      <c r="T53" s="54"/>
      <c r="U53" s="55"/>
      <c r="V53" s="55"/>
      <c r="W53" s="55"/>
      <c r="X53" s="55"/>
      <c r="Y53" s="55"/>
      <c r="Z53" s="56"/>
      <c r="AA53" s="55"/>
      <c r="AB53" s="55"/>
      <c r="AC53" s="55"/>
      <c r="AD53" s="55"/>
      <c r="AE53" s="55"/>
      <c r="AF53" s="55"/>
    </row>
    <row r="54" spans="1:32" s="57" customFormat="1">
      <c r="A54" s="2"/>
      <c r="B54" s="2"/>
      <c r="C54" s="51"/>
      <c r="D54" s="51"/>
      <c r="E54" s="51"/>
      <c r="F54" s="51"/>
      <c r="G54" s="51"/>
      <c r="H54" s="51"/>
      <c r="I54" s="51"/>
      <c r="J54" s="51"/>
      <c r="K54" s="51"/>
      <c r="L54" s="51"/>
      <c r="M54" s="51"/>
      <c r="N54" s="51"/>
      <c r="O54" s="51"/>
      <c r="P54" s="51"/>
      <c r="Q54" s="51"/>
      <c r="R54" s="55"/>
      <c r="S54" s="53"/>
      <c r="T54" s="54"/>
      <c r="U54" s="55"/>
      <c r="V54" s="55"/>
      <c r="W54" s="55"/>
      <c r="X54" s="55"/>
      <c r="Y54" s="55"/>
      <c r="Z54" s="56"/>
      <c r="AA54" s="55"/>
      <c r="AB54" s="55"/>
      <c r="AC54" s="55"/>
      <c r="AD54" s="55"/>
      <c r="AE54" s="55"/>
      <c r="AF54" s="55"/>
    </row>
    <row r="55" spans="1:32" s="57" customFormat="1" ht="15.75" customHeight="1">
      <c r="A55" s="2" t="s">
        <v>32</v>
      </c>
      <c r="B55" s="2" t="s">
        <v>835</v>
      </c>
      <c r="C55" s="51">
        <f t="shared" ref="C55:C56" si="1">IFERROR(F55/D55," - ")</f>
        <v>30.99</v>
      </c>
      <c r="D55" s="51">
        <v>2</v>
      </c>
      <c r="E55" s="51">
        <v>0</v>
      </c>
      <c r="F55" s="51">
        <v>61.98</v>
      </c>
      <c r="G55" s="51">
        <v>0</v>
      </c>
      <c r="H55" s="51">
        <f t="shared" ref="H55:H56" si="2">G55/F55*-1</f>
        <v>0</v>
      </c>
      <c r="I55" s="51">
        <f t="shared" ref="I55:I56" si="3">J55/F55</f>
        <v>0.16133026782833157</v>
      </c>
      <c r="J55" s="51">
        <f t="shared" ref="J55:J56" si="4">F55*0.85+G55+AD55*D55+D55*AC55+AE55+AB55</f>
        <v>9.9992499999999893</v>
      </c>
      <c r="K55" s="51">
        <f t="shared" ref="K55:K56" si="5">J55/D55</f>
        <v>4.9996249999999947</v>
      </c>
      <c r="L55" s="51">
        <v>0</v>
      </c>
      <c r="M55" s="51" t="str">
        <f t="shared" ref="M55:M56" si="6">IFERROR(D55/L55,"-")</f>
        <v>-</v>
      </c>
      <c r="N55" s="51">
        <v>167</v>
      </c>
      <c r="O55" s="51">
        <f t="shared" ref="O55:P55" si="7">D55/7</f>
        <v>0.2857142857142857</v>
      </c>
      <c r="P55" s="51">
        <f t="shared" si="7"/>
        <v>0</v>
      </c>
      <c r="Q55" s="51">
        <f t="shared" ref="Q55:Q56" si="8">ROUNDDOWN(N55/(O55+P55),0)</f>
        <v>584</v>
      </c>
      <c r="R55" s="55">
        <v>0</v>
      </c>
      <c r="S55" s="53" t="s">
        <v>34</v>
      </c>
      <c r="T55" s="54" t="s">
        <v>34</v>
      </c>
      <c r="U55" s="55">
        <v>0</v>
      </c>
      <c r="V55" s="55">
        <f t="shared" ref="V55:V56" si="9">IFERROR(U55/D55,0)</f>
        <v>0</v>
      </c>
      <c r="W55" s="55">
        <f t="shared" ref="W55:W56" si="10">IFERROR(G55/(U55+X55)*-1,0)</f>
        <v>0</v>
      </c>
      <c r="X55" s="55">
        <v>0</v>
      </c>
      <c r="Y55" s="55" t="s">
        <v>35</v>
      </c>
      <c r="Z55" s="56">
        <f t="shared" ref="Z55:Z56" si="11">IF(OR(Y55="UsLargeStandardSize",Y55="UsSmallStandardSize"),-2.4,-1.2)</f>
        <v>-2.4</v>
      </c>
      <c r="AA55" s="55">
        <v>0.64887152777777779</v>
      </c>
      <c r="AB55" s="55">
        <f t="shared" ref="AB55:AB56" si="12">IFERROR(Z55*AA55*D55*3,0)</f>
        <v>-9.34375</v>
      </c>
      <c r="AC55" s="55">
        <v>-8.4600000000000009</v>
      </c>
      <c r="AD55" s="55">
        <v>-8.2100000000000009</v>
      </c>
      <c r="AE55" s="55">
        <v>0</v>
      </c>
      <c r="AF55" s="55">
        <v>0</v>
      </c>
    </row>
    <row r="56" spans="1:32" s="57" customFormat="1" ht="15.75" customHeight="1">
      <c r="A56" s="2" t="s">
        <v>36</v>
      </c>
      <c r="B56" s="2"/>
      <c r="C56" s="51" t="str">
        <f t="shared" si="1"/>
        <v xml:space="preserve"> - </v>
      </c>
      <c r="D56" s="51">
        <v>0</v>
      </c>
      <c r="E56" s="51">
        <v>0</v>
      </c>
      <c r="F56" s="51">
        <v>0</v>
      </c>
      <c r="G56" s="51">
        <v>0</v>
      </c>
      <c r="H56" s="51" t="e">
        <f t="shared" si="2"/>
        <v>#DIV/0!</v>
      </c>
      <c r="I56" s="51" t="e">
        <f t="shared" si="3"/>
        <v>#DIV/0!</v>
      </c>
      <c r="J56" s="51">
        <f t="shared" si="4"/>
        <v>0</v>
      </c>
      <c r="K56" s="51" t="e">
        <f t="shared" si="5"/>
        <v>#DIV/0!</v>
      </c>
      <c r="L56" s="51">
        <v>0</v>
      </c>
      <c r="M56" s="51" t="str">
        <f t="shared" si="6"/>
        <v>-</v>
      </c>
      <c r="N56" s="51">
        <v>127</v>
      </c>
      <c r="O56" s="51">
        <f t="shared" ref="O56:P56" si="13">D56/7</f>
        <v>0</v>
      </c>
      <c r="P56" s="51">
        <f t="shared" si="13"/>
        <v>0</v>
      </c>
      <c r="Q56" s="51" t="e">
        <f t="shared" si="8"/>
        <v>#DIV/0!</v>
      </c>
      <c r="R56" s="55">
        <f ca="1">IFERROR(__xludf.DUMMYFUNCTION("IFERROR(VLOOKUP($B$2,IMPORTRANGE(""https://docs.google.com/spreadsheets/d/1iVgg6Mw12RULLujzHmfOFIY8Q_KaAD8anoZzgtVAQ74/edit#gid=1503384807"",""Second Star - Summary!A1:AD2000""),9,FALSE),"""")"),0)</f>
        <v>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9"/>
        <v>0</v>
      </c>
      <c r="W56" s="55">
        <f t="shared" si="10"/>
        <v>0</v>
      </c>
      <c r="X56" s="55">
        <v>0</v>
      </c>
      <c r="Y56" s="55" t="s">
        <v>35</v>
      </c>
      <c r="Z56" s="56">
        <f t="shared" si="11"/>
        <v>-2.4</v>
      </c>
      <c r="AA56" s="55">
        <v>0.64887152777777779</v>
      </c>
      <c r="AB56" s="55">
        <f t="shared" si="12"/>
        <v>0</v>
      </c>
      <c r="AC56" s="55">
        <v>-8.4600000000000009</v>
      </c>
      <c r="AD56" s="55">
        <v>-8.2063365656565601</v>
      </c>
      <c r="AE56" s="55">
        <v>0</v>
      </c>
      <c r="AF56" s="55">
        <v>4.7244094488188899E-2</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3"/>
    </row>
    <row r="222" spans="1:3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3"/>
    </row>
    <row r="223" spans="1:32"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3"/>
    </row>
    <row r="224" spans="1:32"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3"/>
    </row>
    <row r="225" spans="1:32"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3"/>
    </row>
    <row r="226" spans="1:32"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3"/>
    </row>
    <row r="227" spans="1:32"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3"/>
    </row>
    <row r="228" spans="1:32"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3"/>
    </row>
    <row r="229" spans="1:32"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3"/>
    </row>
    <row r="230" spans="1:32"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3"/>
    </row>
    <row r="231" spans="1:32"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3"/>
    </row>
    <row r="232" spans="1: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3"/>
    </row>
    <row r="233" spans="1:32"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3"/>
    </row>
    <row r="234" spans="1:32"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3"/>
    </row>
    <row r="235" spans="1:32"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3"/>
    </row>
    <row r="236" spans="1:32"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3"/>
    </row>
    <row r="237" spans="1:32"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3"/>
    </row>
    <row r="238" spans="1:32"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3"/>
    </row>
    <row r="239" spans="1:32"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366" priority="1" operator="lessThan">
      <formula>100</formula>
    </cfRule>
  </conditionalFormatting>
  <conditionalFormatting sqref="Q1:Q3 Q57:Q1000">
    <cfRule type="cellIs" dxfId="365" priority="2" operator="lessThan">
      <formula>100</formula>
    </cfRule>
  </conditionalFormatting>
  <conditionalFormatting sqref="I1:I3 I57:I1000">
    <cfRule type="cellIs" dxfId="364" priority="3" operator="lessThan">
      <formula>0.05</formula>
    </cfRule>
  </conditionalFormatting>
  <conditionalFormatting sqref="I4:I17">
    <cfRule type="cellIs" dxfId="363" priority="4" operator="lessThan">
      <formula>0.05</formula>
    </cfRule>
  </conditionalFormatting>
  <conditionalFormatting sqref="I18:I56">
    <cfRule type="cellIs" dxfId="362" priority="5" operator="lessThan">
      <formula>0.05</formula>
    </cfRule>
  </conditionalFormatting>
  <conditionalFormatting sqref="Q4:Q56">
    <cfRule type="cellIs" dxfId="361" priority="6" operator="lessThan">
      <formula>100</formula>
    </cfRule>
  </conditionalFormatting>
  <conditionalFormatting sqref="Q4:Q56">
    <cfRule type="cellIs" dxfId="360" priority="7" operator="lessThan">
      <formula>100</formula>
    </cfRule>
  </conditionalFormatting>
  <pageMargins left="0.7" right="0.7" top="0.75" bottom="0.75" header="0" footer="0"/>
  <pageSetup orientation="portrait"/>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4.6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Info!B1:BJ5000""),4,FALSE),"""")"),"Heavy Duty Vinyl Zippered Mattress Protector - 12-Inch Depth - Full")</f>
        <v>Heavy Duty Vinyl Zippered Mattress Protector - 12-Inch Depth - Full</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Info!B1:BJ5000""),3,FALSE),"""")"),"B00IOVIJZ0")</f>
        <v>B00IOVIJZ0</v>
      </c>
      <c r="B2" s="4" t="s">
        <v>836</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17.82866809269153</v>
      </c>
      <c r="D3" s="8">
        <f>SUM(D4:D99819)</f>
        <v>8</v>
      </c>
      <c r="E3" s="8"/>
      <c r="F3" s="9">
        <f t="shared" ref="F3:G3" si="0">SUM(F4:F99819)</f>
        <v>203.59999999999997</v>
      </c>
      <c r="G3" s="9">
        <f t="shared" si="0"/>
        <v>-5.7600000000000007</v>
      </c>
      <c r="H3" s="10">
        <f>G3/F3*-1</f>
        <v>2.829076620825148E-2</v>
      </c>
      <c r="I3" s="11">
        <f>J3/F3</f>
        <v>0.17213224534143118</v>
      </c>
      <c r="J3" s="9">
        <f>SUM(J4:J99819)</f>
        <v>35.046125151515383</v>
      </c>
      <c r="K3" s="9">
        <f>J3/D3</f>
        <v>4.3807656439394229</v>
      </c>
      <c r="L3" s="8"/>
      <c r="M3" s="12"/>
      <c r="N3" s="13"/>
      <c r="O3" s="8" t="str">
        <f ca="1">IFERROR(__xludf.DUMMYFUNCTION("IFERROR(VLOOKUP(B2,IMPORTRANGE(""https://docs.google.com/spreadsheets/d/1owCo6kL_VFQ5nPTdNogErmCBLjNiktT1m3SzTrxu3R0/edit#gid=2146806407"",""Second Star - Compiled!b1:g5000""),2,FALSE),"""")"),"0 - March
0 - April
0 - May
0 - Jun
0 - Jul
0 - Aug
0 - Sept
0 - Oct
0 - Nov
0 - Dec
0 - Jan
0 - Feb")</f>
        <v>0 - March
0 - April
0 - May
0 - Jun
0 - Jul
0 - Aug
0 - Sept
0 - Oct
0 - Nov
0 - Dec
0 - Jan
0 - Feb</v>
      </c>
      <c r="P3" s="8"/>
      <c r="Q3" s="14"/>
      <c r="R3" s="13"/>
      <c r="S3" s="13"/>
      <c r="T3" s="13"/>
      <c r="U3" s="8">
        <f>SUM(U4:U99819)</f>
        <v>1</v>
      </c>
      <c r="V3" s="10">
        <f>AVERAGE(V4:V99819)</f>
        <v>0.125</v>
      </c>
      <c r="W3" s="9">
        <f>ROUND(AVERAGE(W4:W99819),2)</f>
        <v>0.13</v>
      </c>
      <c r="X3" s="8"/>
      <c r="Y3" s="8"/>
      <c r="Z3" s="8"/>
      <c r="AA3" s="8"/>
      <c r="AB3" s="8"/>
      <c r="AC3" s="15"/>
      <c r="AD3" s="9"/>
      <c r="AE3" s="9">
        <f>SUM(AE4:AE99819)</f>
        <v>0</v>
      </c>
      <c r="AF3" s="16"/>
    </row>
    <row r="4" spans="1:32" s="57" customFormat="1" hidden="1">
      <c r="A4" s="17" t="s">
        <v>48</v>
      </c>
      <c r="B4" s="17"/>
      <c r="C4" s="50"/>
      <c r="D4" s="51"/>
      <c r="E4" s="51"/>
      <c r="F4" s="51"/>
      <c r="G4" s="51"/>
      <c r="H4" s="51"/>
      <c r="I4" s="51"/>
      <c r="J4" s="51"/>
      <c r="K4" s="51"/>
      <c r="L4" s="51"/>
      <c r="M4" s="51"/>
      <c r="N4" s="51"/>
      <c r="O4" s="51"/>
      <c r="P4" s="51"/>
      <c r="Q4" s="51"/>
      <c r="R4" s="52"/>
      <c r="S4" s="53"/>
      <c r="T4" s="54"/>
      <c r="U4" s="52"/>
      <c r="V4" s="55"/>
      <c r="W4" s="55"/>
      <c r="X4" s="52"/>
      <c r="Y4" s="56"/>
      <c r="Z4" s="56"/>
      <c r="AA4" s="55"/>
      <c r="AB4" s="55"/>
      <c r="AC4" s="55"/>
      <c r="AD4" s="55"/>
      <c r="AE4" s="55"/>
      <c r="AF4" s="55"/>
    </row>
    <row r="5" spans="1:32" s="57" customFormat="1" ht="15.75" hidden="1" customHeight="1">
      <c r="A5" s="17" t="s">
        <v>49</v>
      </c>
      <c r="B5" s="2"/>
      <c r="C5" s="51"/>
      <c r="D5" s="51"/>
      <c r="E5" s="51"/>
      <c r="F5" s="51"/>
      <c r="G5" s="51"/>
      <c r="H5" s="51"/>
      <c r="I5" s="51"/>
      <c r="J5" s="51"/>
      <c r="K5" s="51"/>
      <c r="L5" s="51"/>
      <c r="M5" s="51"/>
      <c r="N5" s="51"/>
      <c r="O5" s="51"/>
      <c r="P5" s="51"/>
      <c r="Q5" s="51"/>
      <c r="R5" s="52"/>
      <c r="S5" s="53"/>
      <c r="T5" s="54"/>
      <c r="U5" s="52"/>
      <c r="V5" s="55"/>
      <c r="W5" s="55"/>
      <c r="X5" s="52"/>
      <c r="Y5" s="52"/>
      <c r="Z5" s="56"/>
      <c r="AA5" s="55"/>
      <c r="AB5" s="55"/>
      <c r="AC5" s="55"/>
      <c r="AD5" s="55"/>
      <c r="AE5" s="55"/>
      <c r="AF5" s="55"/>
    </row>
    <row r="6" spans="1:32" s="57" customFormat="1" ht="15.75" hidden="1" customHeight="1">
      <c r="A6" s="17" t="s">
        <v>51</v>
      </c>
      <c r="B6" s="2"/>
      <c r="C6" s="51"/>
      <c r="D6" s="51"/>
      <c r="E6" s="51"/>
      <c r="F6" s="51"/>
      <c r="G6" s="51"/>
      <c r="H6" s="51"/>
      <c r="I6" s="51"/>
      <c r="J6" s="51"/>
      <c r="K6" s="51"/>
      <c r="L6" s="51"/>
      <c r="M6" s="51"/>
      <c r="N6" s="51"/>
      <c r="O6" s="51"/>
      <c r="P6" s="51"/>
      <c r="Q6" s="51"/>
      <c r="R6" s="52"/>
      <c r="S6" s="53"/>
      <c r="T6" s="54"/>
      <c r="U6" s="52"/>
      <c r="V6" s="55"/>
      <c r="W6" s="55"/>
      <c r="X6" s="52"/>
      <c r="Y6" s="52"/>
      <c r="Z6" s="56"/>
      <c r="AA6" s="55"/>
      <c r="AB6" s="55"/>
      <c r="AC6" s="55"/>
      <c r="AD6" s="55"/>
      <c r="AE6" s="55"/>
      <c r="AF6" s="55"/>
    </row>
    <row r="7" spans="1:32" s="57" customFormat="1" ht="15.75" hidden="1" customHeight="1">
      <c r="A7" s="17" t="s">
        <v>53</v>
      </c>
      <c r="B7" s="2"/>
      <c r="C7" s="51"/>
      <c r="D7" s="51"/>
      <c r="E7" s="51"/>
      <c r="F7" s="51"/>
      <c r="G7" s="51"/>
      <c r="H7" s="51"/>
      <c r="I7" s="51"/>
      <c r="J7" s="51"/>
      <c r="K7" s="51"/>
      <c r="L7" s="51"/>
      <c r="M7" s="51"/>
      <c r="N7" s="51"/>
      <c r="O7" s="51"/>
      <c r="P7" s="51"/>
      <c r="Q7" s="51"/>
      <c r="R7" s="52"/>
      <c r="S7" s="53"/>
      <c r="T7" s="54"/>
      <c r="U7" s="52"/>
      <c r="V7" s="55"/>
      <c r="W7" s="55"/>
      <c r="X7" s="52"/>
      <c r="Y7" s="52"/>
      <c r="Z7" s="56"/>
      <c r="AA7" s="55"/>
      <c r="AB7" s="55"/>
      <c r="AC7" s="55"/>
      <c r="AD7" s="55"/>
      <c r="AE7" s="55"/>
      <c r="AF7" s="55"/>
    </row>
    <row r="8" spans="1:32" s="57" customFormat="1" ht="15.75" hidden="1" customHeight="1">
      <c r="A8" s="17" t="s">
        <v>54</v>
      </c>
      <c r="B8" s="2"/>
      <c r="C8" s="51"/>
      <c r="D8" s="51"/>
      <c r="E8" s="51"/>
      <c r="F8" s="51"/>
      <c r="G8" s="51"/>
      <c r="H8" s="51"/>
      <c r="I8" s="51"/>
      <c r="J8" s="51"/>
      <c r="K8" s="51"/>
      <c r="L8" s="51"/>
      <c r="M8" s="51"/>
      <c r="N8" s="51"/>
      <c r="O8" s="51"/>
      <c r="P8" s="51"/>
      <c r="Q8" s="51"/>
      <c r="R8" s="52"/>
      <c r="S8" s="53"/>
      <c r="T8" s="54"/>
      <c r="U8" s="52"/>
      <c r="V8" s="55"/>
      <c r="W8" s="55"/>
      <c r="X8" s="52"/>
      <c r="Y8" s="52"/>
      <c r="Z8" s="56"/>
      <c r="AA8" s="55"/>
      <c r="AB8" s="55"/>
      <c r="AC8" s="55"/>
      <c r="AD8" s="55"/>
      <c r="AE8" s="55"/>
      <c r="AF8" s="55"/>
    </row>
    <row r="9" spans="1:32" s="57" customFormat="1" ht="15.75" hidden="1" customHeight="1">
      <c r="A9" s="17" t="s">
        <v>56</v>
      </c>
      <c r="B9" s="2"/>
      <c r="C9" s="51"/>
      <c r="D9" s="51"/>
      <c r="E9" s="51"/>
      <c r="F9" s="51"/>
      <c r="G9" s="51"/>
      <c r="H9" s="51"/>
      <c r="I9" s="51"/>
      <c r="J9" s="51"/>
      <c r="K9" s="51"/>
      <c r="L9" s="51"/>
      <c r="M9" s="51"/>
      <c r="N9" s="51"/>
      <c r="O9" s="51"/>
      <c r="P9" s="51"/>
      <c r="Q9" s="51"/>
      <c r="R9" s="52"/>
      <c r="S9" s="53"/>
      <c r="T9" s="54"/>
      <c r="U9" s="52"/>
      <c r="V9" s="55"/>
      <c r="W9" s="55"/>
      <c r="X9" s="52"/>
      <c r="Y9" s="52"/>
      <c r="Z9" s="56"/>
      <c r="AA9" s="55"/>
      <c r="AB9" s="55"/>
      <c r="AC9" s="55"/>
      <c r="AD9" s="55"/>
      <c r="AE9" s="55"/>
      <c r="AF9" s="55"/>
    </row>
    <row r="10" spans="1:32" s="57" customFormat="1" ht="15.75" hidden="1" customHeight="1">
      <c r="A10" s="17" t="s">
        <v>58</v>
      </c>
      <c r="B10" s="2"/>
      <c r="C10" s="51"/>
      <c r="D10" s="51"/>
      <c r="E10" s="51"/>
      <c r="F10" s="51"/>
      <c r="G10" s="51"/>
      <c r="H10" s="51"/>
      <c r="I10" s="51"/>
      <c r="J10" s="51"/>
      <c r="K10" s="51"/>
      <c r="L10" s="51"/>
      <c r="M10" s="51"/>
      <c r="N10" s="51"/>
      <c r="O10" s="51"/>
      <c r="P10" s="51"/>
      <c r="Q10" s="51"/>
      <c r="R10" s="52"/>
      <c r="S10" s="53"/>
      <c r="T10" s="54"/>
      <c r="U10" s="52"/>
      <c r="V10" s="55"/>
      <c r="W10" s="55"/>
      <c r="X10" s="52"/>
      <c r="Y10" s="52"/>
      <c r="Z10" s="56"/>
      <c r="AA10" s="55"/>
      <c r="AB10" s="55"/>
      <c r="AC10" s="55"/>
      <c r="AD10" s="55"/>
      <c r="AE10" s="55"/>
      <c r="AF10" s="55"/>
    </row>
    <row r="11" spans="1:32" s="57" customFormat="1" ht="15.75" hidden="1" customHeight="1">
      <c r="A11" s="17" t="s">
        <v>60</v>
      </c>
      <c r="B11" s="17" t="s">
        <v>45</v>
      </c>
      <c r="C11" s="51"/>
      <c r="D11" s="51"/>
      <c r="E11" s="51"/>
      <c r="F11" s="51"/>
      <c r="G11" s="51"/>
      <c r="H11" s="51"/>
      <c r="I11" s="51"/>
      <c r="J11" s="51"/>
      <c r="K11" s="51"/>
      <c r="L11" s="51"/>
      <c r="M11" s="51"/>
      <c r="N11" s="51"/>
      <c r="O11" s="51"/>
      <c r="P11" s="51"/>
      <c r="Q11" s="51"/>
      <c r="R11" s="52"/>
      <c r="S11" s="53"/>
      <c r="T11" s="54"/>
      <c r="U11" s="52"/>
      <c r="V11" s="55"/>
      <c r="W11" s="55"/>
      <c r="X11" s="52"/>
      <c r="Y11" s="52"/>
      <c r="Z11" s="56"/>
      <c r="AA11" s="55"/>
      <c r="AB11" s="55"/>
      <c r="AC11" s="55"/>
      <c r="AD11" s="55"/>
      <c r="AE11" s="55"/>
      <c r="AF11" s="55"/>
    </row>
    <row r="12" spans="1:32" s="57" customFormat="1" ht="15.75" hidden="1" customHeight="1">
      <c r="A12" s="17" t="s">
        <v>62</v>
      </c>
      <c r="B12" s="2"/>
      <c r="C12" s="51"/>
      <c r="D12" s="51"/>
      <c r="E12" s="51"/>
      <c r="F12" s="51"/>
      <c r="G12" s="51"/>
      <c r="H12" s="51"/>
      <c r="I12" s="51"/>
      <c r="J12" s="51"/>
      <c r="K12" s="51"/>
      <c r="L12" s="51"/>
      <c r="M12" s="51"/>
      <c r="N12" s="51"/>
      <c r="O12" s="51"/>
      <c r="P12" s="51"/>
      <c r="Q12" s="51"/>
      <c r="R12" s="52"/>
      <c r="S12" s="53"/>
      <c r="T12" s="54"/>
      <c r="U12" s="52"/>
      <c r="V12" s="55"/>
      <c r="W12" s="55"/>
      <c r="X12" s="52"/>
      <c r="Y12" s="52"/>
      <c r="Z12" s="56"/>
      <c r="AA12" s="55"/>
      <c r="AB12" s="55"/>
      <c r="AC12" s="55"/>
      <c r="AD12" s="55"/>
      <c r="AE12" s="55"/>
      <c r="AF12" s="55"/>
    </row>
    <row r="13" spans="1:32" s="57" customFormat="1" ht="15.75" hidden="1" customHeight="1">
      <c r="A13" s="17" t="s">
        <v>63</v>
      </c>
      <c r="B13" s="2"/>
      <c r="C13" s="51"/>
      <c r="D13" s="51"/>
      <c r="E13" s="51"/>
      <c r="F13" s="51"/>
      <c r="G13" s="51"/>
      <c r="H13" s="51"/>
      <c r="I13" s="51"/>
      <c r="J13" s="51"/>
      <c r="K13" s="51"/>
      <c r="L13" s="51"/>
      <c r="M13" s="51"/>
      <c r="N13" s="51"/>
      <c r="O13" s="51"/>
      <c r="P13" s="51"/>
      <c r="Q13" s="51"/>
      <c r="R13" s="52"/>
      <c r="S13" s="53"/>
      <c r="T13" s="54"/>
      <c r="U13" s="52"/>
      <c r="V13" s="55"/>
      <c r="W13" s="55"/>
      <c r="X13" s="52"/>
      <c r="Y13" s="52"/>
      <c r="Z13" s="56"/>
      <c r="AA13" s="55"/>
      <c r="AB13" s="55"/>
      <c r="AC13" s="55"/>
      <c r="AD13" s="55"/>
      <c r="AE13" s="55"/>
      <c r="AF13" s="55"/>
    </row>
    <row r="14" spans="1:32" s="57" customFormat="1" ht="15.75" hidden="1" customHeight="1">
      <c r="A14" s="17" t="s">
        <v>64</v>
      </c>
      <c r="B14" s="2"/>
      <c r="C14" s="51"/>
      <c r="D14" s="51"/>
      <c r="E14" s="51"/>
      <c r="F14" s="51"/>
      <c r="G14" s="51"/>
      <c r="H14" s="51"/>
      <c r="I14" s="51"/>
      <c r="J14" s="51"/>
      <c r="K14" s="51"/>
      <c r="L14" s="51"/>
      <c r="M14" s="51"/>
      <c r="N14" s="51"/>
      <c r="O14" s="51"/>
      <c r="P14" s="51"/>
      <c r="Q14" s="51"/>
      <c r="R14" s="52"/>
      <c r="S14" s="53"/>
      <c r="T14" s="54"/>
      <c r="U14" s="52"/>
      <c r="V14" s="55"/>
      <c r="W14" s="55"/>
      <c r="X14" s="52"/>
      <c r="Y14" s="52"/>
      <c r="Z14" s="56"/>
      <c r="AA14" s="55"/>
      <c r="AB14" s="55"/>
      <c r="AC14" s="55"/>
      <c r="AD14" s="55"/>
      <c r="AE14" s="55"/>
      <c r="AF14" s="55"/>
    </row>
    <row r="15" spans="1:32" s="57" customFormat="1" ht="15.75" hidden="1" customHeight="1">
      <c r="A15" s="17" t="s">
        <v>65</v>
      </c>
      <c r="B15" s="2"/>
      <c r="C15" s="51"/>
      <c r="D15" s="51"/>
      <c r="E15" s="51"/>
      <c r="F15" s="51"/>
      <c r="G15" s="51"/>
      <c r="H15" s="51"/>
      <c r="I15" s="51"/>
      <c r="J15" s="51"/>
      <c r="K15" s="51"/>
      <c r="L15" s="51"/>
      <c r="M15" s="51"/>
      <c r="N15" s="51"/>
      <c r="O15" s="51"/>
      <c r="P15" s="51"/>
      <c r="Q15" s="51"/>
      <c r="R15" s="52"/>
      <c r="S15" s="53"/>
      <c r="T15" s="54"/>
      <c r="U15" s="52"/>
      <c r="V15" s="55"/>
      <c r="W15" s="55"/>
      <c r="X15" s="52"/>
      <c r="Y15" s="52"/>
      <c r="Z15" s="56"/>
      <c r="AA15" s="55"/>
      <c r="AB15" s="55"/>
      <c r="AC15" s="55"/>
      <c r="AD15" s="55"/>
      <c r="AE15" s="55"/>
      <c r="AF15" s="55"/>
    </row>
    <row r="16" spans="1:32" s="57" customFormat="1" ht="15.75" hidden="1" customHeight="1">
      <c r="A16" s="17" t="s">
        <v>66</v>
      </c>
      <c r="B16" s="2"/>
      <c r="C16" s="51"/>
      <c r="D16" s="51"/>
      <c r="E16" s="51"/>
      <c r="F16" s="51"/>
      <c r="G16" s="51"/>
      <c r="H16" s="51"/>
      <c r="I16" s="51"/>
      <c r="J16" s="51"/>
      <c r="K16" s="51"/>
      <c r="L16" s="51"/>
      <c r="M16" s="51"/>
      <c r="N16" s="51"/>
      <c r="O16" s="51"/>
      <c r="P16" s="51"/>
      <c r="Q16" s="51"/>
      <c r="R16" s="52"/>
      <c r="S16" s="53"/>
      <c r="T16" s="54"/>
      <c r="U16" s="52"/>
      <c r="V16" s="55"/>
      <c r="W16" s="55"/>
      <c r="X16" s="52"/>
      <c r="Y16" s="52"/>
      <c r="Z16" s="56"/>
      <c r="AA16" s="55"/>
      <c r="AB16" s="55"/>
      <c r="AC16" s="55"/>
      <c r="AD16" s="55"/>
      <c r="AE16" s="55"/>
      <c r="AF16" s="55"/>
    </row>
    <row r="17" spans="1:32" s="57" customFormat="1" ht="15.75" hidden="1" customHeight="1">
      <c r="A17" s="17" t="s">
        <v>67</v>
      </c>
      <c r="B17" s="2"/>
      <c r="C17" s="51"/>
      <c r="D17" s="51"/>
      <c r="E17" s="51"/>
      <c r="F17" s="51"/>
      <c r="G17" s="51"/>
      <c r="H17" s="51"/>
      <c r="I17" s="51"/>
      <c r="J17" s="51"/>
      <c r="K17" s="51"/>
      <c r="L17" s="51"/>
      <c r="M17" s="51"/>
      <c r="N17" s="51"/>
      <c r="O17" s="51"/>
      <c r="P17" s="51"/>
      <c r="Q17" s="51"/>
      <c r="R17" s="52"/>
      <c r="S17" s="53"/>
      <c r="T17" s="54"/>
      <c r="U17" s="52"/>
      <c r="V17" s="55"/>
      <c r="W17" s="55"/>
      <c r="X17" s="52"/>
      <c r="Y17" s="52"/>
      <c r="Z17" s="56"/>
      <c r="AA17" s="55"/>
      <c r="AB17" s="55"/>
      <c r="AC17" s="55"/>
      <c r="AD17" s="55"/>
      <c r="AE17" s="55"/>
      <c r="AF17" s="55"/>
    </row>
    <row r="18" spans="1:32" s="57" customFormat="1" ht="15.75" hidden="1" customHeight="1">
      <c r="A18" s="2" t="s">
        <v>69</v>
      </c>
      <c r="B18" s="2"/>
      <c r="C18" s="51"/>
      <c r="D18" s="51"/>
      <c r="E18" s="51"/>
      <c r="F18" s="51"/>
      <c r="G18" s="51"/>
      <c r="H18" s="51"/>
      <c r="I18" s="51"/>
      <c r="J18" s="51"/>
      <c r="K18" s="51"/>
      <c r="L18" s="51"/>
      <c r="M18" s="51"/>
      <c r="N18" s="51"/>
      <c r="O18" s="51"/>
      <c r="P18" s="51"/>
      <c r="Q18" s="51"/>
      <c r="R18" s="55"/>
      <c r="S18" s="53"/>
      <c r="T18" s="54"/>
      <c r="U18" s="55"/>
      <c r="V18" s="55"/>
      <c r="W18" s="55"/>
      <c r="X18" s="55"/>
      <c r="Y18" s="55"/>
      <c r="Z18" s="56"/>
      <c r="AA18" s="55"/>
      <c r="AB18" s="58"/>
      <c r="AC18" s="55"/>
      <c r="AD18" s="55"/>
      <c r="AE18" s="55"/>
      <c r="AF18" s="55"/>
    </row>
    <row r="19" spans="1:32" s="57" customFormat="1" ht="15.75" hidden="1" customHeight="1">
      <c r="A19" s="17" t="s">
        <v>71</v>
      </c>
      <c r="B19" s="2"/>
      <c r="C19" s="51"/>
      <c r="D19" s="51"/>
      <c r="E19" s="51"/>
      <c r="F19" s="51"/>
      <c r="G19" s="51"/>
      <c r="H19" s="51"/>
      <c r="I19" s="51"/>
      <c r="J19" s="51"/>
      <c r="K19" s="51"/>
      <c r="L19" s="51"/>
      <c r="M19" s="51"/>
      <c r="N19" s="51"/>
      <c r="O19" s="51"/>
      <c r="P19" s="51"/>
      <c r="Q19" s="51"/>
      <c r="R19" s="52"/>
      <c r="S19" s="53"/>
      <c r="T19" s="54"/>
      <c r="U19" s="55"/>
      <c r="V19" s="55"/>
      <c r="W19" s="55"/>
      <c r="X19" s="52"/>
      <c r="Y19" s="52"/>
      <c r="Z19" s="56"/>
      <c r="AA19" s="55"/>
      <c r="AB19" s="55"/>
      <c r="AC19" s="55"/>
      <c r="AD19" s="55"/>
      <c r="AE19" s="55"/>
      <c r="AF19" s="55"/>
    </row>
    <row r="20" spans="1:32" s="57" customFormat="1" ht="15.75" hidden="1" customHeight="1">
      <c r="A20" s="17" t="s">
        <v>73</v>
      </c>
      <c r="B20" s="2"/>
      <c r="C20" s="51"/>
      <c r="D20" s="51"/>
      <c r="E20" s="51"/>
      <c r="F20" s="51"/>
      <c r="G20" s="51"/>
      <c r="H20" s="51"/>
      <c r="I20" s="51"/>
      <c r="J20" s="51"/>
      <c r="K20" s="51"/>
      <c r="L20" s="51"/>
      <c r="M20" s="51"/>
      <c r="N20" s="51"/>
      <c r="O20" s="51"/>
      <c r="P20" s="51"/>
      <c r="Q20" s="51"/>
      <c r="R20" s="52"/>
      <c r="S20" s="53"/>
      <c r="T20" s="54"/>
      <c r="U20" s="52"/>
      <c r="V20" s="55"/>
      <c r="W20" s="55"/>
      <c r="X20" s="52"/>
      <c r="Y20" s="52"/>
      <c r="Z20" s="56"/>
      <c r="AA20" s="55"/>
      <c r="AB20" s="55"/>
      <c r="AC20" s="55"/>
      <c r="AD20" s="55"/>
      <c r="AE20" s="55"/>
      <c r="AF20" s="55"/>
    </row>
    <row r="21" spans="1:32" s="57" customFormat="1" ht="15.75" hidden="1" customHeight="1">
      <c r="A21" s="17" t="s">
        <v>75</v>
      </c>
      <c r="B21" s="2"/>
      <c r="C21" s="51"/>
      <c r="D21" s="51"/>
      <c r="E21" s="51"/>
      <c r="F21" s="51"/>
      <c r="G21" s="51"/>
      <c r="H21" s="51"/>
      <c r="I21" s="51"/>
      <c r="J21" s="51"/>
      <c r="K21" s="51"/>
      <c r="L21" s="51"/>
      <c r="M21" s="51"/>
      <c r="N21" s="51"/>
      <c r="O21" s="51"/>
      <c r="P21" s="51"/>
      <c r="Q21" s="51"/>
      <c r="R21" s="52"/>
      <c r="S21" s="53"/>
      <c r="T21" s="54"/>
      <c r="U21" s="52"/>
      <c r="V21" s="55"/>
      <c r="W21" s="55"/>
      <c r="X21" s="52"/>
      <c r="Y21" s="52"/>
      <c r="Z21" s="56"/>
      <c r="AA21" s="55"/>
      <c r="AB21" s="55"/>
      <c r="AC21" s="55"/>
      <c r="AD21" s="55"/>
      <c r="AE21" s="55"/>
      <c r="AF21" s="55"/>
    </row>
    <row r="22" spans="1:32" s="57" customFormat="1" ht="15.75" hidden="1" customHeight="1">
      <c r="A22" s="17" t="s">
        <v>77</v>
      </c>
      <c r="B22" s="2"/>
      <c r="C22" s="51"/>
      <c r="D22" s="51"/>
      <c r="E22" s="51"/>
      <c r="F22" s="51"/>
      <c r="G22" s="51"/>
      <c r="H22" s="51"/>
      <c r="I22" s="51"/>
      <c r="J22" s="51"/>
      <c r="K22" s="51"/>
      <c r="L22" s="51"/>
      <c r="M22" s="51"/>
      <c r="N22" s="51"/>
      <c r="O22" s="51"/>
      <c r="P22" s="51"/>
      <c r="Q22" s="51"/>
      <c r="R22" s="52"/>
      <c r="S22" s="53"/>
      <c r="T22" s="54"/>
      <c r="U22" s="52"/>
      <c r="V22" s="55"/>
      <c r="W22" s="55"/>
      <c r="X22" s="52"/>
      <c r="Y22" s="52"/>
      <c r="Z22" s="56"/>
      <c r="AA22" s="55"/>
      <c r="AB22" s="55"/>
      <c r="AC22" s="55"/>
      <c r="AD22" s="55"/>
      <c r="AE22" s="55"/>
      <c r="AF22" s="55"/>
    </row>
    <row r="23" spans="1:32" s="57" customFormat="1" ht="15.75" hidden="1" customHeight="1">
      <c r="A23" s="17" t="s">
        <v>79</v>
      </c>
      <c r="B23" s="2"/>
      <c r="C23" s="51"/>
      <c r="D23" s="51"/>
      <c r="E23" s="51"/>
      <c r="F23" s="51"/>
      <c r="G23" s="51"/>
      <c r="H23" s="51"/>
      <c r="I23" s="51"/>
      <c r="J23" s="51"/>
      <c r="K23" s="51"/>
      <c r="L23" s="51"/>
      <c r="M23" s="51"/>
      <c r="N23" s="51"/>
      <c r="O23" s="51"/>
      <c r="P23" s="51"/>
      <c r="Q23" s="51"/>
      <c r="R23" s="52"/>
      <c r="S23" s="53"/>
      <c r="T23" s="54"/>
      <c r="U23" s="52"/>
      <c r="V23" s="55"/>
      <c r="W23" s="55"/>
      <c r="X23" s="52"/>
      <c r="Y23" s="52"/>
      <c r="Z23" s="56"/>
      <c r="AA23" s="55"/>
      <c r="AB23" s="55"/>
      <c r="AC23" s="55"/>
      <c r="AD23" s="55"/>
      <c r="AE23" s="55"/>
      <c r="AF23" s="55"/>
    </row>
    <row r="24" spans="1:32" s="57" customFormat="1" ht="15.75" hidden="1" customHeight="1">
      <c r="A24" s="17" t="s">
        <v>80</v>
      </c>
      <c r="B24" s="2"/>
      <c r="C24" s="51"/>
      <c r="D24" s="51"/>
      <c r="E24" s="51"/>
      <c r="F24" s="51"/>
      <c r="G24" s="51"/>
      <c r="H24" s="51"/>
      <c r="I24" s="51"/>
      <c r="J24" s="51"/>
      <c r="K24" s="51"/>
      <c r="L24" s="51"/>
      <c r="M24" s="51"/>
      <c r="N24" s="51"/>
      <c r="O24" s="51"/>
      <c r="P24" s="51"/>
      <c r="Q24" s="51"/>
      <c r="R24" s="52"/>
      <c r="S24" s="53"/>
      <c r="T24" s="54"/>
      <c r="U24" s="52"/>
      <c r="V24" s="55"/>
      <c r="W24" s="55"/>
      <c r="X24" s="52"/>
      <c r="Y24" s="52"/>
      <c r="Z24" s="56"/>
      <c r="AA24" s="55"/>
      <c r="AB24" s="55"/>
      <c r="AC24" s="55"/>
      <c r="AD24" s="55"/>
      <c r="AE24" s="55"/>
      <c r="AF24" s="55"/>
    </row>
    <row r="25" spans="1:32" s="57" customFormat="1" ht="15.75" hidden="1" customHeight="1">
      <c r="A25" s="17" t="s">
        <v>81</v>
      </c>
      <c r="B25" s="2"/>
      <c r="C25" s="51"/>
      <c r="D25" s="51"/>
      <c r="E25" s="51"/>
      <c r="F25" s="51"/>
      <c r="G25" s="51"/>
      <c r="H25" s="51"/>
      <c r="I25" s="51"/>
      <c r="J25" s="51"/>
      <c r="K25" s="51"/>
      <c r="L25" s="51"/>
      <c r="M25" s="51"/>
      <c r="N25" s="51"/>
      <c r="O25" s="51"/>
      <c r="P25" s="51"/>
      <c r="Q25" s="51"/>
      <c r="R25" s="52"/>
      <c r="S25" s="53"/>
      <c r="T25" s="54"/>
      <c r="U25" s="52"/>
      <c r="V25" s="55"/>
      <c r="W25" s="55"/>
      <c r="X25" s="52"/>
      <c r="Y25" s="52"/>
      <c r="Z25" s="56"/>
      <c r="AA25" s="55"/>
      <c r="AB25" s="55"/>
      <c r="AC25" s="55"/>
      <c r="AD25" s="55"/>
      <c r="AE25" s="55"/>
      <c r="AF25" s="55"/>
    </row>
    <row r="26" spans="1:32" s="57" customFormat="1" ht="15.75" hidden="1" customHeight="1">
      <c r="A26" s="17" t="s">
        <v>83</v>
      </c>
      <c r="B26" s="2"/>
      <c r="C26" s="51"/>
      <c r="D26" s="51"/>
      <c r="E26" s="51"/>
      <c r="F26" s="51"/>
      <c r="G26" s="51"/>
      <c r="H26" s="51"/>
      <c r="I26" s="51"/>
      <c r="J26" s="51"/>
      <c r="K26" s="51"/>
      <c r="L26" s="51"/>
      <c r="M26" s="51"/>
      <c r="N26" s="51"/>
      <c r="O26" s="51"/>
      <c r="P26" s="51"/>
      <c r="Q26" s="51"/>
      <c r="R26" s="52"/>
      <c r="S26" s="53"/>
      <c r="T26" s="54"/>
      <c r="U26" s="52"/>
      <c r="V26" s="55"/>
      <c r="W26" s="55"/>
      <c r="X26" s="52"/>
      <c r="Y26" s="52"/>
      <c r="Z26" s="56"/>
      <c r="AA26" s="55"/>
      <c r="AB26" s="55"/>
      <c r="AC26" s="55"/>
      <c r="AD26" s="55"/>
      <c r="AE26" s="55"/>
      <c r="AF26" s="55"/>
    </row>
    <row r="27" spans="1:32" s="57" customFormat="1" ht="15.75" hidden="1" customHeight="1">
      <c r="A27" s="17" t="s">
        <v>84</v>
      </c>
      <c r="B27" s="2"/>
      <c r="C27" s="51"/>
      <c r="D27" s="51"/>
      <c r="E27" s="51"/>
      <c r="F27" s="51"/>
      <c r="G27" s="51"/>
      <c r="H27" s="51"/>
      <c r="I27" s="51"/>
      <c r="J27" s="51"/>
      <c r="K27" s="51"/>
      <c r="L27" s="51"/>
      <c r="M27" s="51"/>
      <c r="N27" s="51"/>
      <c r="O27" s="51"/>
      <c r="P27" s="51"/>
      <c r="Q27" s="51"/>
      <c r="R27" s="52"/>
      <c r="S27" s="53"/>
      <c r="T27" s="54"/>
      <c r="U27" s="52"/>
      <c r="V27" s="55"/>
      <c r="W27" s="55"/>
      <c r="X27" s="52"/>
      <c r="Y27" s="52"/>
      <c r="Z27" s="56"/>
      <c r="AA27" s="55"/>
      <c r="AB27" s="55"/>
      <c r="AC27" s="55"/>
      <c r="AD27" s="55"/>
      <c r="AE27" s="55"/>
      <c r="AF27" s="55"/>
    </row>
    <row r="28" spans="1:32" s="57" customFormat="1" ht="15.75" hidden="1" customHeight="1">
      <c r="A28" s="17" t="s">
        <v>86</v>
      </c>
      <c r="B28" s="2"/>
      <c r="C28" s="51"/>
      <c r="D28" s="51"/>
      <c r="E28" s="51"/>
      <c r="F28" s="51"/>
      <c r="G28" s="51"/>
      <c r="H28" s="51"/>
      <c r="I28" s="51"/>
      <c r="J28" s="51"/>
      <c r="K28" s="51"/>
      <c r="L28" s="51"/>
      <c r="M28" s="51"/>
      <c r="N28" s="51"/>
      <c r="O28" s="51"/>
      <c r="P28" s="51"/>
      <c r="Q28" s="51"/>
      <c r="R28" s="52"/>
      <c r="S28" s="53"/>
      <c r="T28" s="54"/>
      <c r="U28" s="52"/>
      <c r="V28" s="55"/>
      <c r="W28" s="55"/>
      <c r="X28" s="52"/>
      <c r="Y28" s="52"/>
      <c r="Z28" s="56"/>
      <c r="AA28" s="55"/>
      <c r="AB28" s="55"/>
      <c r="AC28" s="55"/>
      <c r="AD28" s="55"/>
      <c r="AE28" s="55"/>
      <c r="AF28" s="55"/>
    </row>
    <row r="29" spans="1:32" s="57" customFormat="1" ht="15.75" hidden="1" customHeight="1">
      <c r="A29" s="17" t="s">
        <v>87</v>
      </c>
      <c r="B29" s="2"/>
      <c r="C29" s="51"/>
      <c r="D29" s="51"/>
      <c r="E29" s="51"/>
      <c r="F29" s="51"/>
      <c r="G29" s="51"/>
      <c r="H29" s="51"/>
      <c r="I29" s="51"/>
      <c r="J29" s="51"/>
      <c r="K29" s="51"/>
      <c r="L29" s="51"/>
      <c r="M29" s="51"/>
      <c r="N29" s="51"/>
      <c r="O29" s="51"/>
      <c r="P29" s="51"/>
      <c r="Q29" s="51"/>
      <c r="R29" s="52"/>
      <c r="S29" s="53"/>
      <c r="T29" s="54"/>
      <c r="U29" s="52"/>
      <c r="V29" s="55"/>
      <c r="W29" s="55"/>
      <c r="X29" s="52"/>
      <c r="Y29" s="52"/>
      <c r="Z29" s="56"/>
      <c r="AA29" s="55"/>
      <c r="AB29" s="55"/>
      <c r="AC29" s="55"/>
      <c r="AD29" s="55"/>
      <c r="AE29" s="55"/>
      <c r="AF29" s="55"/>
    </row>
    <row r="30" spans="1:32" s="57" customFormat="1" ht="15.75" hidden="1" customHeight="1">
      <c r="A30" s="17" t="s">
        <v>89</v>
      </c>
      <c r="B30" s="2"/>
      <c r="C30" s="51"/>
      <c r="D30" s="51"/>
      <c r="E30" s="51"/>
      <c r="F30" s="51"/>
      <c r="G30" s="51"/>
      <c r="H30" s="51"/>
      <c r="I30" s="51"/>
      <c r="J30" s="51"/>
      <c r="K30" s="51"/>
      <c r="L30" s="51"/>
      <c r="M30" s="51"/>
      <c r="N30" s="51"/>
      <c r="O30" s="51"/>
      <c r="P30" s="51"/>
      <c r="Q30" s="51"/>
      <c r="R30" s="52"/>
      <c r="S30" s="53"/>
      <c r="T30" s="54"/>
      <c r="U30" s="52"/>
      <c r="V30" s="55"/>
      <c r="W30" s="55"/>
      <c r="X30" s="52"/>
      <c r="Y30" s="52"/>
      <c r="Z30" s="56"/>
      <c r="AA30" s="55"/>
      <c r="AB30" s="55"/>
      <c r="AC30" s="55"/>
      <c r="AD30" s="55"/>
      <c r="AE30" s="55"/>
      <c r="AF30" s="55"/>
    </row>
    <row r="31" spans="1:32" s="57" customFormat="1" ht="15.75" hidden="1" customHeight="1">
      <c r="A31" s="17" t="s">
        <v>90</v>
      </c>
      <c r="B31" s="2"/>
      <c r="C31" s="51"/>
      <c r="D31" s="51"/>
      <c r="E31" s="51"/>
      <c r="F31" s="51"/>
      <c r="G31" s="51"/>
      <c r="H31" s="51"/>
      <c r="I31" s="51"/>
      <c r="J31" s="51"/>
      <c r="K31" s="51"/>
      <c r="L31" s="51"/>
      <c r="M31" s="51"/>
      <c r="N31" s="51"/>
      <c r="O31" s="51"/>
      <c r="P31" s="51"/>
      <c r="Q31" s="51"/>
      <c r="R31" s="52"/>
      <c r="S31" s="53"/>
      <c r="T31" s="54"/>
      <c r="U31" s="52"/>
      <c r="V31" s="55"/>
      <c r="W31" s="55"/>
      <c r="X31" s="52"/>
      <c r="Y31" s="52"/>
      <c r="Z31" s="56"/>
      <c r="AA31" s="55"/>
      <c r="AB31" s="55"/>
      <c r="AC31" s="55"/>
      <c r="AD31" s="55"/>
      <c r="AE31" s="55"/>
      <c r="AF31" s="55"/>
    </row>
    <row r="32" spans="1:32" s="57" customFormat="1" ht="15.75" hidden="1" customHeight="1">
      <c r="A32" s="17" t="s">
        <v>92</v>
      </c>
      <c r="B32" s="2"/>
      <c r="C32" s="51"/>
      <c r="D32" s="51"/>
      <c r="E32" s="51"/>
      <c r="F32" s="51"/>
      <c r="G32" s="51"/>
      <c r="H32" s="51"/>
      <c r="I32" s="51"/>
      <c r="J32" s="51"/>
      <c r="K32" s="51"/>
      <c r="L32" s="51"/>
      <c r="M32" s="51"/>
      <c r="N32" s="51"/>
      <c r="O32" s="51"/>
      <c r="P32" s="51"/>
      <c r="Q32" s="51"/>
      <c r="R32" s="52"/>
      <c r="S32" s="53"/>
      <c r="T32" s="54"/>
      <c r="U32" s="52"/>
      <c r="V32" s="55"/>
      <c r="W32" s="55"/>
      <c r="X32" s="52"/>
      <c r="Y32" s="52"/>
      <c r="Z32" s="56"/>
      <c r="AA32" s="55"/>
      <c r="AB32" s="55"/>
      <c r="AC32" s="55"/>
      <c r="AD32" s="55"/>
      <c r="AE32" s="55"/>
      <c r="AF32" s="52"/>
    </row>
    <row r="33" spans="1:32" s="57" customFormat="1" ht="15.75" hidden="1" customHeight="1">
      <c r="A33" s="17" t="s">
        <v>94</v>
      </c>
      <c r="B33" s="2"/>
      <c r="C33" s="51"/>
      <c r="D33" s="51"/>
      <c r="E33" s="51"/>
      <c r="F33" s="51"/>
      <c r="G33" s="51"/>
      <c r="H33" s="51"/>
      <c r="I33" s="51"/>
      <c r="J33" s="51"/>
      <c r="K33" s="51"/>
      <c r="L33" s="51"/>
      <c r="M33" s="51"/>
      <c r="N33" s="51"/>
      <c r="O33" s="51"/>
      <c r="P33" s="51"/>
      <c r="Q33" s="51"/>
      <c r="R33" s="52"/>
      <c r="S33" s="53"/>
      <c r="T33" s="54"/>
      <c r="U33" s="52"/>
      <c r="V33" s="55"/>
      <c r="W33" s="55"/>
      <c r="X33" s="52"/>
      <c r="Y33" s="52"/>
      <c r="Z33" s="56"/>
      <c r="AA33" s="55"/>
      <c r="AB33" s="55"/>
      <c r="AC33" s="55"/>
      <c r="AD33" s="55"/>
      <c r="AE33" s="55"/>
      <c r="AF33" s="55"/>
    </row>
    <row r="34" spans="1:32" s="57" customFormat="1" ht="15.75" hidden="1" customHeight="1">
      <c r="A34" s="17" t="s">
        <v>95</v>
      </c>
      <c r="B34" s="2"/>
      <c r="C34" s="51"/>
      <c r="D34" s="51"/>
      <c r="E34" s="51"/>
      <c r="F34" s="51"/>
      <c r="G34" s="51"/>
      <c r="H34" s="51"/>
      <c r="I34" s="51"/>
      <c r="J34" s="51"/>
      <c r="K34" s="51"/>
      <c r="L34" s="51"/>
      <c r="M34" s="51"/>
      <c r="N34" s="51"/>
      <c r="O34" s="51"/>
      <c r="P34" s="51"/>
      <c r="Q34" s="51"/>
      <c r="R34" s="55"/>
      <c r="S34" s="53"/>
      <c r="T34" s="54"/>
      <c r="U34" s="52"/>
      <c r="V34" s="55"/>
      <c r="W34" s="55"/>
      <c r="X34" s="52"/>
      <c r="Y34" s="52"/>
      <c r="Z34" s="56"/>
      <c r="AA34" s="55"/>
      <c r="AB34" s="55"/>
      <c r="AC34" s="55"/>
      <c r="AD34" s="55"/>
      <c r="AE34" s="55"/>
      <c r="AF34" s="55"/>
    </row>
    <row r="35" spans="1:32" s="57" customFormat="1" ht="15.75" hidden="1" customHeight="1">
      <c r="A35" s="17" t="s">
        <v>96</v>
      </c>
      <c r="B35" s="2"/>
      <c r="C35" s="51"/>
      <c r="D35" s="51"/>
      <c r="E35" s="51"/>
      <c r="F35" s="51"/>
      <c r="G35" s="51"/>
      <c r="H35" s="51"/>
      <c r="I35" s="51"/>
      <c r="J35" s="51"/>
      <c r="K35" s="51"/>
      <c r="L35" s="51"/>
      <c r="M35" s="51"/>
      <c r="N35" s="51"/>
      <c r="O35" s="51"/>
      <c r="P35" s="51"/>
      <c r="Q35" s="51"/>
      <c r="R35" s="55"/>
      <c r="S35" s="53"/>
      <c r="T35" s="54"/>
      <c r="U35" s="52"/>
      <c r="V35" s="55"/>
      <c r="W35" s="55"/>
      <c r="X35" s="52"/>
      <c r="Y35" s="52"/>
      <c r="Z35" s="56"/>
      <c r="AA35" s="55"/>
      <c r="AB35" s="55"/>
      <c r="AC35" s="55"/>
      <c r="AD35" s="55"/>
      <c r="AE35" s="55"/>
      <c r="AF35" s="55"/>
    </row>
    <row r="36" spans="1:32" s="57" customFormat="1" ht="15.75" hidden="1" customHeight="1">
      <c r="A36" s="17" t="s">
        <v>98</v>
      </c>
      <c r="B36" s="2"/>
      <c r="C36" s="51"/>
      <c r="D36" s="51"/>
      <c r="E36" s="51"/>
      <c r="F36" s="51"/>
      <c r="G36" s="51"/>
      <c r="H36" s="51"/>
      <c r="I36" s="51"/>
      <c r="J36" s="51"/>
      <c r="K36" s="51"/>
      <c r="L36" s="51"/>
      <c r="M36" s="51"/>
      <c r="N36" s="51"/>
      <c r="O36" s="51"/>
      <c r="P36" s="51"/>
      <c r="Q36" s="51"/>
      <c r="R36" s="55"/>
      <c r="S36" s="53"/>
      <c r="T36" s="54"/>
      <c r="U36" s="55"/>
      <c r="V36" s="55"/>
      <c r="W36" s="55"/>
      <c r="X36" s="55"/>
      <c r="Y36" s="52"/>
      <c r="Z36" s="56"/>
      <c r="AA36" s="55"/>
      <c r="AB36" s="55"/>
      <c r="AC36" s="55"/>
      <c r="AD36" s="55"/>
      <c r="AE36" s="55"/>
      <c r="AF36" s="55"/>
    </row>
    <row r="37" spans="1:32" s="57" customFormat="1" ht="15.75" hidden="1" customHeight="1">
      <c r="A37" s="17" t="s">
        <v>99</v>
      </c>
      <c r="B37" s="2"/>
      <c r="C37" s="51"/>
      <c r="D37" s="51"/>
      <c r="E37" s="51"/>
      <c r="F37" s="51"/>
      <c r="G37" s="51"/>
      <c r="H37" s="51"/>
      <c r="I37" s="51"/>
      <c r="J37" s="51"/>
      <c r="K37" s="51"/>
      <c r="L37" s="51"/>
      <c r="M37" s="51"/>
      <c r="N37" s="51"/>
      <c r="O37" s="51"/>
      <c r="P37" s="51"/>
      <c r="Q37" s="51"/>
      <c r="R37" s="55"/>
      <c r="S37" s="53"/>
      <c r="T37" s="54"/>
      <c r="U37" s="52"/>
      <c r="V37" s="55"/>
      <c r="W37" s="55"/>
      <c r="X37" s="52"/>
      <c r="Y37" s="52"/>
      <c r="Z37" s="56"/>
      <c r="AA37" s="55"/>
      <c r="AB37" s="55"/>
      <c r="AC37" s="55"/>
      <c r="AD37" s="55"/>
      <c r="AE37" s="55"/>
      <c r="AF37" s="55"/>
    </row>
    <row r="38" spans="1:32" s="57" customFormat="1" ht="15.75" hidden="1" customHeight="1">
      <c r="A38" s="17" t="s">
        <v>100</v>
      </c>
      <c r="B38" s="2"/>
      <c r="C38" s="51"/>
      <c r="D38" s="51"/>
      <c r="E38" s="51"/>
      <c r="F38" s="51"/>
      <c r="G38" s="51"/>
      <c r="H38" s="51"/>
      <c r="I38" s="51"/>
      <c r="J38" s="51"/>
      <c r="K38" s="51"/>
      <c r="L38" s="51"/>
      <c r="M38" s="51"/>
      <c r="N38" s="51"/>
      <c r="O38" s="51"/>
      <c r="P38" s="51"/>
      <c r="Q38" s="51"/>
      <c r="R38" s="52"/>
      <c r="S38" s="53"/>
      <c r="T38" s="54"/>
      <c r="U38" s="52"/>
      <c r="V38" s="55"/>
      <c r="W38" s="55"/>
      <c r="X38" s="52"/>
      <c r="Y38" s="52"/>
      <c r="Z38" s="56"/>
      <c r="AA38" s="55"/>
      <c r="AB38" s="55"/>
      <c r="AC38" s="55"/>
      <c r="AD38" s="55"/>
      <c r="AE38" s="55"/>
      <c r="AF38" s="55"/>
    </row>
    <row r="39" spans="1:32" s="57" customFormat="1" ht="15.75" hidden="1" customHeight="1">
      <c r="A39" s="17" t="s">
        <v>101</v>
      </c>
      <c r="B39" s="2"/>
      <c r="C39" s="51"/>
      <c r="D39" s="51"/>
      <c r="E39" s="51"/>
      <c r="F39" s="51"/>
      <c r="G39" s="51"/>
      <c r="H39" s="51"/>
      <c r="I39" s="51"/>
      <c r="J39" s="51"/>
      <c r="K39" s="51"/>
      <c r="L39" s="51"/>
      <c r="M39" s="51"/>
      <c r="N39" s="51"/>
      <c r="O39" s="51"/>
      <c r="P39" s="51"/>
      <c r="Q39" s="51"/>
      <c r="R39" s="55"/>
      <c r="S39" s="53"/>
      <c r="T39" s="54"/>
      <c r="U39" s="52"/>
      <c r="V39" s="55"/>
      <c r="W39" s="55"/>
      <c r="X39" s="52"/>
      <c r="Y39" s="52"/>
      <c r="Z39" s="56"/>
      <c r="AA39" s="52"/>
      <c r="AB39" s="55"/>
      <c r="AC39" s="55"/>
      <c r="AD39" s="55"/>
      <c r="AE39" s="55"/>
      <c r="AF39" s="55"/>
    </row>
    <row r="40" spans="1:32" s="57" customFormat="1" ht="15.75" hidden="1" customHeight="1">
      <c r="A40" s="17" t="s">
        <v>102</v>
      </c>
      <c r="B40" s="2"/>
      <c r="C40" s="51"/>
      <c r="D40" s="51"/>
      <c r="E40" s="51"/>
      <c r="F40" s="51"/>
      <c r="G40" s="51"/>
      <c r="H40" s="51"/>
      <c r="I40" s="51"/>
      <c r="J40" s="51"/>
      <c r="K40" s="51"/>
      <c r="L40" s="51"/>
      <c r="M40" s="51"/>
      <c r="N40" s="51"/>
      <c r="O40" s="51"/>
      <c r="P40" s="51"/>
      <c r="Q40" s="51"/>
      <c r="R40" s="55"/>
      <c r="S40" s="53"/>
      <c r="T40" s="54"/>
      <c r="U40" s="52"/>
      <c r="V40" s="55"/>
      <c r="W40" s="55"/>
      <c r="X40" s="52"/>
      <c r="Y40" s="52"/>
      <c r="Z40" s="56"/>
      <c r="AA40" s="55"/>
      <c r="AB40" s="55"/>
      <c r="AC40" s="55"/>
      <c r="AD40" s="55"/>
      <c r="AE40" s="55"/>
      <c r="AF40" s="55"/>
    </row>
    <row r="41" spans="1:32" s="57" customFormat="1" ht="15.75" hidden="1" customHeight="1">
      <c r="A41" s="17" t="s">
        <v>105</v>
      </c>
      <c r="B41" s="2"/>
      <c r="C41" s="51"/>
      <c r="D41" s="51"/>
      <c r="E41" s="51"/>
      <c r="F41" s="51"/>
      <c r="G41" s="51"/>
      <c r="H41" s="51"/>
      <c r="I41" s="51"/>
      <c r="J41" s="51"/>
      <c r="K41" s="51"/>
      <c r="L41" s="51"/>
      <c r="M41" s="51"/>
      <c r="N41" s="51"/>
      <c r="O41" s="51"/>
      <c r="P41" s="51"/>
      <c r="Q41" s="51"/>
      <c r="R41" s="55"/>
      <c r="S41" s="53"/>
      <c r="T41" s="54"/>
      <c r="U41" s="52"/>
      <c r="V41" s="55"/>
      <c r="W41" s="55"/>
      <c r="X41" s="52"/>
      <c r="Y41" s="52"/>
      <c r="Z41" s="56"/>
      <c r="AA41" s="55"/>
      <c r="AB41" s="55"/>
      <c r="AC41" s="55"/>
      <c r="AD41" s="55"/>
      <c r="AE41" s="55"/>
      <c r="AF41" s="55"/>
    </row>
    <row r="42" spans="1:32" s="57" customFormat="1" ht="15.75" hidden="1" customHeight="1">
      <c r="A42" s="17" t="s">
        <v>106</v>
      </c>
      <c r="B42" s="2"/>
      <c r="C42" s="51"/>
      <c r="D42" s="51"/>
      <c r="E42" s="51"/>
      <c r="F42" s="51"/>
      <c r="G42" s="51"/>
      <c r="H42" s="51"/>
      <c r="I42" s="51"/>
      <c r="J42" s="51"/>
      <c r="K42" s="51"/>
      <c r="L42" s="51"/>
      <c r="M42" s="51"/>
      <c r="N42" s="51"/>
      <c r="O42" s="51"/>
      <c r="P42" s="51"/>
      <c r="Q42" s="51"/>
      <c r="R42" s="55"/>
      <c r="S42" s="53"/>
      <c r="T42" s="54"/>
      <c r="U42" s="52"/>
      <c r="V42" s="55"/>
      <c r="W42" s="55"/>
      <c r="X42" s="52"/>
      <c r="Y42" s="52"/>
      <c r="Z42" s="56"/>
      <c r="AA42" s="55"/>
      <c r="AB42" s="55"/>
      <c r="AC42" s="55"/>
      <c r="AD42" s="55"/>
      <c r="AE42" s="55"/>
      <c r="AF42" s="55"/>
    </row>
    <row r="43" spans="1:32" s="57" customFormat="1" ht="15.75" hidden="1" customHeight="1">
      <c r="A43" s="17" t="s">
        <v>107</v>
      </c>
      <c r="B43" s="2"/>
      <c r="C43" s="51"/>
      <c r="D43" s="51"/>
      <c r="E43" s="51"/>
      <c r="F43" s="51"/>
      <c r="G43" s="51"/>
      <c r="H43" s="51"/>
      <c r="I43" s="51"/>
      <c r="J43" s="51"/>
      <c r="K43" s="51"/>
      <c r="L43" s="51"/>
      <c r="M43" s="51"/>
      <c r="N43" s="51"/>
      <c r="O43" s="51"/>
      <c r="P43" s="51"/>
      <c r="Q43" s="51"/>
      <c r="R43" s="55"/>
      <c r="S43" s="53"/>
      <c r="T43" s="54"/>
      <c r="U43" s="52"/>
      <c r="V43" s="55"/>
      <c r="W43" s="55"/>
      <c r="X43" s="52"/>
      <c r="Y43" s="52"/>
      <c r="Z43" s="56"/>
      <c r="AA43" s="55"/>
      <c r="AB43" s="55"/>
      <c r="AC43" s="55"/>
      <c r="AD43" s="55"/>
      <c r="AE43" s="55"/>
      <c r="AF43" s="55"/>
    </row>
    <row r="44" spans="1:32" s="57" customFormat="1" ht="15.75" hidden="1" customHeight="1">
      <c r="A44" s="17" t="s">
        <v>108</v>
      </c>
      <c r="B44" s="2"/>
      <c r="C44" s="51"/>
      <c r="D44" s="51"/>
      <c r="E44" s="51"/>
      <c r="F44" s="51"/>
      <c r="G44" s="51"/>
      <c r="H44" s="51"/>
      <c r="I44" s="51"/>
      <c r="J44" s="51"/>
      <c r="K44" s="51"/>
      <c r="L44" s="51"/>
      <c r="M44" s="51"/>
      <c r="N44" s="51"/>
      <c r="O44" s="51"/>
      <c r="P44" s="51"/>
      <c r="Q44" s="51"/>
      <c r="R44" s="55"/>
      <c r="S44" s="53"/>
      <c r="T44" s="54"/>
      <c r="U44" s="52"/>
      <c r="V44" s="55"/>
      <c r="W44" s="55"/>
      <c r="X44" s="52"/>
      <c r="Y44" s="52"/>
      <c r="Z44" s="56"/>
      <c r="AA44" s="55"/>
      <c r="AB44" s="55"/>
      <c r="AC44" s="55"/>
      <c r="AD44" s="55"/>
      <c r="AE44" s="55"/>
      <c r="AF44" s="55"/>
    </row>
    <row r="45" spans="1:32" s="57" customFormat="1" ht="15.75" hidden="1" customHeight="1">
      <c r="A45" s="17" t="s">
        <v>109</v>
      </c>
      <c r="B45" s="2"/>
      <c r="C45" s="51"/>
      <c r="D45" s="51"/>
      <c r="E45" s="51"/>
      <c r="F45" s="51"/>
      <c r="G45" s="51"/>
      <c r="H45" s="51"/>
      <c r="I45" s="51"/>
      <c r="J45" s="51"/>
      <c r="K45" s="51"/>
      <c r="L45" s="51"/>
      <c r="M45" s="51"/>
      <c r="N45" s="51"/>
      <c r="O45" s="51"/>
      <c r="P45" s="51"/>
      <c r="Q45" s="51"/>
      <c r="R45" s="55"/>
      <c r="S45" s="53"/>
      <c r="T45" s="54"/>
      <c r="U45" s="52"/>
      <c r="V45" s="55"/>
      <c r="W45" s="55"/>
      <c r="X45" s="52"/>
      <c r="Y45" s="52"/>
      <c r="Z45" s="56"/>
      <c r="AA45" s="55"/>
      <c r="AB45" s="55"/>
      <c r="AC45" s="55"/>
      <c r="AD45" s="55"/>
      <c r="AE45" s="55"/>
      <c r="AF45" s="55"/>
    </row>
    <row r="46" spans="1:32" s="57" customFormat="1" ht="15.75" hidden="1" customHeight="1">
      <c r="A46" s="17" t="s">
        <v>111</v>
      </c>
      <c r="B46" s="2"/>
      <c r="C46" s="51"/>
      <c r="D46" s="51"/>
      <c r="E46" s="51"/>
      <c r="F46" s="51"/>
      <c r="G46" s="51"/>
      <c r="H46" s="51"/>
      <c r="I46" s="51"/>
      <c r="J46" s="51"/>
      <c r="K46" s="51"/>
      <c r="L46" s="51"/>
      <c r="M46" s="51"/>
      <c r="N46" s="51"/>
      <c r="O46" s="51"/>
      <c r="P46" s="51"/>
      <c r="Q46" s="51"/>
      <c r="R46" s="55"/>
      <c r="S46" s="53"/>
      <c r="T46" s="54"/>
      <c r="U46" s="52"/>
      <c r="V46" s="55"/>
      <c r="W46" s="55"/>
      <c r="X46" s="52"/>
      <c r="Y46" s="52"/>
      <c r="Z46" s="56"/>
      <c r="AA46" s="55"/>
      <c r="AB46" s="55"/>
      <c r="AC46" s="55"/>
      <c r="AD46" s="55"/>
      <c r="AE46" s="55"/>
      <c r="AF46" s="55"/>
    </row>
    <row r="47" spans="1:32" s="57" customFormat="1" ht="15.75" hidden="1" customHeight="1">
      <c r="A47" s="17" t="s">
        <v>113</v>
      </c>
      <c r="B47" s="2"/>
      <c r="C47" s="51"/>
      <c r="D47" s="51"/>
      <c r="E47" s="51"/>
      <c r="F47" s="51"/>
      <c r="G47" s="51"/>
      <c r="H47" s="51"/>
      <c r="I47" s="51"/>
      <c r="J47" s="51"/>
      <c r="K47" s="51"/>
      <c r="L47" s="51"/>
      <c r="M47" s="51"/>
      <c r="N47" s="51"/>
      <c r="O47" s="51"/>
      <c r="P47" s="51"/>
      <c r="Q47" s="51"/>
      <c r="R47" s="55"/>
      <c r="S47" s="53"/>
      <c r="T47" s="54"/>
      <c r="U47" s="52"/>
      <c r="V47" s="55"/>
      <c r="W47" s="55"/>
      <c r="X47" s="52"/>
      <c r="Y47" s="52"/>
      <c r="Z47" s="56"/>
      <c r="AA47" s="55"/>
      <c r="AB47" s="55"/>
      <c r="AC47" s="55"/>
      <c r="AD47" s="55"/>
      <c r="AE47" s="55"/>
      <c r="AF47" s="55"/>
    </row>
    <row r="48" spans="1:32" s="57" customFormat="1" ht="15.75" hidden="1" customHeight="1">
      <c r="A48" s="17" t="s">
        <v>115</v>
      </c>
      <c r="B48" s="2"/>
      <c r="C48" s="51"/>
      <c r="D48" s="51"/>
      <c r="E48" s="51"/>
      <c r="F48" s="51"/>
      <c r="G48" s="51"/>
      <c r="H48" s="51"/>
      <c r="I48" s="51"/>
      <c r="J48" s="51"/>
      <c r="K48" s="51"/>
      <c r="L48" s="51"/>
      <c r="M48" s="51"/>
      <c r="N48" s="51"/>
      <c r="O48" s="51"/>
      <c r="P48" s="51"/>
      <c r="Q48" s="51"/>
      <c r="R48" s="55"/>
      <c r="S48" s="53"/>
      <c r="T48" s="54"/>
      <c r="U48" s="52"/>
      <c r="V48" s="55"/>
      <c r="W48" s="55"/>
      <c r="X48" s="52"/>
      <c r="Y48" s="52"/>
      <c r="Z48" s="56"/>
      <c r="AA48" s="55"/>
      <c r="AB48" s="55"/>
      <c r="AC48" s="55"/>
      <c r="AD48" s="55"/>
      <c r="AE48" s="55"/>
      <c r="AF48" s="55"/>
    </row>
    <row r="49" spans="1:32" s="57" customFormat="1" ht="15.75" customHeight="1">
      <c r="A49" s="2" t="s">
        <v>117</v>
      </c>
      <c r="B49" s="2"/>
      <c r="C49" s="51">
        <f t="shared" ref="C49:C56" si="1">IFERROR(F49/D49," - ")</f>
        <v>26.95</v>
      </c>
      <c r="D49" s="51">
        <v>2</v>
      </c>
      <c r="E49" s="51">
        <v>0</v>
      </c>
      <c r="F49" s="51">
        <v>53.9</v>
      </c>
      <c r="G49" s="51">
        <v>0</v>
      </c>
      <c r="H49" s="51">
        <f t="shared" ref="H49:H56" si="2">G49/F49*-1</f>
        <v>0</v>
      </c>
      <c r="I49" s="51">
        <f t="shared" ref="I49:I56" si="3">J49/F49</f>
        <v>0.2373507449260705</v>
      </c>
      <c r="J49" s="51">
        <f t="shared" ref="J49:J56" si="4">F49*0.85+G49+AD49*D49+D49*AC49+AE49+AB49</f>
        <v>12.793205151515199</v>
      </c>
      <c r="K49" s="51">
        <f t="shared" ref="K49:K56" si="5">J49/D49</f>
        <v>6.3966025757575995</v>
      </c>
      <c r="L49" s="51">
        <v>7</v>
      </c>
      <c r="M49" s="51">
        <f t="shared" ref="M49:M56" si="6">IFERROR(D49/L49,"-")</f>
        <v>0.2857142857142857</v>
      </c>
      <c r="N49" s="51">
        <v>28</v>
      </c>
      <c r="O49" s="51">
        <f t="shared" ref="O49:P49" si="7">D49/7</f>
        <v>0.2857142857142857</v>
      </c>
      <c r="P49" s="51">
        <f t="shared" si="7"/>
        <v>0</v>
      </c>
      <c r="Q49" s="51">
        <f t="shared" ref="Q49:Q56" si="8">ROUNDDOWN(N49/(O49+P49),0)</f>
        <v>98</v>
      </c>
      <c r="R49" s="55">
        <f ca="1">IFERROR(__xludf.DUMMYFUNCTION("IFERROR(VLOOKUP($B$2,IMPORTRANGE(""https://docs.google.com/spreadsheets/d/1iVgg6Mw12RULLujzHmfOFIY8Q_KaAD8anoZzgtVAQ74/edit#gid=1503384807"",""Second Star - Summary!A1:AD2000""),9,FALSE),"""")"),0)</f>
        <v>0</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ref="V49:V56" si="9">IFERROR(U49/D49,0)</f>
        <v>0</v>
      </c>
      <c r="W49" s="55">
        <f t="shared" ref="W49:W56" si="10">IFERROR(G49/(U49+X49)*-1,0)</f>
        <v>0</v>
      </c>
      <c r="X49" s="55">
        <v>0</v>
      </c>
      <c r="Y49" s="55" t="s">
        <v>35</v>
      </c>
      <c r="Z49" s="56">
        <f t="shared" ref="Z49:Z56" si="11">IF(OR(Y49="UsLargeStandardSize",Y49="UsSmallStandardSize"),-2.4,-1.2)</f>
        <v>-2.4</v>
      </c>
      <c r="AA49" s="55">
        <v>9.0725694444444435E-2</v>
      </c>
      <c r="AB49" s="55">
        <f t="shared" ref="AB49:AB56" si="12">IFERROR(Z49*AA49*D49*3,0)</f>
        <v>-1.3064499999999999</v>
      </c>
      <c r="AC49" s="55">
        <v>-5.8</v>
      </c>
      <c r="AD49" s="55">
        <v>-10.0576724242424</v>
      </c>
      <c r="AE49" s="55">
        <v>0</v>
      </c>
      <c r="AF49" s="55">
        <v>7.1428571428571397E-2</v>
      </c>
    </row>
    <row r="50" spans="1:32" s="57" customFormat="1" ht="15.75" customHeight="1">
      <c r="A50" s="2" t="s">
        <v>119</v>
      </c>
      <c r="B50" s="2"/>
      <c r="C50" s="51" t="str">
        <f t="shared" si="1"/>
        <v xml:space="preserve"> - </v>
      </c>
      <c r="D50" s="51">
        <v>0</v>
      </c>
      <c r="E50" s="51">
        <v>0</v>
      </c>
      <c r="F50" s="51">
        <v>0</v>
      </c>
      <c r="G50" s="51">
        <v>0</v>
      </c>
      <c r="H50" s="51" t="e">
        <f t="shared" si="2"/>
        <v>#DIV/0!</v>
      </c>
      <c r="I50" s="51" t="e">
        <f t="shared" si="3"/>
        <v>#DIV/0!</v>
      </c>
      <c r="J50" s="51">
        <f t="shared" si="4"/>
        <v>0</v>
      </c>
      <c r="K50" s="51" t="e">
        <f t="shared" si="5"/>
        <v>#DIV/0!</v>
      </c>
      <c r="L50" s="51">
        <v>0</v>
      </c>
      <c r="M50" s="51" t="str">
        <f t="shared" si="6"/>
        <v>-</v>
      </c>
      <c r="N50" s="51">
        <v>22</v>
      </c>
      <c r="O50" s="51">
        <f t="shared" ref="O50:P50" si="13">D50/7</f>
        <v>0</v>
      </c>
      <c r="P50" s="51">
        <f t="shared" si="13"/>
        <v>0</v>
      </c>
      <c r="Q50" s="51" t="e">
        <f t="shared" si="8"/>
        <v>#DIV/0!</v>
      </c>
      <c r="R50" s="55">
        <f ca="1">IFERROR(__xludf.DUMMYFUNCTION("IFERROR(VLOOKUP($B$2,IMPORTRANGE(""https://docs.google.com/spreadsheets/d/1iVgg6Mw12RULLujzHmfOFIY8Q_KaAD8anoZzgtVAQ74/edit#gid=1503384807"",""Second Star - Summary!A1:AD2000""),9,FALSE),"""")"),0)</f>
        <v>0</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9"/>
        <v>0</v>
      </c>
      <c r="W50" s="55">
        <f t="shared" si="10"/>
        <v>0</v>
      </c>
      <c r="X50" s="55">
        <v>0</v>
      </c>
      <c r="Y50" s="55" t="s">
        <v>35</v>
      </c>
      <c r="Z50" s="56">
        <f t="shared" si="11"/>
        <v>-2.4</v>
      </c>
      <c r="AA50" s="55">
        <v>9.0725694444444435E-2</v>
      </c>
      <c r="AB50" s="55">
        <f t="shared" si="12"/>
        <v>0</v>
      </c>
      <c r="AC50" s="55">
        <v>-5.8</v>
      </c>
      <c r="AD50" s="55">
        <v>-10.0576724242424</v>
      </c>
      <c r="AE50" s="55">
        <v>0</v>
      </c>
      <c r="AF50" s="55">
        <v>0.18181818181818099</v>
      </c>
    </row>
    <row r="51" spans="1:32" s="57" customFormat="1" ht="15.75" customHeight="1">
      <c r="A51" s="2" t="s">
        <v>121</v>
      </c>
      <c r="B51" s="2" t="s">
        <v>837</v>
      </c>
      <c r="C51" s="51">
        <f t="shared" si="1"/>
        <v>26.95</v>
      </c>
      <c r="D51" s="51">
        <v>2</v>
      </c>
      <c r="E51" s="51">
        <v>0</v>
      </c>
      <c r="F51" s="51">
        <v>53.9</v>
      </c>
      <c r="G51" s="51">
        <v>0</v>
      </c>
      <c r="H51" s="51">
        <f t="shared" si="2"/>
        <v>0</v>
      </c>
      <c r="I51" s="51">
        <f t="shared" si="3"/>
        <v>0.2373507449260705</v>
      </c>
      <c r="J51" s="51">
        <f t="shared" si="4"/>
        <v>12.793205151515199</v>
      </c>
      <c r="K51" s="51">
        <f t="shared" si="5"/>
        <v>6.3966025757575995</v>
      </c>
      <c r="L51" s="51">
        <v>6</v>
      </c>
      <c r="M51" s="51">
        <f t="shared" si="6"/>
        <v>0.33333333333333331</v>
      </c>
      <c r="N51" s="51">
        <v>20</v>
      </c>
      <c r="O51" s="51">
        <f t="shared" ref="O51:P51" si="14">D51/7</f>
        <v>0.2857142857142857</v>
      </c>
      <c r="P51" s="51">
        <f t="shared" si="14"/>
        <v>0</v>
      </c>
      <c r="Q51" s="51">
        <f t="shared" si="8"/>
        <v>70</v>
      </c>
      <c r="R51" s="55">
        <f ca="1">IFERROR(__xludf.DUMMYFUNCTION("IFERROR(VLOOKUP($B$2,IMPORTRANGE(""https://docs.google.com/spreadsheets/d/1iVgg6Mw12RULLujzHmfOFIY8Q_KaAD8anoZzgtVAQ74/edit#gid=1503384807"",""Second Star - Summary!A1:AD2000""),9,FALSE),"""")"),0)</f>
        <v>0</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9"/>
        <v>0</v>
      </c>
      <c r="W51" s="55">
        <f t="shared" si="10"/>
        <v>0</v>
      </c>
      <c r="X51" s="55">
        <v>0</v>
      </c>
      <c r="Y51" s="55" t="s">
        <v>35</v>
      </c>
      <c r="Z51" s="56">
        <f t="shared" si="11"/>
        <v>-2.4</v>
      </c>
      <c r="AA51" s="55">
        <v>9.0725694444444435E-2</v>
      </c>
      <c r="AB51" s="55">
        <f t="shared" si="12"/>
        <v>-1.3064499999999999</v>
      </c>
      <c r="AC51" s="55">
        <v>-5.8</v>
      </c>
      <c r="AD51" s="55">
        <v>-10.0576724242424</v>
      </c>
      <c r="AE51" s="55">
        <v>0</v>
      </c>
      <c r="AF51" s="55">
        <v>0.4</v>
      </c>
    </row>
    <row r="52" spans="1:32" s="57" customFormat="1" ht="15.75" customHeight="1">
      <c r="A52" s="2" t="s">
        <v>123</v>
      </c>
      <c r="B52" s="2" t="s">
        <v>838</v>
      </c>
      <c r="C52" s="51" t="str">
        <f t="shared" si="1"/>
        <v xml:space="preserve"> - </v>
      </c>
      <c r="D52" s="51">
        <v>0</v>
      </c>
      <c r="E52" s="51">
        <v>0</v>
      </c>
      <c r="F52" s="51">
        <v>0</v>
      </c>
      <c r="G52" s="51">
        <v>0</v>
      </c>
      <c r="H52" s="51" t="e">
        <f t="shared" si="2"/>
        <v>#DIV/0!</v>
      </c>
      <c r="I52" s="51" t="e">
        <f t="shared" si="3"/>
        <v>#DIV/0!</v>
      </c>
      <c r="J52" s="51">
        <f t="shared" si="4"/>
        <v>0</v>
      </c>
      <c r="K52" s="51" t="e">
        <f t="shared" si="5"/>
        <v>#DIV/0!</v>
      </c>
      <c r="L52" s="51">
        <v>7</v>
      </c>
      <c r="M52" s="51">
        <f t="shared" si="6"/>
        <v>0</v>
      </c>
      <c r="N52" s="51">
        <v>20</v>
      </c>
      <c r="O52" s="51">
        <f t="shared" ref="O52:P52" si="15">D52/7</f>
        <v>0</v>
      </c>
      <c r="P52" s="51">
        <f t="shared" si="15"/>
        <v>0</v>
      </c>
      <c r="Q52" s="51" t="e">
        <f t="shared" si="8"/>
        <v>#DIV/0!</v>
      </c>
      <c r="R52" s="55">
        <f ca="1">IFERROR(__xludf.DUMMYFUNCTION("IFERROR(VLOOKUP($B$2,IMPORTRANGE(""https://docs.google.com/spreadsheets/d/1iVgg6Mw12RULLujzHmfOFIY8Q_KaAD8anoZzgtVAQ74/edit#gid=1503384807"",""Second Star - Summary!A1:AD2000""),9,FALSE),"""")"),0)</f>
        <v>0</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9"/>
        <v>0</v>
      </c>
      <c r="W52" s="55">
        <f t="shared" si="10"/>
        <v>0</v>
      </c>
      <c r="X52" s="55">
        <v>0</v>
      </c>
      <c r="Y52" s="55" t="s">
        <v>35</v>
      </c>
      <c r="Z52" s="56">
        <f t="shared" si="11"/>
        <v>-2.4</v>
      </c>
      <c r="AA52" s="55">
        <v>9.0725694444444435E-2</v>
      </c>
      <c r="AB52" s="55">
        <f t="shared" si="12"/>
        <v>0</v>
      </c>
      <c r="AC52" s="55">
        <v>-5.8</v>
      </c>
      <c r="AD52" s="55">
        <v>-10.0576724242424</v>
      </c>
      <c r="AE52" s="55">
        <v>0</v>
      </c>
      <c r="AF52" s="55">
        <v>0.4</v>
      </c>
    </row>
    <row r="53" spans="1:32" s="57" customFormat="1">
      <c r="A53" s="2" t="s">
        <v>38</v>
      </c>
      <c r="B53" s="2" t="s">
        <v>839</v>
      </c>
      <c r="C53" s="51" t="str">
        <f t="shared" si="1"/>
        <v xml:space="preserve"> - </v>
      </c>
      <c r="D53" s="51">
        <v>0</v>
      </c>
      <c r="E53" s="51">
        <v>0</v>
      </c>
      <c r="F53" s="51">
        <v>0</v>
      </c>
      <c r="G53" s="51">
        <v>-1.37</v>
      </c>
      <c r="H53" s="51" t="e">
        <f t="shared" si="2"/>
        <v>#DIV/0!</v>
      </c>
      <c r="I53" s="51" t="e">
        <f t="shared" si="3"/>
        <v>#DIV/0!</v>
      </c>
      <c r="J53" s="51">
        <f t="shared" si="4"/>
        <v>-1.37</v>
      </c>
      <c r="K53" s="51" t="e">
        <f t="shared" si="5"/>
        <v>#DIV/0!</v>
      </c>
      <c r="L53" s="51">
        <v>0</v>
      </c>
      <c r="M53" s="51" t="str">
        <f t="shared" si="6"/>
        <v>-</v>
      </c>
      <c r="N53" s="51">
        <v>15</v>
      </c>
      <c r="O53" s="51">
        <f t="shared" ref="O53:P53" si="16">D53/7</f>
        <v>0</v>
      </c>
      <c r="P53" s="51">
        <f t="shared" si="16"/>
        <v>0</v>
      </c>
      <c r="Q53" s="51" t="e">
        <f t="shared" si="8"/>
        <v>#DIV/0!</v>
      </c>
      <c r="R53" s="55">
        <f ca="1">IFERROR(__xludf.DUMMYFUNCTION("IFERROR(VLOOKUP($B$2,IMPORTRANGE(""https://docs.google.com/spreadsheets/d/1iVgg6Mw12RULLujzHmfOFIY8Q_KaAD8anoZzgtVAQ74/edit#gid=1503384807"",""Second Star - Summary!A1:AD2000""),9,FALSE),"""")"),0)</f>
        <v>0</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9"/>
        <v>0</v>
      </c>
      <c r="W53" s="55">
        <f t="shared" si="10"/>
        <v>0</v>
      </c>
      <c r="X53" s="55">
        <v>0</v>
      </c>
      <c r="Y53" s="55" t="s">
        <v>35</v>
      </c>
      <c r="Z53" s="56">
        <f t="shared" si="11"/>
        <v>-2.4</v>
      </c>
      <c r="AA53" s="55">
        <v>9.0725694444444435E-2</v>
      </c>
      <c r="AB53" s="55">
        <f t="shared" si="12"/>
        <v>0</v>
      </c>
      <c r="AC53" s="55">
        <v>-5.8</v>
      </c>
      <c r="AD53" s="55">
        <v>-10.0576724242424</v>
      </c>
      <c r="AE53" s="55">
        <v>0</v>
      </c>
      <c r="AF53" s="55">
        <v>0.4</v>
      </c>
    </row>
    <row r="54" spans="1:32" s="57" customFormat="1">
      <c r="A54" s="2" t="s">
        <v>40</v>
      </c>
      <c r="B54" s="2"/>
      <c r="C54" s="51" t="str">
        <f t="shared" si="1"/>
        <v xml:space="preserve"> - </v>
      </c>
      <c r="D54" s="51">
        <v>0</v>
      </c>
      <c r="E54" s="51">
        <v>0</v>
      </c>
      <c r="F54" s="51">
        <v>0</v>
      </c>
      <c r="G54" s="51">
        <v>-1.2</v>
      </c>
      <c r="H54" s="51" t="e">
        <f t="shared" si="2"/>
        <v>#DIV/0!</v>
      </c>
      <c r="I54" s="51" t="e">
        <f t="shared" si="3"/>
        <v>#DIV/0!</v>
      </c>
      <c r="J54" s="51">
        <f t="shared" si="4"/>
        <v>-1.2</v>
      </c>
      <c r="K54" s="51" t="e">
        <f t="shared" si="5"/>
        <v>#DIV/0!</v>
      </c>
      <c r="L54" s="51">
        <v>0</v>
      </c>
      <c r="M54" s="51" t="str">
        <f t="shared" si="6"/>
        <v>-</v>
      </c>
      <c r="N54" s="51">
        <v>13</v>
      </c>
      <c r="O54" s="51">
        <f t="shared" ref="O54:P54" si="17">D54/7</f>
        <v>0</v>
      </c>
      <c r="P54" s="51">
        <f t="shared" si="17"/>
        <v>0</v>
      </c>
      <c r="Q54" s="51" t="e">
        <f t="shared" si="8"/>
        <v>#DIV/0!</v>
      </c>
      <c r="R54" s="55">
        <f ca="1">IFERROR(__xludf.DUMMYFUNCTION("IFERROR(VLOOKUP($B$2,IMPORTRANGE(""https://docs.google.com/spreadsheets/d/1iVgg6Mw12RULLujzHmfOFIY8Q_KaAD8anoZzgtVAQ74/edit#gid=1503384807"",""Second Star - Summary!A1:AD2000""),9,FALSE),"""")"),0)</f>
        <v>0</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9"/>
        <v>0</v>
      </c>
      <c r="W54" s="55">
        <f t="shared" si="10"/>
        <v>0</v>
      </c>
      <c r="X54" s="55">
        <v>0</v>
      </c>
      <c r="Y54" s="55" t="s">
        <v>35</v>
      </c>
      <c r="Z54" s="56">
        <f t="shared" si="11"/>
        <v>-2.4</v>
      </c>
      <c r="AA54" s="55">
        <v>9.0725694444444435E-2</v>
      </c>
      <c r="AB54" s="55">
        <f t="shared" si="12"/>
        <v>0</v>
      </c>
      <c r="AC54" s="55">
        <v>-5.8</v>
      </c>
      <c r="AD54" s="55">
        <v>-10.0576724242424</v>
      </c>
      <c r="AE54" s="55">
        <v>0</v>
      </c>
      <c r="AF54" s="55">
        <v>0.72972972972972905</v>
      </c>
    </row>
    <row r="55" spans="1:32" s="57" customFormat="1" ht="15.75" customHeight="1">
      <c r="A55" s="2" t="s">
        <v>32</v>
      </c>
      <c r="B55" s="2" t="s">
        <v>840</v>
      </c>
      <c r="C55" s="51">
        <f t="shared" si="1"/>
        <v>23.95</v>
      </c>
      <c r="D55" s="51">
        <v>3</v>
      </c>
      <c r="E55" s="51">
        <v>0</v>
      </c>
      <c r="F55" s="51">
        <v>71.849999999999994</v>
      </c>
      <c r="G55" s="51">
        <v>-2.14</v>
      </c>
      <c r="H55" s="51">
        <f t="shared" si="2"/>
        <v>2.9784272790535842E-2</v>
      </c>
      <c r="I55" s="51">
        <f t="shared" si="3"/>
        <v>0.1308254380970465</v>
      </c>
      <c r="J55" s="51">
        <f t="shared" si="4"/>
        <v>9.3998077272727905</v>
      </c>
      <c r="K55" s="51">
        <f t="shared" si="5"/>
        <v>3.1332692424242636</v>
      </c>
      <c r="L55" s="51">
        <v>7</v>
      </c>
      <c r="M55" s="51">
        <f t="shared" si="6"/>
        <v>0.42857142857142855</v>
      </c>
      <c r="N55" s="51">
        <v>12</v>
      </c>
      <c r="O55" s="51">
        <f t="shared" ref="O55:P55" si="18">D55/7</f>
        <v>0.42857142857142855</v>
      </c>
      <c r="P55" s="51">
        <f t="shared" si="18"/>
        <v>0</v>
      </c>
      <c r="Q55" s="51">
        <f t="shared" si="8"/>
        <v>28</v>
      </c>
      <c r="R55" s="55">
        <v>0</v>
      </c>
      <c r="S55" s="53" t="s">
        <v>34</v>
      </c>
      <c r="T55" s="54" t="s">
        <v>34</v>
      </c>
      <c r="U55" s="55">
        <v>0</v>
      </c>
      <c r="V55" s="55">
        <f t="shared" si="9"/>
        <v>0</v>
      </c>
      <c r="W55" s="55">
        <f t="shared" si="10"/>
        <v>0</v>
      </c>
      <c r="X55" s="55">
        <v>0</v>
      </c>
      <c r="Y55" s="55" t="s">
        <v>35</v>
      </c>
      <c r="Z55" s="56">
        <f t="shared" si="11"/>
        <v>-2.4</v>
      </c>
      <c r="AA55" s="55">
        <v>9.0725694444444435E-2</v>
      </c>
      <c r="AB55" s="55">
        <f t="shared" si="12"/>
        <v>-1.9596749999999998</v>
      </c>
      <c r="AC55" s="55">
        <v>-5.8</v>
      </c>
      <c r="AD55" s="55">
        <v>-10.0576724242424</v>
      </c>
      <c r="AE55" s="55">
        <v>0</v>
      </c>
      <c r="AF55" s="55">
        <v>1.125</v>
      </c>
    </row>
    <row r="56" spans="1:32" s="57" customFormat="1" ht="15.75" customHeight="1">
      <c r="A56" s="2" t="s">
        <v>36</v>
      </c>
      <c r="B56" s="2"/>
      <c r="C56" s="51">
        <f t="shared" si="1"/>
        <v>23.95</v>
      </c>
      <c r="D56" s="51">
        <v>1</v>
      </c>
      <c r="E56" s="51">
        <v>0</v>
      </c>
      <c r="F56" s="51">
        <v>23.95</v>
      </c>
      <c r="G56" s="51">
        <v>-1.05</v>
      </c>
      <c r="H56" s="51">
        <f t="shared" si="2"/>
        <v>4.3841336116910233E-2</v>
      </c>
      <c r="I56" s="51">
        <f t="shared" si="3"/>
        <v>0.10980823053078066</v>
      </c>
      <c r="J56" s="51">
        <f t="shared" si="4"/>
        <v>2.6299071212121969</v>
      </c>
      <c r="K56" s="51">
        <f t="shared" si="5"/>
        <v>2.6299071212121969</v>
      </c>
      <c r="L56" s="51">
        <v>10</v>
      </c>
      <c r="M56" s="51">
        <f t="shared" si="6"/>
        <v>0.1</v>
      </c>
      <c r="N56" s="51">
        <v>11</v>
      </c>
      <c r="O56" s="51">
        <f t="shared" ref="O56:P56" si="19">D56/7</f>
        <v>0.14285714285714285</v>
      </c>
      <c r="P56" s="51">
        <f t="shared" si="19"/>
        <v>0</v>
      </c>
      <c r="Q56" s="51">
        <f t="shared" si="8"/>
        <v>77</v>
      </c>
      <c r="R56" s="55">
        <f ca="1">IFERROR(__xludf.DUMMYFUNCTION("IFERROR(VLOOKUP($B$2,IMPORTRANGE(""https://docs.google.com/spreadsheets/d/1iVgg6Mw12RULLujzHmfOFIY8Q_KaAD8anoZzgtVAQ74/edit#gid=1503384807"",""Second Star - Summary!A1:AD2000""),9,FALSE),"""")"),0)</f>
        <v>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1</v>
      </c>
      <c r="V56" s="55">
        <f t="shared" si="9"/>
        <v>1</v>
      </c>
      <c r="W56" s="55">
        <f t="shared" si="10"/>
        <v>1.05</v>
      </c>
      <c r="X56" s="55">
        <v>0</v>
      </c>
      <c r="Y56" s="55" t="s">
        <v>35</v>
      </c>
      <c r="Z56" s="56">
        <f t="shared" si="11"/>
        <v>-2.4</v>
      </c>
      <c r="AA56" s="55">
        <v>9.0725694444444435E-2</v>
      </c>
      <c r="AB56" s="55">
        <f t="shared" si="12"/>
        <v>-0.65322499999999994</v>
      </c>
      <c r="AC56" s="55">
        <v>-5.8</v>
      </c>
      <c r="AD56" s="55">
        <v>-10.224367878787801</v>
      </c>
      <c r="AE56" s="55">
        <v>0</v>
      </c>
      <c r="AF56" s="55">
        <v>0.63934426229508201</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3"/>
    </row>
    <row r="222" spans="1:3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3"/>
    </row>
    <row r="223" spans="1:32"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3"/>
    </row>
    <row r="224" spans="1:32"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3"/>
    </row>
    <row r="225" spans="1:32"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3"/>
    </row>
    <row r="226" spans="1:32"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3"/>
    </row>
    <row r="227" spans="1:32"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3"/>
    </row>
    <row r="228" spans="1:32"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3"/>
    </row>
    <row r="229" spans="1:32"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3"/>
    </row>
    <row r="230" spans="1:32"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3"/>
    </row>
    <row r="231" spans="1:32"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3"/>
    </row>
    <row r="232" spans="1: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3"/>
    </row>
    <row r="233" spans="1:32"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3"/>
    </row>
    <row r="234" spans="1:32"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3"/>
    </row>
    <row r="235" spans="1:32"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3"/>
    </row>
    <row r="236" spans="1:32"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3"/>
    </row>
    <row r="237" spans="1:32"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3"/>
    </row>
    <row r="238" spans="1:32"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3"/>
    </row>
    <row r="239" spans="1:32"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row r="252" spans="1:32" ht="15.75" customHeight="1"/>
    <row r="253" spans="1:32" ht="15.75" customHeight="1"/>
    <row r="254" spans="1:32" ht="15.75" customHeight="1"/>
    <row r="255" spans="1:32" ht="15.75" customHeight="1"/>
    <row r="256" spans="1:3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359" priority="1" operator="lessThan">
      <formula>100</formula>
    </cfRule>
  </conditionalFormatting>
  <conditionalFormatting sqref="Q1:Q3 Q57:Q1000">
    <cfRule type="cellIs" dxfId="358" priority="2" operator="lessThan">
      <formula>100</formula>
    </cfRule>
  </conditionalFormatting>
  <conditionalFormatting sqref="I1:I3 I57:I1000">
    <cfRule type="cellIs" dxfId="357" priority="3" operator="lessThan">
      <formula>0.05</formula>
    </cfRule>
  </conditionalFormatting>
  <conditionalFormatting sqref="I4:I17">
    <cfRule type="cellIs" dxfId="356" priority="4" operator="lessThan">
      <formula>0.05</formula>
    </cfRule>
  </conditionalFormatting>
  <conditionalFormatting sqref="I18:I48">
    <cfRule type="cellIs" dxfId="355" priority="5" operator="lessThan">
      <formula>0.05</formula>
    </cfRule>
  </conditionalFormatting>
  <conditionalFormatting sqref="Q4:Q48">
    <cfRule type="cellIs" dxfId="354" priority="6" operator="lessThan">
      <formula>100</formula>
    </cfRule>
  </conditionalFormatting>
  <conditionalFormatting sqref="Q4:Q48">
    <cfRule type="cellIs" dxfId="353" priority="7" operator="lessThan">
      <formula>100</formula>
    </cfRule>
  </conditionalFormatting>
  <conditionalFormatting sqref="I49:I56">
    <cfRule type="cellIs" dxfId="352" priority="8" operator="lessThan">
      <formula>0.05</formula>
    </cfRule>
  </conditionalFormatting>
  <conditionalFormatting sqref="Q49:Q56">
    <cfRule type="cellIs" dxfId="351" priority="9" operator="lessThan">
      <formula>100</formula>
    </cfRule>
  </conditionalFormatting>
  <conditionalFormatting sqref="Q49:Q56">
    <cfRule type="cellIs" dxfId="350" priority="10" operator="lessThan">
      <formula>100</formula>
    </cfRule>
  </conditionalFormatting>
  <pageMargins left="0.7" right="0.7" top="0.75" bottom="0.75" header="0" footer="0"/>
  <pageSetup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4.6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Info!B1:BJ5000""),4,FALSE),"""")"),"Heavy Duty Vinyl Zippered Waterproof Bed Bug Proof Mattress Protector - 16-Inch Depth - Full")</f>
        <v>Heavy Duty Vinyl Zippered Waterproof Bed Bug Proof Mattress Protector - 16-Inch Depth - Full</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Info!B1:BJ5000""),3,FALSE),"""")"),"B00IOWBJU6")</f>
        <v>B00IOWBJU6</v>
      </c>
      <c r="B2" s="4" t="s">
        <v>841</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18.324515151515058</v>
      </c>
      <c r="D3" s="8">
        <f>SUM(D4:D99819)</f>
        <v>6</v>
      </c>
      <c r="E3" s="8"/>
      <c r="F3" s="9">
        <f t="shared" ref="F3:G3" si="0">SUM(F4:F99819)</f>
        <v>150.82</v>
      </c>
      <c r="G3" s="9">
        <f t="shared" si="0"/>
        <v>-26.69</v>
      </c>
      <c r="H3" s="10">
        <f>G3/F3*-1</f>
        <v>0.17696591963930514</v>
      </c>
      <c r="I3" s="11">
        <f>J3/F3</f>
        <v>-1.1089061614685104E-2</v>
      </c>
      <c r="J3" s="9">
        <f>SUM(J4:J99819)</f>
        <v>-1.6724522727268072</v>
      </c>
      <c r="K3" s="9">
        <f>J3/D3</f>
        <v>-0.27874204545446785</v>
      </c>
      <c r="L3" s="8"/>
      <c r="M3" s="12"/>
      <c r="N3" s="13"/>
      <c r="O3" s="8" t="str">
        <f ca="1">IFERROR(__xludf.DUMMYFUNCTION("IFERROR(VLOOKUP(B2,IMPORTRANGE(""https://docs.google.com/spreadsheets/d/1owCo6kL_VFQ5nPTdNogErmCBLjNiktT1m3SzTrxu3R0/edit#gid=2146806407"",""Second Star - Compiled!b1:g5000""),2,FALSE),"""")"),"0 - March
0 - April
0 - May
0 - Jun
0 - Jul
0 - Aug
0 - Sept
0 - Oct
0 - Nov
0 - Dec
0 - Jan
0 - Feb")</f>
        <v>0 - March
0 - April
0 - May
0 - Jun
0 - Jul
0 - Aug
0 - Sept
0 - Oct
0 - Nov
0 - Dec
0 - Jan
0 - Feb</v>
      </c>
      <c r="P3" s="8"/>
      <c r="Q3" s="14"/>
      <c r="R3" s="13"/>
      <c r="S3" s="13"/>
      <c r="T3" s="13"/>
      <c r="U3" s="8">
        <f>SUM(U4:U99819)</f>
        <v>0</v>
      </c>
      <c r="V3" s="10">
        <f>AVERAGE(V4:V99819)</f>
        <v>0</v>
      </c>
      <c r="W3" s="9">
        <f>ROUND(AVERAGE(W4:W99819),2)</f>
        <v>1.27</v>
      </c>
      <c r="X3" s="8"/>
      <c r="Y3" s="8"/>
      <c r="Z3" s="8"/>
      <c r="AA3" s="8"/>
      <c r="AB3" s="8"/>
      <c r="AC3" s="15"/>
      <c r="AD3" s="9"/>
      <c r="AE3" s="9">
        <f>SUM(AE4:AE99819)</f>
        <v>0</v>
      </c>
      <c r="AF3" s="16"/>
    </row>
    <row r="4" spans="1:32" s="57" customFormat="1" hidden="1">
      <c r="A4" s="17"/>
      <c r="B4" s="17"/>
      <c r="C4" s="50"/>
      <c r="D4" s="51"/>
      <c r="E4" s="51"/>
      <c r="F4" s="51"/>
      <c r="G4" s="51"/>
      <c r="H4" s="51"/>
      <c r="I4" s="51"/>
      <c r="J4" s="51"/>
      <c r="K4" s="51"/>
      <c r="L4" s="51"/>
      <c r="M4" s="51"/>
      <c r="N4" s="51"/>
      <c r="O4" s="51"/>
      <c r="P4" s="51"/>
      <c r="Q4" s="51"/>
      <c r="R4" s="52"/>
      <c r="S4" s="53"/>
      <c r="T4" s="54"/>
      <c r="U4" s="52"/>
      <c r="V4" s="55"/>
      <c r="W4" s="55"/>
      <c r="X4" s="52"/>
      <c r="Y4" s="56"/>
      <c r="Z4" s="56"/>
      <c r="AA4" s="55"/>
      <c r="AB4" s="55"/>
      <c r="AC4" s="55"/>
      <c r="AD4" s="55"/>
      <c r="AE4" s="55"/>
      <c r="AF4" s="55"/>
    </row>
    <row r="5" spans="1:32" s="57" customFormat="1" ht="15.75" hidden="1" customHeight="1">
      <c r="A5" s="17"/>
      <c r="B5" s="2"/>
      <c r="C5" s="51"/>
      <c r="D5" s="51"/>
      <c r="E5" s="51"/>
      <c r="F5" s="51"/>
      <c r="G5" s="51"/>
      <c r="H5" s="51"/>
      <c r="I5" s="51"/>
      <c r="J5" s="51"/>
      <c r="K5" s="51"/>
      <c r="L5" s="51"/>
      <c r="M5" s="51"/>
      <c r="N5" s="51"/>
      <c r="O5" s="51"/>
      <c r="P5" s="51"/>
      <c r="Q5" s="51"/>
      <c r="R5" s="52"/>
      <c r="S5" s="53"/>
      <c r="T5" s="54"/>
      <c r="U5" s="52"/>
      <c r="V5" s="55"/>
      <c r="W5" s="55"/>
      <c r="X5" s="52"/>
      <c r="Y5" s="52"/>
      <c r="Z5" s="56"/>
      <c r="AA5" s="55"/>
      <c r="AB5" s="55"/>
      <c r="AC5" s="55"/>
      <c r="AD5" s="55"/>
      <c r="AE5" s="55"/>
      <c r="AF5" s="55"/>
    </row>
    <row r="6" spans="1:32" s="57" customFormat="1" ht="15.75" hidden="1" customHeight="1">
      <c r="A6" s="17"/>
      <c r="B6" s="2"/>
      <c r="C6" s="51"/>
      <c r="D6" s="51"/>
      <c r="E6" s="51"/>
      <c r="F6" s="51"/>
      <c r="G6" s="51"/>
      <c r="H6" s="51"/>
      <c r="I6" s="51"/>
      <c r="J6" s="51"/>
      <c r="K6" s="51"/>
      <c r="L6" s="51"/>
      <c r="M6" s="51"/>
      <c r="N6" s="51"/>
      <c r="O6" s="51"/>
      <c r="P6" s="51"/>
      <c r="Q6" s="51"/>
      <c r="R6" s="52"/>
      <c r="S6" s="53"/>
      <c r="T6" s="54"/>
      <c r="U6" s="52"/>
      <c r="V6" s="55"/>
      <c r="W6" s="55"/>
      <c r="X6" s="52"/>
      <c r="Y6" s="52"/>
      <c r="Z6" s="56"/>
      <c r="AA6" s="55"/>
      <c r="AB6" s="55"/>
      <c r="AC6" s="55"/>
      <c r="AD6" s="55"/>
      <c r="AE6" s="55"/>
      <c r="AF6" s="55"/>
    </row>
    <row r="7" spans="1:32" s="57" customFormat="1" ht="15.75" hidden="1" customHeight="1">
      <c r="A7" s="17"/>
      <c r="B7" s="2"/>
      <c r="C7" s="51"/>
      <c r="D7" s="51"/>
      <c r="E7" s="51"/>
      <c r="F7" s="51"/>
      <c r="G7" s="51"/>
      <c r="H7" s="51"/>
      <c r="I7" s="51"/>
      <c r="J7" s="51"/>
      <c r="K7" s="51"/>
      <c r="L7" s="51"/>
      <c r="M7" s="51"/>
      <c r="N7" s="51"/>
      <c r="O7" s="51"/>
      <c r="P7" s="51"/>
      <c r="Q7" s="51"/>
      <c r="R7" s="52"/>
      <c r="S7" s="53"/>
      <c r="T7" s="54"/>
      <c r="U7" s="52"/>
      <c r="V7" s="55"/>
      <c r="W7" s="55"/>
      <c r="X7" s="52"/>
      <c r="Y7" s="52"/>
      <c r="Z7" s="56"/>
      <c r="AA7" s="55"/>
      <c r="AB7" s="55"/>
      <c r="AC7" s="55"/>
      <c r="AD7" s="55"/>
      <c r="AE7" s="55"/>
      <c r="AF7" s="55"/>
    </row>
    <row r="8" spans="1:32" s="57" customFormat="1" ht="15.75" hidden="1" customHeight="1">
      <c r="A8" s="17"/>
      <c r="B8" s="2"/>
      <c r="C8" s="51"/>
      <c r="D8" s="51"/>
      <c r="E8" s="51"/>
      <c r="F8" s="51"/>
      <c r="G8" s="51"/>
      <c r="H8" s="51"/>
      <c r="I8" s="51"/>
      <c r="J8" s="51"/>
      <c r="K8" s="51"/>
      <c r="L8" s="51"/>
      <c r="M8" s="51"/>
      <c r="N8" s="51"/>
      <c r="O8" s="51"/>
      <c r="P8" s="51"/>
      <c r="Q8" s="51"/>
      <c r="R8" s="52"/>
      <c r="S8" s="53"/>
      <c r="T8" s="54"/>
      <c r="U8" s="52"/>
      <c r="V8" s="55"/>
      <c r="W8" s="55"/>
      <c r="X8" s="52"/>
      <c r="Y8" s="52"/>
      <c r="Z8" s="56"/>
      <c r="AA8" s="55"/>
      <c r="AB8" s="55"/>
      <c r="AC8" s="55"/>
      <c r="AD8" s="55"/>
      <c r="AE8" s="55"/>
      <c r="AF8" s="55"/>
    </row>
    <row r="9" spans="1:32" s="57" customFormat="1" ht="15.75" hidden="1" customHeight="1">
      <c r="A9" s="17"/>
      <c r="B9" s="2"/>
      <c r="C9" s="51"/>
      <c r="D9" s="51"/>
      <c r="E9" s="51"/>
      <c r="F9" s="51"/>
      <c r="G9" s="51"/>
      <c r="H9" s="51"/>
      <c r="I9" s="51"/>
      <c r="J9" s="51"/>
      <c r="K9" s="51"/>
      <c r="L9" s="51"/>
      <c r="M9" s="51"/>
      <c r="N9" s="51"/>
      <c r="O9" s="51"/>
      <c r="P9" s="51"/>
      <c r="Q9" s="51"/>
      <c r="R9" s="52"/>
      <c r="S9" s="53"/>
      <c r="T9" s="54"/>
      <c r="U9" s="52"/>
      <c r="V9" s="55"/>
      <c r="W9" s="55"/>
      <c r="X9" s="52"/>
      <c r="Y9" s="52"/>
      <c r="Z9" s="56"/>
      <c r="AA9" s="55"/>
      <c r="AB9" s="55"/>
      <c r="AC9" s="55"/>
      <c r="AD9" s="55"/>
      <c r="AE9" s="55"/>
      <c r="AF9" s="55"/>
    </row>
    <row r="10" spans="1:32" s="57" customFormat="1" ht="15.75" hidden="1" customHeight="1">
      <c r="A10" s="17"/>
      <c r="B10" s="2"/>
      <c r="C10" s="51"/>
      <c r="D10" s="51"/>
      <c r="E10" s="51"/>
      <c r="F10" s="51"/>
      <c r="G10" s="51"/>
      <c r="H10" s="51"/>
      <c r="I10" s="51"/>
      <c r="J10" s="51"/>
      <c r="K10" s="51"/>
      <c r="L10" s="51"/>
      <c r="M10" s="51"/>
      <c r="N10" s="51"/>
      <c r="O10" s="51"/>
      <c r="P10" s="51"/>
      <c r="Q10" s="51"/>
      <c r="R10" s="52"/>
      <c r="S10" s="53"/>
      <c r="T10" s="54"/>
      <c r="U10" s="52"/>
      <c r="V10" s="55"/>
      <c r="W10" s="55"/>
      <c r="X10" s="52"/>
      <c r="Y10" s="52"/>
      <c r="Z10" s="56"/>
      <c r="AA10" s="55"/>
      <c r="AB10" s="55"/>
      <c r="AC10" s="55"/>
      <c r="AD10" s="55"/>
      <c r="AE10" s="55"/>
      <c r="AF10" s="55"/>
    </row>
    <row r="11" spans="1:32" s="57" customFormat="1" ht="15.75" hidden="1" customHeight="1">
      <c r="A11" s="17"/>
      <c r="B11" s="17"/>
      <c r="C11" s="51"/>
      <c r="D11" s="51"/>
      <c r="E11" s="51"/>
      <c r="F11" s="51"/>
      <c r="G11" s="51"/>
      <c r="H11" s="51"/>
      <c r="I11" s="51"/>
      <c r="J11" s="51"/>
      <c r="K11" s="51"/>
      <c r="L11" s="51"/>
      <c r="M11" s="51"/>
      <c r="N11" s="51"/>
      <c r="O11" s="51"/>
      <c r="P11" s="51"/>
      <c r="Q11" s="51"/>
      <c r="R11" s="52"/>
      <c r="S11" s="53"/>
      <c r="T11" s="54"/>
      <c r="U11" s="52"/>
      <c r="V11" s="55"/>
      <c r="W11" s="55"/>
      <c r="X11" s="52"/>
      <c r="Y11" s="52"/>
      <c r="Z11" s="56"/>
      <c r="AA11" s="55"/>
      <c r="AB11" s="55"/>
      <c r="AC11" s="55"/>
      <c r="AD11" s="55"/>
      <c r="AE11" s="55"/>
      <c r="AF11" s="55"/>
    </row>
    <row r="12" spans="1:32" s="57" customFormat="1" ht="15.75" hidden="1" customHeight="1">
      <c r="A12" s="17"/>
      <c r="B12" s="2"/>
      <c r="C12" s="51"/>
      <c r="D12" s="51"/>
      <c r="E12" s="51"/>
      <c r="F12" s="51"/>
      <c r="G12" s="51"/>
      <c r="H12" s="51"/>
      <c r="I12" s="51"/>
      <c r="J12" s="51"/>
      <c r="K12" s="51"/>
      <c r="L12" s="51"/>
      <c r="M12" s="51"/>
      <c r="N12" s="51"/>
      <c r="O12" s="51"/>
      <c r="P12" s="51"/>
      <c r="Q12" s="51"/>
      <c r="R12" s="52"/>
      <c r="S12" s="53"/>
      <c r="T12" s="54"/>
      <c r="U12" s="52"/>
      <c r="V12" s="55"/>
      <c r="W12" s="55"/>
      <c r="X12" s="52"/>
      <c r="Y12" s="52"/>
      <c r="Z12" s="56"/>
      <c r="AA12" s="55"/>
      <c r="AB12" s="55"/>
      <c r="AC12" s="55"/>
      <c r="AD12" s="55"/>
      <c r="AE12" s="55"/>
      <c r="AF12" s="55"/>
    </row>
    <row r="13" spans="1:32" s="57" customFormat="1" ht="15.75" hidden="1" customHeight="1">
      <c r="A13" s="17"/>
      <c r="B13" s="2"/>
      <c r="C13" s="51"/>
      <c r="D13" s="51"/>
      <c r="E13" s="51"/>
      <c r="F13" s="51"/>
      <c r="G13" s="51"/>
      <c r="H13" s="51"/>
      <c r="I13" s="51"/>
      <c r="J13" s="51"/>
      <c r="K13" s="51"/>
      <c r="L13" s="51"/>
      <c r="M13" s="51"/>
      <c r="N13" s="51"/>
      <c r="O13" s="51"/>
      <c r="P13" s="51"/>
      <c r="Q13" s="51"/>
      <c r="R13" s="52"/>
      <c r="S13" s="53"/>
      <c r="T13" s="54"/>
      <c r="U13" s="52"/>
      <c r="V13" s="55"/>
      <c r="W13" s="55"/>
      <c r="X13" s="52"/>
      <c r="Y13" s="52"/>
      <c r="Z13" s="56"/>
      <c r="AA13" s="55"/>
      <c r="AB13" s="55"/>
      <c r="AC13" s="55"/>
      <c r="AD13" s="55"/>
      <c r="AE13" s="55"/>
      <c r="AF13" s="55"/>
    </row>
    <row r="14" spans="1:32" s="57" customFormat="1" ht="15.75" hidden="1" customHeight="1">
      <c r="A14" s="17"/>
      <c r="B14" s="2"/>
      <c r="C14" s="51"/>
      <c r="D14" s="51"/>
      <c r="E14" s="51"/>
      <c r="F14" s="51"/>
      <c r="G14" s="51"/>
      <c r="H14" s="51"/>
      <c r="I14" s="51"/>
      <c r="J14" s="51"/>
      <c r="K14" s="51"/>
      <c r="L14" s="51"/>
      <c r="M14" s="51"/>
      <c r="N14" s="51"/>
      <c r="O14" s="51"/>
      <c r="P14" s="51"/>
      <c r="Q14" s="51"/>
      <c r="R14" s="52"/>
      <c r="S14" s="53"/>
      <c r="T14" s="54"/>
      <c r="U14" s="52"/>
      <c r="V14" s="55"/>
      <c r="W14" s="55"/>
      <c r="X14" s="52"/>
      <c r="Y14" s="52"/>
      <c r="Z14" s="56"/>
      <c r="AA14" s="55"/>
      <c r="AB14" s="55"/>
      <c r="AC14" s="55"/>
      <c r="AD14" s="55"/>
      <c r="AE14" s="55"/>
      <c r="AF14" s="55"/>
    </row>
    <row r="15" spans="1:32" s="57" customFormat="1" ht="15.75" hidden="1" customHeight="1">
      <c r="A15" s="17"/>
      <c r="B15" s="2"/>
      <c r="C15" s="51"/>
      <c r="D15" s="51"/>
      <c r="E15" s="51"/>
      <c r="F15" s="51"/>
      <c r="G15" s="51"/>
      <c r="H15" s="51"/>
      <c r="I15" s="51"/>
      <c r="J15" s="51"/>
      <c r="K15" s="51"/>
      <c r="L15" s="51"/>
      <c r="M15" s="51"/>
      <c r="N15" s="51"/>
      <c r="O15" s="51"/>
      <c r="P15" s="51"/>
      <c r="Q15" s="51"/>
      <c r="R15" s="52"/>
      <c r="S15" s="53"/>
      <c r="T15" s="54"/>
      <c r="U15" s="52"/>
      <c r="V15" s="55"/>
      <c r="W15" s="55"/>
      <c r="X15" s="52"/>
      <c r="Y15" s="52"/>
      <c r="Z15" s="56"/>
      <c r="AA15" s="55"/>
      <c r="AB15" s="55"/>
      <c r="AC15" s="55"/>
      <c r="AD15" s="55"/>
      <c r="AE15" s="55"/>
      <c r="AF15" s="55"/>
    </row>
    <row r="16" spans="1:32" s="57" customFormat="1" ht="15.75" hidden="1" customHeight="1">
      <c r="A16" s="17"/>
      <c r="B16" s="2"/>
      <c r="C16" s="51"/>
      <c r="D16" s="51"/>
      <c r="E16" s="51"/>
      <c r="F16" s="51"/>
      <c r="G16" s="51"/>
      <c r="H16" s="51"/>
      <c r="I16" s="51"/>
      <c r="J16" s="51"/>
      <c r="K16" s="51"/>
      <c r="L16" s="51"/>
      <c r="M16" s="51"/>
      <c r="N16" s="51"/>
      <c r="O16" s="51"/>
      <c r="P16" s="51"/>
      <c r="Q16" s="51"/>
      <c r="R16" s="52"/>
      <c r="S16" s="53"/>
      <c r="T16" s="54"/>
      <c r="U16" s="52"/>
      <c r="V16" s="55"/>
      <c r="W16" s="55"/>
      <c r="X16" s="52"/>
      <c r="Y16" s="52"/>
      <c r="Z16" s="56"/>
      <c r="AA16" s="55"/>
      <c r="AB16" s="55"/>
      <c r="AC16" s="55"/>
      <c r="AD16" s="55"/>
      <c r="AE16" s="55"/>
      <c r="AF16" s="55"/>
    </row>
    <row r="17" spans="1:32" s="57" customFormat="1" ht="15.75" hidden="1" customHeight="1">
      <c r="A17" s="17"/>
      <c r="B17" s="2"/>
      <c r="C17" s="51"/>
      <c r="D17" s="51"/>
      <c r="E17" s="51"/>
      <c r="F17" s="51"/>
      <c r="G17" s="51"/>
      <c r="H17" s="51"/>
      <c r="I17" s="51"/>
      <c r="J17" s="51"/>
      <c r="K17" s="51"/>
      <c r="L17" s="51"/>
      <c r="M17" s="51"/>
      <c r="N17" s="51"/>
      <c r="O17" s="51"/>
      <c r="P17" s="51"/>
      <c r="Q17" s="51"/>
      <c r="R17" s="52"/>
      <c r="S17" s="53"/>
      <c r="T17" s="54"/>
      <c r="U17" s="52"/>
      <c r="V17" s="55"/>
      <c r="W17" s="55"/>
      <c r="X17" s="52"/>
      <c r="Y17" s="52"/>
      <c r="Z17" s="56"/>
      <c r="AA17" s="55"/>
      <c r="AB17" s="55"/>
      <c r="AC17" s="55"/>
      <c r="AD17" s="55"/>
      <c r="AE17" s="55"/>
      <c r="AF17" s="55"/>
    </row>
    <row r="18" spans="1:32" s="57" customFormat="1" ht="15.75" hidden="1" customHeight="1">
      <c r="A18" s="2"/>
      <c r="B18" s="2"/>
      <c r="C18" s="51"/>
      <c r="D18" s="51"/>
      <c r="E18" s="51"/>
      <c r="F18" s="51"/>
      <c r="G18" s="51"/>
      <c r="H18" s="51"/>
      <c r="I18" s="51"/>
      <c r="J18" s="51"/>
      <c r="K18" s="51"/>
      <c r="L18" s="51"/>
      <c r="M18" s="51"/>
      <c r="N18" s="51"/>
      <c r="O18" s="51"/>
      <c r="P18" s="51"/>
      <c r="Q18" s="51"/>
      <c r="R18" s="55"/>
      <c r="S18" s="53"/>
      <c r="T18" s="54"/>
      <c r="U18" s="55"/>
      <c r="V18" s="55"/>
      <c r="W18" s="55"/>
      <c r="X18" s="55"/>
      <c r="Y18" s="55"/>
      <c r="Z18" s="56"/>
      <c r="AA18" s="55"/>
      <c r="AB18" s="58"/>
      <c r="AC18" s="55"/>
      <c r="AD18" s="55"/>
      <c r="AE18" s="55"/>
      <c r="AF18" s="55"/>
    </row>
    <row r="19" spans="1:32" s="57" customFormat="1" ht="15.75" hidden="1" customHeight="1">
      <c r="A19" s="17"/>
      <c r="B19" s="2"/>
      <c r="C19" s="51"/>
      <c r="D19" s="51"/>
      <c r="E19" s="51"/>
      <c r="F19" s="51"/>
      <c r="G19" s="51"/>
      <c r="H19" s="51"/>
      <c r="I19" s="51"/>
      <c r="J19" s="51"/>
      <c r="K19" s="51"/>
      <c r="L19" s="51"/>
      <c r="M19" s="51"/>
      <c r="N19" s="51"/>
      <c r="O19" s="51"/>
      <c r="P19" s="51"/>
      <c r="Q19" s="51"/>
      <c r="R19" s="52"/>
      <c r="S19" s="53"/>
      <c r="T19" s="54"/>
      <c r="U19" s="55"/>
      <c r="V19" s="55"/>
      <c r="W19" s="55"/>
      <c r="X19" s="52"/>
      <c r="Y19" s="52"/>
      <c r="Z19" s="56"/>
      <c r="AA19" s="55"/>
      <c r="AB19" s="55"/>
      <c r="AC19" s="55"/>
      <c r="AD19" s="55"/>
      <c r="AE19" s="55"/>
      <c r="AF19" s="55"/>
    </row>
    <row r="20" spans="1:32" s="57" customFormat="1" ht="15.75" hidden="1" customHeight="1">
      <c r="A20" s="17"/>
      <c r="B20" s="2"/>
      <c r="C20" s="51"/>
      <c r="D20" s="51"/>
      <c r="E20" s="51"/>
      <c r="F20" s="51"/>
      <c r="G20" s="51"/>
      <c r="H20" s="51"/>
      <c r="I20" s="51"/>
      <c r="J20" s="51"/>
      <c r="K20" s="51"/>
      <c r="L20" s="51"/>
      <c r="M20" s="51"/>
      <c r="N20" s="51"/>
      <c r="O20" s="51"/>
      <c r="P20" s="51"/>
      <c r="Q20" s="51"/>
      <c r="R20" s="52"/>
      <c r="S20" s="53"/>
      <c r="T20" s="54"/>
      <c r="U20" s="52"/>
      <c r="V20" s="55"/>
      <c r="W20" s="55"/>
      <c r="X20" s="52"/>
      <c r="Y20" s="52"/>
      <c r="Z20" s="56"/>
      <c r="AA20" s="55"/>
      <c r="AB20" s="55"/>
      <c r="AC20" s="55"/>
      <c r="AD20" s="55"/>
      <c r="AE20" s="55"/>
      <c r="AF20" s="55"/>
    </row>
    <row r="21" spans="1:32" s="57" customFormat="1" ht="15.75" hidden="1" customHeight="1">
      <c r="A21" s="17"/>
      <c r="B21" s="2"/>
      <c r="C21" s="51"/>
      <c r="D21" s="51"/>
      <c r="E21" s="51"/>
      <c r="F21" s="51"/>
      <c r="G21" s="51"/>
      <c r="H21" s="51"/>
      <c r="I21" s="51"/>
      <c r="J21" s="51"/>
      <c r="K21" s="51"/>
      <c r="L21" s="51"/>
      <c r="M21" s="51"/>
      <c r="N21" s="51"/>
      <c r="O21" s="51"/>
      <c r="P21" s="51"/>
      <c r="Q21" s="51"/>
      <c r="R21" s="52"/>
      <c r="S21" s="53"/>
      <c r="T21" s="54"/>
      <c r="U21" s="52"/>
      <c r="V21" s="55"/>
      <c r="W21" s="55"/>
      <c r="X21" s="52"/>
      <c r="Y21" s="52"/>
      <c r="Z21" s="56"/>
      <c r="AA21" s="55"/>
      <c r="AB21" s="55"/>
      <c r="AC21" s="55"/>
      <c r="AD21" s="55"/>
      <c r="AE21" s="55"/>
      <c r="AF21" s="55"/>
    </row>
    <row r="22" spans="1:32" s="57" customFormat="1" ht="15.75" hidden="1" customHeight="1">
      <c r="A22" s="17"/>
      <c r="B22" s="2"/>
      <c r="C22" s="51"/>
      <c r="D22" s="51"/>
      <c r="E22" s="51"/>
      <c r="F22" s="51"/>
      <c r="G22" s="51"/>
      <c r="H22" s="51"/>
      <c r="I22" s="51"/>
      <c r="J22" s="51"/>
      <c r="K22" s="51"/>
      <c r="L22" s="51"/>
      <c r="M22" s="51"/>
      <c r="N22" s="51"/>
      <c r="O22" s="51"/>
      <c r="P22" s="51"/>
      <c r="Q22" s="51"/>
      <c r="R22" s="52"/>
      <c r="S22" s="53"/>
      <c r="T22" s="54"/>
      <c r="U22" s="52"/>
      <c r="V22" s="55"/>
      <c r="W22" s="55"/>
      <c r="X22" s="52"/>
      <c r="Y22" s="52"/>
      <c r="Z22" s="56"/>
      <c r="AA22" s="55"/>
      <c r="AB22" s="55"/>
      <c r="AC22" s="55"/>
      <c r="AD22" s="55"/>
      <c r="AE22" s="55"/>
      <c r="AF22" s="55"/>
    </row>
    <row r="23" spans="1:32" s="57" customFormat="1" ht="15.75" hidden="1" customHeight="1">
      <c r="A23" s="17"/>
      <c r="B23" s="2"/>
      <c r="C23" s="51"/>
      <c r="D23" s="51"/>
      <c r="E23" s="51"/>
      <c r="F23" s="51"/>
      <c r="G23" s="51"/>
      <c r="H23" s="51"/>
      <c r="I23" s="51"/>
      <c r="J23" s="51"/>
      <c r="K23" s="51"/>
      <c r="L23" s="51"/>
      <c r="M23" s="51"/>
      <c r="N23" s="51"/>
      <c r="O23" s="51"/>
      <c r="P23" s="51"/>
      <c r="Q23" s="51"/>
      <c r="R23" s="52"/>
      <c r="S23" s="53"/>
      <c r="T23" s="54"/>
      <c r="U23" s="52"/>
      <c r="V23" s="55"/>
      <c r="W23" s="55"/>
      <c r="X23" s="52"/>
      <c r="Y23" s="52"/>
      <c r="Z23" s="56"/>
      <c r="AA23" s="55"/>
      <c r="AB23" s="55"/>
      <c r="AC23" s="55"/>
      <c r="AD23" s="55"/>
      <c r="AE23" s="55"/>
      <c r="AF23" s="55"/>
    </row>
    <row r="24" spans="1:32" s="57" customFormat="1" ht="15.75" hidden="1" customHeight="1">
      <c r="A24" s="17"/>
      <c r="B24" s="2"/>
      <c r="C24" s="51"/>
      <c r="D24" s="51"/>
      <c r="E24" s="51"/>
      <c r="F24" s="51"/>
      <c r="G24" s="51"/>
      <c r="H24" s="51"/>
      <c r="I24" s="51"/>
      <c r="J24" s="51"/>
      <c r="K24" s="51"/>
      <c r="L24" s="51"/>
      <c r="M24" s="51"/>
      <c r="N24" s="51"/>
      <c r="O24" s="51"/>
      <c r="P24" s="51"/>
      <c r="Q24" s="51"/>
      <c r="R24" s="52"/>
      <c r="S24" s="53"/>
      <c r="T24" s="54"/>
      <c r="U24" s="52"/>
      <c r="V24" s="55"/>
      <c r="W24" s="55"/>
      <c r="X24" s="52"/>
      <c r="Y24" s="52"/>
      <c r="Z24" s="56"/>
      <c r="AA24" s="55"/>
      <c r="AB24" s="55"/>
      <c r="AC24" s="55"/>
      <c r="AD24" s="55"/>
      <c r="AE24" s="55"/>
      <c r="AF24" s="55"/>
    </row>
    <row r="25" spans="1:32" s="57" customFormat="1" ht="15.75" hidden="1" customHeight="1">
      <c r="A25" s="17"/>
      <c r="B25" s="2"/>
      <c r="C25" s="51"/>
      <c r="D25" s="51"/>
      <c r="E25" s="51"/>
      <c r="F25" s="51"/>
      <c r="G25" s="51"/>
      <c r="H25" s="51"/>
      <c r="I25" s="51"/>
      <c r="J25" s="51"/>
      <c r="K25" s="51"/>
      <c r="L25" s="51"/>
      <c r="M25" s="51"/>
      <c r="N25" s="51"/>
      <c r="O25" s="51"/>
      <c r="P25" s="51"/>
      <c r="Q25" s="51"/>
      <c r="R25" s="52"/>
      <c r="S25" s="53"/>
      <c r="T25" s="54"/>
      <c r="U25" s="52"/>
      <c r="V25" s="55"/>
      <c r="W25" s="55"/>
      <c r="X25" s="52"/>
      <c r="Y25" s="52"/>
      <c r="Z25" s="56"/>
      <c r="AA25" s="55"/>
      <c r="AB25" s="55"/>
      <c r="AC25" s="55"/>
      <c r="AD25" s="55"/>
      <c r="AE25" s="55"/>
      <c r="AF25" s="55"/>
    </row>
    <row r="26" spans="1:32" s="57" customFormat="1" ht="15.75" hidden="1" customHeight="1">
      <c r="A26" s="17"/>
      <c r="B26" s="2"/>
      <c r="C26" s="51"/>
      <c r="D26" s="51"/>
      <c r="E26" s="51"/>
      <c r="F26" s="51"/>
      <c r="G26" s="51"/>
      <c r="H26" s="51"/>
      <c r="I26" s="51"/>
      <c r="J26" s="51"/>
      <c r="K26" s="51"/>
      <c r="L26" s="51"/>
      <c r="M26" s="51"/>
      <c r="N26" s="51"/>
      <c r="O26" s="51"/>
      <c r="P26" s="51"/>
      <c r="Q26" s="51"/>
      <c r="R26" s="52"/>
      <c r="S26" s="53"/>
      <c r="T26" s="54"/>
      <c r="U26" s="52"/>
      <c r="V26" s="55"/>
      <c r="W26" s="55"/>
      <c r="X26" s="52"/>
      <c r="Y26" s="52"/>
      <c r="Z26" s="56"/>
      <c r="AA26" s="55"/>
      <c r="AB26" s="55"/>
      <c r="AC26" s="55"/>
      <c r="AD26" s="55"/>
      <c r="AE26" s="55"/>
      <c r="AF26" s="55"/>
    </row>
    <row r="27" spans="1:32" s="57" customFormat="1" ht="15.75" hidden="1" customHeight="1">
      <c r="A27" s="17"/>
      <c r="B27" s="2"/>
      <c r="C27" s="51"/>
      <c r="D27" s="51"/>
      <c r="E27" s="51"/>
      <c r="F27" s="51"/>
      <c r="G27" s="51"/>
      <c r="H27" s="51"/>
      <c r="I27" s="51"/>
      <c r="J27" s="51"/>
      <c r="K27" s="51"/>
      <c r="L27" s="51"/>
      <c r="M27" s="51"/>
      <c r="N27" s="51"/>
      <c r="O27" s="51"/>
      <c r="P27" s="51"/>
      <c r="Q27" s="51"/>
      <c r="R27" s="52"/>
      <c r="S27" s="53"/>
      <c r="T27" s="54"/>
      <c r="U27" s="52"/>
      <c r="V27" s="55"/>
      <c r="W27" s="55"/>
      <c r="X27" s="52"/>
      <c r="Y27" s="52"/>
      <c r="Z27" s="56"/>
      <c r="AA27" s="55"/>
      <c r="AB27" s="55"/>
      <c r="AC27" s="55"/>
      <c r="AD27" s="55"/>
      <c r="AE27" s="55"/>
      <c r="AF27" s="55"/>
    </row>
    <row r="28" spans="1:32" s="57" customFormat="1" ht="15.75" hidden="1" customHeight="1">
      <c r="A28" s="17"/>
      <c r="B28" s="2"/>
      <c r="C28" s="51"/>
      <c r="D28" s="51"/>
      <c r="E28" s="51"/>
      <c r="F28" s="51"/>
      <c r="G28" s="51"/>
      <c r="H28" s="51"/>
      <c r="I28" s="51"/>
      <c r="J28" s="51"/>
      <c r="K28" s="51"/>
      <c r="L28" s="51"/>
      <c r="M28" s="51"/>
      <c r="N28" s="51"/>
      <c r="O28" s="51"/>
      <c r="P28" s="51"/>
      <c r="Q28" s="51"/>
      <c r="R28" s="52"/>
      <c r="S28" s="53"/>
      <c r="T28" s="54"/>
      <c r="U28" s="52"/>
      <c r="V28" s="55"/>
      <c r="W28" s="55"/>
      <c r="X28" s="52"/>
      <c r="Y28" s="52"/>
      <c r="Z28" s="56"/>
      <c r="AA28" s="55"/>
      <c r="AB28" s="55"/>
      <c r="AC28" s="55"/>
      <c r="AD28" s="55"/>
      <c r="AE28" s="55"/>
      <c r="AF28" s="55"/>
    </row>
    <row r="29" spans="1:32" s="57" customFormat="1" ht="15.75" hidden="1" customHeight="1">
      <c r="A29" s="17"/>
      <c r="B29" s="2"/>
      <c r="C29" s="51"/>
      <c r="D29" s="51"/>
      <c r="E29" s="51"/>
      <c r="F29" s="51"/>
      <c r="G29" s="51"/>
      <c r="H29" s="51"/>
      <c r="I29" s="51"/>
      <c r="J29" s="51"/>
      <c r="K29" s="51"/>
      <c r="L29" s="51"/>
      <c r="M29" s="51"/>
      <c r="N29" s="51"/>
      <c r="O29" s="51"/>
      <c r="P29" s="51"/>
      <c r="Q29" s="51"/>
      <c r="R29" s="52"/>
      <c r="S29" s="53"/>
      <c r="T29" s="54"/>
      <c r="U29" s="52"/>
      <c r="V29" s="55"/>
      <c r="W29" s="55"/>
      <c r="X29" s="52"/>
      <c r="Y29" s="52"/>
      <c r="Z29" s="56"/>
      <c r="AA29" s="55"/>
      <c r="AB29" s="55"/>
      <c r="AC29" s="55"/>
      <c r="AD29" s="55"/>
      <c r="AE29" s="55"/>
      <c r="AF29" s="55"/>
    </row>
    <row r="30" spans="1:32" s="57" customFormat="1" ht="15.75" hidden="1" customHeight="1">
      <c r="A30" s="17"/>
      <c r="B30" s="2"/>
      <c r="C30" s="51"/>
      <c r="D30" s="51"/>
      <c r="E30" s="51"/>
      <c r="F30" s="51"/>
      <c r="G30" s="51"/>
      <c r="H30" s="51"/>
      <c r="I30" s="51"/>
      <c r="J30" s="51"/>
      <c r="K30" s="51"/>
      <c r="L30" s="51"/>
      <c r="M30" s="51"/>
      <c r="N30" s="51"/>
      <c r="O30" s="51"/>
      <c r="P30" s="51"/>
      <c r="Q30" s="51"/>
      <c r="R30" s="52"/>
      <c r="S30" s="53"/>
      <c r="T30" s="54"/>
      <c r="U30" s="52"/>
      <c r="V30" s="55"/>
      <c r="W30" s="55"/>
      <c r="X30" s="52"/>
      <c r="Y30" s="52"/>
      <c r="Z30" s="56"/>
      <c r="AA30" s="55"/>
      <c r="AB30" s="55"/>
      <c r="AC30" s="55"/>
      <c r="AD30" s="55"/>
      <c r="AE30" s="55"/>
      <c r="AF30" s="55"/>
    </row>
    <row r="31" spans="1:32" s="57" customFormat="1" ht="15.75" hidden="1" customHeight="1">
      <c r="A31" s="17"/>
      <c r="B31" s="2"/>
      <c r="C31" s="51"/>
      <c r="D31" s="51"/>
      <c r="E31" s="51"/>
      <c r="F31" s="51"/>
      <c r="G31" s="51"/>
      <c r="H31" s="51"/>
      <c r="I31" s="51"/>
      <c r="J31" s="51"/>
      <c r="K31" s="51"/>
      <c r="L31" s="51"/>
      <c r="M31" s="51"/>
      <c r="N31" s="51"/>
      <c r="O31" s="51"/>
      <c r="P31" s="51"/>
      <c r="Q31" s="51"/>
      <c r="R31" s="52"/>
      <c r="S31" s="53"/>
      <c r="T31" s="54"/>
      <c r="U31" s="52"/>
      <c r="V31" s="55"/>
      <c r="W31" s="55"/>
      <c r="X31" s="52"/>
      <c r="Y31" s="52"/>
      <c r="Z31" s="56"/>
      <c r="AA31" s="55"/>
      <c r="AB31" s="55"/>
      <c r="AC31" s="55"/>
      <c r="AD31" s="55"/>
      <c r="AE31" s="55"/>
      <c r="AF31" s="55"/>
    </row>
    <row r="32" spans="1:32" s="57" customFormat="1" ht="15.75" hidden="1" customHeight="1">
      <c r="A32" s="17"/>
      <c r="B32" s="2"/>
      <c r="C32" s="51"/>
      <c r="D32" s="51"/>
      <c r="E32" s="51"/>
      <c r="F32" s="51"/>
      <c r="G32" s="51"/>
      <c r="H32" s="51"/>
      <c r="I32" s="51"/>
      <c r="J32" s="51"/>
      <c r="K32" s="51"/>
      <c r="L32" s="51"/>
      <c r="M32" s="51"/>
      <c r="N32" s="51"/>
      <c r="O32" s="51"/>
      <c r="P32" s="51"/>
      <c r="Q32" s="51"/>
      <c r="R32" s="52"/>
      <c r="S32" s="53"/>
      <c r="T32" s="54"/>
      <c r="U32" s="52"/>
      <c r="V32" s="55"/>
      <c r="W32" s="55"/>
      <c r="X32" s="52"/>
      <c r="Y32" s="52"/>
      <c r="Z32" s="56"/>
      <c r="AA32" s="55"/>
      <c r="AB32" s="55"/>
      <c r="AC32" s="55"/>
      <c r="AD32" s="55"/>
      <c r="AE32" s="55"/>
      <c r="AF32" s="52"/>
    </row>
    <row r="33" spans="1:32" s="57" customFormat="1" ht="15.75" hidden="1" customHeight="1">
      <c r="A33" s="17"/>
      <c r="B33" s="2"/>
      <c r="C33" s="51"/>
      <c r="D33" s="51"/>
      <c r="E33" s="51"/>
      <c r="F33" s="51"/>
      <c r="G33" s="51"/>
      <c r="H33" s="51"/>
      <c r="I33" s="51"/>
      <c r="J33" s="51"/>
      <c r="K33" s="51"/>
      <c r="L33" s="51"/>
      <c r="M33" s="51"/>
      <c r="N33" s="51"/>
      <c r="O33" s="51"/>
      <c r="P33" s="51"/>
      <c r="Q33" s="51"/>
      <c r="R33" s="52"/>
      <c r="S33" s="53"/>
      <c r="T33" s="54"/>
      <c r="U33" s="52"/>
      <c r="V33" s="55"/>
      <c r="W33" s="55"/>
      <c r="X33" s="52"/>
      <c r="Y33" s="52"/>
      <c r="Z33" s="56"/>
      <c r="AA33" s="55"/>
      <c r="AB33" s="55"/>
      <c r="AC33" s="55"/>
      <c r="AD33" s="55"/>
      <c r="AE33" s="55"/>
      <c r="AF33" s="55"/>
    </row>
    <row r="34" spans="1:32" s="57" customFormat="1" ht="15.75" hidden="1" customHeight="1">
      <c r="A34" s="17"/>
      <c r="B34" s="2"/>
      <c r="C34" s="51"/>
      <c r="D34" s="51"/>
      <c r="E34" s="51"/>
      <c r="F34" s="51"/>
      <c r="G34" s="51"/>
      <c r="H34" s="51"/>
      <c r="I34" s="51"/>
      <c r="J34" s="51"/>
      <c r="K34" s="51"/>
      <c r="L34" s="51"/>
      <c r="M34" s="51"/>
      <c r="N34" s="51"/>
      <c r="O34" s="51"/>
      <c r="P34" s="51"/>
      <c r="Q34" s="51"/>
      <c r="R34" s="55"/>
      <c r="S34" s="53"/>
      <c r="T34" s="54"/>
      <c r="U34" s="52"/>
      <c r="V34" s="55"/>
      <c r="W34" s="55"/>
      <c r="X34" s="52"/>
      <c r="Y34" s="52"/>
      <c r="Z34" s="56"/>
      <c r="AA34" s="55"/>
      <c r="AB34" s="55"/>
      <c r="AC34" s="55"/>
      <c r="AD34" s="55"/>
      <c r="AE34" s="55"/>
      <c r="AF34" s="55"/>
    </row>
    <row r="35" spans="1:32" s="57" customFormat="1" ht="15.75" hidden="1" customHeight="1">
      <c r="A35" s="17"/>
      <c r="B35" s="2"/>
      <c r="C35" s="51"/>
      <c r="D35" s="51"/>
      <c r="E35" s="51"/>
      <c r="F35" s="51"/>
      <c r="G35" s="51"/>
      <c r="H35" s="51"/>
      <c r="I35" s="51"/>
      <c r="J35" s="51"/>
      <c r="K35" s="51"/>
      <c r="L35" s="51"/>
      <c r="M35" s="51"/>
      <c r="N35" s="51"/>
      <c r="O35" s="51"/>
      <c r="P35" s="51"/>
      <c r="Q35" s="51"/>
      <c r="R35" s="55"/>
      <c r="S35" s="53"/>
      <c r="T35" s="54"/>
      <c r="U35" s="52"/>
      <c r="V35" s="55"/>
      <c r="W35" s="55"/>
      <c r="X35" s="52"/>
      <c r="Y35" s="52"/>
      <c r="Z35" s="56"/>
      <c r="AA35" s="55"/>
      <c r="AB35" s="55"/>
      <c r="AC35" s="55"/>
      <c r="AD35" s="55"/>
      <c r="AE35" s="55"/>
      <c r="AF35" s="55"/>
    </row>
    <row r="36" spans="1:32" s="57" customFormat="1" ht="15.75" hidden="1" customHeight="1">
      <c r="A36" s="17"/>
      <c r="B36" s="2"/>
      <c r="C36" s="51"/>
      <c r="D36" s="51"/>
      <c r="E36" s="51"/>
      <c r="F36" s="51"/>
      <c r="G36" s="51"/>
      <c r="H36" s="51"/>
      <c r="I36" s="51"/>
      <c r="J36" s="51"/>
      <c r="K36" s="51"/>
      <c r="L36" s="51"/>
      <c r="M36" s="51"/>
      <c r="N36" s="51"/>
      <c r="O36" s="51"/>
      <c r="P36" s="51"/>
      <c r="Q36" s="51"/>
      <c r="R36" s="55"/>
      <c r="S36" s="53"/>
      <c r="T36" s="54"/>
      <c r="U36" s="55"/>
      <c r="V36" s="55"/>
      <c r="W36" s="55"/>
      <c r="X36" s="55"/>
      <c r="Y36" s="52"/>
      <c r="Z36" s="56"/>
      <c r="AA36" s="55"/>
      <c r="AB36" s="55"/>
      <c r="AC36" s="55"/>
      <c r="AD36" s="55"/>
      <c r="AE36" s="55"/>
      <c r="AF36" s="55"/>
    </row>
    <row r="37" spans="1:32" s="57" customFormat="1" ht="15.75" hidden="1" customHeight="1">
      <c r="A37" s="17"/>
      <c r="B37" s="2"/>
      <c r="C37" s="51"/>
      <c r="D37" s="51"/>
      <c r="E37" s="51"/>
      <c r="F37" s="51"/>
      <c r="G37" s="51"/>
      <c r="H37" s="51"/>
      <c r="I37" s="51"/>
      <c r="J37" s="51"/>
      <c r="K37" s="51"/>
      <c r="L37" s="51"/>
      <c r="M37" s="51"/>
      <c r="N37" s="51"/>
      <c r="O37" s="51"/>
      <c r="P37" s="51"/>
      <c r="Q37" s="51"/>
      <c r="R37" s="55"/>
      <c r="S37" s="53"/>
      <c r="T37" s="54"/>
      <c r="U37" s="52"/>
      <c r="V37" s="55"/>
      <c r="W37" s="55"/>
      <c r="X37" s="52"/>
      <c r="Y37" s="52"/>
      <c r="Z37" s="56"/>
      <c r="AA37" s="55"/>
      <c r="AB37" s="55"/>
      <c r="AC37" s="55"/>
      <c r="AD37" s="55"/>
      <c r="AE37" s="55"/>
      <c r="AF37" s="55"/>
    </row>
    <row r="38" spans="1:32" s="57" customFormat="1" ht="15.75" hidden="1" customHeight="1">
      <c r="A38" s="17"/>
      <c r="B38" s="2"/>
      <c r="C38" s="51"/>
      <c r="D38" s="51"/>
      <c r="E38" s="51"/>
      <c r="F38" s="51"/>
      <c r="G38" s="51"/>
      <c r="H38" s="51"/>
      <c r="I38" s="51"/>
      <c r="J38" s="51"/>
      <c r="K38" s="51"/>
      <c r="L38" s="51"/>
      <c r="M38" s="51"/>
      <c r="N38" s="51"/>
      <c r="O38" s="51"/>
      <c r="P38" s="51"/>
      <c r="Q38" s="51"/>
      <c r="R38" s="52"/>
      <c r="S38" s="53"/>
      <c r="T38" s="54"/>
      <c r="U38" s="52"/>
      <c r="V38" s="55"/>
      <c r="W38" s="55"/>
      <c r="X38" s="52"/>
      <c r="Y38" s="52"/>
      <c r="Z38" s="56"/>
      <c r="AA38" s="55"/>
      <c r="AB38" s="55"/>
      <c r="AC38" s="55"/>
      <c r="AD38" s="55"/>
      <c r="AE38" s="55"/>
      <c r="AF38" s="55"/>
    </row>
    <row r="39" spans="1:32" s="57" customFormat="1" ht="15.75" hidden="1" customHeight="1">
      <c r="A39" s="17"/>
      <c r="B39" s="2"/>
      <c r="C39" s="51"/>
      <c r="D39" s="51"/>
      <c r="E39" s="51"/>
      <c r="F39" s="51"/>
      <c r="G39" s="51"/>
      <c r="H39" s="51"/>
      <c r="I39" s="51"/>
      <c r="J39" s="51"/>
      <c r="K39" s="51"/>
      <c r="L39" s="51"/>
      <c r="M39" s="51"/>
      <c r="N39" s="51"/>
      <c r="O39" s="51"/>
      <c r="P39" s="51"/>
      <c r="Q39" s="51"/>
      <c r="R39" s="55"/>
      <c r="S39" s="53"/>
      <c r="T39" s="54"/>
      <c r="U39" s="52"/>
      <c r="V39" s="55"/>
      <c r="W39" s="55"/>
      <c r="X39" s="52"/>
      <c r="Y39" s="52"/>
      <c r="Z39" s="56"/>
      <c r="AA39" s="52"/>
      <c r="AB39" s="55"/>
      <c r="AC39" s="55"/>
      <c r="AD39" s="55"/>
      <c r="AE39" s="55"/>
      <c r="AF39" s="55"/>
    </row>
    <row r="40" spans="1:32" s="57" customFormat="1" ht="15.75" hidden="1" customHeight="1">
      <c r="A40" s="17"/>
      <c r="B40" s="2"/>
      <c r="C40" s="51"/>
      <c r="D40" s="51"/>
      <c r="E40" s="51"/>
      <c r="F40" s="51"/>
      <c r="G40" s="51"/>
      <c r="H40" s="51"/>
      <c r="I40" s="51"/>
      <c r="J40" s="51"/>
      <c r="K40" s="51"/>
      <c r="L40" s="51"/>
      <c r="M40" s="51"/>
      <c r="N40" s="51"/>
      <c r="O40" s="51"/>
      <c r="P40" s="51"/>
      <c r="Q40" s="51"/>
      <c r="R40" s="55"/>
      <c r="S40" s="53"/>
      <c r="T40" s="54"/>
      <c r="U40" s="52"/>
      <c r="V40" s="55"/>
      <c r="W40" s="55"/>
      <c r="X40" s="52"/>
      <c r="Y40" s="52"/>
      <c r="Z40" s="56"/>
      <c r="AA40" s="55"/>
      <c r="AB40" s="55"/>
      <c r="AC40" s="55"/>
      <c r="AD40" s="55"/>
      <c r="AE40" s="55"/>
      <c r="AF40" s="55"/>
    </row>
    <row r="41" spans="1:32" s="57" customFormat="1" ht="15.75" hidden="1" customHeight="1">
      <c r="A41" s="17"/>
      <c r="B41" s="2"/>
      <c r="C41" s="51"/>
      <c r="D41" s="51"/>
      <c r="E41" s="51"/>
      <c r="F41" s="51"/>
      <c r="G41" s="51"/>
      <c r="H41" s="51"/>
      <c r="I41" s="51"/>
      <c r="J41" s="51"/>
      <c r="K41" s="51"/>
      <c r="L41" s="51"/>
      <c r="M41" s="51"/>
      <c r="N41" s="51"/>
      <c r="O41" s="51"/>
      <c r="P41" s="51"/>
      <c r="Q41" s="51"/>
      <c r="R41" s="55"/>
      <c r="S41" s="53"/>
      <c r="T41" s="54"/>
      <c r="U41" s="52"/>
      <c r="V41" s="55"/>
      <c r="W41" s="55"/>
      <c r="X41" s="52"/>
      <c r="Y41" s="52"/>
      <c r="Z41" s="56"/>
      <c r="AA41" s="55"/>
      <c r="AB41" s="55"/>
      <c r="AC41" s="55"/>
      <c r="AD41" s="55"/>
      <c r="AE41" s="55"/>
      <c r="AF41" s="55"/>
    </row>
    <row r="42" spans="1:32" s="57" customFormat="1" ht="15.75" hidden="1" customHeight="1">
      <c r="A42" s="17"/>
      <c r="B42" s="2"/>
      <c r="C42" s="51"/>
      <c r="D42" s="51"/>
      <c r="E42" s="51"/>
      <c r="F42" s="51"/>
      <c r="G42" s="51"/>
      <c r="H42" s="51"/>
      <c r="I42" s="51"/>
      <c r="J42" s="51"/>
      <c r="K42" s="51"/>
      <c r="L42" s="51"/>
      <c r="M42" s="51"/>
      <c r="N42" s="51"/>
      <c r="O42" s="51"/>
      <c r="P42" s="51"/>
      <c r="Q42" s="51"/>
      <c r="R42" s="55"/>
      <c r="S42" s="53"/>
      <c r="T42" s="54"/>
      <c r="U42" s="52"/>
      <c r="V42" s="55"/>
      <c r="W42" s="55"/>
      <c r="X42" s="52"/>
      <c r="Y42" s="52"/>
      <c r="Z42" s="56"/>
      <c r="AA42" s="55"/>
      <c r="AB42" s="55"/>
      <c r="AC42" s="55"/>
      <c r="AD42" s="55"/>
      <c r="AE42" s="55"/>
      <c r="AF42" s="55"/>
    </row>
    <row r="43" spans="1:32" s="57" customFormat="1" ht="15.75" hidden="1" customHeight="1">
      <c r="A43" s="17"/>
      <c r="B43" s="2"/>
      <c r="C43" s="51"/>
      <c r="D43" s="51"/>
      <c r="E43" s="51"/>
      <c r="F43" s="51"/>
      <c r="G43" s="51"/>
      <c r="H43" s="51"/>
      <c r="I43" s="51"/>
      <c r="J43" s="51"/>
      <c r="K43" s="51"/>
      <c r="L43" s="51"/>
      <c r="M43" s="51"/>
      <c r="N43" s="51"/>
      <c r="O43" s="51"/>
      <c r="P43" s="51"/>
      <c r="Q43" s="51"/>
      <c r="R43" s="55"/>
      <c r="S43" s="53"/>
      <c r="T43" s="54"/>
      <c r="U43" s="52"/>
      <c r="V43" s="55"/>
      <c r="W43" s="55"/>
      <c r="X43" s="52"/>
      <c r="Y43" s="52"/>
      <c r="Z43" s="56"/>
      <c r="AA43" s="55"/>
      <c r="AB43" s="55"/>
      <c r="AC43" s="55"/>
      <c r="AD43" s="55"/>
      <c r="AE43" s="55"/>
      <c r="AF43" s="55"/>
    </row>
    <row r="44" spans="1:32" s="57" customFormat="1" ht="15.75" hidden="1" customHeight="1">
      <c r="A44" s="17"/>
      <c r="B44" s="2"/>
      <c r="C44" s="51"/>
      <c r="D44" s="51"/>
      <c r="E44" s="51"/>
      <c r="F44" s="51"/>
      <c r="G44" s="51"/>
      <c r="H44" s="51"/>
      <c r="I44" s="51"/>
      <c r="J44" s="51"/>
      <c r="K44" s="51"/>
      <c r="L44" s="51"/>
      <c r="M44" s="51"/>
      <c r="N44" s="51"/>
      <c r="O44" s="51"/>
      <c r="P44" s="51"/>
      <c r="Q44" s="51"/>
      <c r="R44" s="55"/>
      <c r="S44" s="53"/>
      <c r="T44" s="54"/>
      <c r="U44" s="52"/>
      <c r="V44" s="55"/>
      <c r="W44" s="55"/>
      <c r="X44" s="52"/>
      <c r="Y44" s="52"/>
      <c r="Z44" s="56"/>
      <c r="AA44" s="55"/>
      <c r="AB44" s="55"/>
      <c r="AC44" s="55"/>
      <c r="AD44" s="55"/>
      <c r="AE44" s="55"/>
      <c r="AF44" s="55"/>
    </row>
    <row r="45" spans="1:32" s="57" customFormat="1" ht="15.75" hidden="1" customHeight="1">
      <c r="A45" s="17"/>
      <c r="B45" s="2"/>
      <c r="C45" s="51"/>
      <c r="D45" s="51"/>
      <c r="E45" s="51"/>
      <c r="F45" s="51"/>
      <c r="G45" s="51"/>
      <c r="H45" s="51"/>
      <c r="I45" s="51"/>
      <c r="J45" s="51"/>
      <c r="K45" s="51"/>
      <c r="L45" s="51"/>
      <c r="M45" s="51"/>
      <c r="N45" s="51"/>
      <c r="O45" s="51"/>
      <c r="P45" s="51"/>
      <c r="Q45" s="51"/>
      <c r="R45" s="55"/>
      <c r="S45" s="53"/>
      <c r="T45" s="54"/>
      <c r="U45" s="52"/>
      <c r="V45" s="55"/>
      <c r="W45" s="55"/>
      <c r="X45" s="52"/>
      <c r="Y45" s="52"/>
      <c r="Z45" s="56"/>
      <c r="AA45" s="55"/>
      <c r="AB45" s="55"/>
      <c r="AC45" s="55"/>
      <c r="AD45" s="55"/>
      <c r="AE45" s="55"/>
      <c r="AF45" s="55"/>
    </row>
    <row r="46" spans="1:32" s="57" customFormat="1" ht="15.75" hidden="1" customHeight="1">
      <c r="A46" s="17"/>
      <c r="B46" s="2"/>
      <c r="C46" s="51"/>
      <c r="D46" s="51"/>
      <c r="E46" s="51"/>
      <c r="F46" s="51"/>
      <c r="G46" s="51"/>
      <c r="H46" s="51"/>
      <c r="I46" s="51"/>
      <c r="J46" s="51"/>
      <c r="K46" s="51"/>
      <c r="L46" s="51"/>
      <c r="M46" s="51"/>
      <c r="N46" s="51"/>
      <c r="O46" s="51"/>
      <c r="P46" s="51"/>
      <c r="Q46" s="51"/>
      <c r="R46" s="55"/>
      <c r="S46" s="53"/>
      <c r="T46" s="54"/>
      <c r="U46" s="52"/>
      <c r="V46" s="55"/>
      <c r="W46" s="55"/>
      <c r="X46" s="52"/>
      <c r="Y46" s="52"/>
      <c r="Z46" s="56"/>
      <c r="AA46" s="55"/>
      <c r="AB46" s="55"/>
      <c r="AC46" s="55"/>
      <c r="AD46" s="55"/>
      <c r="AE46" s="55"/>
      <c r="AF46" s="55"/>
    </row>
    <row r="47" spans="1:32" s="57" customFormat="1" ht="15.75" hidden="1" customHeight="1">
      <c r="A47" s="17"/>
      <c r="B47" s="2"/>
      <c r="C47" s="51"/>
      <c r="D47" s="51"/>
      <c r="E47" s="51"/>
      <c r="F47" s="51"/>
      <c r="G47" s="51"/>
      <c r="H47" s="51"/>
      <c r="I47" s="51"/>
      <c r="J47" s="51"/>
      <c r="K47" s="51"/>
      <c r="L47" s="51"/>
      <c r="M47" s="51"/>
      <c r="N47" s="51"/>
      <c r="O47" s="51"/>
      <c r="P47" s="51"/>
      <c r="Q47" s="51"/>
      <c r="R47" s="55"/>
      <c r="S47" s="53"/>
      <c r="T47" s="54"/>
      <c r="U47" s="52"/>
      <c r="V47" s="55"/>
      <c r="W47" s="55"/>
      <c r="X47" s="52"/>
      <c r="Y47" s="52"/>
      <c r="Z47" s="56"/>
      <c r="AA47" s="55"/>
      <c r="AB47" s="55"/>
      <c r="AC47" s="55"/>
      <c r="AD47" s="55"/>
      <c r="AE47" s="55"/>
      <c r="AF47" s="55"/>
    </row>
    <row r="48" spans="1:32" s="57" customFormat="1" ht="15.75" hidden="1" customHeight="1">
      <c r="A48" s="17"/>
      <c r="B48" s="2"/>
      <c r="C48" s="51"/>
      <c r="D48" s="51"/>
      <c r="E48" s="51"/>
      <c r="F48" s="51"/>
      <c r="G48" s="51"/>
      <c r="H48" s="51"/>
      <c r="I48" s="51"/>
      <c r="J48" s="51"/>
      <c r="K48" s="51"/>
      <c r="L48" s="51"/>
      <c r="M48" s="51"/>
      <c r="N48" s="51"/>
      <c r="O48" s="51"/>
      <c r="P48" s="51"/>
      <c r="Q48" s="51"/>
      <c r="R48" s="55"/>
      <c r="S48" s="53"/>
      <c r="T48" s="54"/>
      <c r="U48" s="52"/>
      <c r="V48" s="55"/>
      <c r="W48" s="55"/>
      <c r="X48" s="52"/>
      <c r="Y48" s="52"/>
      <c r="Z48" s="56"/>
      <c r="AA48" s="55"/>
      <c r="AB48" s="55"/>
      <c r="AC48" s="55"/>
      <c r="AD48" s="55"/>
      <c r="AE48" s="55"/>
      <c r="AF48" s="55"/>
    </row>
    <row r="49" spans="1:32" s="57" customFormat="1" ht="15.75" hidden="1" customHeight="1">
      <c r="A49" s="17"/>
      <c r="B49" s="2"/>
      <c r="C49" s="51"/>
      <c r="D49" s="51"/>
      <c r="E49" s="51"/>
      <c r="F49" s="51"/>
      <c r="G49" s="51"/>
      <c r="H49" s="51"/>
      <c r="I49" s="51"/>
      <c r="J49" s="51"/>
      <c r="K49" s="51"/>
      <c r="L49" s="51"/>
      <c r="M49" s="51"/>
      <c r="N49" s="51"/>
      <c r="O49" s="51"/>
      <c r="P49" s="51"/>
      <c r="Q49" s="51"/>
      <c r="R49" s="55"/>
      <c r="S49" s="53"/>
      <c r="T49" s="54"/>
      <c r="U49" s="52"/>
      <c r="V49" s="55"/>
      <c r="W49" s="55"/>
      <c r="X49" s="52"/>
      <c r="Y49" s="52"/>
      <c r="Z49" s="56"/>
      <c r="AA49" s="55"/>
      <c r="AB49" s="55"/>
      <c r="AC49" s="55"/>
      <c r="AD49" s="55"/>
      <c r="AE49" s="55"/>
      <c r="AF49" s="55"/>
    </row>
    <row r="50" spans="1:32" s="57" customFormat="1" ht="15.75" customHeight="1">
      <c r="A50" s="2" t="s">
        <v>119</v>
      </c>
      <c r="B50" s="2" t="s">
        <v>842</v>
      </c>
      <c r="C50" s="51">
        <f t="shared" ref="C50:C56" si="1">IFERROR(F50/D50," - ")</f>
        <v>25.95</v>
      </c>
      <c r="D50" s="51">
        <v>1</v>
      </c>
      <c r="E50" s="51">
        <v>0</v>
      </c>
      <c r="F50" s="51">
        <v>25.95</v>
      </c>
      <c r="G50" s="51">
        <v>0</v>
      </c>
      <c r="H50" s="51">
        <f t="shared" ref="H50:H56" si="2">G50/F50*-1</f>
        <v>0</v>
      </c>
      <c r="I50" s="51">
        <f t="shared" ref="I50:I56" si="3">J50/F50</f>
        <v>0.18731886786944882</v>
      </c>
      <c r="J50" s="51">
        <f t="shared" ref="J50:J56" si="4">F50*0.85+G50+AD50*D50+D50*AC50+AE50+AB50</f>
        <v>4.860924621212197</v>
      </c>
      <c r="K50" s="51">
        <f t="shared" ref="K50:K56" si="5">J50/D50</f>
        <v>4.860924621212197</v>
      </c>
      <c r="L50" s="51">
        <v>8</v>
      </c>
      <c r="M50" s="51">
        <f t="shared" ref="M50:M56" si="6">IFERROR(D50/L50,"-")</f>
        <v>0.125</v>
      </c>
      <c r="N50" s="51">
        <v>36</v>
      </c>
      <c r="O50" s="51">
        <f t="shared" ref="O50:P50" si="7">D50/7</f>
        <v>0.14285714285714285</v>
      </c>
      <c r="P50" s="51">
        <f t="shared" si="7"/>
        <v>0</v>
      </c>
      <c r="Q50" s="51">
        <f t="shared" ref="Q50:Q56" si="8">ROUNDDOWN(N50/(O50+P50),0)</f>
        <v>252</v>
      </c>
      <c r="R50" s="55">
        <f ca="1">IFERROR(__xludf.DUMMYFUNCTION("IFERROR(VLOOKUP($B$2,IMPORTRANGE(""https://docs.google.com/spreadsheets/d/1iVgg6Mw12RULLujzHmfOFIY8Q_KaAD8anoZzgtVAQ74/edit#gid=1503384807"",""Second Star - Summary!A1:AD2000""),9,FALSE),"""")"),0)</f>
        <v>0</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ref="V50:V56" si="9">IFERROR(U50/D50,0)</f>
        <v>0</v>
      </c>
      <c r="W50" s="55">
        <f t="shared" ref="W50:W56" si="10">IFERROR(G50/(U50+X50)*-1,0)</f>
        <v>0</v>
      </c>
      <c r="X50" s="55">
        <v>0</v>
      </c>
      <c r="Y50" s="55" t="s">
        <v>35</v>
      </c>
      <c r="Z50" s="56">
        <f t="shared" ref="Z50:Z56" si="11">IF(OR(Y50="UsLargeStandardSize",Y50="UsSmallStandardSize"),-2.4,-1.2)</f>
        <v>-2.4</v>
      </c>
      <c r="AA50" s="55">
        <v>0.10426909722222222</v>
      </c>
      <c r="AB50" s="55">
        <f t="shared" ref="AB50:AB56" si="12">IFERROR(Z50*AA50*D50*3,0)</f>
        <v>-0.75073750000000006</v>
      </c>
      <c r="AC50" s="55">
        <v>-5.8</v>
      </c>
      <c r="AD50" s="55">
        <v>-10.6458378787878</v>
      </c>
      <c r="AE50" s="55">
        <v>0</v>
      </c>
      <c r="AF50" s="55">
        <v>0</v>
      </c>
    </row>
    <row r="51" spans="1:32" s="57" customFormat="1" ht="15.75" customHeight="1">
      <c r="A51" s="2" t="s">
        <v>121</v>
      </c>
      <c r="B51" s="2" t="s">
        <v>843</v>
      </c>
      <c r="C51" s="51">
        <f t="shared" si="1"/>
        <v>28.95</v>
      </c>
      <c r="D51" s="51">
        <v>1</v>
      </c>
      <c r="E51" s="51">
        <v>0</v>
      </c>
      <c r="F51" s="51">
        <v>28.95</v>
      </c>
      <c r="G51" s="51">
        <v>0</v>
      </c>
      <c r="H51" s="51">
        <f t="shared" si="2"/>
        <v>0</v>
      </c>
      <c r="I51" s="51">
        <f t="shared" si="3"/>
        <v>0.25599048777935057</v>
      </c>
      <c r="J51" s="51">
        <f t="shared" si="4"/>
        <v>7.4109246212121995</v>
      </c>
      <c r="K51" s="51">
        <f t="shared" si="5"/>
        <v>7.4109246212121995</v>
      </c>
      <c r="L51" s="51">
        <v>4</v>
      </c>
      <c r="M51" s="51">
        <f t="shared" si="6"/>
        <v>0.25</v>
      </c>
      <c r="N51" s="51">
        <v>29</v>
      </c>
      <c r="O51" s="51">
        <f t="shared" ref="O51:P51" si="13">D51/7</f>
        <v>0.14285714285714285</v>
      </c>
      <c r="P51" s="51">
        <f t="shared" si="13"/>
        <v>0</v>
      </c>
      <c r="Q51" s="51">
        <f t="shared" si="8"/>
        <v>203</v>
      </c>
      <c r="R51" s="55">
        <f ca="1">IFERROR(__xludf.DUMMYFUNCTION("IFERROR(VLOOKUP($B$2,IMPORTRANGE(""https://docs.google.com/spreadsheets/d/1iVgg6Mw12RULLujzHmfOFIY8Q_KaAD8anoZzgtVAQ74/edit#gid=1503384807"",""Second Star - Summary!A1:AD2000""),9,FALSE),"""")"),0)</f>
        <v>0</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9"/>
        <v>0</v>
      </c>
      <c r="W51" s="55">
        <f t="shared" si="10"/>
        <v>0</v>
      </c>
      <c r="X51" s="55">
        <v>0</v>
      </c>
      <c r="Y51" s="55" t="s">
        <v>35</v>
      </c>
      <c r="Z51" s="56">
        <f t="shared" si="11"/>
        <v>-2.4</v>
      </c>
      <c r="AA51" s="55">
        <v>0.10426909722222222</v>
      </c>
      <c r="AB51" s="55">
        <f t="shared" si="12"/>
        <v>-0.75073750000000006</v>
      </c>
      <c r="AC51" s="55">
        <v>-5.8</v>
      </c>
      <c r="AD51" s="55">
        <v>-10.6458378787878</v>
      </c>
      <c r="AE51" s="55">
        <v>0</v>
      </c>
      <c r="AF51" s="55">
        <v>0</v>
      </c>
    </row>
    <row r="52" spans="1:32" s="57" customFormat="1" ht="15.75" customHeight="1">
      <c r="A52" s="2" t="s">
        <v>123</v>
      </c>
      <c r="B52" s="2" t="s">
        <v>844</v>
      </c>
      <c r="C52" s="51" t="str">
        <f t="shared" si="1"/>
        <v xml:space="preserve"> - </v>
      </c>
      <c r="D52" s="51">
        <v>0</v>
      </c>
      <c r="E52" s="51">
        <v>0</v>
      </c>
      <c r="F52" s="51">
        <v>0</v>
      </c>
      <c r="G52" s="51">
        <v>0</v>
      </c>
      <c r="H52" s="51" t="e">
        <f t="shared" si="2"/>
        <v>#DIV/0!</v>
      </c>
      <c r="I52" s="51" t="e">
        <f t="shared" si="3"/>
        <v>#DIV/0!</v>
      </c>
      <c r="J52" s="51">
        <f t="shared" si="4"/>
        <v>0</v>
      </c>
      <c r="K52" s="51" t="e">
        <f t="shared" si="5"/>
        <v>#DIV/0!</v>
      </c>
      <c r="L52" s="51">
        <v>4</v>
      </c>
      <c r="M52" s="51">
        <f t="shared" si="6"/>
        <v>0</v>
      </c>
      <c r="N52" s="51">
        <v>29</v>
      </c>
      <c r="O52" s="51">
        <f t="shared" ref="O52:P52" si="14">D52/7</f>
        <v>0</v>
      </c>
      <c r="P52" s="51">
        <f t="shared" si="14"/>
        <v>0</v>
      </c>
      <c r="Q52" s="51" t="e">
        <f t="shared" si="8"/>
        <v>#DIV/0!</v>
      </c>
      <c r="R52" s="55">
        <f ca="1">IFERROR(__xludf.DUMMYFUNCTION("IFERROR(VLOOKUP($B$2,IMPORTRANGE(""https://docs.google.com/spreadsheets/d/1iVgg6Mw12RULLujzHmfOFIY8Q_KaAD8anoZzgtVAQ74/edit#gid=1503384807"",""Second Star - Summary!A1:AD2000""),9,FALSE),"""")"),0)</f>
        <v>0</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9"/>
        <v>0</v>
      </c>
      <c r="W52" s="55">
        <f t="shared" si="10"/>
        <v>0</v>
      </c>
      <c r="X52" s="55">
        <v>0</v>
      </c>
      <c r="Y52" s="55" t="s">
        <v>35</v>
      </c>
      <c r="Z52" s="56">
        <f t="shared" si="11"/>
        <v>-2.4</v>
      </c>
      <c r="AA52" s="55">
        <v>0.10426909722222222</v>
      </c>
      <c r="AB52" s="55">
        <f t="shared" si="12"/>
        <v>0</v>
      </c>
      <c r="AC52" s="55">
        <v>-5.8</v>
      </c>
      <c r="AD52" s="55">
        <v>-10.6458378787878</v>
      </c>
      <c r="AE52" s="55">
        <v>0</v>
      </c>
      <c r="AF52" s="55">
        <v>6.8965517241379296E-2</v>
      </c>
    </row>
    <row r="53" spans="1:32" s="57" customFormat="1">
      <c r="A53" s="2" t="s">
        <v>38</v>
      </c>
      <c r="B53" s="2" t="s">
        <v>845</v>
      </c>
      <c r="C53" s="51" t="str">
        <f t="shared" si="1"/>
        <v xml:space="preserve"> - </v>
      </c>
      <c r="D53" s="51">
        <v>0</v>
      </c>
      <c r="E53" s="51">
        <v>0</v>
      </c>
      <c r="F53" s="51">
        <v>0</v>
      </c>
      <c r="G53" s="51">
        <v>0</v>
      </c>
      <c r="H53" s="51" t="e">
        <f t="shared" si="2"/>
        <v>#DIV/0!</v>
      </c>
      <c r="I53" s="51" t="e">
        <f t="shared" si="3"/>
        <v>#DIV/0!</v>
      </c>
      <c r="J53" s="51">
        <f t="shared" si="4"/>
        <v>0</v>
      </c>
      <c r="K53" s="51" t="e">
        <f t="shared" si="5"/>
        <v>#DIV/0!</v>
      </c>
      <c r="L53" s="51">
        <v>0</v>
      </c>
      <c r="M53" s="51" t="str">
        <f t="shared" si="6"/>
        <v>-</v>
      </c>
      <c r="N53" s="51">
        <v>28</v>
      </c>
      <c r="O53" s="51">
        <f t="shared" ref="O53:P53" si="15">D53/7</f>
        <v>0</v>
      </c>
      <c r="P53" s="51">
        <f t="shared" si="15"/>
        <v>0</v>
      </c>
      <c r="Q53" s="51" t="e">
        <f t="shared" si="8"/>
        <v>#DIV/0!</v>
      </c>
      <c r="R53" s="55">
        <f ca="1">IFERROR(__xludf.DUMMYFUNCTION("IFERROR(VLOOKUP($B$2,IMPORTRANGE(""https://docs.google.com/spreadsheets/d/1iVgg6Mw12RULLujzHmfOFIY8Q_KaAD8anoZzgtVAQ74/edit#gid=1503384807"",""Second Star - Summary!A1:AD2000""),9,FALSE),"""")"),0)</f>
        <v>0</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9"/>
        <v>0</v>
      </c>
      <c r="W53" s="55">
        <f t="shared" si="10"/>
        <v>0</v>
      </c>
      <c r="X53" s="55">
        <v>0</v>
      </c>
      <c r="Y53" s="55" t="s">
        <v>35</v>
      </c>
      <c r="Z53" s="56">
        <f t="shared" si="11"/>
        <v>-2.4</v>
      </c>
      <c r="AA53" s="55">
        <v>0.10426909722222222</v>
      </c>
      <c r="AB53" s="55">
        <f t="shared" si="12"/>
        <v>0</v>
      </c>
      <c r="AC53" s="55">
        <v>-5.8</v>
      </c>
      <c r="AD53" s="55">
        <v>-10.6458378787878</v>
      </c>
      <c r="AE53" s="55">
        <v>0</v>
      </c>
      <c r="AF53" s="55">
        <v>6.8965517241379296E-2</v>
      </c>
    </row>
    <row r="54" spans="1:32" s="57" customFormat="1">
      <c r="A54" s="2" t="s">
        <v>40</v>
      </c>
      <c r="B54" s="2"/>
      <c r="C54" s="51">
        <f t="shared" si="1"/>
        <v>22.99</v>
      </c>
      <c r="D54" s="51">
        <v>1</v>
      </c>
      <c r="E54" s="51">
        <v>0</v>
      </c>
      <c r="F54" s="51">
        <v>22.99</v>
      </c>
      <c r="G54" s="51">
        <v>-8.9700000000000006</v>
      </c>
      <c r="H54" s="51">
        <f t="shared" si="2"/>
        <v>0.39016963897346679</v>
      </c>
      <c r="I54" s="51">
        <f t="shared" si="3"/>
        <v>-0.28817204779416278</v>
      </c>
      <c r="J54" s="51">
        <f t="shared" si="4"/>
        <v>-6.6250753787878018</v>
      </c>
      <c r="K54" s="51">
        <f t="shared" si="5"/>
        <v>-6.6250753787878018</v>
      </c>
      <c r="L54" s="51">
        <v>8</v>
      </c>
      <c r="M54" s="51">
        <f t="shared" si="6"/>
        <v>0.125</v>
      </c>
      <c r="N54" s="51">
        <v>27</v>
      </c>
      <c r="O54" s="51">
        <f t="shared" ref="O54:P54" si="16">D54/7</f>
        <v>0.14285714285714285</v>
      </c>
      <c r="P54" s="51">
        <f t="shared" si="16"/>
        <v>0</v>
      </c>
      <c r="Q54" s="51">
        <f t="shared" si="8"/>
        <v>189</v>
      </c>
      <c r="R54" s="55">
        <f ca="1">IFERROR(__xludf.DUMMYFUNCTION("IFERROR(VLOOKUP($B$2,IMPORTRANGE(""https://docs.google.com/spreadsheets/d/1iVgg6Mw12RULLujzHmfOFIY8Q_KaAD8anoZzgtVAQ74/edit#gid=1503384807"",""Second Star - Summary!A1:AD2000""),9,FALSE),"""")"),0)</f>
        <v>0</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9"/>
        <v>0</v>
      </c>
      <c r="W54" s="55">
        <f t="shared" si="10"/>
        <v>0</v>
      </c>
      <c r="X54" s="55">
        <v>0</v>
      </c>
      <c r="Y54" s="55" t="s">
        <v>35</v>
      </c>
      <c r="Z54" s="56">
        <f t="shared" si="11"/>
        <v>-2.4</v>
      </c>
      <c r="AA54" s="55">
        <v>0.10426909722222222</v>
      </c>
      <c r="AB54" s="55">
        <f t="shared" si="12"/>
        <v>-0.75073750000000006</v>
      </c>
      <c r="AC54" s="55">
        <v>-5.8</v>
      </c>
      <c r="AD54" s="55">
        <v>-10.6458378787878</v>
      </c>
      <c r="AE54" s="55">
        <v>0</v>
      </c>
      <c r="AF54" s="55">
        <v>0.157894736842105</v>
      </c>
    </row>
    <row r="55" spans="1:32" s="57" customFormat="1" ht="15.75" customHeight="1">
      <c r="A55" s="2" t="s">
        <v>32</v>
      </c>
      <c r="B55" s="2" t="s">
        <v>846</v>
      </c>
      <c r="C55" s="51">
        <f t="shared" si="1"/>
        <v>22.99</v>
      </c>
      <c r="D55" s="51">
        <v>2</v>
      </c>
      <c r="E55" s="51">
        <v>0</v>
      </c>
      <c r="F55" s="51">
        <v>45.98</v>
      </c>
      <c r="G55" s="51">
        <v>-7.98</v>
      </c>
      <c r="H55" s="51">
        <f t="shared" si="2"/>
        <v>0.1735537190082645</v>
      </c>
      <c r="I55" s="51">
        <f t="shared" si="3"/>
        <v>-7.1556127828960467E-2</v>
      </c>
      <c r="J55" s="51">
        <f t="shared" si="4"/>
        <v>-3.2901507575756019</v>
      </c>
      <c r="K55" s="51">
        <f t="shared" si="5"/>
        <v>-1.645075378787801</v>
      </c>
      <c r="L55" s="51">
        <v>12</v>
      </c>
      <c r="M55" s="51">
        <f t="shared" si="6"/>
        <v>0.16666666666666666</v>
      </c>
      <c r="N55" s="51">
        <v>27</v>
      </c>
      <c r="O55" s="51">
        <f t="shared" ref="O55:P55" si="17">D55/7</f>
        <v>0.2857142857142857</v>
      </c>
      <c r="P55" s="51">
        <f t="shared" si="17"/>
        <v>0</v>
      </c>
      <c r="Q55" s="51">
        <f t="shared" si="8"/>
        <v>94</v>
      </c>
      <c r="R55" s="55">
        <v>0</v>
      </c>
      <c r="S55" s="53" t="s">
        <v>34</v>
      </c>
      <c r="T55" s="54" t="s">
        <v>34</v>
      </c>
      <c r="U55" s="55">
        <v>0</v>
      </c>
      <c r="V55" s="55">
        <f t="shared" si="9"/>
        <v>0</v>
      </c>
      <c r="W55" s="55">
        <f t="shared" si="10"/>
        <v>3.99</v>
      </c>
      <c r="X55" s="55">
        <v>2</v>
      </c>
      <c r="Y55" s="55" t="s">
        <v>35</v>
      </c>
      <c r="Z55" s="56">
        <f t="shared" si="11"/>
        <v>-2.4</v>
      </c>
      <c r="AA55" s="55">
        <v>0.10426909722222222</v>
      </c>
      <c r="AB55" s="55">
        <f t="shared" si="12"/>
        <v>-1.5014750000000001</v>
      </c>
      <c r="AC55" s="55">
        <v>-5.8</v>
      </c>
      <c r="AD55" s="55">
        <v>-10.6458378787878</v>
      </c>
      <c r="AE55" s="55">
        <v>0</v>
      </c>
      <c r="AF55" s="55">
        <v>0.27777777777777701</v>
      </c>
    </row>
    <row r="56" spans="1:32" s="57" customFormat="1" ht="15.75" customHeight="1">
      <c r="A56" s="2" t="s">
        <v>36</v>
      </c>
      <c r="B56" s="2"/>
      <c r="C56" s="51">
        <f t="shared" si="1"/>
        <v>26.95</v>
      </c>
      <c r="D56" s="51">
        <v>1</v>
      </c>
      <c r="E56" s="51">
        <v>0</v>
      </c>
      <c r="F56" s="51">
        <v>26.95</v>
      </c>
      <c r="G56" s="51">
        <v>-9.7399999999999984</v>
      </c>
      <c r="H56" s="51">
        <f t="shared" si="2"/>
        <v>0.36141001855287563</v>
      </c>
      <c r="I56" s="51">
        <f t="shared" si="3"/>
        <v>-0.14950186934277551</v>
      </c>
      <c r="J56" s="51">
        <f t="shared" si="4"/>
        <v>-4.0290753787878</v>
      </c>
      <c r="K56" s="51">
        <f t="shared" si="5"/>
        <v>-4.0290753787878</v>
      </c>
      <c r="L56" s="51">
        <v>15</v>
      </c>
      <c r="M56" s="51">
        <f t="shared" si="6"/>
        <v>6.6666666666666666E-2</v>
      </c>
      <c r="N56" s="51">
        <v>22</v>
      </c>
      <c r="O56" s="51">
        <f t="shared" ref="O56:P56" si="18">D56/7</f>
        <v>0.14285714285714285</v>
      </c>
      <c r="P56" s="51">
        <f t="shared" si="18"/>
        <v>0</v>
      </c>
      <c r="Q56" s="51">
        <f t="shared" si="8"/>
        <v>154</v>
      </c>
      <c r="R56" s="55">
        <f ca="1">IFERROR(__xludf.DUMMYFUNCTION("IFERROR(VLOOKUP($B$2,IMPORTRANGE(""https://docs.google.com/spreadsheets/d/1iVgg6Mw12RULLujzHmfOFIY8Q_KaAD8anoZzgtVAQ74/edit#gid=1503384807"",""Second Star - Summary!A1:AD2000""),9,FALSE),"""")"),0)</f>
        <v>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9"/>
        <v>0</v>
      </c>
      <c r="W56" s="55">
        <f t="shared" si="10"/>
        <v>4.8699999999999992</v>
      </c>
      <c r="X56" s="55">
        <v>2</v>
      </c>
      <c r="Y56" s="55" t="s">
        <v>35</v>
      </c>
      <c r="Z56" s="56">
        <f t="shared" si="11"/>
        <v>-2.4</v>
      </c>
      <c r="AA56" s="55">
        <v>0.10426909722222222</v>
      </c>
      <c r="AB56" s="55">
        <f t="shared" si="12"/>
        <v>-0.75073750000000006</v>
      </c>
      <c r="AC56" s="55">
        <v>-5.8</v>
      </c>
      <c r="AD56" s="55">
        <v>-10.6458378787878</v>
      </c>
      <c r="AE56" s="55">
        <v>0</v>
      </c>
      <c r="AF56" s="55">
        <v>0.25925925925925902</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3"/>
    </row>
    <row r="222" spans="1:3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3"/>
    </row>
    <row r="223" spans="1:32"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3"/>
    </row>
    <row r="224" spans="1:32"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3"/>
    </row>
    <row r="225" spans="1:32"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3"/>
    </row>
    <row r="226" spans="1:32"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3"/>
    </row>
    <row r="227" spans="1:32"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3"/>
    </row>
    <row r="228" spans="1:32"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3"/>
    </row>
    <row r="229" spans="1:32"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3"/>
    </row>
    <row r="230" spans="1:32"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3"/>
    </row>
    <row r="231" spans="1:32"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3"/>
    </row>
    <row r="232" spans="1: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3"/>
    </row>
    <row r="233" spans="1:32"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3"/>
    </row>
    <row r="234" spans="1:32"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3"/>
    </row>
    <row r="235" spans="1:32"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3"/>
    </row>
    <row r="236" spans="1:32"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3"/>
    </row>
    <row r="237" spans="1:32"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3"/>
    </row>
    <row r="238" spans="1:32"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3"/>
    </row>
    <row r="239" spans="1:32"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row r="254" spans="1:32" ht="15.75" customHeight="1"/>
    <row r="255" spans="1:32" ht="15.75" customHeight="1"/>
    <row r="256" spans="1:3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349" priority="1" operator="lessThan">
      <formula>100</formula>
    </cfRule>
  </conditionalFormatting>
  <conditionalFormatting sqref="Q1:Q3 Q57:Q1000">
    <cfRule type="cellIs" dxfId="348" priority="2" operator="lessThan">
      <formula>100</formula>
    </cfRule>
  </conditionalFormatting>
  <conditionalFormatting sqref="I1:I3 I57:I1000">
    <cfRule type="cellIs" dxfId="347" priority="3" operator="lessThan">
      <formula>0.05</formula>
    </cfRule>
  </conditionalFormatting>
  <conditionalFormatting sqref="I4:I17">
    <cfRule type="cellIs" dxfId="346" priority="4" operator="lessThan">
      <formula>0.05</formula>
    </cfRule>
  </conditionalFormatting>
  <conditionalFormatting sqref="I18:I56">
    <cfRule type="cellIs" dxfId="345" priority="5" operator="lessThan">
      <formula>0.05</formula>
    </cfRule>
  </conditionalFormatting>
  <conditionalFormatting sqref="Q4:Q56">
    <cfRule type="cellIs" dxfId="344" priority="6" operator="lessThan">
      <formula>100</formula>
    </cfRule>
  </conditionalFormatting>
  <conditionalFormatting sqref="Q4:Q56">
    <cfRule type="cellIs" dxfId="343" priority="7" operator="lessThan">
      <formula>100</formula>
    </cfRule>
  </conditionalFormatting>
  <pageMargins left="0.7" right="0.7" top="0.75" bottom="0.75" header="0" footer="0"/>
  <pageSetup orientation="portrait"/>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4.6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Info!B1:BJ5000""),4,FALSE),"""")"),"6 Gauge Vinyl Zippered Waterproof Bed Bug Proof Mattress Protector - 9-Inch Depth - Full")</f>
        <v>6 Gauge Vinyl Zippered Waterproof Bed Bug Proof Mattress Protector - 9-Inch Depth - Full</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Info!B1:BJ5000""),3,FALSE),"""")"),"B00IOVIP5O")</f>
        <v>B00IOVIP5O</v>
      </c>
      <c r="B2" s="4" t="s">
        <v>847</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15.205550445632801</v>
      </c>
      <c r="D3" s="8">
        <f>SUM(D4:D99819)</f>
        <v>2</v>
      </c>
      <c r="E3" s="8"/>
      <c r="F3" s="9">
        <f t="shared" ref="F3:G3" si="0">SUM(F4:F99819)</f>
        <v>47.98</v>
      </c>
      <c r="G3" s="9">
        <f t="shared" si="0"/>
        <v>0</v>
      </c>
      <c r="H3" s="10">
        <f>G3/F3*-1</f>
        <v>0</v>
      </c>
      <c r="I3" s="11">
        <f>J3/F3</f>
        <v>0.23585447219169586</v>
      </c>
      <c r="J3" s="9">
        <f>SUM(J4:J99819)</f>
        <v>11.316297575757567</v>
      </c>
      <c r="K3" s="9">
        <f>J3/D3</f>
        <v>5.6581487878787833</v>
      </c>
      <c r="L3" s="8"/>
      <c r="M3" s="12"/>
      <c r="N3" s="13"/>
      <c r="O3" s="8" t="str">
        <f ca="1">IFERROR(__xludf.DUMMYFUNCTION("IFERROR(VLOOKUP(B2,IMPORTRANGE(""https://docs.google.com/spreadsheets/d/1owCo6kL_VFQ5nPTdNogErmCBLjNiktT1m3SzTrxu3R0/edit#gid=2146806407"",""Second Star - Compiled!b1:g5000""),2,FALSE),"""")"),"0 - March
0 - April
0 - May
0 - Jun
0 - Jul
0 - Aug
0 - Sept
0 - Oct
0 - Nov
0 - Dec
0 - Jan
0 - Feb")</f>
        <v>0 - March
0 - April
0 - May
0 - Jun
0 - Jul
0 - Aug
0 - Sept
0 - Oct
0 - Nov
0 - Dec
0 - Jan
0 - Feb</v>
      </c>
      <c r="P3" s="8"/>
      <c r="Q3" s="14"/>
      <c r="R3" s="13"/>
      <c r="S3" s="13"/>
      <c r="T3" s="13"/>
      <c r="U3" s="8">
        <f>SUM(U4:U99819)</f>
        <v>0</v>
      </c>
      <c r="V3" s="10">
        <f>AVERAGE(V4:V99819)</f>
        <v>0</v>
      </c>
      <c r="W3" s="9">
        <f>ROUND(AVERAGE(W4:W99819),2)</f>
        <v>0</v>
      </c>
      <c r="X3" s="8"/>
      <c r="Y3" s="8"/>
      <c r="Z3" s="8"/>
      <c r="AA3" s="8"/>
      <c r="AB3" s="8"/>
      <c r="AC3" s="15"/>
      <c r="AD3" s="9"/>
      <c r="AE3" s="9">
        <f>SUM(AE4:AE99819)</f>
        <v>-1.2</v>
      </c>
      <c r="AF3" s="16"/>
    </row>
    <row r="4" spans="1:32" s="57" customFormat="1" hidden="1">
      <c r="A4" s="17"/>
      <c r="B4" s="17"/>
      <c r="C4" s="50"/>
      <c r="D4" s="51"/>
      <c r="E4" s="51"/>
      <c r="F4" s="51"/>
      <c r="G4" s="51"/>
      <c r="H4" s="51"/>
      <c r="I4" s="51"/>
      <c r="J4" s="51"/>
      <c r="K4" s="51"/>
      <c r="L4" s="51"/>
      <c r="M4" s="51"/>
      <c r="N4" s="51"/>
      <c r="O4" s="51"/>
      <c r="P4" s="51"/>
      <c r="Q4" s="51"/>
      <c r="R4" s="52"/>
      <c r="S4" s="53"/>
      <c r="T4" s="54"/>
      <c r="U4" s="52"/>
      <c r="V4" s="55"/>
      <c r="W4" s="55"/>
      <c r="X4" s="52"/>
      <c r="Y4" s="56"/>
      <c r="Z4" s="56"/>
      <c r="AA4" s="55"/>
      <c r="AB4" s="55"/>
      <c r="AC4" s="55"/>
      <c r="AD4" s="55"/>
      <c r="AE4" s="55"/>
      <c r="AF4" s="55"/>
    </row>
    <row r="5" spans="1:32" s="57" customFormat="1" ht="15.75" hidden="1" customHeight="1">
      <c r="A5" s="17"/>
      <c r="B5" s="2"/>
      <c r="C5" s="51"/>
      <c r="D5" s="51"/>
      <c r="E5" s="51"/>
      <c r="F5" s="51"/>
      <c r="G5" s="51"/>
      <c r="H5" s="51"/>
      <c r="I5" s="51"/>
      <c r="J5" s="51"/>
      <c r="K5" s="51"/>
      <c r="L5" s="51"/>
      <c r="M5" s="51"/>
      <c r="N5" s="51"/>
      <c r="O5" s="51"/>
      <c r="P5" s="51"/>
      <c r="Q5" s="51"/>
      <c r="R5" s="52"/>
      <c r="S5" s="53"/>
      <c r="T5" s="54"/>
      <c r="U5" s="52"/>
      <c r="V5" s="55"/>
      <c r="W5" s="55"/>
      <c r="X5" s="52"/>
      <c r="Y5" s="52"/>
      <c r="Z5" s="56"/>
      <c r="AA5" s="55"/>
      <c r="AB5" s="55"/>
      <c r="AC5" s="55"/>
      <c r="AD5" s="55"/>
      <c r="AE5" s="55"/>
      <c r="AF5" s="55"/>
    </row>
    <row r="6" spans="1:32" s="57" customFormat="1" ht="15.75" hidden="1" customHeight="1">
      <c r="A6" s="17"/>
      <c r="B6" s="2"/>
      <c r="C6" s="51"/>
      <c r="D6" s="51"/>
      <c r="E6" s="51"/>
      <c r="F6" s="51"/>
      <c r="G6" s="51"/>
      <c r="H6" s="51"/>
      <c r="I6" s="51"/>
      <c r="J6" s="51"/>
      <c r="K6" s="51"/>
      <c r="L6" s="51"/>
      <c r="M6" s="51"/>
      <c r="N6" s="51"/>
      <c r="O6" s="51"/>
      <c r="P6" s="51"/>
      <c r="Q6" s="51"/>
      <c r="R6" s="52"/>
      <c r="S6" s="53"/>
      <c r="T6" s="54"/>
      <c r="U6" s="52"/>
      <c r="V6" s="55"/>
      <c r="W6" s="55"/>
      <c r="X6" s="52"/>
      <c r="Y6" s="52"/>
      <c r="Z6" s="56"/>
      <c r="AA6" s="55"/>
      <c r="AB6" s="55"/>
      <c r="AC6" s="55"/>
      <c r="AD6" s="55"/>
      <c r="AE6" s="55"/>
      <c r="AF6" s="55"/>
    </row>
    <row r="7" spans="1:32" s="57" customFormat="1" ht="15.75" hidden="1" customHeight="1">
      <c r="A7" s="17"/>
      <c r="B7" s="2"/>
      <c r="C7" s="51"/>
      <c r="D7" s="51"/>
      <c r="E7" s="51"/>
      <c r="F7" s="51"/>
      <c r="G7" s="51"/>
      <c r="H7" s="51"/>
      <c r="I7" s="51"/>
      <c r="J7" s="51"/>
      <c r="K7" s="51"/>
      <c r="L7" s="51"/>
      <c r="M7" s="51"/>
      <c r="N7" s="51"/>
      <c r="O7" s="51"/>
      <c r="P7" s="51"/>
      <c r="Q7" s="51"/>
      <c r="R7" s="52"/>
      <c r="S7" s="53"/>
      <c r="T7" s="54"/>
      <c r="U7" s="52"/>
      <c r="V7" s="55"/>
      <c r="W7" s="55"/>
      <c r="X7" s="52"/>
      <c r="Y7" s="52"/>
      <c r="Z7" s="56"/>
      <c r="AA7" s="55"/>
      <c r="AB7" s="55"/>
      <c r="AC7" s="55"/>
      <c r="AD7" s="55"/>
      <c r="AE7" s="55"/>
      <c r="AF7" s="55"/>
    </row>
    <row r="8" spans="1:32" s="57" customFormat="1" ht="15.75" hidden="1" customHeight="1">
      <c r="A8" s="17"/>
      <c r="B8" s="2"/>
      <c r="C8" s="51"/>
      <c r="D8" s="51"/>
      <c r="E8" s="51"/>
      <c r="F8" s="51"/>
      <c r="G8" s="51"/>
      <c r="H8" s="51"/>
      <c r="I8" s="51"/>
      <c r="J8" s="51"/>
      <c r="K8" s="51"/>
      <c r="L8" s="51"/>
      <c r="M8" s="51"/>
      <c r="N8" s="51"/>
      <c r="O8" s="51"/>
      <c r="P8" s="51"/>
      <c r="Q8" s="51"/>
      <c r="R8" s="52"/>
      <c r="S8" s="53"/>
      <c r="T8" s="54"/>
      <c r="U8" s="52"/>
      <c r="V8" s="55"/>
      <c r="W8" s="55"/>
      <c r="X8" s="52"/>
      <c r="Y8" s="52"/>
      <c r="Z8" s="56"/>
      <c r="AA8" s="55"/>
      <c r="AB8" s="55"/>
      <c r="AC8" s="55"/>
      <c r="AD8" s="55"/>
      <c r="AE8" s="55"/>
      <c r="AF8" s="55"/>
    </row>
    <row r="9" spans="1:32" s="57" customFormat="1" ht="15.75" hidden="1" customHeight="1">
      <c r="A9" s="17"/>
      <c r="B9" s="2"/>
      <c r="C9" s="51"/>
      <c r="D9" s="51"/>
      <c r="E9" s="51"/>
      <c r="F9" s="51"/>
      <c r="G9" s="51"/>
      <c r="H9" s="51"/>
      <c r="I9" s="51"/>
      <c r="J9" s="51"/>
      <c r="K9" s="51"/>
      <c r="L9" s="51"/>
      <c r="M9" s="51"/>
      <c r="N9" s="51"/>
      <c r="O9" s="51"/>
      <c r="P9" s="51"/>
      <c r="Q9" s="51"/>
      <c r="R9" s="52"/>
      <c r="S9" s="53"/>
      <c r="T9" s="54"/>
      <c r="U9" s="52"/>
      <c r="V9" s="55"/>
      <c r="W9" s="55"/>
      <c r="X9" s="52"/>
      <c r="Y9" s="52"/>
      <c r="Z9" s="56"/>
      <c r="AA9" s="55"/>
      <c r="AB9" s="55"/>
      <c r="AC9" s="55"/>
      <c r="AD9" s="55"/>
      <c r="AE9" s="55"/>
      <c r="AF9" s="55"/>
    </row>
    <row r="10" spans="1:32" s="57" customFormat="1" ht="15.75" hidden="1" customHeight="1">
      <c r="A10" s="17"/>
      <c r="B10" s="2"/>
      <c r="C10" s="51"/>
      <c r="D10" s="51"/>
      <c r="E10" s="51"/>
      <c r="F10" s="51"/>
      <c r="G10" s="51"/>
      <c r="H10" s="51"/>
      <c r="I10" s="51"/>
      <c r="J10" s="51"/>
      <c r="K10" s="51"/>
      <c r="L10" s="51"/>
      <c r="M10" s="51"/>
      <c r="N10" s="51"/>
      <c r="O10" s="51"/>
      <c r="P10" s="51"/>
      <c r="Q10" s="51"/>
      <c r="R10" s="52"/>
      <c r="S10" s="53"/>
      <c r="T10" s="54"/>
      <c r="U10" s="52"/>
      <c r="V10" s="55"/>
      <c r="W10" s="55"/>
      <c r="X10" s="52"/>
      <c r="Y10" s="52"/>
      <c r="Z10" s="56"/>
      <c r="AA10" s="55"/>
      <c r="AB10" s="55"/>
      <c r="AC10" s="55"/>
      <c r="AD10" s="55"/>
      <c r="AE10" s="55"/>
      <c r="AF10" s="55"/>
    </row>
    <row r="11" spans="1:32" s="57" customFormat="1" ht="15.75" hidden="1" customHeight="1">
      <c r="A11" s="17"/>
      <c r="B11" s="17"/>
      <c r="C11" s="51"/>
      <c r="D11" s="51"/>
      <c r="E11" s="51"/>
      <c r="F11" s="51"/>
      <c r="G11" s="51"/>
      <c r="H11" s="51"/>
      <c r="I11" s="51"/>
      <c r="J11" s="51"/>
      <c r="K11" s="51"/>
      <c r="L11" s="51"/>
      <c r="M11" s="51"/>
      <c r="N11" s="51"/>
      <c r="O11" s="51"/>
      <c r="P11" s="51"/>
      <c r="Q11" s="51"/>
      <c r="R11" s="52"/>
      <c r="S11" s="53"/>
      <c r="T11" s="54"/>
      <c r="U11" s="52"/>
      <c r="V11" s="55"/>
      <c r="W11" s="55"/>
      <c r="X11" s="52"/>
      <c r="Y11" s="52"/>
      <c r="Z11" s="56"/>
      <c r="AA11" s="55"/>
      <c r="AB11" s="55"/>
      <c r="AC11" s="55"/>
      <c r="AD11" s="55"/>
      <c r="AE11" s="55"/>
      <c r="AF11" s="55"/>
    </row>
    <row r="12" spans="1:32" s="57" customFormat="1" ht="15.75" hidden="1" customHeight="1">
      <c r="A12" s="17"/>
      <c r="B12" s="2"/>
      <c r="C12" s="51"/>
      <c r="D12" s="51"/>
      <c r="E12" s="51"/>
      <c r="F12" s="51"/>
      <c r="G12" s="51"/>
      <c r="H12" s="51"/>
      <c r="I12" s="51"/>
      <c r="J12" s="51"/>
      <c r="K12" s="51"/>
      <c r="L12" s="51"/>
      <c r="M12" s="51"/>
      <c r="N12" s="51"/>
      <c r="O12" s="51"/>
      <c r="P12" s="51"/>
      <c r="Q12" s="51"/>
      <c r="R12" s="52"/>
      <c r="S12" s="53"/>
      <c r="T12" s="54"/>
      <c r="U12" s="52"/>
      <c r="V12" s="55"/>
      <c r="W12" s="55"/>
      <c r="X12" s="52"/>
      <c r="Y12" s="52"/>
      <c r="Z12" s="56"/>
      <c r="AA12" s="55"/>
      <c r="AB12" s="55"/>
      <c r="AC12" s="55"/>
      <c r="AD12" s="55"/>
      <c r="AE12" s="55"/>
      <c r="AF12" s="55"/>
    </row>
    <row r="13" spans="1:32" s="57" customFormat="1" ht="15.75" hidden="1" customHeight="1">
      <c r="A13" s="17"/>
      <c r="B13" s="2"/>
      <c r="C13" s="51"/>
      <c r="D13" s="51"/>
      <c r="E13" s="51"/>
      <c r="F13" s="51"/>
      <c r="G13" s="51"/>
      <c r="H13" s="51"/>
      <c r="I13" s="51"/>
      <c r="J13" s="51"/>
      <c r="K13" s="51"/>
      <c r="L13" s="51"/>
      <c r="M13" s="51"/>
      <c r="N13" s="51"/>
      <c r="O13" s="51"/>
      <c r="P13" s="51"/>
      <c r="Q13" s="51"/>
      <c r="R13" s="52"/>
      <c r="S13" s="53"/>
      <c r="T13" s="54"/>
      <c r="U13" s="52"/>
      <c r="V13" s="55"/>
      <c r="W13" s="55"/>
      <c r="X13" s="52"/>
      <c r="Y13" s="52"/>
      <c r="Z13" s="56"/>
      <c r="AA13" s="55"/>
      <c r="AB13" s="55"/>
      <c r="AC13" s="55"/>
      <c r="AD13" s="55"/>
      <c r="AE13" s="55"/>
      <c r="AF13" s="55"/>
    </row>
    <row r="14" spans="1:32" s="57" customFormat="1" ht="15.75" hidden="1" customHeight="1">
      <c r="A14" s="17"/>
      <c r="B14" s="2"/>
      <c r="C14" s="51"/>
      <c r="D14" s="51"/>
      <c r="E14" s="51"/>
      <c r="F14" s="51"/>
      <c r="G14" s="51"/>
      <c r="H14" s="51"/>
      <c r="I14" s="51"/>
      <c r="J14" s="51"/>
      <c r="K14" s="51"/>
      <c r="L14" s="51"/>
      <c r="M14" s="51"/>
      <c r="N14" s="51"/>
      <c r="O14" s="51"/>
      <c r="P14" s="51"/>
      <c r="Q14" s="51"/>
      <c r="R14" s="52"/>
      <c r="S14" s="53"/>
      <c r="T14" s="54"/>
      <c r="U14" s="52"/>
      <c r="V14" s="55"/>
      <c r="W14" s="55"/>
      <c r="X14" s="52"/>
      <c r="Y14" s="52"/>
      <c r="Z14" s="56"/>
      <c r="AA14" s="55"/>
      <c r="AB14" s="55"/>
      <c r="AC14" s="55"/>
      <c r="AD14" s="55"/>
      <c r="AE14" s="55"/>
      <c r="AF14" s="55"/>
    </row>
    <row r="15" spans="1:32" s="57" customFormat="1" ht="15.75" hidden="1" customHeight="1">
      <c r="A15" s="17"/>
      <c r="B15" s="2"/>
      <c r="C15" s="51"/>
      <c r="D15" s="51"/>
      <c r="E15" s="51"/>
      <c r="F15" s="51"/>
      <c r="G15" s="51"/>
      <c r="H15" s="51"/>
      <c r="I15" s="51"/>
      <c r="J15" s="51"/>
      <c r="K15" s="51"/>
      <c r="L15" s="51"/>
      <c r="M15" s="51"/>
      <c r="N15" s="51"/>
      <c r="O15" s="51"/>
      <c r="P15" s="51"/>
      <c r="Q15" s="51"/>
      <c r="R15" s="52"/>
      <c r="S15" s="53"/>
      <c r="T15" s="54"/>
      <c r="U15" s="52"/>
      <c r="V15" s="55"/>
      <c r="W15" s="55"/>
      <c r="X15" s="52"/>
      <c r="Y15" s="52"/>
      <c r="Z15" s="56"/>
      <c r="AA15" s="55"/>
      <c r="AB15" s="55"/>
      <c r="AC15" s="55"/>
      <c r="AD15" s="55"/>
      <c r="AE15" s="55"/>
      <c r="AF15" s="55"/>
    </row>
    <row r="16" spans="1:32" s="57" customFormat="1" ht="15.75" hidden="1" customHeight="1">
      <c r="A16" s="17"/>
      <c r="B16" s="2"/>
      <c r="C16" s="51"/>
      <c r="D16" s="51"/>
      <c r="E16" s="51"/>
      <c r="F16" s="51"/>
      <c r="G16" s="51"/>
      <c r="H16" s="51"/>
      <c r="I16" s="51"/>
      <c r="J16" s="51"/>
      <c r="K16" s="51"/>
      <c r="L16" s="51"/>
      <c r="M16" s="51"/>
      <c r="N16" s="51"/>
      <c r="O16" s="51"/>
      <c r="P16" s="51"/>
      <c r="Q16" s="51"/>
      <c r="R16" s="52"/>
      <c r="S16" s="53"/>
      <c r="T16" s="54"/>
      <c r="U16" s="52"/>
      <c r="V16" s="55"/>
      <c r="W16" s="55"/>
      <c r="X16" s="52"/>
      <c r="Y16" s="52"/>
      <c r="Z16" s="56"/>
      <c r="AA16" s="55"/>
      <c r="AB16" s="55"/>
      <c r="AC16" s="55"/>
      <c r="AD16" s="55"/>
      <c r="AE16" s="55"/>
      <c r="AF16" s="55"/>
    </row>
    <row r="17" spans="1:32" s="57" customFormat="1" ht="15.75" hidden="1" customHeight="1">
      <c r="A17" s="17"/>
      <c r="B17" s="2"/>
      <c r="C17" s="51"/>
      <c r="D17" s="51"/>
      <c r="E17" s="51"/>
      <c r="F17" s="51"/>
      <c r="G17" s="51"/>
      <c r="H17" s="51"/>
      <c r="I17" s="51"/>
      <c r="J17" s="51"/>
      <c r="K17" s="51"/>
      <c r="L17" s="51"/>
      <c r="M17" s="51"/>
      <c r="N17" s="51"/>
      <c r="O17" s="51"/>
      <c r="P17" s="51"/>
      <c r="Q17" s="51"/>
      <c r="R17" s="52"/>
      <c r="S17" s="53"/>
      <c r="T17" s="54"/>
      <c r="U17" s="52"/>
      <c r="V17" s="55"/>
      <c r="W17" s="55"/>
      <c r="X17" s="52"/>
      <c r="Y17" s="52"/>
      <c r="Z17" s="56"/>
      <c r="AA17" s="55"/>
      <c r="AB17" s="55"/>
      <c r="AC17" s="55"/>
      <c r="AD17" s="55"/>
      <c r="AE17" s="55"/>
      <c r="AF17" s="55"/>
    </row>
    <row r="18" spans="1:32" s="57" customFormat="1" ht="15.75" hidden="1" customHeight="1">
      <c r="A18" s="2"/>
      <c r="B18" s="2"/>
      <c r="C18" s="51"/>
      <c r="D18" s="51"/>
      <c r="E18" s="51"/>
      <c r="F18" s="51"/>
      <c r="G18" s="51"/>
      <c r="H18" s="51"/>
      <c r="I18" s="51"/>
      <c r="J18" s="51"/>
      <c r="K18" s="51"/>
      <c r="L18" s="51"/>
      <c r="M18" s="51"/>
      <c r="N18" s="51"/>
      <c r="O18" s="51"/>
      <c r="P18" s="51"/>
      <c r="Q18" s="51"/>
      <c r="R18" s="55"/>
      <c r="S18" s="53"/>
      <c r="T18" s="54"/>
      <c r="U18" s="55"/>
      <c r="V18" s="55"/>
      <c r="W18" s="55"/>
      <c r="X18" s="55"/>
      <c r="Y18" s="55"/>
      <c r="Z18" s="56"/>
      <c r="AA18" s="55"/>
      <c r="AB18" s="58"/>
      <c r="AC18" s="55"/>
      <c r="AD18" s="55"/>
      <c r="AE18" s="55"/>
      <c r="AF18" s="55"/>
    </row>
    <row r="19" spans="1:32" s="57" customFormat="1" ht="15.75" hidden="1" customHeight="1">
      <c r="A19" s="17"/>
      <c r="B19" s="2"/>
      <c r="C19" s="51"/>
      <c r="D19" s="51"/>
      <c r="E19" s="51"/>
      <c r="F19" s="51"/>
      <c r="G19" s="51"/>
      <c r="H19" s="51"/>
      <c r="I19" s="51"/>
      <c r="J19" s="51"/>
      <c r="K19" s="51"/>
      <c r="L19" s="51"/>
      <c r="M19" s="51"/>
      <c r="N19" s="51"/>
      <c r="O19" s="51"/>
      <c r="P19" s="51"/>
      <c r="Q19" s="51"/>
      <c r="R19" s="52"/>
      <c r="S19" s="53"/>
      <c r="T19" s="54"/>
      <c r="U19" s="55"/>
      <c r="V19" s="55"/>
      <c r="W19" s="55"/>
      <c r="X19" s="52"/>
      <c r="Y19" s="52"/>
      <c r="Z19" s="56"/>
      <c r="AA19" s="55"/>
      <c r="AB19" s="55"/>
      <c r="AC19" s="55"/>
      <c r="AD19" s="55"/>
      <c r="AE19" s="55"/>
      <c r="AF19" s="55"/>
    </row>
    <row r="20" spans="1:32" s="57" customFormat="1" ht="15.75" hidden="1" customHeight="1">
      <c r="A20" s="17"/>
      <c r="B20" s="2"/>
      <c r="C20" s="51"/>
      <c r="D20" s="51"/>
      <c r="E20" s="51"/>
      <c r="F20" s="51"/>
      <c r="G20" s="51"/>
      <c r="H20" s="51"/>
      <c r="I20" s="51"/>
      <c r="J20" s="51"/>
      <c r="K20" s="51"/>
      <c r="L20" s="51"/>
      <c r="M20" s="51"/>
      <c r="N20" s="51"/>
      <c r="O20" s="51"/>
      <c r="P20" s="51"/>
      <c r="Q20" s="51"/>
      <c r="R20" s="52"/>
      <c r="S20" s="53"/>
      <c r="T20" s="54"/>
      <c r="U20" s="52"/>
      <c r="V20" s="55"/>
      <c r="W20" s="55"/>
      <c r="X20" s="52"/>
      <c r="Y20" s="52"/>
      <c r="Z20" s="56"/>
      <c r="AA20" s="55"/>
      <c r="AB20" s="55"/>
      <c r="AC20" s="55"/>
      <c r="AD20" s="55"/>
      <c r="AE20" s="55"/>
      <c r="AF20" s="55"/>
    </row>
    <row r="21" spans="1:32" s="57" customFormat="1" ht="15.75" hidden="1" customHeight="1">
      <c r="A21" s="17"/>
      <c r="B21" s="2"/>
      <c r="C21" s="51"/>
      <c r="D21" s="51"/>
      <c r="E21" s="51"/>
      <c r="F21" s="51"/>
      <c r="G21" s="51"/>
      <c r="H21" s="51"/>
      <c r="I21" s="51"/>
      <c r="J21" s="51"/>
      <c r="K21" s="51"/>
      <c r="L21" s="51"/>
      <c r="M21" s="51"/>
      <c r="N21" s="51"/>
      <c r="O21" s="51"/>
      <c r="P21" s="51"/>
      <c r="Q21" s="51"/>
      <c r="R21" s="52"/>
      <c r="S21" s="53"/>
      <c r="T21" s="54"/>
      <c r="U21" s="52"/>
      <c r="V21" s="55"/>
      <c r="W21" s="55"/>
      <c r="X21" s="52"/>
      <c r="Y21" s="52"/>
      <c r="Z21" s="56"/>
      <c r="AA21" s="55"/>
      <c r="AB21" s="55"/>
      <c r="AC21" s="55"/>
      <c r="AD21" s="55"/>
      <c r="AE21" s="55"/>
      <c r="AF21" s="55"/>
    </row>
    <row r="22" spans="1:32" s="57" customFormat="1" ht="15.75" hidden="1" customHeight="1">
      <c r="A22" s="17"/>
      <c r="B22" s="2"/>
      <c r="C22" s="51"/>
      <c r="D22" s="51"/>
      <c r="E22" s="51"/>
      <c r="F22" s="51"/>
      <c r="G22" s="51"/>
      <c r="H22" s="51"/>
      <c r="I22" s="51"/>
      <c r="J22" s="51"/>
      <c r="K22" s="51"/>
      <c r="L22" s="51"/>
      <c r="M22" s="51"/>
      <c r="N22" s="51"/>
      <c r="O22" s="51"/>
      <c r="P22" s="51"/>
      <c r="Q22" s="51"/>
      <c r="R22" s="52"/>
      <c r="S22" s="53"/>
      <c r="T22" s="54"/>
      <c r="U22" s="52"/>
      <c r="V22" s="55"/>
      <c r="W22" s="55"/>
      <c r="X22" s="52"/>
      <c r="Y22" s="52"/>
      <c r="Z22" s="56"/>
      <c r="AA22" s="55"/>
      <c r="AB22" s="55"/>
      <c r="AC22" s="55"/>
      <c r="AD22" s="55"/>
      <c r="AE22" s="55"/>
      <c r="AF22" s="55"/>
    </row>
    <row r="23" spans="1:32" s="57" customFormat="1" ht="15.75" hidden="1" customHeight="1">
      <c r="A23" s="17"/>
      <c r="B23" s="2"/>
      <c r="C23" s="51"/>
      <c r="D23" s="51"/>
      <c r="E23" s="51"/>
      <c r="F23" s="51"/>
      <c r="G23" s="51"/>
      <c r="H23" s="51"/>
      <c r="I23" s="51"/>
      <c r="J23" s="51"/>
      <c r="K23" s="51"/>
      <c r="L23" s="51"/>
      <c r="M23" s="51"/>
      <c r="N23" s="51"/>
      <c r="O23" s="51"/>
      <c r="P23" s="51"/>
      <c r="Q23" s="51"/>
      <c r="R23" s="52"/>
      <c r="S23" s="53"/>
      <c r="T23" s="54"/>
      <c r="U23" s="52"/>
      <c r="V23" s="55"/>
      <c r="W23" s="55"/>
      <c r="X23" s="52"/>
      <c r="Y23" s="52"/>
      <c r="Z23" s="56"/>
      <c r="AA23" s="55"/>
      <c r="AB23" s="55"/>
      <c r="AC23" s="55"/>
      <c r="AD23" s="55"/>
      <c r="AE23" s="55"/>
      <c r="AF23" s="55"/>
    </row>
    <row r="24" spans="1:32" s="57" customFormat="1" ht="15.75" hidden="1" customHeight="1">
      <c r="A24" s="17"/>
      <c r="B24" s="2"/>
      <c r="C24" s="51"/>
      <c r="D24" s="51"/>
      <c r="E24" s="51"/>
      <c r="F24" s="51"/>
      <c r="G24" s="51"/>
      <c r="H24" s="51"/>
      <c r="I24" s="51"/>
      <c r="J24" s="51"/>
      <c r="K24" s="51"/>
      <c r="L24" s="51"/>
      <c r="M24" s="51"/>
      <c r="N24" s="51"/>
      <c r="O24" s="51"/>
      <c r="P24" s="51"/>
      <c r="Q24" s="51"/>
      <c r="R24" s="52"/>
      <c r="S24" s="53"/>
      <c r="T24" s="54"/>
      <c r="U24" s="52"/>
      <c r="V24" s="55"/>
      <c r="W24" s="55"/>
      <c r="X24" s="52"/>
      <c r="Y24" s="52"/>
      <c r="Z24" s="56"/>
      <c r="AA24" s="55"/>
      <c r="AB24" s="55"/>
      <c r="AC24" s="55"/>
      <c r="AD24" s="55"/>
      <c r="AE24" s="55"/>
      <c r="AF24" s="55"/>
    </row>
    <row r="25" spans="1:32" s="57" customFormat="1" ht="15.75" hidden="1" customHeight="1">
      <c r="A25" s="17"/>
      <c r="B25" s="2"/>
      <c r="C25" s="51"/>
      <c r="D25" s="51"/>
      <c r="E25" s="51"/>
      <c r="F25" s="51"/>
      <c r="G25" s="51"/>
      <c r="H25" s="51"/>
      <c r="I25" s="51"/>
      <c r="J25" s="51"/>
      <c r="K25" s="51"/>
      <c r="L25" s="51"/>
      <c r="M25" s="51"/>
      <c r="N25" s="51"/>
      <c r="O25" s="51"/>
      <c r="P25" s="51"/>
      <c r="Q25" s="51"/>
      <c r="R25" s="52"/>
      <c r="S25" s="53"/>
      <c r="T25" s="54"/>
      <c r="U25" s="52"/>
      <c r="V25" s="55"/>
      <c r="W25" s="55"/>
      <c r="X25" s="52"/>
      <c r="Y25" s="52"/>
      <c r="Z25" s="56"/>
      <c r="AA25" s="55"/>
      <c r="AB25" s="55"/>
      <c r="AC25" s="55"/>
      <c r="AD25" s="55"/>
      <c r="AE25" s="55"/>
      <c r="AF25" s="55"/>
    </row>
    <row r="26" spans="1:32" s="57" customFormat="1" ht="15.75" hidden="1" customHeight="1">
      <c r="A26" s="17"/>
      <c r="B26" s="2"/>
      <c r="C26" s="51"/>
      <c r="D26" s="51"/>
      <c r="E26" s="51"/>
      <c r="F26" s="51"/>
      <c r="G26" s="51"/>
      <c r="H26" s="51"/>
      <c r="I26" s="51"/>
      <c r="J26" s="51"/>
      <c r="K26" s="51"/>
      <c r="L26" s="51"/>
      <c r="M26" s="51"/>
      <c r="N26" s="51"/>
      <c r="O26" s="51"/>
      <c r="P26" s="51"/>
      <c r="Q26" s="51"/>
      <c r="R26" s="52"/>
      <c r="S26" s="53"/>
      <c r="T26" s="54"/>
      <c r="U26" s="52"/>
      <c r="V26" s="55"/>
      <c r="W26" s="55"/>
      <c r="X26" s="52"/>
      <c r="Y26" s="52"/>
      <c r="Z26" s="56"/>
      <c r="AA26" s="55"/>
      <c r="AB26" s="55"/>
      <c r="AC26" s="55"/>
      <c r="AD26" s="55"/>
      <c r="AE26" s="55"/>
      <c r="AF26" s="55"/>
    </row>
    <row r="27" spans="1:32" s="57" customFormat="1" ht="15.75" hidden="1" customHeight="1">
      <c r="A27" s="17"/>
      <c r="B27" s="2"/>
      <c r="C27" s="51"/>
      <c r="D27" s="51"/>
      <c r="E27" s="51"/>
      <c r="F27" s="51"/>
      <c r="G27" s="51"/>
      <c r="H27" s="51"/>
      <c r="I27" s="51"/>
      <c r="J27" s="51"/>
      <c r="K27" s="51"/>
      <c r="L27" s="51"/>
      <c r="M27" s="51"/>
      <c r="N27" s="51"/>
      <c r="O27" s="51"/>
      <c r="P27" s="51"/>
      <c r="Q27" s="51"/>
      <c r="R27" s="52"/>
      <c r="S27" s="53"/>
      <c r="T27" s="54"/>
      <c r="U27" s="52"/>
      <c r="V27" s="55"/>
      <c r="W27" s="55"/>
      <c r="X27" s="52"/>
      <c r="Y27" s="52"/>
      <c r="Z27" s="56"/>
      <c r="AA27" s="55"/>
      <c r="AB27" s="55"/>
      <c r="AC27" s="55"/>
      <c r="AD27" s="55"/>
      <c r="AE27" s="55"/>
      <c r="AF27" s="55"/>
    </row>
    <row r="28" spans="1:32" s="57" customFormat="1" ht="15.75" hidden="1" customHeight="1">
      <c r="A28" s="17"/>
      <c r="B28" s="2"/>
      <c r="C28" s="51"/>
      <c r="D28" s="51"/>
      <c r="E28" s="51"/>
      <c r="F28" s="51"/>
      <c r="G28" s="51"/>
      <c r="H28" s="51"/>
      <c r="I28" s="51"/>
      <c r="J28" s="51"/>
      <c r="K28" s="51"/>
      <c r="L28" s="51"/>
      <c r="M28" s="51"/>
      <c r="N28" s="51"/>
      <c r="O28" s="51"/>
      <c r="P28" s="51"/>
      <c r="Q28" s="51"/>
      <c r="R28" s="52"/>
      <c r="S28" s="53"/>
      <c r="T28" s="54"/>
      <c r="U28" s="52"/>
      <c r="V28" s="55"/>
      <c r="W28" s="55"/>
      <c r="X28" s="52"/>
      <c r="Y28" s="52"/>
      <c r="Z28" s="56"/>
      <c r="AA28" s="55"/>
      <c r="AB28" s="55"/>
      <c r="AC28" s="55"/>
      <c r="AD28" s="55"/>
      <c r="AE28" s="55"/>
      <c r="AF28" s="55"/>
    </row>
    <row r="29" spans="1:32" s="57" customFormat="1" ht="15.75" hidden="1" customHeight="1">
      <c r="A29" s="17"/>
      <c r="B29" s="2"/>
      <c r="C29" s="51"/>
      <c r="D29" s="51"/>
      <c r="E29" s="51"/>
      <c r="F29" s="51"/>
      <c r="G29" s="51"/>
      <c r="H29" s="51"/>
      <c r="I29" s="51"/>
      <c r="J29" s="51"/>
      <c r="K29" s="51"/>
      <c r="L29" s="51"/>
      <c r="M29" s="51"/>
      <c r="N29" s="51"/>
      <c r="O29" s="51"/>
      <c r="P29" s="51"/>
      <c r="Q29" s="51"/>
      <c r="R29" s="52"/>
      <c r="S29" s="53"/>
      <c r="T29" s="54"/>
      <c r="U29" s="52"/>
      <c r="V29" s="55"/>
      <c r="W29" s="55"/>
      <c r="X29" s="52"/>
      <c r="Y29" s="52"/>
      <c r="Z29" s="56"/>
      <c r="AA29" s="55"/>
      <c r="AB29" s="55"/>
      <c r="AC29" s="55"/>
      <c r="AD29" s="55"/>
      <c r="AE29" s="55"/>
      <c r="AF29" s="55"/>
    </row>
    <row r="30" spans="1:32" s="57" customFormat="1" ht="15.75" hidden="1" customHeight="1">
      <c r="A30" s="17"/>
      <c r="B30" s="2"/>
      <c r="C30" s="51"/>
      <c r="D30" s="51"/>
      <c r="E30" s="51"/>
      <c r="F30" s="51"/>
      <c r="G30" s="51"/>
      <c r="H30" s="51"/>
      <c r="I30" s="51"/>
      <c r="J30" s="51"/>
      <c r="K30" s="51"/>
      <c r="L30" s="51"/>
      <c r="M30" s="51"/>
      <c r="N30" s="51"/>
      <c r="O30" s="51"/>
      <c r="P30" s="51"/>
      <c r="Q30" s="51"/>
      <c r="R30" s="52"/>
      <c r="S30" s="53"/>
      <c r="T30" s="54"/>
      <c r="U30" s="52"/>
      <c r="V30" s="55"/>
      <c r="W30" s="55"/>
      <c r="X30" s="52"/>
      <c r="Y30" s="52"/>
      <c r="Z30" s="56"/>
      <c r="AA30" s="55"/>
      <c r="AB30" s="55"/>
      <c r="AC30" s="55"/>
      <c r="AD30" s="55"/>
      <c r="AE30" s="55"/>
      <c r="AF30" s="55"/>
    </row>
    <row r="31" spans="1:32" s="57" customFormat="1" ht="15.75" hidden="1" customHeight="1">
      <c r="A31" s="17"/>
      <c r="B31" s="2"/>
      <c r="C31" s="51"/>
      <c r="D31" s="51"/>
      <c r="E31" s="51"/>
      <c r="F31" s="51"/>
      <c r="G31" s="51"/>
      <c r="H31" s="51"/>
      <c r="I31" s="51"/>
      <c r="J31" s="51"/>
      <c r="K31" s="51"/>
      <c r="L31" s="51"/>
      <c r="M31" s="51"/>
      <c r="N31" s="51"/>
      <c r="O31" s="51"/>
      <c r="P31" s="51"/>
      <c r="Q31" s="51"/>
      <c r="R31" s="52"/>
      <c r="S31" s="53"/>
      <c r="T31" s="54"/>
      <c r="U31" s="52"/>
      <c r="V31" s="55"/>
      <c r="W31" s="55"/>
      <c r="X31" s="52"/>
      <c r="Y31" s="52"/>
      <c r="Z31" s="56"/>
      <c r="AA31" s="55"/>
      <c r="AB31" s="55"/>
      <c r="AC31" s="55"/>
      <c r="AD31" s="55"/>
      <c r="AE31" s="55"/>
      <c r="AF31" s="55"/>
    </row>
    <row r="32" spans="1:32" s="57" customFormat="1" ht="15.75" hidden="1" customHeight="1">
      <c r="A32" s="17"/>
      <c r="B32" s="2"/>
      <c r="C32" s="51"/>
      <c r="D32" s="51"/>
      <c r="E32" s="51"/>
      <c r="F32" s="51"/>
      <c r="G32" s="51"/>
      <c r="H32" s="51"/>
      <c r="I32" s="51"/>
      <c r="J32" s="51"/>
      <c r="K32" s="51"/>
      <c r="L32" s="51"/>
      <c r="M32" s="51"/>
      <c r="N32" s="51"/>
      <c r="O32" s="51"/>
      <c r="P32" s="51"/>
      <c r="Q32" s="51"/>
      <c r="R32" s="52"/>
      <c r="S32" s="53"/>
      <c r="T32" s="54"/>
      <c r="U32" s="52"/>
      <c r="V32" s="55"/>
      <c r="W32" s="55"/>
      <c r="X32" s="52"/>
      <c r="Y32" s="52"/>
      <c r="Z32" s="56"/>
      <c r="AA32" s="55"/>
      <c r="AB32" s="55"/>
      <c r="AC32" s="55"/>
      <c r="AD32" s="55"/>
      <c r="AE32" s="55"/>
      <c r="AF32" s="52"/>
    </row>
    <row r="33" spans="1:32" s="57" customFormat="1" ht="15.75" hidden="1" customHeight="1">
      <c r="A33" s="17"/>
      <c r="B33" s="2"/>
      <c r="C33" s="51"/>
      <c r="D33" s="51"/>
      <c r="E33" s="51"/>
      <c r="F33" s="51"/>
      <c r="G33" s="51"/>
      <c r="H33" s="51"/>
      <c r="I33" s="51"/>
      <c r="J33" s="51"/>
      <c r="K33" s="51"/>
      <c r="L33" s="51"/>
      <c r="M33" s="51"/>
      <c r="N33" s="51"/>
      <c r="O33" s="51"/>
      <c r="P33" s="51"/>
      <c r="Q33" s="51"/>
      <c r="R33" s="52"/>
      <c r="S33" s="53"/>
      <c r="T33" s="54"/>
      <c r="U33" s="52"/>
      <c r="V33" s="55"/>
      <c r="W33" s="55"/>
      <c r="X33" s="52"/>
      <c r="Y33" s="52"/>
      <c r="Z33" s="56"/>
      <c r="AA33" s="55"/>
      <c r="AB33" s="55"/>
      <c r="AC33" s="55"/>
      <c r="AD33" s="55"/>
      <c r="AE33" s="55"/>
      <c r="AF33" s="55"/>
    </row>
    <row r="34" spans="1:32" s="57" customFormat="1" ht="15.75" hidden="1" customHeight="1">
      <c r="A34" s="17"/>
      <c r="B34" s="2"/>
      <c r="C34" s="51"/>
      <c r="D34" s="51"/>
      <c r="E34" s="51"/>
      <c r="F34" s="51"/>
      <c r="G34" s="51"/>
      <c r="H34" s="51"/>
      <c r="I34" s="51"/>
      <c r="J34" s="51"/>
      <c r="K34" s="51"/>
      <c r="L34" s="51"/>
      <c r="M34" s="51"/>
      <c r="N34" s="51"/>
      <c r="O34" s="51"/>
      <c r="P34" s="51"/>
      <c r="Q34" s="51"/>
      <c r="R34" s="55"/>
      <c r="S34" s="53"/>
      <c r="T34" s="54"/>
      <c r="U34" s="52"/>
      <c r="V34" s="55"/>
      <c r="W34" s="55"/>
      <c r="X34" s="52"/>
      <c r="Y34" s="52"/>
      <c r="Z34" s="56"/>
      <c r="AA34" s="55"/>
      <c r="AB34" s="55"/>
      <c r="AC34" s="55"/>
      <c r="AD34" s="55"/>
      <c r="AE34" s="55"/>
      <c r="AF34" s="55"/>
    </row>
    <row r="35" spans="1:32" s="57" customFormat="1" ht="15.75" hidden="1" customHeight="1">
      <c r="A35" s="17"/>
      <c r="B35" s="2"/>
      <c r="C35" s="51"/>
      <c r="D35" s="51"/>
      <c r="E35" s="51"/>
      <c r="F35" s="51"/>
      <c r="G35" s="51"/>
      <c r="H35" s="51"/>
      <c r="I35" s="51"/>
      <c r="J35" s="51"/>
      <c r="K35" s="51"/>
      <c r="L35" s="51"/>
      <c r="M35" s="51"/>
      <c r="N35" s="51"/>
      <c r="O35" s="51"/>
      <c r="P35" s="51"/>
      <c r="Q35" s="51"/>
      <c r="R35" s="55"/>
      <c r="S35" s="53"/>
      <c r="T35" s="54"/>
      <c r="U35" s="52"/>
      <c r="V35" s="55"/>
      <c r="W35" s="55"/>
      <c r="X35" s="52"/>
      <c r="Y35" s="52"/>
      <c r="Z35" s="56"/>
      <c r="AA35" s="55"/>
      <c r="AB35" s="55"/>
      <c r="AC35" s="55"/>
      <c r="AD35" s="55"/>
      <c r="AE35" s="55"/>
      <c r="AF35" s="55"/>
    </row>
    <row r="36" spans="1:32" s="57" customFormat="1" ht="15.75" hidden="1" customHeight="1">
      <c r="A36" s="17"/>
      <c r="B36" s="2"/>
      <c r="C36" s="51"/>
      <c r="D36" s="51"/>
      <c r="E36" s="51"/>
      <c r="F36" s="51"/>
      <c r="G36" s="51"/>
      <c r="H36" s="51"/>
      <c r="I36" s="51"/>
      <c r="J36" s="51"/>
      <c r="K36" s="51"/>
      <c r="L36" s="51"/>
      <c r="M36" s="51"/>
      <c r="N36" s="51"/>
      <c r="O36" s="51"/>
      <c r="P36" s="51"/>
      <c r="Q36" s="51"/>
      <c r="R36" s="55"/>
      <c r="S36" s="53"/>
      <c r="T36" s="54"/>
      <c r="U36" s="55"/>
      <c r="V36" s="55"/>
      <c r="W36" s="55"/>
      <c r="X36" s="55"/>
      <c r="Y36" s="52"/>
      <c r="Z36" s="56"/>
      <c r="AA36" s="55"/>
      <c r="AB36" s="55"/>
      <c r="AC36" s="55"/>
      <c r="AD36" s="55"/>
      <c r="AE36" s="55"/>
      <c r="AF36" s="55"/>
    </row>
    <row r="37" spans="1:32" s="57" customFormat="1" ht="15.75" hidden="1" customHeight="1">
      <c r="A37" s="17"/>
      <c r="B37" s="2"/>
      <c r="C37" s="51"/>
      <c r="D37" s="51"/>
      <c r="E37" s="51"/>
      <c r="F37" s="51"/>
      <c r="G37" s="51"/>
      <c r="H37" s="51"/>
      <c r="I37" s="51"/>
      <c r="J37" s="51"/>
      <c r="K37" s="51"/>
      <c r="L37" s="51"/>
      <c r="M37" s="51"/>
      <c r="N37" s="51"/>
      <c r="O37" s="51"/>
      <c r="P37" s="51"/>
      <c r="Q37" s="51"/>
      <c r="R37" s="55"/>
      <c r="S37" s="53"/>
      <c r="T37" s="54"/>
      <c r="U37" s="52"/>
      <c r="V37" s="55"/>
      <c r="W37" s="55"/>
      <c r="X37" s="52"/>
      <c r="Y37" s="52"/>
      <c r="Z37" s="56"/>
      <c r="AA37" s="55"/>
      <c r="AB37" s="55"/>
      <c r="AC37" s="55"/>
      <c r="AD37" s="55"/>
      <c r="AE37" s="55"/>
      <c r="AF37" s="55"/>
    </row>
    <row r="38" spans="1:32" s="57" customFormat="1" ht="15.75" hidden="1" customHeight="1">
      <c r="A38" s="17"/>
      <c r="B38" s="2"/>
      <c r="C38" s="51"/>
      <c r="D38" s="51"/>
      <c r="E38" s="51"/>
      <c r="F38" s="51"/>
      <c r="G38" s="51"/>
      <c r="H38" s="51"/>
      <c r="I38" s="51"/>
      <c r="J38" s="51"/>
      <c r="K38" s="51"/>
      <c r="L38" s="51"/>
      <c r="M38" s="51"/>
      <c r="N38" s="51"/>
      <c r="O38" s="51"/>
      <c r="P38" s="51"/>
      <c r="Q38" s="51"/>
      <c r="R38" s="52"/>
      <c r="S38" s="53"/>
      <c r="T38" s="54"/>
      <c r="U38" s="52"/>
      <c r="V38" s="55"/>
      <c r="W38" s="55"/>
      <c r="X38" s="52"/>
      <c r="Y38" s="52"/>
      <c r="Z38" s="56"/>
      <c r="AA38" s="55"/>
      <c r="AB38" s="55"/>
      <c r="AC38" s="55"/>
      <c r="AD38" s="55"/>
      <c r="AE38" s="55"/>
      <c r="AF38" s="55"/>
    </row>
    <row r="39" spans="1:32" s="57" customFormat="1" ht="15.75" hidden="1" customHeight="1">
      <c r="A39" s="17"/>
      <c r="B39" s="2"/>
      <c r="C39" s="51"/>
      <c r="D39" s="51"/>
      <c r="E39" s="51"/>
      <c r="F39" s="51"/>
      <c r="G39" s="51"/>
      <c r="H39" s="51"/>
      <c r="I39" s="51"/>
      <c r="J39" s="51"/>
      <c r="K39" s="51"/>
      <c r="L39" s="51"/>
      <c r="M39" s="51"/>
      <c r="N39" s="51"/>
      <c r="O39" s="51"/>
      <c r="P39" s="51"/>
      <c r="Q39" s="51"/>
      <c r="R39" s="55"/>
      <c r="S39" s="53"/>
      <c r="T39" s="54"/>
      <c r="U39" s="52"/>
      <c r="V39" s="55"/>
      <c r="W39" s="55"/>
      <c r="X39" s="52"/>
      <c r="Y39" s="52"/>
      <c r="Z39" s="56"/>
      <c r="AA39" s="52"/>
      <c r="AB39" s="55"/>
      <c r="AC39" s="55"/>
      <c r="AD39" s="55"/>
      <c r="AE39" s="55"/>
      <c r="AF39" s="55"/>
    </row>
    <row r="40" spans="1:32" s="57" customFormat="1" ht="15.75" hidden="1" customHeight="1">
      <c r="A40" s="17"/>
      <c r="B40" s="2"/>
      <c r="C40" s="51"/>
      <c r="D40" s="51"/>
      <c r="E40" s="51"/>
      <c r="F40" s="51"/>
      <c r="G40" s="51"/>
      <c r="H40" s="51"/>
      <c r="I40" s="51"/>
      <c r="J40" s="51"/>
      <c r="K40" s="51"/>
      <c r="L40" s="51"/>
      <c r="M40" s="51"/>
      <c r="N40" s="51"/>
      <c r="O40" s="51"/>
      <c r="P40" s="51"/>
      <c r="Q40" s="51"/>
      <c r="R40" s="55"/>
      <c r="S40" s="53"/>
      <c r="T40" s="54"/>
      <c r="U40" s="52"/>
      <c r="V40" s="55"/>
      <c r="W40" s="55"/>
      <c r="X40" s="52"/>
      <c r="Y40" s="52"/>
      <c r="Z40" s="56"/>
      <c r="AA40" s="55"/>
      <c r="AB40" s="55"/>
      <c r="AC40" s="55"/>
      <c r="AD40" s="55"/>
      <c r="AE40" s="55"/>
      <c r="AF40" s="55"/>
    </row>
    <row r="41" spans="1:32" s="57" customFormat="1" ht="15.75" hidden="1" customHeight="1">
      <c r="A41" s="17"/>
      <c r="B41" s="2"/>
      <c r="C41" s="51"/>
      <c r="D41" s="51"/>
      <c r="E41" s="51"/>
      <c r="F41" s="51"/>
      <c r="G41" s="51"/>
      <c r="H41" s="51"/>
      <c r="I41" s="51"/>
      <c r="J41" s="51"/>
      <c r="K41" s="51"/>
      <c r="L41" s="51"/>
      <c r="M41" s="51"/>
      <c r="N41" s="51"/>
      <c r="O41" s="51"/>
      <c r="P41" s="51"/>
      <c r="Q41" s="51"/>
      <c r="R41" s="55"/>
      <c r="S41" s="53"/>
      <c r="T41" s="54"/>
      <c r="U41" s="52"/>
      <c r="V41" s="55"/>
      <c r="W41" s="55"/>
      <c r="X41" s="52"/>
      <c r="Y41" s="52"/>
      <c r="Z41" s="56"/>
      <c r="AA41" s="55"/>
      <c r="AB41" s="55"/>
      <c r="AC41" s="55"/>
      <c r="AD41" s="55"/>
      <c r="AE41" s="55"/>
      <c r="AF41" s="55"/>
    </row>
    <row r="42" spans="1:32" s="57" customFormat="1" ht="15.75" hidden="1" customHeight="1">
      <c r="A42" s="17"/>
      <c r="B42" s="2"/>
      <c r="C42" s="51"/>
      <c r="D42" s="51"/>
      <c r="E42" s="51"/>
      <c r="F42" s="51"/>
      <c r="G42" s="51"/>
      <c r="H42" s="51"/>
      <c r="I42" s="51"/>
      <c r="J42" s="51"/>
      <c r="K42" s="51"/>
      <c r="L42" s="51"/>
      <c r="M42" s="51"/>
      <c r="N42" s="51"/>
      <c r="O42" s="51"/>
      <c r="P42" s="51"/>
      <c r="Q42" s="51"/>
      <c r="R42" s="55"/>
      <c r="S42" s="53"/>
      <c r="T42" s="54"/>
      <c r="U42" s="52"/>
      <c r="V42" s="55"/>
      <c r="W42" s="55"/>
      <c r="X42" s="52"/>
      <c r="Y42" s="52"/>
      <c r="Z42" s="56"/>
      <c r="AA42" s="55"/>
      <c r="AB42" s="55"/>
      <c r="AC42" s="55"/>
      <c r="AD42" s="55"/>
      <c r="AE42" s="55"/>
      <c r="AF42" s="55"/>
    </row>
    <row r="43" spans="1:32" s="57" customFormat="1" ht="15.75" hidden="1" customHeight="1">
      <c r="A43" s="17"/>
      <c r="B43" s="2"/>
      <c r="C43" s="51"/>
      <c r="D43" s="51"/>
      <c r="E43" s="51"/>
      <c r="F43" s="51"/>
      <c r="G43" s="51"/>
      <c r="H43" s="51"/>
      <c r="I43" s="51"/>
      <c r="J43" s="51"/>
      <c r="K43" s="51"/>
      <c r="L43" s="51"/>
      <c r="M43" s="51"/>
      <c r="N43" s="51"/>
      <c r="O43" s="51"/>
      <c r="P43" s="51"/>
      <c r="Q43" s="51"/>
      <c r="R43" s="55"/>
      <c r="S43" s="53"/>
      <c r="T43" s="54"/>
      <c r="U43" s="52"/>
      <c r="V43" s="55"/>
      <c r="W43" s="55"/>
      <c r="X43" s="52"/>
      <c r="Y43" s="52"/>
      <c r="Z43" s="56"/>
      <c r="AA43" s="55"/>
      <c r="AB43" s="55"/>
      <c r="AC43" s="55"/>
      <c r="AD43" s="55"/>
      <c r="AE43" s="55"/>
      <c r="AF43" s="55"/>
    </row>
    <row r="44" spans="1:32" s="57" customFormat="1" ht="15.75" hidden="1" customHeight="1">
      <c r="A44" s="17"/>
      <c r="B44" s="2"/>
      <c r="C44" s="51"/>
      <c r="D44" s="51"/>
      <c r="E44" s="51"/>
      <c r="F44" s="51"/>
      <c r="G44" s="51"/>
      <c r="H44" s="51"/>
      <c r="I44" s="51"/>
      <c r="J44" s="51"/>
      <c r="K44" s="51"/>
      <c r="L44" s="51"/>
      <c r="M44" s="51"/>
      <c r="N44" s="51"/>
      <c r="O44" s="51"/>
      <c r="P44" s="51"/>
      <c r="Q44" s="51"/>
      <c r="R44" s="55"/>
      <c r="S44" s="53"/>
      <c r="T44" s="54"/>
      <c r="U44" s="52"/>
      <c r="V44" s="55"/>
      <c r="W44" s="55"/>
      <c r="X44" s="52"/>
      <c r="Y44" s="52"/>
      <c r="Z44" s="56"/>
      <c r="AA44" s="55"/>
      <c r="AB44" s="55"/>
      <c r="AC44" s="55"/>
      <c r="AD44" s="55"/>
      <c r="AE44" s="55"/>
      <c r="AF44" s="55"/>
    </row>
    <row r="45" spans="1:32" s="57" customFormat="1" ht="15.75" hidden="1" customHeight="1">
      <c r="A45" s="17"/>
      <c r="B45" s="2"/>
      <c r="C45" s="51"/>
      <c r="D45" s="51"/>
      <c r="E45" s="51"/>
      <c r="F45" s="51"/>
      <c r="G45" s="51"/>
      <c r="H45" s="51"/>
      <c r="I45" s="51"/>
      <c r="J45" s="51"/>
      <c r="K45" s="51"/>
      <c r="L45" s="51"/>
      <c r="M45" s="51"/>
      <c r="N45" s="51"/>
      <c r="O45" s="51"/>
      <c r="P45" s="51"/>
      <c r="Q45" s="51"/>
      <c r="R45" s="55"/>
      <c r="S45" s="53"/>
      <c r="T45" s="54"/>
      <c r="U45" s="52"/>
      <c r="V45" s="55"/>
      <c r="W45" s="55"/>
      <c r="X45" s="52"/>
      <c r="Y45" s="52"/>
      <c r="Z45" s="56"/>
      <c r="AA45" s="55"/>
      <c r="AB45" s="55"/>
      <c r="AC45" s="55"/>
      <c r="AD45" s="55"/>
      <c r="AE45" s="55"/>
      <c r="AF45" s="55"/>
    </row>
    <row r="46" spans="1:32" s="57" customFormat="1" ht="15.75" hidden="1" customHeight="1">
      <c r="A46" s="17"/>
      <c r="B46" s="2"/>
      <c r="C46" s="51"/>
      <c r="D46" s="51"/>
      <c r="E46" s="51"/>
      <c r="F46" s="51"/>
      <c r="G46" s="51"/>
      <c r="H46" s="51"/>
      <c r="I46" s="51"/>
      <c r="J46" s="51"/>
      <c r="K46" s="51"/>
      <c r="L46" s="51"/>
      <c r="M46" s="51"/>
      <c r="N46" s="51"/>
      <c r="O46" s="51"/>
      <c r="P46" s="51"/>
      <c r="Q46" s="51"/>
      <c r="R46" s="55"/>
      <c r="S46" s="53"/>
      <c r="T46" s="54"/>
      <c r="U46" s="52"/>
      <c r="V46" s="55"/>
      <c r="W46" s="55"/>
      <c r="X46" s="52"/>
      <c r="Y46" s="52"/>
      <c r="Z46" s="56"/>
      <c r="AA46" s="55"/>
      <c r="AB46" s="55"/>
      <c r="AC46" s="55"/>
      <c r="AD46" s="55"/>
      <c r="AE46" s="55"/>
      <c r="AF46" s="55"/>
    </row>
    <row r="47" spans="1:32" s="57" customFormat="1" ht="15.75" hidden="1" customHeight="1">
      <c r="A47" s="17"/>
      <c r="B47" s="2"/>
      <c r="C47" s="51"/>
      <c r="D47" s="51"/>
      <c r="E47" s="51"/>
      <c r="F47" s="51"/>
      <c r="G47" s="51"/>
      <c r="H47" s="51"/>
      <c r="I47" s="51"/>
      <c r="J47" s="51"/>
      <c r="K47" s="51"/>
      <c r="L47" s="51"/>
      <c r="M47" s="51"/>
      <c r="N47" s="51"/>
      <c r="O47" s="51"/>
      <c r="P47" s="51"/>
      <c r="Q47" s="51"/>
      <c r="R47" s="55"/>
      <c r="S47" s="53"/>
      <c r="T47" s="54"/>
      <c r="U47" s="52"/>
      <c r="V47" s="55"/>
      <c r="W47" s="55"/>
      <c r="X47" s="52"/>
      <c r="Y47" s="52"/>
      <c r="Z47" s="56"/>
      <c r="AA47" s="55"/>
      <c r="AB47" s="55"/>
      <c r="AC47" s="55"/>
      <c r="AD47" s="55"/>
      <c r="AE47" s="55"/>
      <c r="AF47" s="55"/>
    </row>
    <row r="48" spans="1:32" s="57" customFormat="1" ht="15.75" hidden="1" customHeight="1">
      <c r="A48" s="17"/>
      <c r="B48" s="2"/>
      <c r="C48" s="51"/>
      <c r="D48" s="51"/>
      <c r="E48" s="51"/>
      <c r="F48" s="51"/>
      <c r="G48" s="51"/>
      <c r="H48" s="51"/>
      <c r="I48" s="51"/>
      <c r="J48" s="51"/>
      <c r="K48" s="51"/>
      <c r="L48" s="51"/>
      <c r="M48" s="51"/>
      <c r="N48" s="51"/>
      <c r="O48" s="51"/>
      <c r="P48" s="51"/>
      <c r="Q48" s="51"/>
      <c r="R48" s="55"/>
      <c r="S48" s="53"/>
      <c r="T48" s="54"/>
      <c r="U48" s="52"/>
      <c r="V48" s="55"/>
      <c r="W48" s="55"/>
      <c r="X48" s="52"/>
      <c r="Y48" s="52"/>
      <c r="Z48" s="56"/>
      <c r="AA48" s="55"/>
      <c r="AB48" s="55"/>
      <c r="AC48" s="55"/>
      <c r="AD48" s="55"/>
      <c r="AE48" s="55"/>
      <c r="AF48" s="55"/>
    </row>
    <row r="49" spans="1:32" s="57" customFormat="1" ht="15.75" hidden="1" customHeight="1">
      <c r="A49" s="17"/>
      <c r="B49" s="2"/>
      <c r="C49" s="51"/>
      <c r="D49" s="51"/>
      <c r="E49" s="51"/>
      <c r="F49" s="51"/>
      <c r="G49" s="51"/>
      <c r="H49" s="51"/>
      <c r="I49" s="51"/>
      <c r="J49" s="51"/>
      <c r="K49" s="51"/>
      <c r="L49" s="51"/>
      <c r="M49" s="51"/>
      <c r="N49" s="51"/>
      <c r="O49" s="51"/>
      <c r="P49" s="51"/>
      <c r="Q49" s="51"/>
      <c r="R49" s="55"/>
      <c r="S49" s="53"/>
      <c r="T49" s="54"/>
      <c r="U49" s="52"/>
      <c r="V49" s="55"/>
      <c r="W49" s="55"/>
      <c r="X49" s="52"/>
      <c r="Y49" s="52"/>
      <c r="Z49" s="56"/>
      <c r="AA49" s="55"/>
      <c r="AB49" s="55"/>
      <c r="AC49" s="55"/>
      <c r="AD49" s="55"/>
      <c r="AE49" s="55"/>
      <c r="AF49" s="55"/>
    </row>
    <row r="50" spans="1:32" s="57" customFormat="1" ht="15.75" hidden="1" customHeight="1">
      <c r="A50" s="2"/>
      <c r="B50" s="2"/>
      <c r="C50" s="51"/>
      <c r="D50" s="51"/>
      <c r="E50" s="51"/>
      <c r="F50" s="51"/>
      <c r="G50" s="51"/>
      <c r="H50" s="51"/>
      <c r="I50" s="51"/>
      <c r="J50" s="51"/>
      <c r="K50" s="51"/>
      <c r="L50" s="51"/>
      <c r="M50" s="51"/>
      <c r="N50" s="51"/>
      <c r="O50" s="51"/>
      <c r="P50" s="51"/>
      <c r="Q50" s="51"/>
      <c r="R50" s="55"/>
      <c r="S50" s="53"/>
      <c r="T50" s="54"/>
      <c r="U50" s="55"/>
      <c r="V50" s="55"/>
      <c r="W50" s="55"/>
      <c r="X50" s="55"/>
      <c r="Y50" s="55"/>
      <c r="Z50" s="56"/>
      <c r="AA50" s="55"/>
      <c r="AB50" s="55"/>
      <c r="AC50" s="55"/>
      <c r="AD50" s="55"/>
      <c r="AE50" s="55"/>
      <c r="AF50" s="55"/>
    </row>
    <row r="51" spans="1:32" s="57" customFormat="1" ht="15.75" hidden="1" customHeight="1">
      <c r="A51" s="2"/>
      <c r="B51" s="2"/>
      <c r="C51" s="51"/>
      <c r="D51" s="51"/>
      <c r="E51" s="51"/>
      <c r="F51" s="51"/>
      <c r="G51" s="51"/>
      <c r="H51" s="51"/>
      <c r="I51" s="51"/>
      <c r="J51" s="51"/>
      <c r="K51" s="51"/>
      <c r="L51" s="51"/>
      <c r="M51" s="51"/>
      <c r="N51" s="51"/>
      <c r="O51" s="51"/>
      <c r="P51" s="51"/>
      <c r="Q51" s="51"/>
      <c r="R51" s="55"/>
      <c r="S51" s="53"/>
      <c r="T51" s="54"/>
      <c r="U51" s="55"/>
      <c r="V51" s="55"/>
      <c r="W51" s="55"/>
      <c r="X51" s="55"/>
      <c r="Y51" s="55"/>
      <c r="Z51" s="56"/>
      <c r="AA51" s="55"/>
      <c r="AB51" s="55"/>
      <c r="AC51" s="55"/>
      <c r="AD51" s="55"/>
      <c r="AE51" s="55"/>
      <c r="AF51" s="55"/>
    </row>
    <row r="52" spans="1:32" s="57" customFormat="1" ht="15.75" hidden="1" customHeight="1">
      <c r="A52" s="2"/>
      <c r="B52" s="2"/>
      <c r="C52" s="51"/>
      <c r="D52" s="51"/>
      <c r="E52" s="51"/>
      <c r="F52" s="51"/>
      <c r="G52" s="51"/>
      <c r="H52" s="51"/>
      <c r="I52" s="51"/>
      <c r="J52" s="51"/>
      <c r="K52" s="51"/>
      <c r="L52" s="51"/>
      <c r="M52" s="51"/>
      <c r="N52" s="51"/>
      <c r="O52" s="51"/>
      <c r="P52" s="51"/>
      <c r="Q52" s="51"/>
      <c r="R52" s="55"/>
      <c r="S52" s="53"/>
      <c r="T52" s="54"/>
      <c r="U52" s="55"/>
      <c r="V52" s="55"/>
      <c r="W52" s="55"/>
      <c r="X52" s="55"/>
      <c r="Y52" s="55"/>
      <c r="Z52" s="56"/>
      <c r="AA52" s="55"/>
      <c r="AB52" s="55"/>
      <c r="AC52" s="55"/>
      <c r="AD52" s="55"/>
      <c r="AE52" s="55"/>
      <c r="AF52" s="55"/>
    </row>
    <row r="53" spans="1:32" s="57" customFormat="1">
      <c r="A53" s="2"/>
      <c r="B53" s="2"/>
      <c r="C53" s="51"/>
      <c r="D53" s="51"/>
      <c r="E53" s="51"/>
      <c r="F53" s="51"/>
      <c r="G53" s="51"/>
      <c r="H53" s="51"/>
      <c r="I53" s="51"/>
      <c r="J53" s="51"/>
      <c r="K53" s="51"/>
      <c r="L53" s="51"/>
      <c r="M53" s="51"/>
      <c r="N53" s="51"/>
      <c r="O53" s="51"/>
      <c r="P53" s="51"/>
      <c r="Q53" s="51"/>
      <c r="R53" s="55"/>
      <c r="S53" s="53"/>
      <c r="T53" s="54"/>
      <c r="U53" s="55"/>
      <c r="V53" s="55"/>
      <c r="W53" s="55"/>
      <c r="X53" s="55"/>
      <c r="Y53" s="55"/>
      <c r="Z53" s="56"/>
      <c r="AA53" s="55"/>
      <c r="AB53" s="55"/>
      <c r="AC53" s="55"/>
      <c r="AD53" s="55"/>
      <c r="AE53" s="55"/>
      <c r="AF53" s="55"/>
    </row>
    <row r="54" spans="1:32" s="57" customFormat="1">
      <c r="A54" s="2"/>
      <c r="B54" s="2"/>
      <c r="C54" s="51"/>
      <c r="D54" s="51"/>
      <c r="E54" s="51"/>
      <c r="F54" s="51"/>
      <c r="G54" s="51"/>
      <c r="H54" s="51"/>
      <c r="I54" s="51"/>
      <c r="J54" s="51"/>
      <c r="K54" s="51"/>
      <c r="L54" s="51"/>
      <c r="M54" s="51"/>
      <c r="N54" s="51"/>
      <c r="O54" s="51"/>
      <c r="P54" s="51"/>
      <c r="Q54" s="51"/>
      <c r="R54" s="55"/>
      <c r="S54" s="53"/>
      <c r="T54" s="54"/>
      <c r="U54" s="55"/>
      <c r="V54" s="55"/>
      <c r="W54" s="55"/>
      <c r="X54" s="55"/>
      <c r="Y54" s="55"/>
      <c r="Z54" s="56"/>
      <c r="AA54" s="55"/>
      <c r="AB54" s="55"/>
      <c r="AC54" s="55"/>
      <c r="AD54" s="55"/>
      <c r="AE54" s="55"/>
      <c r="AF54" s="55"/>
    </row>
    <row r="55" spans="1:32" s="57" customFormat="1" ht="15.75" customHeight="1">
      <c r="A55" s="2" t="s">
        <v>32</v>
      </c>
      <c r="B55" s="2" t="s">
        <v>848</v>
      </c>
      <c r="C55" s="51">
        <f t="shared" ref="C55:C56" si="1">IFERROR(F55/D55," - ")</f>
        <v>23.99</v>
      </c>
      <c r="D55" s="51">
        <v>1</v>
      </c>
      <c r="E55" s="51">
        <v>0</v>
      </c>
      <c r="F55" s="51">
        <v>23.99</v>
      </c>
      <c r="G55" s="51">
        <v>0</v>
      </c>
      <c r="H55" s="51">
        <f t="shared" ref="H55:H56" si="2">G55/F55*-1</f>
        <v>0</v>
      </c>
      <c r="I55" s="51">
        <f t="shared" ref="I55:I56" si="3">J55/F55</f>
        <v>0.21084405118294222</v>
      </c>
      <c r="J55" s="51">
        <f t="shared" ref="J55:J56" si="4">F55*0.85+G55+AD55*D55+D55*AC55+AE55+AB55</f>
        <v>5.0581487878787836</v>
      </c>
      <c r="K55" s="51">
        <f t="shared" ref="K55:K56" si="5">J55/D55</f>
        <v>5.0581487878787836</v>
      </c>
      <c r="L55" s="51">
        <v>4</v>
      </c>
      <c r="M55" s="51">
        <f t="shared" ref="M55:M56" si="6">IFERROR(D55/L55,"-")</f>
        <v>0.25</v>
      </c>
      <c r="N55" s="51">
        <v>17</v>
      </c>
      <c r="O55" s="51">
        <f t="shared" ref="O55:P55" si="7">D55/7</f>
        <v>0.14285714285714285</v>
      </c>
      <c r="P55" s="51">
        <f t="shared" si="7"/>
        <v>0</v>
      </c>
      <c r="Q55" s="51">
        <f t="shared" ref="Q55:Q56" si="8">ROUNDDOWN(N55/(O55+P55),0)</f>
        <v>119</v>
      </c>
      <c r="R55" s="55">
        <v>0</v>
      </c>
      <c r="S55" s="53" t="s">
        <v>34</v>
      </c>
      <c r="T55" s="54" t="s">
        <v>34</v>
      </c>
      <c r="U55" s="55">
        <v>0</v>
      </c>
      <c r="V55" s="55">
        <f t="shared" ref="V55:V56" si="9">IFERROR(U55/D55,0)</f>
        <v>0</v>
      </c>
      <c r="W55" s="55">
        <f t="shared" ref="W55:W56" si="10">IFERROR(G55/(U55+X55)*-1,0)</f>
        <v>0</v>
      </c>
      <c r="X55" s="55">
        <v>0</v>
      </c>
      <c r="Y55" s="55" t="s">
        <v>35</v>
      </c>
      <c r="Z55" s="56">
        <f t="shared" ref="Z55:Z56" si="11">IF(OR(Y55="UsLargeStandardSize",Y55="UsSmallStandardSize"),-2.4,-1.2)</f>
        <v>-2.4</v>
      </c>
      <c r="AA55" s="55">
        <v>5.4949074074074081E-2</v>
      </c>
      <c r="AB55" s="55">
        <f t="shared" ref="AB55:AB56" si="12">IFERROR(Z55*AA55*D55*3,0)</f>
        <v>-0.39563333333333339</v>
      </c>
      <c r="AC55" s="55">
        <v>-5.42</v>
      </c>
      <c r="AD55" s="55">
        <v>-8.3177178787878798</v>
      </c>
      <c r="AE55" s="55">
        <v>-1.2</v>
      </c>
      <c r="AF55" s="55">
        <v>8.5714285714285701E-2</v>
      </c>
    </row>
    <row r="56" spans="1:32" s="57" customFormat="1" ht="15.75" customHeight="1">
      <c r="A56" s="2" t="s">
        <v>36</v>
      </c>
      <c r="B56" s="2"/>
      <c r="C56" s="51">
        <f t="shared" si="1"/>
        <v>23.99</v>
      </c>
      <c r="D56" s="51">
        <v>1</v>
      </c>
      <c r="E56" s="51">
        <v>0</v>
      </c>
      <c r="F56" s="51">
        <v>23.99</v>
      </c>
      <c r="G56" s="51">
        <v>0</v>
      </c>
      <c r="H56" s="51">
        <f t="shared" si="2"/>
        <v>0</v>
      </c>
      <c r="I56" s="51">
        <f t="shared" si="3"/>
        <v>0.26086489320044953</v>
      </c>
      <c r="J56" s="51">
        <f t="shared" si="4"/>
        <v>6.2581487878787838</v>
      </c>
      <c r="K56" s="51">
        <f t="shared" si="5"/>
        <v>6.2581487878787838</v>
      </c>
      <c r="L56" s="51">
        <v>6</v>
      </c>
      <c r="M56" s="51">
        <f t="shared" si="6"/>
        <v>0.16666666666666666</v>
      </c>
      <c r="N56" s="51">
        <v>16</v>
      </c>
      <c r="O56" s="51">
        <f t="shared" ref="O56:P56" si="13">D56/7</f>
        <v>0.14285714285714285</v>
      </c>
      <c r="P56" s="51">
        <f t="shared" si="13"/>
        <v>0</v>
      </c>
      <c r="Q56" s="51">
        <f t="shared" si="8"/>
        <v>112</v>
      </c>
      <c r="R56" s="55">
        <f ca="1">IFERROR(__xludf.DUMMYFUNCTION("IFERROR(VLOOKUP($B$2,IMPORTRANGE(""https://docs.google.com/spreadsheets/d/1iVgg6Mw12RULLujzHmfOFIY8Q_KaAD8anoZzgtVAQ74/edit#gid=1503384807"",""Second Star - Summary!A1:AD2000""),9,FALSE),"""")"),0)</f>
        <v>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9"/>
        <v>0</v>
      </c>
      <c r="W56" s="55">
        <f t="shared" si="10"/>
        <v>0</v>
      </c>
      <c r="X56" s="55">
        <v>0</v>
      </c>
      <c r="Y56" s="55" t="s">
        <v>35</v>
      </c>
      <c r="Z56" s="56">
        <f t="shared" si="11"/>
        <v>-2.4</v>
      </c>
      <c r="AA56" s="55">
        <v>5.4949074074074081E-2</v>
      </c>
      <c r="AB56" s="55">
        <f t="shared" si="12"/>
        <v>-0.39563333333333339</v>
      </c>
      <c r="AC56" s="55">
        <v>-5.42</v>
      </c>
      <c r="AD56" s="55">
        <v>-8.3177178787878798</v>
      </c>
      <c r="AE56" s="55">
        <v>0</v>
      </c>
      <c r="AF56" s="55">
        <v>9.375E-2</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3"/>
    </row>
    <row r="222" spans="1:3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3"/>
    </row>
    <row r="223" spans="1:32"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3"/>
    </row>
    <row r="224" spans="1:32"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3"/>
    </row>
    <row r="225" spans="1:32"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3"/>
    </row>
    <row r="226" spans="1:32"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3"/>
    </row>
    <row r="227" spans="1:32"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3"/>
    </row>
    <row r="228" spans="1:32"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3"/>
    </row>
    <row r="229" spans="1:32"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3"/>
    </row>
    <row r="230" spans="1:32"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3"/>
    </row>
    <row r="231" spans="1:32"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3"/>
    </row>
    <row r="232" spans="1: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3"/>
    </row>
    <row r="233" spans="1:32"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3"/>
    </row>
    <row r="234" spans="1:32"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3"/>
    </row>
    <row r="235" spans="1:32"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3"/>
    </row>
    <row r="236" spans="1:32"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3"/>
    </row>
    <row r="237" spans="1:32"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3"/>
    </row>
    <row r="238" spans="1:32"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3"/>
    </row>
    <row r="239" spans="1:32"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342" priority="1" operator="lessThan">
      <formula>100</formula>
    </cfRule>
  </conditionalFormatting>
  <conditionalFormatting sqref="Q1:Q3 Q57:Q1000">
    <cfRule type="cellIs" dxfId="341" priority="2" operator="lessThan">
      <formula>100</formula>
    </cfRule>
  </conditionalFormatting>
  <conditionalFormatting sqref="I1:I3 I57:I1000">
    <cfRule type="cellIs" dxfId="340" priority="3" operator="lessThan">
      <formula>0.05</formula>
    </cfRule>
  </conditionalFormatting>
  <conditionalFormatting sqref="I4:I17">
    <cfRule type="cellIs" dxfId="339" priority="4" operator="lessThan">
      <formula>0.05</formula>
    </cfRule>
  </conditionalFormatting>
  <conditionalFormatting sqref="I18:I56">
    <cfRule type="cellIs" dxfId="338" priority="5" operator="lessThan">
      <formula>0.05</formula>
    </cfRule>
  </conditionalFormatting>
  <conditionalFormatting sqref="Q4:Q56">
    <cfRule type="cellIs" dxfId="337" priority="6" operator="lessThan">
      <formula>100</formula>
    </cfRule>
  </conditionalFormatting>
  <conditionalFormatting sqref="Q4:Q56">
    <cfRule type="cellIs" dxfId="336" priority="7" operator="lessThan">
      <formula>100</formula>
    </cfRule>
  </conditionalFormatting>
  <pageMargins left="0.7" right="0.7" top="0.75" bottom="0.75" header="0" footer="0"/>
  <pageSetup orientation="portrait"/>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37.332031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Info!B1:BJ5000""),4,FALSE),"""")"),"Dry Defender Heavy Duty Zippered Vinyl Pillow Covers - Waterproof - Standard Pillow Size 2-Pack")</f>
        <v>Dry Defender Heavy Duty Zippered Vinyl Pillow Covers - Waterproof - Standard Pillow Size 2-Pack</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Info!B1:BJ5000""),3,FALSE),"""")"),"B00JG6K8H4")</f>
        <v>B00JG6K8H4</v>
      </c>
      <c r="B2" s="4" t="s">
        <v>849</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6.0587384630619878</v>
      </c>
      <c r="D3" s="8">
        <f>SUM(D4:D99819)</f>
        <v>2</v>
      </c>
      <c r="E3" s="8"/>
      <c r="F3" s="9">
        <f t="shared" ref="F3:G3" si="0">SUM(F4:F99819)</f>
        <v>29.979999999999997</v>
      </c>
      <c r="G3" s="9">
        <f t="shared" si="0"/>
        <v>-47.46</v>
      </c>
      <c r="H3" s="10">
        <f>G3/F3*-1</f>
        <v>1.5830553702468315</v>
      </c>
      <c r="I3" s="11">
        <f>J3/F3</f>
        <v>-1.1158071065334239</v>
      </c>
      <c r="J3" s="9">
        <f>SUM(J4:J99819)</f>
        <v>-33.451897053872045</v>
      </c>
      <c r="K3" s="9">
        <f>J3/D3</f>
        <v>-16.725948526936023</v>
      </c>
      <c r="L3" s="8"/>
      <c r="M3" s="12"/>
      <c r="N3" s="13"/>
      <c r="O3" s="8" t="str">
        <f ca="1">IFERROR(__xludf.DUMMYFUNCTION("IFERROR(VLOOKUP(B2,IMPORTRANGE(""https://docs.google.com/spreadsheets/d/1owCo6kL_VFQ5nPTdNogErmCBLjNiktT1m3SzTrxu3R0/edit#gid=2146806407"",""Second Star - Compiled!b1:g5000""),2,FALSE),"""")"),"0 - March
0 - April
0 - May
0 - Jun
0 - Jul
0 - Aug
0 - Sept
0 - Oct
0 - Nov
0 - Dec
0 - Jan
0 - Feb")</f>
        <v>0 - March
0 - April
0 - May
0 - Jun
0 - Jul
0 - Aug
0 - Sept
0 - Oct
0 - Nov
0 - Dec
0 - Jan
0 - Feb</v>
      </c>
      <c r="P3" s="8"/>
      <c r="Q3" s="14"/>
      <c r="R3" s="13"/>
      <c r="S3" s="13"/>
      <c r="T3" s="13"/>
      <c r="U3" s="8">
        <f>SUM(U4:U99819)</f>
        <v>0</v>
      </c>
      <c r="V3" s="10">
        <f>AVERAGE(V4:V99819)</f>
        <v>0</v>
      </c>
      <c r="W3" s="9">
        <f>ROUND(AVERAGE(W4:W99819),2)</f>
        <v>0</v>
      </c>
      <c r="X3" s="8"/>
      <c r="Y3" s="8"/>
      <c r="Z3" s="8"/>
      <c r="AA3" s="8"/>
      <c r="AB3" s="8"/>
      <c r="AC3" s="15"/>
      <c r="AD3" s="9"/>
      <c r="AE3" s="9">
        <f>SUM(AE4:AE99819)</f>
        <v>0</v>
      </c>
      <c r="AF3" s="16"/>
    </row>
    <row r="4" spans="1:32" s="57" customFormat="1" hidden="1">
      <c r="A4" s="17"/>
      <c r="B4" s="17"/>
      <c r="C4" s="50"/>
      <c r="D4" s="51"/>
      <c r="E4" s="51"/>
      <c r="F4" s="51"/>
      <c r="G4" s="51"/>
      <c r="H4" s="51"/>
      <c r="I4" s="51"/>
      <c r="J4" s="51"/>
      <c r="K4" s="51"/>
      <c r="L4" s="51"/>
      <c r="M4" s="51"/>
      <c r="N4" s="51"/>
      <c r="O4" s="51"/>
      <c r="P4" s="51"/>
      <c r="Q4" s="51"/>
      <c r="R4" s="52"/>
      <c r="S4" s="53"/>
      <c r="T4" s="54"/>
      <c r="U4" s="52"/>
      <c r="V4" s="55"/>
      <c r="W4" s="55"/>
      <c r="X4" s="52"/>
      <c r="Y4" s="56"/>
      <c r="Z4" s="56"/>
      <c r="AA4" s="55"/>
      <c r="AB4" s="55"/>
      <c r="AC4" s="55"/>
      <c r="AD4" s="55"/>
      <c r="AE4" s="55"/>
      <c r="AF4" s="55"/>
    </row>
    <row r="5" spans="1:32" s="57" customFormat="1" ht="15.75" hidden="1" customHeight="1">
      <c r="A5" s="17"/>
      <c r="B5" s="2"/>
      <c r="C5" s="51"/>
      <c r="D5" s="51"/>
      <c r="E5" s="51"/>
      <c r="F5" s="51"/>
      <c r="G5" s="51"/>
      <c r="H5" s="51"/>
      <c r="I5" s="51"/>
      <c r="J5" s="51"/>
      <c r="K5" s="51"/>
      <c r="L5" s="51"/>
      <c r="M5" s="51"/>
      <c r="N5" s="51"/>
      <c r="O5" s="51"/>
      <c r="P5" s="51"/>
      <c r="Q5" s="51"/>
      <c r="R5" s="52"/>
      <c r="S5" s="53"/>
      <c r="T5" s="54"/>
      <c r="U5" s="52"/>
      <c r="V5" s="55"/>
      <c r="W5" s="55"/>
      <c r="X5" s="52"/>
      <c r="Y5" s="52"/>
      <c r="Z5" s="56"/>
      <c r="AA5" s="55"/>
      <c r="AB5" s="55"/>
      <c r="AC5" s="55"/>
      <c r="AD5" s="55"/>
      <c r="AE5" s="55"/>
      <c r="AF5" s="55"/>
    </row>
    <row r="6" spans="1:32" s="57" customFormat="1" ht="15.75" hidden="1" customHeight="1">
      <c r="A6" s="17"/>
      <c r="B6" s="2"/>
      <c r="C6" s="51"/>
      <c r="D6" s="51"/>
      <c r="E6" s="51"/>
      <c r="F6" s="51"/>
      <c r="G6" s="51"/>
      <c r="H6" s="51"/>
      <c r="I6" s="51"/>
      <c r="J6" s="51"/>
      <c r="K6" s="51"/>
      <c r="L6" s="51"/>
      <c r="M6" s="51"/>
      <c r="N6" s="51"/>
      <c r="O6" s="51"/>
      <c r="P6" s="51"/>
      <c r="Q6" s="51"/>
      <c r="R6" s="52"/>
      <c r="S6" s="53"/>
      <c r="T6" s="54"/>
      <c r="U6" s="52"/>
      <c r="V6" s="55"/>
      <c r="W6" s="55"/>
      <c r="X6" s="52"/>
      <c r="Y6" s="52"/>
      <c r="Z6" s="56"/>
      <c r="AA6" s="55"/>
      <c r="AB6" s="55"/>
      <c r="AC6" s="55"/>
      <c r="AD6" s="55"/>
      <c r="AE6" s="55"/>
      <c r="AF6" s="55"/>
    </row>
    <row r="7" spans="1:32" s="57" customFormat="1" ht="15.75" hidden="1" customHeight="1">
      <c r="A7" s="17"/>
      <c r="B7" s="2"/>
      <c r="C7" s="51"/>
      <c r="D7" s="51"/>
      <c r="E7" s="51"/>
      <c r="F7" s="51"/>
      <c r="G7" s="51"/>
      <c r="H7" s="51"/>
      <c r="I7" s="51"/>
      <c r="J7" s="51"/>
      <c r="K7" s="51"/>
      <c r="L7" s="51"/>
      <c r="M7" s="51"/>
      <c r="N7" s="51"/>
      <c r="O7" s="51"/>
      <c r="P7" s="51"/>
      <c r="Q7" s="51"/>
      <c r="R7" s="52"/>
      <c r="S7" s="53"/>
      <c r="T7" s="54"/>
      <c r="U7" s="52"/>
      <c r="V7" s="55"/>
      <c r="W7" s="55"/>
      <c r="X7" s="52"/>
      <c r="Y7" s="52"/>
      <c r="Z7" s="56"/>
      <c r="AA7" s="55"/>
      <c r="AB7" s="55"/>
      <c r="AC7" s="55"/>
      <c r="AD7" s="55"/>
      <c r="AE7" s="55"/>
      <c r="AF7" s="55"/>
    </row>
    <row r="8" spans="1:32" s="57" customFormat="1" ht="15.75" hidden="1" customHeight="1">
      <c r="A8" s="17"/>
      <c r="B8" s="2"/>
      <c r="C8" s="51"/>
      <c r="D8" s="51"/>
      <c r="E8" s="51"/>
      <c r="F8" s="51"/>
      <c r="G8" s="51"/>
      <c r="H8" s="51"/>
      <c r="I8" s="51"/>
      <c r="J8" s="51"/>
      <c r="K8" s="51"/>
      <c r="L8" s="51"/>
      <c r="M8" s="51"/>
      <c r="N8" s="51"/>
      <c r="O8" s="51"/>
      <c r="P8" s="51"/>
      <c r="Q8" s="51"/>
      <c r="R8" s="52"/>
      <c r="S8" s="53"/>
      <c r="T8" s="54"/>
      <c r="U8" s="52"/>
      <c r="V8" s="55"/>
      <c r="W8" s="55"/>
      <c r="X8" s="52"/>
      <c r="Y8" s="52"/>
      <c r="Z8" s="56"/>
      <c r="AA8" s="55"/>
      <c r="AB8" s="55"/>
      <c r="AC8" s="55"/>
      <c r="AD8" s="55"/>
      <c r="AE8" s="55"/>
      <c r="AF8" s="55"/>
    </row>
    <row r="9" spans="1:32" s="57" customFormat="1" ht="15.75" hidden="1" customHeight="1">
      <c r="A9" s="17"/>
      <c r="B9" s="2"/>
      <c r="C9" s="51"/>
      <c r="D9" s="51"/>
      <c r="E9" s="51"/>
      <c r="F9" s="51"/>
      <c r="G9" s="51"/>
      <c r="H9" s="51"/>
      <c r="I9" s="51"/>
      <c r="J9" s="51"/>
      <c r="K9" s="51"/>
      <c r="L9" s="51"/>
      <c r="M9" s="51"/>
      <c r="N9" s="51"/>
      <c r="O9" s="51"/>
      <c r="P9" s="51"/>
      <c r="Q9" s="51"/>
      <c r="R9" s="52"/>
      <c r="S9" s="53"/>
      <c r="T9" s="54"/>
      <c r="U9" s="52"/>
      <c r="V9" s="55"/>
      <c r="W9" s="55"/>
      <c r="X9" s="52"/>
      <c r="Y9" s="52"/>
      <c r="Z9" s="56"/>
      <c r="AA9" s="55"/>
      <c r="AB9" s="55"/>
      <c r="AC9" s="55"/>
      <c r="AD9" s="55"/>
      <c r="AE9" s="55"/>
      <c r="AF9" s="55"/>
    </row>
    <row r="10" spans="1:32" s="57" customFormat="1" ht="15.75" hidden="1" customHeight="1">
      <c r="A10" s="17"/>
      <c r="B10" s="2"/>
      <c r="C10" s="51"/>
      <c r="D10" s="51"/>
      <c r="E10" s="51"/>
      <c r="F10" s="51"/>
      <c r="G10" s="51"/>
      <c r="H10" s="51"/>
      <c r="I10" s="51"/>
      <c r="J10" s="51"/>
      <c r="K10" s="51"/>
      <c r="L10" s="51"/>
      <c r="M10" s="51"/>
      <c r="N10" s="51"/>
      <c r="O10" s="51"/>
      <c r="P10" s="51"/>
      <c r="Q10" s="51"/>
      <c r="R10" s="52"/>
      <c r="S10" s="53"/>
      <c r="T10" s="54"/>
      <c r="U10" s="52"/>
      <c r="V10" s="55"/>
      <c r="W10" s="55"/>
      <c r="X10" s="52"/>
      <c r="Y10" s="52"/>
      <c r="Z10" s="56"/>
      <c r="AA10" s="55"/>
      <c r="AB10" s="55"/>
      <c r="AC10" s="55"/>
      <c r="AD10" s="55"/>
      <c r="AE10" s="55"/>
      <c r="AF10" s="55"/>
    </row>
    <row r="11" spans="1:32" s="57" customFormat="1" ht="15.75" hidden="1" customHeight="1">
      <c r="A11" s="17"/>
      <c r="B11" s="17"/>
      <c r="C11" s="51"/>
      <c r="D11" s="51"/>
      <c r="E11" s="51"/>
      <c r="F11" s="51"/>
      <c r="G11" s="51"/>
      <c r="H11" s="51"/>
      <c r="I11" s="51"/>
      <c r="J11" s="51"/>
      <c r="K11" s="51"/>
      <c r="L11" s="51"/>
      <c r="M11" s="51"/>
      <c r="N11" s="51"/>
      <c r="O11" s="51"/>
      <c r="P11" s="51"/>
      <c r="Q11" s="51"/>
      <c r="R11" s="52"/>
      <c r="S11" s="53"/>
      <c r="T11" s="54"/>
      <c r="U11" s="52"/>
      <c r="V11" s="55"/>
      <c r="W11" s="55"/>
      <c r="X11" s="52"/>
      <c r="Y11" s="52"/>
      <c r="Z11" s="56"/>
      <c r="AA11" s="55"/>
      <c r="AB11" s="55"/>
      <c r="AC11" s="55"/>
      <c r="AD11" s="55"/>
      <c r="AE11" s="55"/>
      <c r="AF11" s="55"/>
    </row>
    <row r="12" spans="1:32" s="57" customFormat="1" ht="15.75" hidden="1" customHeight="1">
      <c r="A12" s="17"/>
      <c r="B12" s="2"/>
      <c r="C12" s="51"/>
      <c r="D12" s="51"/>
      <c r="E12" s="51"/>
      <c r="F12" s="51"/>
      <c r="G12" s="51"/>
      <c r="H12" s="51"/>
      <c r="I12" s="51"/>
      <c r="J12" s="51"/>
      <c r="K12" s="51"/>
      <c r="L12" s="51"/>
      <c r="M12" s="51"/>
      <c r="N12" s="51"/>
      <c r="O12" s="51"/>
      <c r="P12" s="51"/>
      <c r="Q12" s="51"/>
      <c r="R12" s="52"/>
      <c r="S12" s="53"/>
      <c r="T12" s="54"/>
      <c r="U12" s="52"/>
      <c r="V12" s="55"/>
      <c r="W12" s="55"/>
      <c r="X12" s="52"/>
      <c r="Y12" s="52"/>
      <c r="Z12" s="56"/>
      <c r="AA12" s="55"/>
      <c r="AB12" s="55"/>
      <c r="AC12" s="55"/>
      <c r="AD12" s="55"/>
      <c r="AE12" s="55"/>
      <c r="AF12" s="55"/>
    </row>
    <row r="13" spans="1:32" s="57" customFormat="1" ht="15.75" hidden="1" customHeight="1">
      <c r="A13" s="17"/>
      <c r="B13" s="2"/>
      <c r="C13" s="51"/>
      <c r="D13" s="51"/>
      <c r="E13" s="51"/>
      <c r="F13" s="51"/>
      <c r="G13" s="51"/>
      <c r="H13" s="51"/>
      <c r="I13" s="51"/>
      <c r="J13" s="51"/>
      <c r="K13" s="51"/>
      <c r="L13" s="51"/>
      <c r="M13" s="51"/>
      <c r="N13" s="51"/>
      <c r="O13" s="51"/>
      <c r="P13" s="51"/>
      <c r="Q13" s="51"/>
      <c r="R13" s="52"/>
      <c r="S13" s="53"/>
      <c r="T13" s="54"/>
      <c r="U13" s="52"/>
      <c r="V13" s="55"/>
      <c r="W13" s="55"/>
      <c r="X13" s="52"/>
      <c r="Y13" s="52"/>
      <c r="Z13" s="56"/>
      <c r="AA13" s="55"/>
      <c r="AB13" s="55"/>
      <c r="AC13" s="55"/>
      <c r="AD13" s="55"/>
      <c r="AE13" s="55"/>
      <c r="AF13" s="55"/>
    </row>
    <row r="14" spans="1:32" s="57" customFormat="1" ht="15.75" hidden="1" customHeight="1">
      <c r="A14" s="17"/>
      <c r="B14" s="2"/>
      <c r="C14" s="51"/>
      <c r="D14" s="51"/>
      <c r="E14" s="51"/>
      <c r="F14" s="51"/>
      <c r="G14" s="51"/>
      <c r="H14" s="51"/>
      <c r="I14" s="51"/>
      <c r="J14" s="51"/>
      <c r="K14" s="51"/>
      <c r="L14" s="51"/>
      <c r="M14" s="51"/>
      <c r="N14" s="51"/>
      <c r="O14" s="51"/>
      <c r="P14" s="51"/>
      <c r="Q14" s="51"/>
      <c r="R14" s="52"/>
      <c r="S14" s="53"/>
      <c r="T14" s="54"/>
      <c r="U14" s="52"/>
      <c r="V14" s="55"/>
      <c r="W14" s="55"/>
      <c r="X14" s="52"/>
      <c r="Y14" s="52"/>
      <c r="Z14" s="56"/>
      <c r="AA14" s="55"/>
      <c r="AB14" s="55"/>
      <c r="AC14" s="55"/>
      <c r="AD14" s="55"/>
      <c r="AE14" s="55"/>
      <c r="AF14" s="55"/>
    </row>
    <row r="15" spans="1:32" s="57" customFormat="1" ht="15.75" hidden="1" customHeight="1">
      <c r="A15" s="17"/>
      <c r="B15" s="2"/>
      <c r="C15" s="51"/>
      <c r="D15" s="51"/>
      <c r="E15" s="51"/>
      <c r="F15" s="51"/>
      <c r="G15" s="51"/>
      <c r="H15" s="51"/>
      <c r="I15" s="51"/>
      <c r="J15" s="51"/>
      <c r="K15" s="51"/>
      <c r="L15" s="51"/>
      <c r="M15" s="51"/>
      <c r="N15" s="51"/>
      <c r="O15" s="51"/>
      <c r="P15" s="51"/>
      <c r="Q15" s="51"/>
      <c r="R15" s="52"/>
      <c r="S15" s="53"/>
      <c r="T15" s="54"/>
      <c r="U15" s="52"/>
      <c r="V15" s="55"/>
      <c r="W15" s="55"/>
      <c r="X15" s="52"/>
      <c r="Y15" s="52"/>
      <c r="Z15" s="56"/>
      <c r="AA15" s="55"/>
      <c r="AB15" s="55"/>
      <c r="AC15" s="55"/>
      <c r="AD15" s="55"/>
      <c r="AE15" s="55"/>
      <c r="AF15" s="55"/>
    </row>
    <row r="16" spans="1:32" s="57" customFormat="1" ht="15.75" hidden="1" customHeight="1">
      <c r="A16" s="17"/>
      <c r="B16" s="2"/>
      <c r="C16" s="51"/>
      <c r="D16" s="51"/>
      <c r="E16" s="51"/>
      <c r="F16" s="51"/>
      <c r="G16" s="51"/>
      <c r="H16" s="51"/>
      <c r="I16" s="51"/>
      <c r="J16" s="51"/>
      <c r="K16" s="51"/>
      <c r="L16" s="51"/>
      <c r="M16" s="51"/>
      <c r="N16" s="51"/>
      <c r="O16" s="51"/>
      <c r="P16" s="51"/>
      <c r="Q16" s="51"/>
      <c r="R16" s="52"/>
      <c r="S16" s="53"/>
      <c r="T16" s="54"/>
      <c r="U16" s="52"/>
      <c r="V16" s="55"/>
      <c r="W16" s="55"/>
      <c r="X16" s="52"/>
      <c r="Y16" s="52"/>
      <c r="Z16" s="56"/>
      <c r="AA16" s="55"/>
      <c r="AB16" s="55"/>
      <c r="AC16" s="55"/>
      <c r="AD16" s="55"/>
      <c r="AE16" s="55"/>
      <c r="AF16" s="55"/>
    </row>
    <row r="17" spans="1:32" s="57" customFormat="1" ht="15.75" hidden="1" customHeight="1">
      <c r="A17" s="17"/>
      <c r="B17" s="2"/>
      <c r="C17" s="51"/>
      <c r="D17" s="51"/>
      <c r="E17" s="51"/>
      <c r="F17" s="51"/>
      <c r="G17" s="51"/>
      <c r="H17" s="51"/>
      <c r="I17" s="51"/>
      <c r="J17" s="51"/>
      <c r="K17" s="51"/>
      <c r="L17" s="51"/>
      <c r="M17" s="51"/>
      <c r="N17" s="51"/>
      <c r="O17" s="51"/>
      <c r="P17" s="51"/>
      <c r="Q17" s="51"/>
      <c r="R17" s="52"/>
      <c r="S17" s="53"/>
      <c r="T17" s="54"/>
      <c r="U17" s="52"/>
      <c r="V17" s="55"/>
      <c r="W17" s="55"/>
      <c r="X17" s="52"/>
      <c r="Y17" s="52"/>
      <c r="Z17" s="56"/>
      <c r="AA17" s="55"/>
      <c r="AB17" s="55"/>
      <c r="AC17" s="55"/>
      <c r="AD17" s="55"/>
      <c r="AE17" s="55"/>
      <c r="AF17" s="55"/>
    </row>
    <row r="18" spans="1:32" s="57" customFormat="1" ht="15.75" hidden="1" customHeight="1">
      <c r="A18" s="2"/>
      <c r="B18" s="2"/>
      <c r="C18" s="51"/>
      <c r="D18" s="51"/>
      <c r="E18" s="51"/>
      <c r="F18" s="51"/>
      <c r="G18" s="51"/>
      <c r="H18" s="51"/>
      <c r="I18" s="51"/>
      <c r="J18" s="51"/>
      <c r="K18" s="51"/>
      <c r="L18" s="51"/>
      <c r="M18" s="51"/>
      <c r="N18" s="51"/>
      <c r="O18" s="51"/>
      <c r="P18" s="51"/>
      <c r="Q18" s="51"/>
      <c r="R18" s="55"/>
      <c r="S18" s="53"/>
      <c r="T18" s="54"/>
      <c r="U18" s="55"/>
      <c r="V18" s="55"/>
      <c r="W18" s="55"/>
      <c r="X18" s="55"/>
      <c r="Y18" s="55"/>
      <c r="Z18" s="56"/>
      <c r="AA18" s="55"/>
      <c r="AB18" s="58"/>
      <c r="AC18" s="55"/>
      <c r="AD18" s="55"/>
      <c r="AE18" s="55"/>
      <c r="AF18" s="55"/>
    </row>
    <row r="19" spans="1:32" s="57" customFormat="1" ht="15.75" hidden="1" customHeight="1">
      <c r="A19" s="17"/>
      <c r="B19" s="2"/>
      <c r="C19" s="51"/>
      <c r="D19" s="51"/>
      <c r="E19" s="51"/>
      <c r="F19" s="51"/>
      <c r="G19" s="51"/>
      <c r="H19" s="51"/>
      <c r="I19" s="51"/>
      <c r="J19" s="51"/>
      <c r="K19" s="51"/>
      <c r="L19" s="51"/>
      <c r="M19" s="51"/>
      <c r="N19" s="51"/>
      <c r="O19" s="51"/>
      <c r="P19" s="51"/>
      <c r="Q19" s="51"/>
      <c r="R19" s="52"/>
      <c r="S19" s="53"/>
      <c r="T19" s="54"/>
      <c r="U19" s="55"/>
      <c r="V19" s="55"/>
      <c r="W19" s="55"/>
      <c r="X19" s="52"/>
      <c r="Y19" s="52"/>
      <c r="Z19" s="56"/>
      <c r="AA19" s="55"/>
      <c r="AB19" s="55"/>
      <c r="AC19" s="55"/>
      <c r="AD19" s="55"/>
      <c r="AE19" s="55"/>
      <c r="AF19" s="55"/>
    </row>
    <row r="20" spans="1:32" s="57" customFormat="1" ht="15.75" hidden="1" customHeight="1">
      <c r="A20" s="17"/>
      <c r="B20" s="2"/>
      <c r="C20" s="51"/>
      <c r="D20" s="51"/>
      <c r="E20" s="51"/>
      <c r="F20" s="51"/>
      <c r="G20" s="51"/>
      <c r="H20" s="51"/>
      <c r="I20" s="51"/>
      <c r="J20" s="51"/>
      <c r="K20" s="51"/>
      <c r="L20" s="51"/>
      <c r="M20" s="51"/>
      <c r="N20" s="51"/>
      <c r="O20" s="51"/>
      <c r="P20" s="51"/>
      <c r="Q20" s="51"/>
      <c r="R20" s="52"/>
      <c r="S20" s="53"/>
      <c r="T20" s="54"/>
      <c r="U20" s="52"/>
      <c r="V20" s="55"/>
      <c r="W20" s="55"/>
      <c r="X20" s="52"/>
      <c r="Y20" s="52"/>
      <c r="Z20" s="56"/>
      <c r="AA20" s="55"/>
      <c r="AB20" s="55"/>
      <c r="AC20" s="55"/>
      <c r="AD20" s="55"/>
      <c r="AE20" s="55"/>
      <c r="AF20" s="55"/>
    </row>
    <row r="21" spans="1:32" s="57" customFormat="1" ht="15.75" hidden="1" customHeight="1">
      <c r="A21" s="17"/>
      <c r="B21" s="2"/>
      <c r="C21" s="51"/>
      <c r="D21" s="51"/>
      <c r="E21" s="51"/>
      <c r="F21" s="51"/>
      <c r="G21" s="51"/>
      <c r="H21" s="51"/>
      <c r="I21" s="51"/>
      <c r="J21" s="51"/>
      <c r="K21" s="51"/>
      <c r="L21" s="51"/>
      <c r="M21" s="51"/>
      <c r="N21" s="51"/>
      <c r="O21" s="51"/>
      <c r="P21" s="51"/>
      <c r="Q21" s="51"/>
      <c r="R21" s="52"/>
      <c r="S21" s="53"/>
      <c r="T21" s="54"/>
      <c r="U21" s="52"/>
      <c r="V21" s="55"/>
      <c r="W21" s="55"/>
      <c r="X21" s="52"/>
      <c r="Y21" s="52"/>
      <c r="Z21" s="56"/>
      <c r="AA21" s="55"/>
      <c r="AB21" s="55"/>
      <c r="AC21" s="55"/>
      <c r="AD21" s="55"/>
      <c r="AE21" s="55"/>
      <c r="AF21" s="55"/>
    </row>
    <row r="22" spans="1:32" s="57" customFormat="1" ht="15.75" hidden="1" customHeight="1">
      <c r="A22" s="17"/>
      <c r="B22" s="2"/>
      <c r="C22" s="51"/>
      <c r="D22" s="51"/>
      <c r="E22" s="51"/>
      <c r="F22" s="51"/>
      <c r="G22" s="51"/>
      <c r="H22" s="51"/>
      <c r="I22" s="51"/>
      <c r="J22" s="51"/>
      <c r="K22" s="51"/>
      <c r="L22" s="51"/>
      <c r="M22" s="51"/>
      <c r="N22" s="51"/>
      <c r="O22" s="51"/>
      <c r="P22" s="51"/>
      <c r="Q22" s="51"/>
      <c r="R22" s="52"/>
      <c r="S22" s="53"/>
      <c r="T22" s="54"/>
      <c r="U22" s="52"/>
      <c r="V22" s="55"/>
      <c r="W22" s="55"/>
      <c r="X22" s="52"/>
      <c r="Y22" s="52"/>
      <c r="Z22" s="56"/>
      <c r="AA22" s="55"/>
      <c r="AB22" s="55"/>
      <c r="AC22" s="55"/>
      <c r="AD22" s="55"/>
      <c r="AE22" s="55"/>
      <c r="AF22" s="55"/>
    </row>
    <row r="23" spans="1:32" s="57" customFormat="1" ht="15.75" hidden="1" customHeight="1">
      <c r="A23" s="17"/>
      <c r="B23" s="2"/>
      <c r="C23" s="51"/>
      <c r="D23" s="51"/>
      <c r="E23" s="51"/>
      <c r="F23" s="51"/>
      <c r="G23" s="51"/>
      <c r="H23" s="51"/>
      <c r="I23" s="51"/>
      <c r="J23" s="51"/>
      <c r="K23" s="51"/>
      <c r="L23" s="51"/>
      <c r="M23" s="51"/>
      <c r="N23" s="51"/>
      <c r="O23" s="51"/>
      <c r="P23" s="51"/>
      <c r="Q23" s="51"/>
      <c r="R23" s="52"/>
      <c r="S23" s="53"/>
      <c r="T23" s="54"/>
      <c r="U23" s="52"/>
      <c r="V23" s="55"/>
      <c r="W23" s="55"/>
      <c r="X23" s="52"/>
      <c r="Y23" s="52"/>
      <c r="Z23" s="56"/>
      <c r="AA23" s="55"/>
      <c r="AB23" s="55"/>
      <c r="AC23" s="55"/>
      <c r="AD23" s="55"/>
      <c r="AE23" s="55"/>
      <c r="AF23" s="55"/>
    </row>
    <row r="24" spans="1:32" s="57" customFormat="1" ht="15.75" hidden="1" customHeight="1">
      <c r="A24" s="17"/>
      <c r="B24" s="2"/>
      <c r="C24" s="51"/>
      <c r="D24" s="51"/>
      <c r="E24" s="51"/>
      <c r="F24" s="51"/>
      <c r="G24" s="51"/>
      <c r="H24" s="51"/>
      <c r="I24" s="51"/>
      <c r="J24" s="51"/>
      <c r="K24" s="51"/>
      <c r="L24" s="51"/>
      <c r="M24" s="51"/>
      <c r="N24" s="51"/>
      <c r="O24" s="51"/>
      <c r="P24" s="51"/>
      <c r="Q24" s="51"/>
      <c r="R24" s="52"/>
      <c r="S24" s="53"/>
      <c r="T24" s="54"/>
      <c r="U24" s="52"/>
      <c r="V24" s="55"/>
      <c r="W24" s="55"/>
      <c r="X24" s="52"/>
      <c r="Y24" s="52"/>
      <c r="Z24" s="56"/>
      <c r="AA24" s="55"/>
      <c r="AB24" s="55"/>
      <c r="AC24" s="55"/>
      <c r="AD24" s="55"/>
      <c r="AE24" s="55"/>
      <c r="AF24" s="55"/>
    </row>
    <row r="25" spans="1:32" s="57" customFormat="1" ht="15.75" hidden="1" customHeight="1">
      <c r="A25" s="17"/>
      <c r="B25" s="2"/>
      <c r="C25" s="51"/>
      <c r="D25" s="51"/>
      <c r="E25" s="51"/>
      <c r="F25" s="51"/>
      <c r="G25" s="51"/>
      <c r="H25" s="51"/>
      <c r="I25" s="51"/>
      <c r="J25" s="51"/>
      <c r="K25" s="51"/>
      <c r="L25" s="51"/>
      <c r="M25" s="51"/>
      <c r="N25" s="51"/>
      <c r="O25" s="51"/>
      <c r="P25" s="51"/>
      <c r="Q25" s="51"/>
      <c r="R25" s="52"/>
      <c r="S25" s="53"/>
      <c r="T25" s="54"/>
      <c r="U25" s="52"/>
      <c r="V25" s="55"/>
      <c r="W25" s="55"/>
      <c r="X25" s="52"/>
      <c r="Y25" s="52"/>
      <c r="Z25" s="56"/>
      <c r="AA25" s="55"/>
      <c r="AB25" s="55"/>
      <c r="AC25" s="55"/>
      <c r="AD25" s="55"/>
      <c r="AE25" s="55"/>
      <c r="AF25" s="55"/>
    </row>
    <row r="26" spans="1:32" s="57" customFormat="1" ht="15.75" hidden="1" customHeight="1">
      <c r="A26" s="17"/>
      <c r="B26" s="2"/>
      <c r="C26" s="51"/>
      <c r="D26" s="51"/>
      <c r="E26" s="51"/>
      <c r="F26" s="51"/>
      <c r="G26" s="51"/>
      <c r="H26" s="51"/>
      <c r="I26" s="51"/>
      <c r="J26" s="51"/>
      <c r="K26" s="51"/>
      <c r="L26" s="51"/>
      <c r="M26" s="51"/>
      <c r="N26" s="51"/>
      <c r="O26" s="51"/>
      <c r="P26" s="51"/>
      <c r="Q26" s="51"/>
      <c r="R26" s="52"/>
      <c r="S26" s="53"/>
      <c r="T26" s="54"/>
      <c r="U26" s="52"/>
      <c r="V26" s="55"/>
      <c r="W26" s="55"/>
      <c r="X26" s="52"/>
      <c r="Y26" s="52"/>
      <c r="Z26" s="56"/>
      <c r="AA26" s="55"/>
      <c r="AB26" s="55"/>
      <c r="AC26" s="55"/>
      <c r="AD26" s="55"/>
      <c r="AE26" s="55"/>
      <c r="AF26" s="55"/>
    </row>
    <row r="27" spans="1:32" s="57" customFormat="1" ht="15.75" hidden="1" customHeight="1">
      <c r="A27" s="17"/>
      <c r="B27" s="2"/>
      <c r="C27" s="51"/>
      <c r="D27" s="51"/>
      <c r="E27" s="51"/>
      <c r="F27" s="51"/>
      <c r="G27" s="51"/>
      <c r="H27" s="51"/>
      <c r="I27" s="51"/>
      <c r="J27" s="51"/>
      <c r="K27" s="51"/>
      <c r="L27" s="51"/>
      <c r="M27" s="51"/>
      <c r="N27" s="51"/>
      <c r="O27" s="51"/>
      <c r="P27" s="51"/>
      <c r="Q27" s="51"/>
      <c r="R27" s="52"/>
      <c r="S27" s="53"/>
      <c r="T27" s="54"/>
      <c r="U27" s="52"/>
      <c r="V27" s="55"/>
      <c r="W27" s="55"/>
      <c r="X27" s="52"/>
      <c r="Y27" s="52"/>
      <c r="Z27" s="56"/>
      <c r="AA27" s="55"/>
      <c r="AB27" s="55"/>
      <c r="AC27" s="55"/>
      <c r="AD27" s="55"/>
      <c r="AE27" s="55"/>
      <c r="AF27" s="55"/>
    </row>
    <row r="28" spans="1:32" s="57" customFormat="1" ht="15.75" hidden="1" customHeight="1">
      <c r="A28" s="17"/>
      <c r="B28" s="2"/>
      <c r="C28" s="51"/>
      <c r="D28" s="51"/>
      <c r="E28" s="51"/>
      <c r="F28" s="51"/>
      <c r="G28" s="51"/>
      <c r="H28" s="51"/>
      <c r="I28" s="51"/>
      <c r="J28" s="51"/>
      <c r="K28" s="51"/>
      <c r="L28" s="51"/>
      <c r="M28" s="51"/>
      <c r="N28" s="51"/>
      <c r="O28" s="51"/>
      <c r="P28" s="51"/>
      <c r="Q28" s="51"/>
      <c r="R28" s="52"/>
      <c r="S28" s="53"/>
      <c r="T28" s="54"/>
      <c r="U28" s="52"/>
      <c r="V28" s="55"/>
      <c r="W28" s="55"/>
      <c r="X28" s="52"/>
      <c r="Y28" s="52"/>
      <c r="Z28" s="56"/>
      <c r="AA28" s="55"/>
      <c r="AB28" s="55"/>
      <c r="AC28" s="55"/>
      <c r="AD28" s="55"/>
      <c r="AE28" s="55"/>
      <c r="AF28" s="55"/>
    </row>
    <row r="29" spans="1:32" s="57" customFormat="1" ht="15.75" hidden="1" customHeight="1">
      <c r="A29" s="17"/>
      <c r="B29" s="2"/>
      <c r="C29" s="51"/>
      <c r="D29" s="51"/>
      <c r="E29" s="51"/>
      <c r="F29" s="51"/>
      <c r="G29" s="51"/>
      <c r="H29" s="51"/>
      <c r="I29" s="51"/>
      <c r="J29" s="51"/>
      <c r="K29" s="51"/>
      <c r="L29" s="51"/>
      <c r="M29" s="51"/>
      <c r="N29" s="51"/>
      <c r="O29" s="51"/>
      <c r="P29" s="51"/>
      <c r="Q29" s="51"/>
      <c r="R29" s="52"/>
      <c r="S29" s="53"/>
      <c r="T29" s="54"/>
      <c r="U29" s="52"/>
      <c r="V29" s="55"/>
      <c r="W29" s="55"/>
      <c r="X29" s="52"/>
      <c r="Y29" s="52"/>
      <c r="Z29" s="56"/>
      <c r="AA29" s="55"/>
      <c r="AB29" s="55"/>
      <c r="AC29" s="55"/>
      <c r="AD29" s="55"/>
      <c r="AE29" s="55"/>
      <c r="AF29" s="55"/>
    </row>
    <row r="30" spans="1:32" s="57" customFormat="1" ht="15.75" hidden="1" customHeight="1">
      <c r="A30" s="17"/>
      <c r="B30" s="2"/>
      <c r="C30" s="51"/>
      <c r="D30" s="51"/>
      <c r="E30" s="51"/>
      <c r="F30" s="51"/>
      <c r="G30" s="51"/>
      <c r="H30" s="51"/>
      <c r="I30" s="51"/>
      <c r="J30" s="51"/>
      <c r="K30" s="51"/>
      <c r="L30" s="51"/>
      <c r="M30" s="51"/>
      <c r="N30" s="51"/>
      <c r="O30" s="51"/>
      <c r="P30" s="51"/>
      <c r="Q30" s="51"/>
      <c r="R30" s="52"/>
      <c r="S30" s="53"/>
      <c r="T30" s="54"/>
      <c r="U30" s="52"/>
      <c r="V30" s="55"/>
      <c r="W30" s="55"/>
      <c r="X30" s="52"/>
      <c r="Y30" s="52"/>
      <c r="Z30" s="56"/>
      <c r="AA30" s="55"/>
      <c r="AB30" s="55"/>
      <c r="AC30" s="55"/>
      <c r="AD30" s="55"/>
      <c r="AE30" s="55"/>
      <c r="AF30" s="55"/>
    </row>
    <row r="31" spans="1:32" s="57" customFormat="1" ht="15.75" hidden="1" customHeight="1">
      <c r="A31" s="17"/>
      <c r="B31" s="2"/>
      <c r="C31" s="51"/>
      <c r="D31" s="51"/>
      <c r="E31" s="51"/>
      <c r="F31" s="51"/>
      <c r="G31" s="51"/>
      <c r="H31" s="51"/>
      <c r="I31" s="51"/>
      <c r="J31" s="51"/>
      <c r="K31" s="51"/>
      <c r="L31" s="51"/>
      <c r="M31" s="51"/>
      <c r="N31" s="51"/>
      <c r="O31" s="51"/>
      <c r="P31" s="51"/>
      <c r="Q31" s="51"/>
      <c r="R31" s="52"/>
      <c r="S31" s="53"/>
      <c r="T31" s="54"/>
      <c r="U31" s="52"/>
      <c r="V31" s="55"/>
      <c r="W31" s="55"/>
      <c r="X31" s="52"/>
      <c r="Y31" s="52"/>
      <c r="Z31" s="56"/>
      <c r="AA31" s="55"/>
      <c r="AB31" s="55"/>
      <c r="AC31" s="55"/>
      <c r="AD31" s="55"/>
      <c r="AE31" s="55"/>
      <c r="AF31" s="55"/>
    </row>
    <row r="32" spans="1:32" s="57" customFormat="1" ht="15.75" hidden="1" customHeight="1">
      <c r="A32" s="17"/>
      <c r="B32" s="2"/>
      <c r="C32" s="51"/>
      <c r="D32" s="51"/>
      <c r="E32" s="51"/>
      <c r="F32" s="51"/>
      <c r="G32" s="51"/>
      <c r="H32" s="51"/>
      <c r="I32" s="51"/>
      <c r="J32" s="51"/>
      <c r="K32" s="51"/>
      <c r="L32" s="51"/>
      <c r="M32" s="51"/>
      <c r="N32" s="51"/>
      <c r="O32" s="51"/>
      <c r="P32" s="51"/>
      <c r="Q32" s="51"/>
      <c r="R32" s="52"/>
      <c r="S32" s="53"/>
      <c r="T32" s="54"/>
      <c r="U32" s="52"/>
      <c r="V32" s="55"/>
      <c r="W32" s="55"/>
      <c r="X32" s="52"/>
      <c r="Y32" s="52"/>
      <c r="Z32" s="56"/>
      <c r="AA32" s="55"/>
      <c r="AB32" s="55"/>
      <c r="AC32" s="55"/>
      <c r="AD32" s="55"/>
      <c r="AE32" s="55"/>
      <c r="AF32" s="52"/>
    </row>
    <row r="33" spans="1:32" s="57" customFormat="1" ht="15.75" hidden="1" customHeight="1">
      <c r="A33" s="17"/>
      <c r="B33" s="2"/>
      <c r="C33" s="51"/>
      <c r="D33" s="51"/>
      <c r="E33" s="51"/>
      <c r="F33" s="51"/>
      <c r="G33" s="51"/>
      <c r="H33" s="51"/>
      <c r="I33" s="51"/>
      <c r="J33" s="51"/>
      <c r="K33" s="51"/>
      <c r="L33" s="51"/>
      <c r="M33" s="51"/>
      <c r="N33" s="51"/>
      <c r="O33" s="51"/>
      <c r="P33" s="51"/>
      <c r="Q33" s="51"/>
      <c r="R33" s="52"/>
      <c r="S33" s="53"/>
      <c r="T33" s="54"/>
      <c r="U33" s="52"/>
      <c r="V33" s="55"/>
      <c r="W33" s="55"/>
      <c r="X33" s="52"/>
      <c r="Y33" s="52"/>
      <c r="Z33" s="56"/>
      <c r="AA33" s="55"/>
      <c r="AB33" s="55"/>
      <c r="AC33" s="55"/>
      <c r="AD33" s="55"/>
      <c r="AE33" s="55"/>
      <c r="AF33" s="55"/>
    </row>
    <row r="34" spans="1:32" s="57" customFormat="1" ht="15.75" hidden="1" customHeight="1">
      <c r="A34" s="17"/>
      <c r="B34" s="2"/>
      <c r="C34" s="51"/>
      <c r="D34" s="51"/>
      <c r="E34" s="51"/>
      <c r="F34" s="51"/>
      <c r="G34" s="51"/>
      <c r="H34" s="51"/>
      <c r="I34" s="51"/>
      <c r="J34" s="51"/>
      <c r="K34" s="51"/>
      <c r="L34" s="51"/>
      <c r="M34" s="51"/>
      <c r="N34" s="51"/>
      <c r="O34" s="51"/>
      <c r="P34" s="51"/>
      <c r="Q34" s="51"/>
      <c r="R34" s="55"/>
      <c r="S34" s="53"/>
      <c r="T34" s="54"/>
      <c r="U34" s="52"/>
      <c r="V34" s="55"/>
      <c r="W34" s="55"/>
      <c r="X34" s="52"/>
      <c r="Y34" s="52"/>
      <c r="Z34" s="56"/>
      <c r="AA34" s="55"/>
      <c r="AB34" s="55"/>
      <c r="AC34" s="55"/>
      <c r="AD34" s="55"/>
      <c r="AE34" s="55"/>
      <c r="AF34" s="55"/>
    </row>
    <row r="35" spans="1:32" s="57" customFormat="1" ht="15.75" hidden="1" customHeight="1">
      <c r="A35" s="17"/>
      <c r="B35" s="2"/>
      <c r="C35" s="51"/>
      <c r="D35" s="51"/>
      <c r="E35" s="51"/>
      <c r="F35" s="51"/>
      <c r="G35" s="51"/>
      <c r="H35" s="51"/>
      <c r="I35" s="51"/>
      <c r="J35" s="51"/>
      <c r="K35" s="51"/>
      <c r="L35" s="51"/>
      <c r="M35" s="51"/>
      <c r="N35" s="51"/>
      <c r="O35" s="51"/>
      <c r="P35" s="51"/>
      <c r="Q35" s="51"/>
      <c r="R35" s="55"/>
      <c r="S35" s="53"/>
      <c r="T35" s="54"/>
      <c r="U35" s="52"/>
      <c r="V35" s="55"/>
      <c r="W35" s="55"/>
      <c r="X35" s="52"/>
      <c r="Y35" s="52"/>
      <c r="Z35" s="56"/>
      <c r="AA35" s="55"/>
      <c r="AB35" s="55"/>
      <c r="AC35" s="55"/>
      <c r="AD35" s="55"/>
      <c r="AE35" s="55"/>
      <c r="AF35" s="55"/>
    </row>
    <row r="36" spans="1:32" s="57" customFormat="1" ht="15.75" hidden="1" customHeight="1">
      <c r="A36" s="17"/>
      <c r="B36" s="2"/>
      <c r="C36" s="51"/>
      <c r="D36" s="51"/>
      <c r="E36" s="51"/>
      <c r="F36" s="51"/>
      <c r="G36" s="51"/>
      <c r="H36" s="51"/>
      <c r="I36" s="51"/>
      <c r="J36" s="51"/>
      <c r="K36" s="51"/>
      <c r="L36" s="51"/>
      <c r="M36" s="51"/>
      <c r="N36" s="51"/>
      <c r="O36" s="51"/>
      <c r="P36" s="51"/>
      <c r="Q36" s="51"/>
      <c r="R36" s="55"/>
      <c r="S36" s="53"/>
      <c r="T36" s="54"/>
      <c r="U36" s="55"/>
      <c r="V36" s="55"/>
      <c r="W36" s="55"/>
      <c r="X36" s="55"/>
      <c r="Y36" s="52"/>
      <c r="Z36" s="56"/>
      <c r="AA36" s="55"/>
      <c r="AB36" s="55"/>
      <c r="AC36" s="55"/>
      <c r="AD36" s="55"/>
      <c r="AE36" s="55"/>
      <c r="AF36" s="55"/>
    </row>
    <row r="37" spans="1:32" s="57" customFormat="1" ht="15.75" hidden="1" customHeight="1">
      <c r="A37" s="17"/>
      <c r="B37" s="2"/>
      <c r="C37" s="51"/>
      <c r="D37" s="51"/>
      <c r="E37" s="51"/>
      <c r="F37" s="51"/>
      <c r="G37" s="51"/>
      <c r="H37" s="51"/>
      <c r="I37" s="51"/>
      <c r="J37" s="51"/>
      <c r="K37" s="51"/>
      <c r="L37" s="51"/>
      <c r="M37" s="51"/>
      <c r="N37" s="51"/>
      <c r="O37" s="51"/>
      <c r="P37" s="51"/>
      <c r="Q37" s="51"/>
      <c r="R37" s="55"/>
      <c r="S37" s="53"/>
      <c r="T37" s="54"/>
      <c r="U37" s="52"/>
      <c r="V37" s="55"/>
      <c r="W37" s="55"/>
      <c r="X37" s="52"/>
      <c r="Y37" s="52"/>
      <c r="Z37" s="56"/>
      <c r="AA37" s="55"/>
      <c r="AB37" s="55"/>
      <c r="AC37" s="55"/>
      <c r="AD37" s="55"/>
      <c r="AE37" s="55"/>
      <c r="AF37" s="55"/>
    </row>
    <row r="38" spans="1:32" s="57" customFormat="1" ht="15.75" hidden="1" customHeight="1">
      <c r="A38" s="17"/>
      <c r="B38" s="2"/>
      <c r="C38" s="51"/>
      <c r="D38" s="51"/>
      <c r="E38" s="51"/>
      <c r="F38" s="51"/>
      <c r="G38" s="51"/>
      <c r="H38" s="51"/>
      <c r="I38" s="51"/>
      <c r="J38" s="51"/>
      <c r="K38" s="51"/>
      <c r="L38" s="51"/>
      <c r="M38" s="51"/>
      <c r="N38" s="51"/>
      <c r="O38" s="51"/>
      <c r="P38" s="51"/>
      <c r="Q38" s="51"/>
      <c r="R38" s="52"/>
      <c r="S38" s="53"/>
      <c r="T38" s="54"/>
      <c r="U38" s="52"/>
      <c r="V38" s="55"/>
      <c r="W38" s="55"/>
      <c r="X38" s="52"/>
      <c r="Y38" s="52"/>
      <c r="Z38" s="56"/>
      <c r="AA38" s="55"/>
      <c r="AB38" s="55"/>
      <c r="AC38" s="55"/>
      <c r="AD38" s="55"/>
      <c r="AE38" s="55"/>
      <c r="AF38" s="55"/>
    </row>
    <row r="39" spans="1:32" s="57" customFormat="1" ht="15.75" hidden="1" customHeight="1">
      <c r="A39" s="17"/>
      <c r="B39" s="2"/>
      <c r="C39" s="51"/>
      <c r="D39" s="51"/>
      <c r="E39" s="51"/>
      <c r="F39" s="51"/>
      <c r="G39" s="51"/>
      <c r="H39" s="51"/>
      <c r="I39" s="51"/>
      <c r="J39" s="51"/>
      <c r="K39" s="51"/>
      <c r="L39" s="51"/>
      <c r="M39" s="51"/>
      <c r="N39" s="51"/>
      <c r="O39" s="51"/>
      <c r="P39" s="51"/>
      <c r="Q39" s="51"/>
      <c r="R39" s="55"/>
      <c r="S39" s="53"/>
      <c r="T39" s="54"/>
      <c r="U39" s="52"/>
      <c r="V39" s="55"/>
      <c r="W39" s="55"/>
      <c r="X39" s="52"/>
      <c r="Y39" s="52"/>
      <c r="Z39" s="56"/>
      <c r="AA39" s="52"/>
      <c r="AB39" s="55"/>
      <c r="AC39" s="55"/>
      <c r="AD39" s="55"/>
      <c r="AE39" s="55"/>
      <c r="AF39" s="55"/>
    </row>
    <row r="40" spans="1:32" s="57" customFormat="1" ht="15.75" hidden="1" customHeight="1">
      <c r="A40" s="17"/>
      <c r="B40" s="2"/>
      <c r="C40" s="51"/>
      <c r="D40" s="51"/>
      <c r="E40" s="51"/>
      <c r="F40" s="51"/>
      <c r="G40" s="51"/>
      <c r="H40" s="51"/>
      <c r="I40" s="51"/>
      <c r="J40" s="51"/>
      <c r="K40" s="51"/>
      <c r="L40" s="51"/>
      <c r="M40" s="51"/>
      <c r="N40" s="51"/>
      <c r="O40" s="51"/>
      <c r="P40" s="51"/>
      <c r="Q40" s="51"/>
      <c r="R40" s="55"/>
      <c r="S40" s="53"/>
      <c r="T40" s="54"/>
      <c r="U40" s="52"/>
      <c r="V40" s="55"/>
      <c r="W40" s="55"/>
      <c r="X40" s="52"/>
      <c r="Y40" s="52"/>
      <c r="Z40" s="56"/>
      <c r="AA40" s="55"/>
      <c r="AB40" s="55"/>
      <c r="AC40" s="55"/>
      <c r="AD40" s="55"/>
      <c r="AE40" s="55"/>
      <c r="AF40" s="55"/>
    </row>
    <row r="41" spans="1:32" s="57" customFormat="1" ht="15.75" hidden="1" customHeight="1">
      <c r="A41" s="17"/>
      <c r="B41" s="2"/>
      <c r="C41" s="51"/>
      <c r="D41" s="51"/>
      <c r="E41" s="51"/>
      <c r="F41" s="51"/>
      <c r="G41" s="51"/>
      <c r="H41" s="51"/>
      <c r="I41" s="51"/>
      <c r="J41" s="51"/>
      <c r="K41" s="51"/>
      <c r="L41" s="51"/>
      <c r="M41" s="51"/>
      <c r="N41" s="51"/>
      <c r="O41" s="51"/>
      <c r="P41" s="51"/>
      <c r="Q41" s="51"/>
      <c r="R41" s="55"/>
      <c r="S41" s="53"/>
      <c r="T41" s="54"/>
      <c r="U41" s="52"/>
      <c r="V41" s="55"/>
      <c r="W41" s="55"/>
      <c r="X41" s="52"/>
      <c r="Y41" s="52"/>
      <c r="Z41" s="56"/>
      <c r="AA41" s="55"/>
      <c r="AB41" s="55"/>
      <c r="AC41" s="55"/>
      <c r="AD41" s="55"/>
      <c r="AE41" s="55"/>
      <c r="AF41" s="55"/>
    </row>
    <row r="42" spans="1:32" s="57" customFormat="1" ht="15.75" hidden="1" customHeight="1">
      <c r="A42" s="17"/>
      <c r="B42" s="2"/>
      <c r="C42" s="51"/>
      <c r="D42" s="51"/>
      <c r="E42" s="51"/>
      <c r="F42" s="51"/>
      <c r="G42" s="51"/>
      <c r="H42" s="51"/>
      <c r="I42" s="51"/>
      <c r="J42" s="51"/>
      <c r="K42" s="51"/>
      <c r="L42" s="51"/>
      <c r="M42" s="51"/>
      <c r="N42" s="51"/>
      <c r="O42" s="51"/>
      <c r="P42" s="51"/>
      <c r="Q42" s="51"/>
      <c r="R42" s="55"/>
      <c r="S42" s="53"/>
      <c r="T42" s="54"/>
      <c r="U42" s="52"/>
      <c r="V42" s="55"/>
      <c r="W42" s="55"/>
      <c r="X42" s="52"/>
      <c r="Y42" s="52"/>
      <c r="Z42" s="56"/>
      <c r="AA42" s="55"/>
      <c r="AB42" s="55"/>
      <c r="AC42" s="55"/>
      <c r="AD42" s="55"/>
      <c r="AE42" s="55"/>
      <c r="AF42" s="55"/>
    </row>
    <row r="43" spans="1:32" s="57" customFormat="1" ht="15.75" hidden="1" customHeight="1">
      <c r="A43" s="17"/>
      <c r="B43" s="2"/>
      <c r="C43" s="51"/>
      <c r="D43" s="51"/>
      <c r="E43" s="51"/>
      <c r="F43" s="51"/>
      <c r="G43" s="51"/>
      <c r="H43" s="51"/>
      <c r="I43" s="51"/>
      <c r="J43" s="51"/>
      <c r="K43" s="51"/>
      <c r="L43" s="51"/>
      <c r="M43" s="51"/>
      <c r="N43" s="51"/>
      <c r="O43" s="51"/>
      <c r="P43" s="51"/>
      <c r="Q43" s="51"/>
      <c r="R43" s="55"/>
      <c r="S43" s="53"/>
      <c r="T43" s="54"/>
      <c r="U43" s="52"/>
      <c r="V43" s="55"/>
      <c r="W43" s="55"/>
      <c r="X43" s="52"/>
      <c r="Y43" s="52"/>
      <c r="Z43" s="56"/>
      <c r="AA43" s="55"/>
      <c r="AB43" s="55"/>
      <c r="AC43" s="55"/>
      <c r="AD43" s="55"/>
      <c r="AE43" s="55"/>
      <c r="AF43" s="55"/>
    </row>
    <row r="44" spans="1:32" s="57" customFormat="1" ht="15.75" hidden="1" customHeight="1">
      <c r="A44" s="17"/>
      <c r="B44" s="2"/>
      <c r="C44" s="51"/>
      <c r="D44" s="51"/>
      <c r="E44" s="51"/>
      <c r="F44" s="51"/>
      <c r="G44" s="51"/>
      <c r="H44" s="51"/>
      <c r="I44" s="51"/>
      <c r="J44" s="51"/>
      <c r="K44" s="51"/>
      <c r="L44" s="51"/>
      <c r="M44" s="51"/>
      <c r="N44" s="51"/>
      <c r="O44" s="51"/>
      <c r="P44" s="51"/>
      <c r="Q44" s="51"/>
      <c r="R44" s="55"/>
      <c r="S44" s="53"/>
      <c r="T44" s="54"/>
      <c r="U44" s="52"/>
      <c r="V44" s="55"/>
      <c r="W44" s="55"/>
      <c r="X44" s="52"/>
      <c r="Y44" s="52"/>
      <c r="Z44" s="56"/>
      <c r="AA44" s="55"/>
      <c r="AB44" s="55"/>
      <c r="AC44" s="55"/>
      <c r="AD44" s="55"/>
      <c r="AE44" s="55"/>
      <c r="AF44" s="55"/>
    </row>
    <row r="45" spans="1:32" s="57" customFormat="1" ht="15.75" hidden="1" customHeight="1">
      <c r="A45" s="17"/>
      <c r="B45" s="2"/>
      <c r="C45" s="51"/>
      <c r="D45" s="51"/>
      <c r="E45" s="51"/>
      <c r="F45" s="51"/>
      <c r="G45" s="51"/>
      <c r="H45" s="51"/>
      <c r="I45" s="51"/>
      <c r="J45" s="51"/>
      <c r="K45" s="51"/>
      <c r="L45" s="51"/>
      <c r="M45" s="51"/>
      <c r="N45" s="51"/>
      <c r="O45" s="51"/>
      <c r="P45" s="51"/>
      <c r="Q45" s="51"/>
      <c r="R45" s="55"/>
      <c r="S45" s="53"/>
      <c r="T45" s="54"/>
      <c r="U45" s="52"/>
      <c r="V45" s="55"/>
      <c r="W45" s="55"/>
      <c r="X45" s="52"/>
      <c r="Y45" s="52"/>
      <c r="Z45" s="56"/>
      <c r="AA45" s="55"/>
      <c r="AB45" s="55"/>
      <c r="AC45" s="55"/>
      <c r="AD45" s="55"/>
      <c r="AE45" s="55"/>
      <c r="AF45" s="55"/>
    </row>
    <row r="46" spans="1:32" s="57" customFormat="1" ht="15.75" hidden="1" customHeight="1">
      <c r="A46" s="17"/>
      <c r="B46" s="2"/>
      <c r="C46" s="51"/>
      <c r="D46" s="51"/>
      <c r="E46" s="51"/>
      <c r="F46" s="51"/>
      <c r="G46" s="51"/>
      <c r="H46" s="51"/>
      <c r="I46" s="51"/>
      <c r="J46" s="51"/>
      <c r="K46" s="51"/>
      <c r="L46" s="51"/>
      <c r="M46" s="51"/>
      <c r="N46" s="51"/>
      <c r="O46" s="51"/>
      <c r="P46" s="51"/>
      <c r="Q46" s="51"/>
      <c r="R46" s="55"/>
      <c r="S46" s="53"/>
      <c r="T46" s="54"/>
      <c r="U46" s="52"/>
      <c r="V46" s="55"/>
      <c r="W46" s="55"/>
      <c r="X46" s="52"/>
      <c r="Y46" s="52"/>
      <c r="Z46" s="56"/>
      <c r="AA46" s="55"/>
      <c r="AB46" s="55"/>
      <c r="AC46" s="55"/>
      <c r="AD46" s="55"/>
      <c r="AE46" s="55"/>
      <c r="AF46" s="55"/>
    </row>
    <row r="47" spans="1:32" s="57" customFormat="1" ht="15.75" hidden="1" customHeight="1">
      <c r="A47" s="17"/>
      <c r="B47" s="2"/>
      <c r="C47" s="51"/>
      <c r="D47" s="51"/>
      <c r="E47" s="51"/>
      <c r="F47" s="51"/>
      <c r="G47" s="51"/>
      <c r="H47" s="51"/>
      <c r="I47" s="51"/>
      <c r="J47" s="51"/>
      <c r="K47" s="51"/>
      <c r="L47" s="51"/>
      <c r="M47" s="51"/>
      <c r="N47" s="51"/>
      <c r="O47" s="51"/>
      <c r="P47" s="51"/>
      <c r="Q47" s="51"/>
      <c r="R47" s="55"/>
      <c r="S47" s="53"/>
      <c r="T47" s="54"/>
      <c r="U47" s="52"/>
      <c r="V47" s="55"/>
      <c r="W47" s="55"/>
      <c r="X47" s="52"/>
      <c r="Y47" s="52"/>
      <c r="Z47" s="56"/>
      <c r="AA47" s="55"/>
      <c r="AB47" s="55"/>
      <c r="AC47" s="55"/>
      <c r="AD47" s="55"/>
      <c r="AE47" s="55"/>
      <c r="AF47" s="55"/>
    </row>
    <row r="48" spans="1:32" s="57" customFormat="1" ht="15.75" hidden="1" customHeight="1">
      <c r="A48" s="17"/>
      <c r="B48" s="2"/>
      <c r="C48" s="51"/>
      <c r="D48" s="51"/>
      <c r="E48" s="51"/>
      <c r="F48" s="51"/>
      <c r="G48" s="51"/>
      <c r="H48" s="51"/>
      <c r="I48" s="51"/>
      <c r="J48" s="51"/>
      <c r="K48" s="51"/>
      <c r="L48" s="51"/>
      <c r="M48" s="51"/>
      <c r="N48" s="51"/>
      <c r="O48" s="51"/>
      <c r="P48" s="51"/>
      <c r="Q48" s="51"/>
      <c r="R48" s="55"/>
      <c r="S48" s="53"/>
      <c r="T48" s="54"/>
      <c r="U48" s="52"/>
      <c r="V48" s="55"/>
      <c r="W48" s="55"/>
      <c r="X48" s="52"/>
      <c r="Y48" s="52"/>
      <c r="Z48" s="56"/>
      <c r="AA48" s="55"/>
      <c r="AB48" s="55"/>
      <c r="AC48" s="55"/>
      <c r="AD48" s="55"/>
      <c r="AE48" s="55"/>
      <c r="AF48" s="55"/>
    </row>
    <row r="49" spans="1:32" s="57" customFormat="1" ht="15.75" hidden="1" customHeight="1">
      <c r="A49" s="17"/>
      <c r="B49" s="2"/>
      <c r="C49" s="51"/>
      <c r="D49" s="51"/>
      <c r="E49" s="51"/>
      <c r="F49" s="51"/>
      <c r="G49" s="51"/>
      <c r="H49" s="51"/>
      <c r="I49" s="51"/>
      <c r="J49" s="51"/>
      <c r="K49" s="51"/>
      <c r="L49" s="51"/>
      <c r="M49" s="51"/>
      <c r="N49" s="51"/>
      <c r="O49" s="51"/>
      <c r="P49" s="51"/>
      <c r="Q49" s="51"/>
      <c r="R49" s="55"/>
      <c r="S49" s="53"/>
      <c r="T49" s="54"/>
      <c r="U49" s="52"/>
      <c r="V49" s="55"/>
      <c r="W49" s="55"/>
      <c r="X49" s="52"/>
      <c r="Y49" s="52"/>
      <c r="Z49" s="56"/>
      <c r="AA49" s="55"/>
      <c r="AB49" s="55"/>
      <c r="AC49" s="55"/>
      <c r="AD49" s="55"/>
      <c r="AE49" s="55"/>
      <c r="AF49" s="55"/>
    </row>
    <row r="50" spans="1:32" s="57" customFormat="1" ht="15.75" customHeight="1">
      <c r="A50" s="2" t="s">
        <v>119</v>
      </c>
      <c r="B50" s="2" t="s">
        <v>850</v>
      </c>
      <c r="C50" s="51">
        <f t="shared" ref="C50:C56" si="1">IFERROR(F50/D50," - ")</f>
        <v>17.989999999999998</v>
      </c>
      <c r="D50" s="51">
        <v>1</v>
      </c>
      <c r="E50" s="51">
        <v>0</v>
      </c>
      <c r="F50" s="51">
        <v>17.989999999999998</v>
      </c>
      <c r="G50" s="51">
        <v>0</v>
      </c>
      <c r="H50" s="51">
        <f t="shared" ref="H50:H56" si="2">G50/F50*-1</f>
        <v>0</v>
      </c>
      <c r="I50" s="51">
        <f t="shared" ref="I50:I56" si="3">J50/F50</f>
        <v>0.53107567943657441</v>
      </c>
      <c r="J50" s="51">
        <f t="shared" ref="J50:J56" si="4">F50*0.85+G50+AD50*D50+D50*AC50+AE50+AB50</f>
        <v>9.5540514730639732</v>
      </c>
      <c r="K50" s="51">
        <f t="shared" ref="K50:K56" si="5">J50/D50</f>
        <v>9.5540514730639732</v>
      </c>
      <c r="L50" s="51">
        <v>18</v>
      </c>
      <c r="M50" s="51">
        <f t="shared" ref="M50:M56" si="6">IFERROR(D50/L50,"-")</f>
        <v>5.5555555555555552E-2</v>
      </c>
      <c r="N50" s="51">
        <v>39</v>
      </c>
      <c r="O50" s="51">
        <f t="shared" ref="O50:P50" si="7">D50/7</f>
        <v>0.14285714285714285</v>
      </c>
      <c r="P50" s="51">
        <f t="shared" si="7"/>
        <v>0</v>
      </c>
      <c r="Q50" s="51">
        <f t="shared" ref="Q50:Q56" si="8">ROUNDDOWN(N50/(O50+P50),0)</f>
        <v>273</v>
      </c>
      <c r="R50" s="55">
        <f ca="1">IFERROR(__xludf.DUMMYFUNCTION("IFERROR(VLOOKUP($B$2,IMPORTRANGE(""https://docs.google.com/spreadsheets/d/1iVgg6Mw12RULLujzHmfOFIY8Q_KaAD8anoZzgtVAQ74/edit#gid=1503384807"",""Second Star - Summary!A1:AD2000""),9,FALSE),"""")"),0)</f>
        <v>0</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ref="V50:V56" si="9">IFERROR(U50/D50,0)</f>
        <v>0</v>
      </c>
      <c r="W50" s="55">
        <f t="shared" ref="W50:W56" si="10">IFERROR(G50/(U50+X50)*-1,0)</f>
        <v>0</v>
      </c>
      <c r="X50" s="55">
        <v>0</v>
      </c>
      <c r="Y50" s="55" t="s">
        <v>851</v>
      </c>
      <c r="Z50" s="56">
        <f t="shared" ref="Z50:Z56" si="11">IF(OR(Y50="UsLargeStandardSize",Y50="UsSmallStandardSize"),-2.4,-1.2)</f>
        <v>-2.4</v>
      </c>
      <c r="AA50" s="55">
        <v>2.6808449074074075E-2</v>
      </c>
      <c r="AB50" s="55">
        <f t="shared" ref="AB50:AB56" si="12">IFERROR(Z50*AA50*D50*3,0)</f>
        <v>-0.19302083333333331</v>
      </c>
      <c r="AC50" s="55">
        <v>-2.63</v>
      </c>
      <c r="AD50" s="55">
        <v>-2.9144276936026898</v>
      </c>
      <c r="AE50" s="55">
        <v>0</v>
      </c>
      <c r="AF50" s="55">
        <v>5.1282051282051197E-2</v>
      </c>
    </row>
    <row r="51" spans="1:32" s="57" customFormat="1" ht="15.75" customHeight="1">
      <c r="A51" s="2" t="s">
        <v>121</v>
      </c>
      <c r="B51" s="2" t="s">
        <v>852</v>
      </c>
      <c r="C51" s="51" t="str">
        <f t="shared" si="1"/>
        <v xml:space="preserve"> - </v>
      </c>
      <c r="D51" s="51">
        <v>0</v>
      </c>
      <c r="E51" s="51">
        <v>0</v>
      </c>
      <c r="F51" s="51">
        <v>0</v>
      </c>
      <c r="G51" s="51">
        <v>0</v>
      </c>
      <c r="H51" s="51" t="e">
        <f t="shared" si="2"/>
        <v>#DIV/0!</v>
      </c>
      <c r="I51" s="51" t="e">
        <f t="shared" si="3"/>
        <v>#DIV/0!</v>
      </c>
      <c r="J51" s="51">
        <f t="shared" si="4"/>
        <v>0</v>
      </c>
      <c r="K51" s="51" t="e">
        <f t="shared" si="5"/>
        <v>#DIV/0!</v>
      </c>
      <c r="L51" s="51">
        <v>0</v>
      </c>
      <c r="M51" s="51" t="str">
        <f t="shared" si="6"/>
        <v>-</v>
      </c>
      <c r="N51" s="51">
        <v>37</v>
      </c>
      <c r="O51" s="51">
        <f t="shared" ref="O51:P51" si="13">D51/7</f>
        <v>0</v>
      </c>
      <c r="P51" s="51">
        <f t="shared" si="13"/>
        <v>0</v>
      </c>
      <c r="Q51" s="51" t="e">
        <f t="shared" si="8"/>
        <v>#DIV/0!</v>
      </c>
      <c r="R51" s="55">
        <f ca="1">IFERROR(__xludf.DUMMYFUNCTION("IFERROR(VLOOKUP($B$2,IMPORTRANGE(""https://docs.google.com/spreadsheets/d/1iVgg6Mw12RULLujzHmfOFIY8Q_KaAD8anoZzgtVAQ74/edit#gid=1503384807"",""Second Star - Summary!A1:AD2000""),9,FALSE),"""")"),0)</f>
        <v>0</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9"/>
        <v>0</v>
      </c>
      <c r="W51" s="55">
        <f t="shared" si="10"/>
        <v>0</v>
      </c>
      <c r="X51" s="55">
        <v>0</v>
      </c>
      <c r="Y51" s="55" t="s">
        <v>851</v>
      </c>
      <c r="Z51" s="56">
        <f t="shared" si="11"/>
        <v>-2.4</v>
      </c>
      <c r="AA51" s="55">
        <v>2.6808449074074075E-2</v>
      </c>
      <c r="AB51" s="55">
        <f t="shared" si="12"/>
        <v>0</v>
      </c>
      <c r="AC51" s="55">
        <v>-2.63</v>
      </c>
      <c r="AD51" s="55">
        <v>-2.9144276936026898</v>
      </c>
      <c r="AE51" s="55">
        <v>0</v>
      </c>
      <c r="AF51" s="55">
        <v>5.4054054054054002E-2</v>
      </c>
    </row>
    <row r="52" spans="1:32" s="57" customFormat="1" ht="15.75" customHeight="1">
      <c r="A52" s="2" t="s">
        <v>123</v>
      </c>
      <c r="B52" s="2" t="s">
        <v>853</v>
      </c>
      <c r="C52" s="51" t="str">
        <f t="shared" si="1"/>
        <v xml:space="preserve"> - </v>
      </c>
      <c r="D52" s="51">
        <v>0</v>
      </c>
      <c r="E52" s="51">
        <v>0</v>
      </c>
      <c r="F52" s="51">
        <v>0</v>
      </c>
      <c r="G52" s="51">
        <v>0</v>
      </c>
      <c r="H52" s="51" t="e">
        <f t="shared" si="2"/>
        <v>#DIV/0!</v>
      </c>
      <c r="I52" s="51" t="e">
        <f t="shared" si="3"/>
        <v>#DIV/0!</v>
      </c>
      <c r="J52" s="51">
        <f t="shared" si="4"/>
        <v>0</v>
      </c>
      <c r="K52" s="51" t="e">
        <f t="shared" si="5"/>
        <v>#DIV/0!</v>
      </c>
      <c r="L52" s="51">
        <v>0</v>
      </c>
      <c r="M52" s="51" t="str">
        <f t="shared" si="6"/>
        <v>-</v>
      </c>
      <c r="N52" s="51">
        <v>37</v>
      </c>
      <c r="O52" s="51">
        <f t="shared" ref="O52:P52" si="14">D52/7</f>
        <v>0</v>
      </c>
      <c r="P52" s="51">
        <f t="shared" si="14"/>
        <v>0</v>
      </c>
      <c r="Q52" s="51" t="e">
        <f t="shared" si="8"/>
        <v>#DIV/0!</v>
      </c>
      <c r="R52" s="55">
        <f ca="1">IFERROR(__xludf.DUMMYFUNCTION("IFERROR(VLOOKUP($B$2,IMPORTRANGE(""https://docs.google.com/spreadsheets/d/1iVgg6Mw12RULLujzHmfOFIY8Q_KaAD8anoZzgtVAQ74/edit#gid=1503384807"",""Second Star - Summary!A1:AD2000""),9,FALSE),"""")"),0)</f>
        <v>0</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9"/>
        <v>0</v>
      </c>
      <c r="W52" s="55">
        <f t="shared" si="10"/>
        <v>0</v>
      </c>
      <c r="X52" s="55">
        <v>0</v>
      </c>
      <c r="Y52" s="55" t="s">
        <v>851</v>
      </c>
      <c r="Z52" s="56">
        <f t="shared" si="11"/>
        <v>-2.4</v>
      </c>
      <c r="AA52" s="55">
        <v>2.6808449074074075E-2</v>
      </c>
      <c r="AB52" s="55">
        <f t="shared" si="12"/>
        <v>0</v>
      </c>
      <c r="AC52" s="55">
        <v>-2.63</v>
      </c>
      <c r="AD52" s="55">
        <v>-2.9144276936026898</v>
      </c>
      <c r="AE52" s="55">
        <v>0</v>
      </c>
      <c r="AF52" s="55">
        <v>5.4054054054054002E-2</v>
      </c>
    </row>
    <row r="53" spans="1:32" s="57" customFormat="1">
      <c r="A53" s="2" t="s">
        <v>38</v>
      </c>
      <c r="B53" s="2" t="s">
        <v>854</v>
      </c>
      <c r="C53" s="51" t="str">
        <f t="shared" si="1"/>
        <v xml:space="preserve"> - </v>
      </c>
      <c r="D53" s="51">
        <v>0</v>
      </c>
      <c r="E53" s="51">
        <v>0</v>
      </c>
      <c r="F53" s="51">
        <v>0</v>
      </c>
      <c r="G53" s="51">
        <v>-10.780000000000001</v>
      </c>
      <c r="H53" s="51" t="e">
        <f t="shared" si="2"/>
        <v>#DIV/0!</v>
      </c>
      <c r="I53" s="51" t="e">
        <f t="shared" si="3"/>
        <v>#DIV/0!</v>
      </c>
      <c r="J53" s="51">
        <f t="shared" si="4"/>
        <v>-10.780000000000001</v>
      </c>
      <c r="K53" s="51" t="e">
        <f t="shared" si="5"/>
        <v>#DIV/0!</v>
      </c>
      <c r="L53" s="51">
        <v>15</v>
      </c>
      <c r="M53" s="51">
        <f t="shared" si="6"/>
        <v>0</v>
      </c>
      <c r="N53" s="51">
        <v>31</v>
      </c>
      <c r="O53" s="51">
        <f t="shared" ref="O53:P53" si="15">D53/7</f>
        <v>0</v>
      </c>
      <c r="P53" s="51">
        <f t="shared" si="15"/>
        <v>0</v>
      </c>
      <c r="Q53" s="51" t="e">
        <f t="shared" si="8"/>
        <v>#DIV/0!</v>
      </c>
      <c r="R53" s="55">
        <f ca="1">IFERROR(__xludf.DUMMYFUNCTION("IFERROR(VLOOKUP($B$2,IMPORTRANGE(""https://docs.google.com/spreadsheets/d/1iVgg6Mw12RULLujzHmfOFIY8Q_KaAD8anoZzgtVAQ74/edit#gid=1503384807"",""Second Star - Summary!A1:AD2000""),9,FALSE),"""")"),0)</f>
        <v>0</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9"/>
        <v>0</v>
      </c>
      <c r="W53" s="55">
        <f t="shared" si="10"/>
        <v>0</v>
      </c>
      <c r="X53" s="55">
        <v>0</v>
      </c>
      <c r="Y53" s="55" t="s">
        <v>851</v>
      </c>
      <c r="Z53" s="56">
        <f t="shared" si="11"/>
        <v>-2.4</v>
      </c>
      <c r="AA53" s="55">
        <v>2.6808449074074075E-2</v>
      </c>
      <c r="AB53" s="55">
        <f t="shared" si="12"/>
        <v>0</v>
      </c>
      <c r="AC53" s="55">
        <v>-2.63</v>
      </c>
      <c r="AD53" s="55">
        <v>-2.9144276936026898</v>
      </c>
      <c r="AE53" s="55">
        <v>0</v>
      </c>
      <c r="AF53" s="55">
        <v>2.5974025974025899E-2</v>
      </c>
    </row>
    <row r="54" spans="1:32" s="57" customFormat="1">
      <c r="A54" s="2" t="s">
        <v>40</v>
      </c>
      <c r="B54" s="2"/>
      <c r="C54" s="51" t="str">
        <f t="shared" si="1"/>
        <v xml:space="preserve"> - </v>
      </c>
      <c r="D54" s="51">
        <v>0</v>
      </c>
      <c r="E54" s="51">
        <v>0</v>
      </c>
      <c r="F54" s="51">
        <v>0</v>
      </c>
      <c r="G54" s="51">
        <v>-14.63</v>
      </c>
      <c r="H54" s="51" t="e">
        <f t="shared" si="2"/>
        <v>#DIV/0!</v>
      </c>
      <c r="I54" s="51" t="e">
        <f t="shared" si="3"/>
        <v>#DIV/0!</v>
      </c>
      <c r="J54" s="51">
        <f t="shared" si="4"/>
        <v>-14.63</v>
      </c>
      <c r="K54" s="51" t="e">
        <f t="shared" si="5"/>
        <v>#DIV/0!</v>
      </c>
      <c r="L54" s="51">
        <v>0</v>
      </c>
      <c r="M54" s="51" t="str">
        <f t="shared" si="6"/>
        <v>-</v>
      </c>
      <c r="N54" s="51">
        <v>29</v>
      </c>
      <c r="O54" s="51">
        <f t="shared" ref="O54:P54" si="16">D54/7</f>
        <v>0</v>
      </c>
      <c r="P54" s="51">
        <f t="shared" si="16"/>
        <v>0</v>
      </c>
      <c r="Q54" s="51" t="e">
        <f t="shared" si="8"/>
        <v>#DIV/0!</v>
      </c>
      <c r="R54" s="55">
        <f ca="1">IFERROR(__xludf.DUMMYFUNCTION("IFERROR(VLOOKUP($B$2,IMPORTRANGE(""https://docs.google.com/spreadsheets/d/1iVgg6Mw12RULLujzHmfOFIY8Q_KaAD8anoZzgtVAQ74/edit#gid=1503384807"",""Second Star - Summary!A1:AD2000""),9,FALSE),"""")"),0)</f>
        <v>0</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9"/>
        <v>0</v>
      </c>
      <c r="W54" s="55">
        <f t="shared" si="10"/>
        <v>0</v>
      </c>
      <c r="X54" s="55">
        <v>0</v>
      </c>
      <c r="Y54" s="55" t="s">
        <v>851</v>
      </c>
      <c r="Z54" s="56">
        <f t="shared" si="11"/>
        <v>-2.4</v>
      </c>
      <c r="AA54" s="55">
        <v>2.6808449074074075E-2</v>
      </c>
      <c r="AB54" s="55">
        <f t="shared" si="12"/>
        <v>0</v>
      </c>
      <c r="AC54" s="55">
        <v>-2.63</v>
      </c>
      <c r="AD54" s="55">
        <v>-2.9144276936026898</v>
      </c>
      <c r="AE54" s="55">
        <v>0</v>
      </c>
      <c r="AF54" s="55">
        <v>0.39705882352941102</v>
      </c>
    </row>
    <row r="55" spans="1:32" s="57" customFormat="1" ht="15.75" customHeight="1">
      <c r="A55" s="2" t="s">
        <v>32</v>
      </c>
      <c r="B55" s="2" t="s">
        <v>855</v>
      </c>
      <c r="C55" s="51" t="str">
        <f t="shared" si="1"/>
        <v xml:space="preserve"> - </v>
      </c>
      <c r="D55" s="51">
        <v>0</v>
      </c>
      <c r="E55" s="51">
        <v>0</v>
      </c>
      <c r="F55" s="51">
        <v>0</v>
      </c>
      <c r="G55" s="51">
        <v>-17.32</v>
      </c>
      <c r="H55" s="51" t="e">
        <f t="shared" si="2"/>
        <v>#DIV/0!</v>
      </c>
      <c r="I55" s="51" t="e">
        <f t="shared" si="3"/>
        <v>#DIV/0!</v>
      </c>
      <c r="J55" s="51">
        <f t="shared" si="4"/>
        <v>-17.32</v>
      </c>
      <c r="K55" s="51" t="e">
        <f t="shared" si="5"/>
        <v>#DIV/0!</v>
      </c>
      <c r="L55" s="51">
        <v>0</v>
      </c>
      <c r="M55" s="51" t="str">
        <f t="shared" si="6"/>
        <v>-</v>
      </c>
      <c r="N55" s="51">
        <v>29</v>
      </c>
      <c r="O55" s="51">
        <f t="shared" ref="O55:P55" si="17">D55/7</f>
        <v>0</v>
      </c>
      <c r="P55" s="51">
        <f t="shared" si="17"/>
        <v>0</v>
      </c>
      <c r="Q55" s="51" t="e">
        <f t="shared" si="8"/>
        <v>#DIV/0!</v>
      </c>
      <c r="R55" s="55">
        <v>0</v>
      </c>
      <c r="S55" s="53" t="s">
        <v>34</v>
      </c>
      <c r="T55" s="54" t="s">
        <v>34</v>
      </c>
      <c r="U55" s="55">
        <v>0</v>
      </c>
      <c r="V55" s="55">
        <f t="shared" si="9"/>
        <v>0</v>
      </c>
      <c r="W55" s="55">
        <f t="shared" si="10"/>
        <v>0</v>
      </c>
      <c r="X55" s="55">
        <v>0</v>
      </c>
      <c r="Y55" s="55" t="s">
        <v>851</v>
      </c>
      <c r="Z55" s="56">
        <f t="shared" si="11"/>
        <v>-2.4</v>
      </c>
      <c r="AA55" s="55">
        <v>2.6808449074074075E-2</v>
      </c>
      <c r="AB55" s="55">
        <f t="shared" si="12"/>
        <v>0</v>
      </c>
      <c r="AC55" s="55">
        <v>-2.63</v>
      </c>
      <c r="AD55" s="55">
        <v>-2.9144276936026898</v>
      </c>
      <c r="AE55" s="55">
        <v>0</v>
      </c>
      <c r="AF55" s="55">
        <v>0.40909090909090901</v>
      </c>
    </row>
    <row r="56" spans="1:32" s="57" customFormat="1" ht="15.75" customHeight="1">
      <c r="A56" s="2" t="s">
        <v>36</v>
      </c>
      <c r="B56" s="2"/>
      <c r="C56" s="51">
        <f t="shared" si="1"/>
        <v>11.99</v>
      </c>
      <c r="D56" s="51">
        <v>1</v>
      </c>
      <c r="E56" s="51">
        <v>0</v>
      </c>
      <c r="F56" s="51">
        <v>11.99</v>
      </c>
      <c r="G56" s="51">
        <v>-4.7299999999999995</v>
      </c>
      <c r="H56" s="51">
        <f t="shared" si="2"/>
        <v>0.39449541284403666</v>
      </c>
      <c r="I56" s="51">
        <f t="shared" si="3"/>
        <v>-2.3014889652712509E-2</v>
      </c>
      <c r="J56" s="51">
        <f t="shared" si="4"/>
        <v>-0.27594852693602301</v>
      </c>
      <c r="K56" s="51">
        <f t="shared" si="5"/>
        <v>-0.27594852693602301</v>
      </c>
      <c r="L56" s="51">
        <v>9</v>
      </c>
      <c r="M56" s="51">
        <f t="shared" si="6"/>
        <v>0.1111111111111111</v>
      </c>
      <c r="N56" s="51">
        <v>26</v>
      </c>
      <c r="O56" s="51">
        <f t="shared" ref="O56:P56" si="18">D56/7</f>
        <v>0.14285714285714285</v>
      </c>
      <c r="P56" s="51">
        <f t="shared" si="18"/>
        <v>0</v>
      </c>
      <c r="Q56" s="51">
        <f t="shared" si="8"/>
        <v>182</v>
      </c>
      <c r="R56" s="55">
        <f ca="1">IFERROR(__xludf.DUMMYFUNCTION("IFERROR(VLOOKUP($B$2,IMPORTRANGE(""https://docs.google.com/spreadsheets/d/1iVgg6Mw12RULLujzHmfOFIY8Q_KaAD8anoZzgtVAQ74/edit#gid=1503384807"",""Second Star - Summary!A1:AD2000""),9,FALSE),"""")"),0)</f>
        <v>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9"/>
        <v>0</v>
      </c>
      <c r="W56" s="55">
        <f t="shared" si="10"/>
        <v>0</v>
      </c>
      <c r="X56" s="55">
        <v>0</v>
      </c>
      <c r="Y56" s="55" t="s">
        <v>851</v>
      </c>
      <c r="Z56" s="56">
        <f t="shared" si="11"/>
        <v>-2.4</v>
      </c>
      <c r="AA56" s="55">
        <v>2.6808449074074075E-2</v>
      </c>
      <c r="AB56" s="55">
        <f t="shared" si="12"/>
        <v>-0.19302083333333331</v>
      </c>
      <c r="AC56" s="55">
        <v>-2.63</v>
      </c>
      <c r="AD56" s="55">
        <v>-2.9144276936026898</v>
      </c>
      <c r="AE56" s="55">
        <v>0</v>
      </c>
      <c r="AF56" s="55">
        <v>0.34951456310679602</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3"/>
    </row>
    <row r="222" spans="1:3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3"/>
    </row>
    <row r="223" spans="1:32"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3"/>
    </row>
    <row r="224" spans="1:32"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3"/>
    </row>
    <row r="225" spans="1:32"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3"/>
    </row>
    <row r="226" spans="1:32"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3"/>
    </row>
    <row r="227" spans="1:32"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3"/>
    </row>
    <row r="228" spans="1:32"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3"/>
    </row>
    <row r="229" spans="1:32"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3"/>
    </row>
    <row r="230" spans="1:32"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3"/>
    </row>
    <row r="231" spans="1:32"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3"/>
    </row>
    <row r="232" spans="1: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3"/>
    </row>
    <row r="233" spans="1:32"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3"/>
    </row>
    <row r="234" spans="1:32"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3"/>
    </row>
    <row r="235" spans="1:32"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3"/>
    </row>
    <row r="236" spans="1:32"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3"/>
    </row>
    <row r="237" spans="1:32"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3"/>
    </row>
    <row r="238" spans="1:32"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3"/>
    </row>
    <row r="239" spans="1:32"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row r="253" spans="1:32" ht="15.75" customHeight="1"/>
    <row r="254" spans="1:32" ht="15.75" customHeight="1"/>
    <row r="255" spans="1:32" ht="15.75" customHeight="1"/>
    <row r="256" spans="1:3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335" priority="1" operator="lessThan">
      <formula>100</formula>
    </cfRule>
  </conditionalFormatting>
  <conditionalFormatting sqref="Q1:Q3 Q57:Q1000">
    <cfRule type="cellIs" dxfId="334" priority="2" operator="lessThan">
      <formula>100</formula>
    </cfRule>
  </conditionalFormatting>
  <conditionalFormatting sqref="I1:I3 I57:I1000">
    <cfRule type="cellIs" dxfId="333" priority="3" operator="lessThan">
      <formula>0.05</formula>
    </cfRule>
  </conditionalFormatting>
  <conditionalFormatting sqref="I4:I17">
    <cfRule type="cellIs" dxfId="332" priority="4" operator="lessThan">
      <formula>0.05</formula>
    </cfRule>
  </conditionalFormatting>
  <conditionalFormatting sqref="I18:I56">
    <cfRule type="cellIs" dxfId="331" priority="5" operator="lessThan">
      <formula>0.05</formula>
    </cfRule>
  </conditionalFormatting>
  <conditionalFormatting sqref="Q4:Q56">
    <cfRule type="cellIs" dxfId="330" priority="6" operator="lessThan">
      <formula>100</formula>
    </cfRule>
  </conditionalFormatting>
  <conditionalFormatting sqref="Q4:Q56">
    <cfRule type="cellIs" dxfId="329" priority="7" operator="lessThan">
      <formula>100</formula>
    </cfRule>
  </conditionalFormatting>
  <pageMargins left="0.7" right="0.7" top="0.75" bottom="0.75" header="0" footer="0"/>
  <pageSetup orientation="portrait"/>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4.6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Info!B1:BJ5000""),4,FALSE),"""")"),"HD Vinyl Mattress Protector -9""- Queen (Fitted)")</f>
        <v>HD Vinyl Mattress Protector -9"- Queen (Fitted)</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Info!B1:BJ5000""),3,FALSE),"""")"),"B08GG8D2J2")</f>
        <v>B08GG8D2J2</v>
      </c>
      <c r="B2" s="4" t="s">
        <v>856</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12.301521390374329</v>
      </c>
      <c r="D3" s="8">
        <f>SUM(D4:D99819)</f>
        <v>2</v>
      </c>
      <c r="E3" s="8"/>
      <c r="F3" s="9">
        <f t="shared" ref="F3:G3" si="0">SUM(F4:F99819)</f>
        <v>35.979999999999997</v>
      </c>
      <c r="G3" s="9">
        <f t="shared" si="0"/>
        <v>0</v>
      </c>
      <c r="H3" s="10">
        <f>G3/F3*-1</f>
        <v>0</v>
      </c>
      <c r="I3" s="11">
        <f>J3/F3</f>
        <v>0.17966792902622661</v>
      </c>
      <c r="J3" s="9">
        <f>SUM(J4:J99819)</f>
        <v>6.4644520863636323</v>
      </c>
      <c r="K3" s="9">
        <f>J3/D3</f>
        <v>3.2322260431818162</v>
      </c>
      <c r="L3" s="8"/>
      <c r="M3" s="12"/>
      <c r="N3" s="13"/>
      <c r="O3" s="8" t="str">
        <f ca="1">IFERROR(__xludf.DUMMYFUNCTION("IFERROR(VLOOKUP(B2,IMPORTRANGE(""https://docs.google.com/spreadsheets/d/1owCo6kL_VFQ5nPTdNogErmCBLjNiktT1m3SzTrxu3R0/edit#gid=2146806407"",""Second Star - Compiled!b1:g5000""),2,FALSE),"""")"),"0 - March
0 - April
0 - May
0 - Jun
0 - Jul
0 - Aug
0 - Sept
0 - Oct
0 - Nov
0 - Dec
0 - Jan
0 - Feb")</f>
        <v>0 - March
0 - April
0 - May
0 - Jun
0 - Jul
0 - Aug
0 - Sept
0 - Oct
0 - Nov
0 - Dec
0 - Jan
0 - Feb</v>
      </c>
      <c r="P3" s="8"/>
      <c r="Q3" s="14"/>
      <c r="R3" s="13"/>
      <c r="S3" s="13"/>
      <c r="T3" s="13"/>
      <c r="U3" s="8">
        <f>SUM(U4:U99819)</f>
        <v>0</v>
      </c>
      <c r="V3" s="10">
        <f>AVERAGE(V4:V99819)</f>
        <v>0</v>
      </c>
      <c r="W3" s="9">
        <f>ROUND(AVERAGE(W4:W99819),2)</f>
        <v>0</v>
      </c>
      <c r="X3" s="8"/>
      <c r="Y3" s="8"/>
      <c r="Z3" s="8"/>
      <c r="AA3" s="8"/>
      <c r="AB3" s="8"/>
      <c r="AC3" s="15"/>
      <c r="AD3" s="9"/>
      <c r="AE3" s="9">
        <f>SUM(AE4:AE99819)</f>
        <v>-0.9</v>
      </c>
      <c r="AF3" s="16"/>
    </row>
    <row r="4" spans="1:32" s="57" customFormat="1" hidden="1">
      <c r="A4" s="17"/>
      <c r="B4" s="17"/>
      <c r="C4" s="50"/>
      <c r="D4" s="51"/>
      <c r="E4" s="51"/>
      <c r="F4" s="51"/>
      <c r="G4" s="51"/>
      <c r="H4" s="51"/>
      <c r="I4" s="51"/>
      <c r="J4" s="51"/>
      <c r="K4" s="51"/>
      <c r="L4" s="51"/>
      <c r="M4" s="51"/>
      <c r="N4" s="51"/>
      <c r="O4" s="51"/>
      <c r="P4" s="51"/>
      <c r="Q4" s="51"/>
      <c r="R4" s="52"/>
      <c r="S4" s="53"/>
      <c r="T4" s="54"/>
      <c r="U4" s="52"/>
      <c r="V4" s="55"/>
      <c r="W4" s="55"/>
      <c r="X4" s="52"/>
      <c r="Y4" s="56"/>
      <c r="Z4" s="56"/>
      <c r="AA4" s="55"/>
      <c r="AB4" s="55"/>
      <c r="AC4" s="55"/>
      <c r="AD4" s="55"/>
      <c r="AE4" s="55"/>
      <c r="AF4" s="55"/>
    </row>
    <row r="5" spans="1:32" s="57" customFormat="1" ht="15.75" hidden="1" customHeight="1">
      <c r="A5" s="17"/>
      <c r="B5" s="2"/>
      <c r="C5" s="51"/>
      <c r="D5" s="51"/>
      <c r="E5" s="51"/>
      <c r="F5" s="51"/>
      <c r="G5" s="51"/>
      <c r="H5" s="51"/>
      <c r="I5" s="51"/>
      <c r="J5" s="51"/>
      <c r="K5" s="51"/>
      <c r="L5" s="51"/>
      <c r="M5" s="51"/>
      <c r="N5" s="51"/>
      <c r="O5" s="51"/>
      <c r="P5" s="51"/>
      <c r="Q5" s="51"/>
      <c r="R5" s="52"/>
      <c r="S5" s="53"/>
      <c r="T5" s="54"/>
      <c r="U5" s="52"/>
      <c r="V5" s="55"/>
      <c r="W5" s="55"/>
      <c r="X5" s="52"/>
      <c r="Y5" s="52"/>
      <c r="Z5" s="56"/>
      <c r="AA5" s="55"/>
      <c r="AB5" s="55"/>
      <c r="AC5" s="55"/>
      <c r="AD5" s="55"/>
      <c r="AE5" s="55"/>
      <c r="AF5" s="55"/>
    </row>
    <row r="6" spans="1:32" s="57" customFormat="1" ht="15.75" hidden="1" customHeight="1">
      <c r="A6" s="17"/>
      <c r="B6" s="2"/>
      <c r="C6" s="51"/>
      <c r="D6" s="51"/>
      <c r="E6" s="51"/>
      <c r="F6" s="51"/>
      <c r="G6" s="51"/>
      <c r="H6" s="51"/>
      <c r="I6" s="51"/>
      <c r="J6" s="51"/>
      <c r="K6" s="51"/>
      <c r="L6" s="51"/>
      <c r="M6" s="51"/>
      <c r="N6" s="51"/>
      <c r="O6" s="51"/>
      <c r="P6" s="51"/>
      <c r="Q6" s="51"/>
      <c r="R6" s="52"/>
      <c r="S6" s="53"/>
      <c r="T6" s="54"/>
      <c r="U6" s="52"/>
      <c r="V6" s="55"/>
      <c r="W6" s="55"/>
      <c r="X6" s="52"/>
      <c r="Y6" s="52"/>
      <c r="Z6" s="56"/>
      <c r="AA6" s="55"/>
      <c r="AB6" s="55"/>
      <c r="AC6" s="55"/>
      <c r="AD6" s="55"/>
      <c r="AE6" s="55"/>
      <c r="AF6" s="55"/>
    </row>
    <row r="7" spans="1:32" s="57" customFormat="1" ht="15.75" hidden="1" customHeight="1">
      <c r="A7" s="17"/>
      <c r="B7" s="2"/>
      <c r="C7" s="51"/>
      <c r="D7" s="51"/>
      <c r="E7" s="51"/>
      <c r="F7" s="51"/>
      <c r="G7" s="51"/>
      <c r="H7" s="51"/>
      <c r="I7" s="51"/>
      <c r="J7" s="51"/>
      <c r="K7" s="51"/>
      <c r="L7" s="51"/>
      <c r="M7" s="51"/>
      <c r="N7" s="51"/>
      <c r="O7" s="51"/>
      <c r="P7" s="51"/>
      <c r="Q7" s="51"/>
      <c r="R7" s="52"/>
      <c r="S7" s="53"/>
      <c r="T7" s="54"/>
      <c r="U7" s="52"/>
      <c r="V7" s="55"/>
      <c r="W7" s="55"/>
      <c r="X7" s="52"/>
      <c r="Y7" s="52"/>
      <c r="Z7" s="56"/>
      <c r="AA7" s="55"/>
      <c r="AB7" s="55"/>
      <c r="AC7" s="55"/>
      <c r="AD7" s="55"/>
      <c r="AE7" s="55"/>
      <c r="AF7" s="55"/>
    </row>
    <row r="8" spans="1:32" s="57" customFormat="1" ht="15.75" hidden="1" customHeight="1">
      <c r="A8" s="17"/>
      <c r="B8" s="2"/>
      <c r="C8" s="51"/>
      <c r="D8" s="51"/>
      <c r="E8" s="51"/>
      <c r="F8" s="51"/>
      <c r="G8" s="51"/>
      <c r="H8" s="51"/>
      <c r="I8" s="51"/>
      <c r="J8" s="51"/>
      <c r="K8" s="51"/>
      <c r="L8" s="51"/>
      <c r="M8" s="51"/>
      <c r="N8" s="51"/>
      <c r="O8" s="51"/>
      <c r="P8" s="51"/>
      <c r="Q8" s="51"/>
      <c r="R8" s="52"/>
      <c r="S8" s="53"/>
      <c r="T8" s="54"/>
      <c r="U8" s="52"/>
      <c r="V8" s="55"/>
      <c r="W8" s="55"/>
      <c r="X8" s="52"/>
      <c r="Y8" s="52"/>
      <c r="Z8" s="56"/>
      <c r="AA8" s="55"/>
      <c r="AB8" s="55"/>
      <c r="AC8" s="55"/>
      <c r="AD8" s="55"/>
      <c r="AE8" s="55"/>
      <c r="AF8" s="55"/>
    </row>
    <row r="9" spans="1:32" s="57" customFormat="1" ht="15.75" hidden="1" customHeight="1">
      <c r="A9" s="17"/>
      <c r="B9" s="2"/>
      <c r="C9" s="51"/>
      <c r="D9" s="51"/>
      <c r="E9" s="51"/>
      <c r="F9" s="51"/>
      <c r="G9" s="51"/>
      <c r="H9" s="51"/>
      <c r="I9" s="51"/>
      <c r="J9" s="51"/>
      <c r="K9" s="51"/>
      <c r="L9" s="51"/>
      <c r="M9" s="51"/>
      <c r="N9" s="51"/>
      <c r="O9" s="51"/>
      <c r="P9" s="51"/>
      <c r="Q9" s="51"/>
      <c r="R9" s="52"/>
      <c r="S9" s="53"/>
      <c r="T9" s="54"/>
      <c r="U9" s="52"/>
      <c r="V9" s="55"/>
      <c r="W9" s="55"/>
      <c r="X9" s="52"/>
      <c r="Y9" s="52"/>
      <c r="Z9" s="56"/>
      <c r="AA9" s="55"/>
      <c r="AB9" s="55"/>
      <c r="AC9" s="55"/>
      <c r="AD9" s="55"/>
      <c r="AE9" s="55"/>
      <c r="AF9" s="55"/>
    </row>
    <row r="10" spans="1:32" s="57" customFormat="1" ht="15.75" hidden="1" customHeight="1">
      <c r="A10" s="17"/>
      <c r="B10" s="2"/>
      <c r="C10" s="51"/>
      <c r="D10" s="51"/>
      <c r="E10" s="51"/>
      <c r="F10" s="51"/>
      <c r="G10" s="51"/>
      <c r="H10" s="51"/>
      <c r="I10" s="51"/>
      <c r="J10" s="51"/>
      <c r="K10" s="51"/>
      <c r="L10" s="51"/>
      <c r="M10" s="51"/>
      <c r="N10" s="51"/>
      <c r="O10" s="51"/>
      <c r="P10" s="51"/>
      <c r="Q10" s="51"/>
      <c r="R10" s="52"/>
      <c r="S10" s="53"/>
      <c r="T10" s="54"/>
      <c r="U10" s="52"/>
      <c r="V10" s="55"/>
      <c r="W10" s="55"/>
      <c r="X10" s="52"/>
      <c r="Y10" s="52"/>
      <c r="Z10" s="56"/>
      <c r="AA10" s="55"/>
      <c r="AB10" s="55"/>
      <c r="AC10" s="55"/>
      <c r="AD10" s="55"/>
      <c r="AE10" s="55"/>
      <c r="AF10" s="55"/>
    </row>
    <row r="11" spans="1:32" s="57" customFormat="1" ht="15.75" hidden="1" customHeight="1">
      <c r="A11" s="17"/>
      <c r="B11" s="17"/>
      <c r="C11" s="51"/>
      <c r="D11" s="51"/>
      <c r="E11" s="51"/>
      <c r="F11" s="51"/>
      <c r="G11" s="51"/>
      <c r="H11" s="51"/>
      <c r="I11" s="51"/>
      <c r="J11" s="51"/>
      <c r="K11" s="51"/>
      <c r="L11" s="51"/>
      <c r="M11" s="51"/>
      <c r="N11" s="51"/>
      <c r="O11" s="51"/>
      <c r="P11" s="51"/>
      <c r="Q11" s="51"/>
      <c r="R11" s="52"/>
      <c r="S11" s="53"/>
      <c r="T11" s="54"/>
      <c r="U11" s="52"/>
      <c r="V11" s="55"/>
      <c r="W11" s="55"/>
      <c r="X11" s="52"/>
      <c r="Y11" s="52"/>
      <c r="Z11" s="56"/>
      <c r="AA11" s="55"/>
      <c r="AB11" s="55"/>
      <c r="AC11" s="55"/>
      <c r="AD11" s="55"/>
      <c r="AE11" s="55"/>
      <c r="AF11" s="55"/>
    </row>
    <row r="12" spans="1:32" s="57" customFormat="1" ht="15.75" hidden="1" customHeight="1">
      <c r="A12" s="17"/>
      <c r="B12" s="2"/>
      <c r="C12" s="51"/>
      <c r="D12" s="51"/>
      <c r="E12" s="51"/>
      <c r="F12" s="51"/>
      <c r="G12" s="51"/>
      <c r="H12" s="51"/>
      <c r="I12" s="51"/>
      <c r="J12" s="51"/>
      <c r="K12" s="51"/>
      <c r="L12" s="51"/>
      <c r="M12" s="51"/>
      <c r="N12" s="51"/>
      <c r="O12" s="51"/>
      <c r="P12" s="51"/>
      <c r="Q12" s="51"/>
      <c r="R12" s="52"/>
      <c r="S12" s="53"/>
      <c r="T12" s="54"/>
      <c r="U12" s="52"/>
      <c r="V12" s="55"/>
      <c r="W12" s="55"/>
      <c r="X12" s="52"/>
      <c r="Y12" s="52"/>
      <c r="Z12" s="56"/>
      <c r="AA12" s="55"/>
      <c r="AB12" s="55"/>
      <c r="AC12" s="55"/>
      <c r="AD12" s="55"/>
      <c r="AE12" s="55"/>
      <c r="AF12" s="55"/>
    </row>
    <row r="13" spans="1:32" s="57" customFormat="1" ht="15.75" hidden="1" customHeight="1">
      <c r="A13" s="17"/>
      <c r="B13" s="2"/>
      <c r="C13" s="51"/>
      <c r="D13" s="51"/>
      <c r="E13" s="51"/>
      <c r="F13" s="51"/>
      <c r="G13" s="51"/>
      <c r="H13" s="51"/>
      <c r="I13" s="51"/>
      <c r="J13" s="51"/>
      <c r="K13" s="51"/>
      <c r="L13" s="51"/>
      <c r="M13" s="51"/>
      <c r="N13" s="51"/>
      <c r="O13" s="51"/>
      <c r="P13" s="51"/>
      <c r="Q13" s="51"/>
      <c r="R13" s="52"/>
      <c r="S13" s="53"/>
      <c r="T13" s="54"/>
      <c r="U13" s="52"/>
      <c r="V13" s="55"/>
      <c r="W13" s="55"/>
      <c r="X13" s="52"/>
      <c r="Y13" s="52"/>
      <c r="Z13" s="56"/>
      <c r="AA13" s="55"/>
      <c r="AB13" s="55"/>
      <c r="AC13" s="55"/>
      <c r="AD13" s="55"/>
      <c r="AE13" s="55"/>
      <c r="AF13" s="55"/>
    </row>
    <row r="14" spans="1:32" s="57" customFormat="1" ht="15.75" hidden="1" customHeight="1">
      <c r="A14" s="17"/>
      <c r="B14" s="2"/>
      <c r="C14" s="51"/>
      <c r="D14" s="51"/>
      <c r="E14" s="51"/>
      <c r="F14" s="51"/>
      <c r="G14" s="51"/>
      <c r="H14" s="51"/>
      <c r="I14" s="51"/>
      <c r="J14" s="51"/>
      <c r="K14" s="51"/>
      <c r="L14" s="51"/>
      <c r="M14" s="51"/>
      <c r="N14" s="51"/>
      <c r="O14" s="51"/>
      <c r="P14" s="51"/>
      <c r="Q14" s="51"/>
      <c r="R14" s="52"/>
      <c r="S14" s="53"/>
      <c r="T14" s="54"/>
      <c r="U14" s="52"/>
      <c r="V14" s="55"/>
      <c r="W14" s="55"/>
      <c r="X14" s="52"/>
      <c r="Y14" s="52"/>
      <c r="Z14" s="56"/>
      <c r="AA14" s="55"/>
      <c r="AB14" s="55"/>
      <c r="AC14" s="55"/>
      <c r="AD14" s="55"/>
      <c r="AE14" s="55"/>
      <c r="AF14" s="55"/>
    </row>
    <row r="15" spans="1:32" s="57" customFormat="1" ht="15.75" hidden="1" customHeight="1">
      <c r="A15" s="17"/>
      <c r="B15" s="2"/>
      <c r="C15" s="51"/>
      <c r="D15" s="51"/>
      <c r="E15" s="51"/>
      <c r="F15" s="51"/>
      <c r="G15" s="51"/>
      <c r="H15" s="51"/>
      <c r="I15" s="51"/>
      <c r="J15" s="51"/>
      <c r="K15" s="51"/>
      <c r="L15" s="51"/>
      <c r="M15" s="51"/>
      <c r="N15" s="51"/>
      <c r="O15" s="51"/>
      <c r="P15" s="51"/>
      <c r="Q15" s="51"/>
      <c r="R15" s="52"/>
      <c r="S15" s="53"/>
      <c r="T15" s="54"/>
      <c r="U15" s="52"/>
      <c r="V15" s="55"/>
      <c r="W15" s="55"/>
      <c r="X15" s="52"/>
      <c r="Y15" s="52"/>
      <c r="Z15" s="56"/>
      <c r="AA15" s="55"/>
      <c r="AB15" s="55"/>
      <c r="AC15" s="55"/>
      <c r="AD15" s="55"/>
      <c r="AE15" s="55"/>
      <c r="AF15" s="55"/>
    </row>
    <row r="16" spans="1:32" s="57" customFormat="1" ht="15.75" hidden="1" customHeight="1">
      <c r="A16" s="17"/>
      <c r="B16" s="2"/>
      <c r="C16" s="51"/>
      <c r="D16" s="51"/>
      <c r="E16" s="51"/>
      <c r="F16" s="51"/>
      <c r="G16" s="51"/>
      <c r="H16" s="51"/>
      <c r="I16" s="51"/>
      <c r="J16" s="51"/>
      <c r="K16" s="51"/>
      <c r="L16" s="51"/>
      <c r="M16" s="51"/>
      <c r="N16" s="51"/>
      <c r="O16" s="51"/>
      <c r="P16" s="51"/>
      <c r="Q16" s="51"/>
      <c r="R16" s="52"/>
      <c r="S16" s="53"/>
      <c r="T16" s="54"/>
      <c r="U16" s="52"/>
      <c r="V16" s="55"/>
      <c r="W16" s="55"/>
      <c r="X16" s="52"/>
      <c r="Y16" s="52"/>
      <c r="Z16" s="56"/>
      <c r="AA16" s="55"/>
      <c r="AB16" s="55"/>
      <c r="AC16" s="55"/>
      <c r="AD16" s="55"/>
      <c r="AE16" s="55"/>
      <c r="AF16" s="55"/>
    </row>
    <row r="17" spans="1:32" s="57" customFormat="1" ht="15.75" hidden="1" customHeight="1">
      <c r="A17" s="17"/>
      <c r="B17" s="2"/>
      <c r="C17" s="51"/>
      <c r="D17" s="51"/>
      <c r="E17" s="51"/>
      <c r="F17" s="51"/>
      <c r="G17" s="51"/>
      <c r="H17" s="51"/>
      <c r="I17" s="51"/>
      <c r="J17" s="51"/>
      <c r="K17" s="51"/>
      <c r="L17" s="51"/>
      <c r="M17" s="51"/>
      <c r="N17" s="51"/>
      <c r="O17" s="51"/>
      <c r="P17" s="51"/>
      <c r="Q17" s="51"/>
      <c r="R17" s="52"/>
      <c r="S17" s="53"/>
      <c r="T17" s="54"/>
      <c r="U17" s="52"/>
      <c r="V17" s="55"/>
      <c r="W17" s="55"/>
      <c r="X17" s="52"/>
      <c r="Y17" s="52"/>
      <c r="Z17" s="56"/>
      <c r="AA17" s="55"/>
      <c r="AB17" s="55"/>
      <c r="AC17" s="55"/>
      <c r="AD17" s="55"/>
      <c r="AE17" s="55"/>
      <c r="AF17" s="55"/>
    </row>
    <row r="18" spans="1:32" s="57" customFormat="1" ht="15.75" hidden="1" customHeight="1">
      <c r="A18" s="2"/>
      <c r="B18" s="2"/>
      <c r="C18" s="51"/>
      <c r="D18" s="51"/>
      <c r="E18" s="51"/>
      <c r="F18" s="51"/>
      <c r="G18" s="51"/>
      <c r="H18" s="51"/>
      <c r="I18" s="51"/>
      <c r="J18" s="51"/>
      <c r="K18" s="51"/>
      <c r="L18" s="51"/>
      <c r="M18" s="51"/>
      <c r="N18" s="51"/>
      <c r="O18" s="51"/>
      <c r="P18" s="51"/>
      <c r="Q18" s="51"/>
      <c r="R18" s="55"/>
      <c r="S18" s="53"/>
      <c r="T18" s="54"/>
      <c r="U18" s="55"/>
      <c r="V18" s="55"/>
      <c r="W18" s="55"/>
      <c r="X18" s="55"/>
      <c r="Y18" s="55"/>
      <c r="Z18" s="56"/>
      <c r="AA18" s="55"/>
      <c r="AB18" s="58"/>
      <c r="AC18" s="55"/>
      <c r="AD18" s="55"/>
      <c r="AE18" s="55"/>
      <c r="AF18" s="55"/>
    </row>
    <row r="19" spans="1:32" s="57" customFormat="1" ht="15.75" hidden="1" customHeight="1">
      <c r="A19" s="17"/>
      <c r="B19" s="2"/>
      <c r="C19" s="51"/>
      <c r="D19" s="51"/>
      <c r="E19" s="51"/>
      <c r="F19" s="51"/>
      <c r="G19" s="51"/>
      <c r="H19" s="51"/>
      <c r="I19" s="51"/>
      <c r="J19" s="51"/>
      <c r="K19" s="51"/>
      <c r="L19" s="51"/>
      <c r="M19" s="51"/>
      <c r="N19" s="51"/>
      <c r="O19" s="51"/>
      <c r="P19" s="51"/>
      <c r="Q19" s="51"/>
      <c r="R19" s="52"/>
      <c r="S19" s="53"/>
      <c r="T19" s="54"/>
      <c r="U19" s="55"/>
      <c r="V19" s="55"/>
      <c r="W19" s="55"/>
      <c r="X19" s="52"/>
      <c r="Y19" s="52"/>
      <c r="Z19" s="56"/>
      <c r="AA19" s="55"/>
      <c r="AB19" s="55"/>
      <c r="AC19" s="55"/>
      <c r="AD19" s="55"/>
      <c r="AE19" s="55"/>
      <c r="AF19" s="55"/>
    </row>
    <row r="20" spans="1:32" s="57" customFormat="1" ht="15.75" hidden="1" customHeight="1">
      <c r="A20" s="17"/>
      <c r="B20" s="2"/>
      <c r="C20" s="51"/>
      <c r="D20" s="51"/>
      <c r="E20" s="51"/>
      <c r="F20" s="51"/>
      <c r="G20" s="51"/>
      <c r="H20" s="51"/>
      <c r="I20" s="51"/>
      <c r="J20" s="51"/>
      <c r="K20" s="51"/>
      <c r="L20" s="51"/>
      <c r="M20" s="51"/>
      <c r="N20" s="51"/>
      <c r="O20" s="51"/>
      <c r="P20" s="51"/>
      <c r="Q20" s="51"/>
      <c r="R20" s="52"/>
      <c r="S20" s="53"/>
      <c r="T20" s="54"/>
      <c r="U20" s="52"/>
      <c r="V20" s="55"/>
      <c r="W20" s="55"/>
      <c r="X20" s="52"/>
      <c r="Y20" s="52"/>
      <c r="Z20" s="56"/>
      <c r="AA20" s="55"/>
      <c r="AB20" s="55"/>
      <c r="AC20" s="55"/>
      <c r="AD20" s="55"/>
      <c r="AE20" s="55"/>
      <c r="AF20" s="55"/>
    </row>
    <row r="21" spans="1:32" s="57" customFormat="1" ht="15.75" hidden="1" customHeight="1">
      <c r="A21" s="17"/>
      <c r="B21" s="2"/>
      <c r="C21" s="51"/>
      <c r="D21" s="51"/>
      <c r="E21" s="51"/>
      <c r="F21" s="51"/>
      <c r="G21" s="51"/>
      <c r="H21" s="51"/>
      <c r="I21" s="51"/>
      <c r="J21" s="51"/>
      <c r="K21" s="51"/>
      <c r="L21" s="51"/>
      <c r="M21" s="51"/>
      <c r="N21" s="51"/>
      <c r="O21" s="51"/>
      <c r="P21" s="51"/>
      <c r="Q21" s="51"/>
      <c r="R21" s="52"/>
      <c r="S21" s="53"/>
      <c r="T21" s="54"/>
      <c r="U21" s="52"/>
      <c r="V21" s="55"/>
      <c r="W21" s="55"/>
      <c r="X21" s="52"/>
      <c r="Y21" s="52"/>
      <c r="Z21" s="56"/>
      <c r="AA21" s="55"/>
      <c r="AB21" s="55"/>
      <c r="AC21" s="55"/>
      <c r="AD21" s="55"/>
      <c r="AE21" s="55"/>
      <c r="AF21" s="55"/>
    </row>
    <row r="22" spans="1:32" s="57" customFormat="1" ht="15.75" hidden="1" customHeight="1">
      <c r="A22" s="17"/>
      <c r="B22" s="2"/>
      <c r="C22" s="51"/>
      <c r="D22" s="51"/>
      <c r="E22" s="51"/>
      <c r="F22" s="51"/>
      <c r="G22" s="51"/>
      <c r="H22" s="51"/>
      <c r="I22" s="51"/>
      <c r="J22" s="51"/>
      <c r="K22" s="51"/>
      <c r="L22" s="51"/>
      <c r="M22" s="51"/>
      <c r="N22" s="51"/>
      <c r="O22" s="51"/>
      <c r="P22" s="51"/>
      <c r="Q22" s="51"/>
      <c r="R22" s="52"/>
      <c r="S22" s="53"/>
      <c r="T22" s="54"/>
      <c r="U22" s="52"/>
      <c r="V22" s="55"/>
      <c r="W22" s="55"/>
      <c r="X22" s="52"/>
      <c r="Y22" s="52"/>
      <c r="Z22" s="56"/>
      <c r="AA22" s="55"/>
      <c r="AB22" s="55"/>
      <c r="AC22" s="55"/>
      <c r="AD22" s="55"/>
      <c r="AE22" s="55"/>
      <c r="AF22" s="55"/>
    </row>
    <row r="23" spans="1:32" s="57" customFormat="1" ht="15.75" hidden="1" customHeight="1">
      <c r="A23" s="17"/>
      <c r="B23" s="2"/>
      <c r="C23" s="51"/>
      <c r="D23" s="51"/>
      <c r="E23" s="51"/>
      <c r="F23" s="51"/>
      <c r="G23" s="51"/>
      <c r="H23" s="51"/>
      <c r="I23" s="51"/>
      <c r="J23" s="51"/>
      <c r="K23" s="51"/>
      <c r="L23" s="51"/>
      <c r="M23" s="51"/>
      <c r="N23" s="51"/>
      <c r="O23" s="51"/>
      <c r="P23" s="51"/>
      <c r="Q23" s="51"/>
      <c r="R23" s="52"/>
      <c r="S23" s="53"/>
      <c r="T23" s="54"/>
      <c r="U23" s="52"/>
      <c r="V23" s="55"/>
      <c r="W23" s="55"/>
      <c r="X23" s="52"/>
      <c r="Y23" s="52"/>
      <c r="Z23" s="56"/>
      <c r="AA23" s="55"/>
      <c r="AB23" s="55"/>
      <c r="AC23" s="55"/>
      <c r="AD23" s="55"/>
      <c r="AE23" s="55"/>
      <c r="AF23" s="55"/>
    </row>
    <row r="24" spans="1:32" s="57" customFormat="1" ht="15.75" hidden="1" customHeight="1">
      <c r="A24" s="17"/>
      <c r="B24" s="2"/>
      <c r="C24" s="51"/>
      <c r="D24" s="51"/>
      <c r="E24" s="51"/>
      <c r="F24" s="51"/>
      <c r="G24" s="51"/>
      <c r="H24" s="51"/>
      <c r="I24" s="51"/>
      <c r="J24" s="51"/>
      <c r="K24" s="51"/>
      <c r="L24" s="51"/>
      <c r="M24" s="51"/>
      <c r="N24" s="51"/>
      <c r="O24" s="51"/>
      <c r="P24" s="51"/>
      <c r="Q24" s="51"/>
      <c r="R24" s="52"/>
      <c r="S24" s="53"/>
      <c r="T24" s="54"/>
      <c r="U24" s="52"/>
      <c r="V24" s="55"/>
      <c r="W24" s="55"/>
      <c r="X24" s="52"/>
      <c r="Y24" s="52"/>
      <c r="Z24" s="56"/>
      <c r="AA24" s="55"/>
      <c r="AB24" s="55"/>
      <c r="AC24" s="55"/>
      <c r="AD24" s="55"/>
      <c r="AE24" s="55"/>
      <c r="AF24" s="55"/>
    </row>
    <row r="25" spans="1:32" s="57" customFormat="1" ht="15.75" hidden="1" customHeight="1">
      <c r="A25" s="17"/>
      <c r="B25" s="2"/>
      <c r="C25" s="51"/>
      <c r="D25" s="51"/>
      <c r="E25" s="51"/>
      <c r="F25" s="51"/>
      <c r="G25" s="51"/>
      <c r="H25" s="51"/>
      <c r="I25" s="51"/>
      <c r="J25" s="51"/>
      <c r="K25" s="51"/>
      <c r="L25" s="51"/>
      <c r="M25" s="51"/>
      <c r="N25" s="51"/>
      <c r="O25" s="51"/>
      <c r="P25" s="51"/>
      <c r="Q25" s="51"/>
      <c r="R25" s="52"/>
      <c r="S25" s="53"/>
      <c r="T25" s="54"/>
      <c r="U25" s="52"/>
      <c r="V25" s="55"/>
      <c r="W25" s="55"/>
      <c r="X25" s="52"/>
      <c r="Y25" s="52"/>
      <c r="Z25" s="56"/>
      <c r="AA25" s="55"/>
      <c r="AB25" s="55"/>
      <c r="AC25" s="55"/>
      <c r="AD25" s="55"/>
      <c r="AE25" s="55"/>
      <c r="AF25" s="55"/>
    </row>
    <row r="26" spans="1:32" s="57" customFormat="1" ht="15.75" hidden="1" customHeight="1">
      <c r="A26" s="17"/>
      <c r="B26" s="2"/>
      <c r="C26" s="51"/>
      <c r="D26" s="51"/>
      <c r="E26" s="51"/>
      <c r="F26" s="51"/>
      <c r="G26" s="51"/>
      <c r="H26" s="51"/>
      <c r="I26" s="51"/>
      <c r="J26" s="51"/>
      <c r="K26" s="51"/>
      <c r="L26" s="51"/>
      <c r="M26" s="51"/>
      <c r="N26" s="51"/>
      <c r="O26" s="51"/>
      <c r="P26" s="51"/>
      <c r="Q26" s="51"/>
      <c r="R26" s="52"/>
      <c r="S26" s="53"/>
      <c r="T26" s="54"/>
      <c r="U26" s="52"/>
      <c r="V26" s="55"/>
      <c r="W26" s="55"/>
      <c r="X26" s="52"/>
      <c r="Y26" s="52"/>
      <c r="Z26" s="56"/>
      <c r="AA26" s="55"/>
      <c r="AB26" s="55"/>
      <c r="AC26" s="55"/>
      <c r="AD26" s="55"/>
      <c r="AE26" s="55"/>
      <c r="AF26" s="55"/>
    </row>
    <row r="27" spans="1:32" s="57" customFormat="1" ht="15.75" hidden="1" customHeight="1">
      <c r="A27" s="17"/>
      <c r="B27" s="2"/>
      <c r="C27" s="51"/>
      <c r="D27" s="51"/>
      <c r="E27" s="51"/>
      <c r="F27" s="51"/>
      <c r="G27" s="51"/>
      <c r="H27" s="51"/>
      <c r="I27" s="51"/>
      <c r="J27" s="51"/>
      <c r="K27" s="51"/>
      <c r="L27" s="51"/>
      <c r="M27" s="51"/>
      <c r="N27" s="51"/>
      <c r="O27" s="51"/>
      <c r="P27" s="51"/>
      <c r="Q27" s="51"/>
      <c r="R27" s="52"/>
      <c r="S27" s="53"/>
      <c r="T27" s="54"/>
      <c r="U27" s="52"/>
      <c r="V27" s="55"/>
      <c r="W27" s="55"/>
      <c r="X27" s="52"/>
      <c r="Y27" s="52"/>
      <c r="Z27" s="56"/>
      <c r="AA27" s="55"/>
      <c r="AB27" s="55"/>
      <c r="AC27" s="55"/>
      <c r="AD27" s="55"/>
      <c r="AE27" s="55"/>
      <c r="AF27" s="55"/>
    </row>
    <row r="28" spans="1:32" s="57" customFormat="1" ht="15.75" hidden="1" customHeight="1">
      <c r="A28" s="17"/>
      <c r="B28" s="2"/>
      <c r="C28" s="51"/>
      <c r="D28" s="51"/>
      <c r="E28" s="51"/>
      <c r="F28" s="51"/>
      <c r="G28" s="51"/>
      <c r="H28" s="51"/>
      <c r="I28" s="51"/>
      <c r="J28" s="51"/>
      <c r="K28" s="51"/>
      <c r="L28" s="51"/>
      <c r="M28" s="51"/>
      <c r="N28" s="51"/>
      <c r="O28" s="51"/>
      <c r="P28" s="51"/>
      <c r="Q28" s="51"/>
      <c r="R28" s="52"/>
      <c r="S28" s="53"/>
      <c r="T28" s="54"/>
      <c r="U28" s="52"/>
      <c r="V28" s="55"/>
      <c r="W28" s="55"/>
      <c r="X28" s="52"/>
      <c r="Y28" s="52"/>
      <c r="Z28" s="56"/>
      <c r="AA28" s="55"/>
      <c r="AB28" s="55"/>
      <c r="AC28" s="55"/>
      <c r="AD28" s="55"/>
      <c r="AE28" s="55"/>
      <c r="AF28" s="55"/>
    </row>
    <row r="29" spans="1:32" s="57" customFormat="1" ht="15.75" hidden="1" customHeight="1">
      <c r="A29" s="17"/>
      <c r="B29" s="2"/>
      <c r="C29" s="51"/>
      <c r="D29" s="51"/>
      <c r="E29" s="51"/>
      <c r="F29" s="51"/>
      <c r="G29" s="51"/>
      <c r="H29" s="51"/>
      <c r="I29" s="51"/>
      <c r="J29" s="51"/>
      <c r="K29" s="51"/>
      <c r="L29" s="51"/>
      <c r="M29" s="51"/>
      <c r="N29" s="51"/>
      <c r="O29" s="51"/>
      <c r="P29" s="51"/>
      <c r="Q29" s="51"/>
      <c r="R29" s="52"/>
      <c r="S29" s="53"/>
      <c r="T29" s="54"/>
      <c r="U29" s="52"/>
      <c r="V29" s="55"/>
      <c r="W29" s="55"/>
      <c r="X29" s="52"/>
      <c r="Y29" s="52"/>
      <c r="Z29" s="56"/>
      <c r="AA29" s="55"/>
      <c r="AB29" s="55"/>
      <c r="AC29" s="55"/>
      <c r="AD29" s="55"/>
      <c r="AE29" s="55"/>
      <c r="AF29" s="55"/>
    </row>
    <row r="30" spans="1:32" s="57" customFormat="1" ht="15.75" hidden="1" customHeight="1">
      <c r="A30" s="17"/>
      <c r="B30" s="2"/>
      <c r="C30" s="51"/>
      <c r="D30" s="51"/>
      <c r="E30" s="51"/>
      <c r="F30" s="51"/>
      <c r="G30" s="51"/>
      <c r="H30" s="51"/>
      <c r="I30" s="51"/>
      <c r="J30" s="51"/>
      <c r="K30" s="51"/>
      <c r="L30" s="51"/>
      <c r="M30" s="51"/>
      <c r="N30" s="51"/>
      <c r="O30" s="51"/>
      <c r="P30" s="51"/>
      <c r="Q30" s="51"/>
      <c r="R30" s="52"/>
      <c r="S30" s="53"/>
      <c r="T30" s="54"/>
      <c r="U30" s="52"/>
      <c r="V30" s="55"/>
      <c r="W30" s="55"/>
      <c r="X30" s="52"/>
      <c r="Y30" s="52"/>
      <c r="Z30" s="56"/>
      <c r="AA30" s="55"/>
      <c r="AB30" s="55"/>
      <c r="AC30" s="55"/>
      <c r="AD30" s="55"/>
      <c r="AE30" s="55"/>
      <c r="AF30" s="55"/>
    </row>
    <row r="31" spans="1:32" s="57" customFormat="1" ht="15.75" hidden="1" customHeight="1">
      <c r="A31" s="17"/>
      <c r="B31" s="2"/>
      <c r="C31" s="51"/>
      <c r="D31" s="51"/>
      <c r="E31" s="51"/>
      <c r="F31" s="51"/>
      <c r="G31" s="51"/>
      <c r="H31" s="51"/>
      <c r="I31" s="51"/>
      <c r="J31" s="51"/>
      <c r="K31" s="51"/>
      <c r="L31" s="51"/>
      <c r="M31" s="51"/>
      <c r="N31" s="51"/>
      <c r="O31" s="51"/>
      <c r="P31" s="51"/>
      <c r="Q31" s="51"/>
      <c r="R31" s="52"/>
      <c r="S31" s="53"/>
      <c r="T31" s="54"/>
      <c r="U31" s="52"/>
      <c r="V31" s="55"/>
      <c r="W31" s="55"/>
      <c r="X31" s="52"/>
      <c r="Y31" s="52"/>
      <c r="Z31" s="56"/>
      <c r="AA31" s="55"/>
      <c r="AB31" s="55"/>
      <c r="AC31" s="55"/>
      <c r="AD31" s="55"/>
      <c r="AE31" s="55"/>
      <c r="AF31" s="55"/>
    </row>
    <row r="32" spans="1:32" s="57" customFormat="1" ht="15.75" hidden="1" customHeight="1">
      <c r="A32" s="17"/>
      <c r="B32" s="2"/>
      <c r="C32" s="51"/>
      <c r="D32" s="51"/>
      <c r="E32" s="51"/>
      <c r="F32" s="51"/>
      <c r="G32" s="51"/>
      <c r="H32" s="51"/>
      <c r="I32" s="51"/>
      <c r="J32" s="51"/>
      <c r="K32" s="51"/>
      <c r="L32" s="51"/>
      <c r="M32" s="51"/>
      <c r="N32" s="51"/>
      <c r="O32" s="51"/>
      <c r="P32" s="51"/>
      <c r="Q32" s="51"/>
      <c r="R32" s="52"/>
      <c r="S32" s="53"/>
      <c r="T32" s="54"/>
      <c r="U32" s="52"/>
      <c r="V32" s="55"/>
      <c r="W32" s="55"/>
      <c r="X32" s="52"/>
      <c r="Y32" s="52"/>
      <c r="Z32" s="56"/>
      <c r="AA32" s="55"/>
      <c r="AB32" s="55"/>
      <c r="AC32" s="55"/>
      <c r="AD32" s="55"/>
      <c r="AE32" s="55"/>
      <c r="AF32" s="52"/>
    </row>
    <row r="33" spans="1:32" s="57" customFormat="1" ht="15.75" hidden="1" customHeight="1">
      <c r="A33" s="17"/>
      <c r="B33" s="2"/>
      <c r="C33" s="51"/>
      <c r="D33" s="51"/>
      <c r="E33" s="51"/>
      <c r="F33" s="51"/>
      <c r="G33" s="51"/>
      <c r="H33" s="51"/>
      <c r="I33" s="51"/>
      <c r="J33" s="51"/>
      <c r="K33" s="51"/>
      <c r="L33" s="51"/>
      <c r="M33" s="51"/>
      <c r="N33" s="51"/>
      <c r="O33" s="51"/>
      <c r="P33" s="51"/>
      <c r="Q33" s="51"/>
      <c r="R33" s="52"/>
      <c r="S33" s="53"/>
      <c r="T33" s="54"/>
      <c r="U33" s="52"/>
      <c r="V33" s="55"/>
      <c r="W33" s="55"/>
      <c r="X33" s="52"/>
      <c r="Y33" s="52"/>
      <c r="Z33" s="56"/>
      <c r="AA33" s="55"/>
      <c r="AB33" s="55"/>
      <c r="AC33" s="55"/>
      <c r="AD33" s="55"/>
      <c r="AE33" s="55"/>
      <c r="AF33" s="55"/>
    </row>
    <row r="34" spans="1:32" s="57" customFormat="1" ht="15.75" hidden="1" customHeight="1">
      <c r="A34" s="17"/>
      <c r="B34" s="2"/>
      <c r="C34" s="51"/>
      <c r="D34" s="51"/>
      <c r="E34" s="51"/>
      <c r="F34" s="51"/>
      <c r="G34" s="51"/>
      <c r="H34" s="51"/>
      <c r="I34" s="51"/>
      <c r="J34" s="51"/>
      <c r="K34" s="51"/>
      <c r="L34" s="51"/>
      <c r="M34" s="51"/>
      <c r="N34" s="51"/>
      <c r="O34" s="51"/>
      <c r="P34" s="51"/>
      <c r="Q34" s="51"/>
      <c r="R34" s="55"/>
      <c r="S34" s="53"/>
      <c r="T34" s="54"/>
      <c r="U34" s="52"/>
      <c r="V34" s="55"/>
      <c r="W34" s="55"/>
      <c r="X34" s="52"/>
      <c r="Y34" s="52"/>
      <c r="Z34" s="56"/>
      <c r="AA34" s="55"/>
      <c r="AB34" s="55"/>
      <c r="AC34" s="55"/>
      <c r="AD34" s="55"/>
      <c r="AE34" s="55"/>
      <c r="AF34" s="55"/>
    </row>
    <row r="35" spans="1:32" s="57" customFormat="1" ht="15.75" hidden="1" customHeight="1">
      <c r="A35" s="17"/>
      <c r="B35" s="2"/>
      <c r="C35" s="51"/>
      <c r="D35" s="51"/>
      <c r="E35" s="51"/>
      <c r="F35" s="51"/>
      <c r="G35" s="51"/>
      <c r="H35" s="51"/>
      <c r="I35" s="51"/>
      <c r="J35" s="51"/>
      <c r="K35" s="51"/>
      <c r="L35" s="51"/>
      <c r="M35" s="51"/>
      <c r="N35" s="51"/>
      <c r="O35" s="51"/>
      <c r="P35" s="51"/>
      <c r="Q35" s="51"/>
      <c r="R35" s="55"/>
      <c r="S35" s="53"/>
      <c r="T35" s="54"/>
      <c r="U35" s="52"/>
      <c r="V35" s="55"/>
      <c r="W35" s="55"/>
      <c r="X35" s="52"/>
      <c r="Y35" s="52"/>
      <c r="Z35" s="56"/>
      <c r="AA35" s="55"/>
      <c r="AB35" s="55"/>
      <c r="AC35" s="55"/>
      <c r="AD35" s="55"/>
      <c r="AE35" s="55"/>
      <c r="AF35" s="55"/>
    </row>
    <row r="36" spans="1:32" s="57" customFormat="1" ht="15.75" hidden="1" customHeight="1">
      <c r="A36" s="17"/>
      <c r="B36" s="2"/>
      <c r="C36" s="51"/>
      <c r="D36" s="51"/>
      <c r="E36" s="51"/>
      <c r="F36" s="51"/>
      <c r="G36" s="51"/>
      <c r="H36" s="51"/>
      <c r="I36" s="51"/>
      <c r="J36" s="51"/>
      <c r="K36" s="51"/>
      <c r="L36" s="51"/>
      <c r="M36" s="51"/>
      <c r="N36" s="51"/>
      <c r="O36" s="51"/>
      <c r="P36" s="51"/>
      <c r="Q36" s="51"/>
      <c r="R36" s="55"/>
      <c r="S36" s="53"/>
      <c r="T36" s="54"/>
      <c r="U36" s="55"/>
      <c r="V36" s="55"/>
      <c r="W36" s="55"/>
      <c r="X36" s="55"/>
      <c r="Y36" s="52"/>
      <c r="Z36" s="56"/>
      <c r="AA36" s="55"/>
      <c r="AB36" s="55"/>
      <c r="AC36" s="55"/>
      <c r="AD36" s="55"/>
      <c r="AE36" s="55"/>
      <c r="AF36" s="55"/>
    </row>
    <row r="37" spans="1:32" s="57" customFormat="1" ht="15.75" hidden="1" customHeight="1">
      <c r="A37" s="17"/>
      <c r="B37" s="2"/>
      <c r="C37" s="51"/>
      <c r="D37" s="51"/>
      <c r="E37" s="51"/>
      <c r="F37" s="51"/>
      <c r="G37" s="51"/>
      <c r="H37" s="51"/>
      <c r="I37" s="51"/>
      <c r="J37" s="51"/>
      <c r="K37" s="51"/>
      <c r="L37" s="51"/>
      <c r="M37" s="51"/>
      <c r="N37" s="51"/>
      <c r="O37" s="51"/>
      <c r="P37" s="51"/>
      <c r="Q37" s="51"/>
      <c r="R37" s="55"/>
      <c r="S37" s="53"/>
      <c r="T37" s="54"/>
      <c r="U37" s="52"/>
      <c r="V37" s="55"/>
      <c r="W37" s="55"/>
      <c r="X37" s="52"/>
      <c r="Y37" s="52"/>
      <c r="Z37" s="56"/>
      <c r="AA37" s="55"/>
      <c r="AB37" s="55"/>
      <c r="AC37" s="55"/>
      <c r="AD37" s="55"/>
      <c r="AE37" s="55"/>
      <c r="AF37" s="55"/>
    </row>
    <row r="38" spans="1:32" s="57" customFormat="1" ht="15.75" hidden="1" customHeight="1">
      <c r="A38" s="17"/>
      <c r="B38" s="2"/>
      <c r="C38" s="51"/>
      <c r="D38" s="51"/>
      <c r="E38" s="51"/>
      <c r="F38" s="51"/>
      <c r="G38" s="51"/>
      <c r="H38" s="51"/>
      <c r="I38" s="51"/>
      <c r="J38" s="51"/>
      <c r="K38" s="51"/>
      <c r="L38" s="51"/>
      <c r="M38" s="51"/>
      <c r="N38" s="51"/>
      <c r="O38" s="51"/>
      <c r="P38" s="51"/>
      <c r="Q38" s="51"/>
      <c r="R38" s="52"/>
      <c r="S38" s="53"/>
      <c r="T38" s="54"/>
      <c r="U38" s="52"/>
      <c r="V38" s="55"/>
      <c r="W38" s="55"/>
      <c r="X38" s="52"/>
      <c r="Y38" s="52"/>
      <c r="Z38" s="56"/>
      <c r="AA38" s="55"/>
      <c r="AB38" s="55"/>
      <c r="AC38" s="55"/>
      <c r="AD38" s="55"/>
      <c r="AE38" s="55"/>
      <c r="AF38" s="55"/>
    </row>
    <row r="39" spans="1:32" s="57" customFormat="1" ht="15.75" hidden="1" customHeight="1">
      <c r="A39" s="17"/>
      <c r="B39" s="2"/>
      <c r="C39" s="51"/>
      <c r="D39" s="51"/>
      <c r="E39" s="51"/>
      <c r="F39" s="51"/>
      <c r="G39" s="51"/>
      <c r="H39" s="51"/>
      <c r="I39" s="51"/>
      <c r="J39" s="51"/>
      <c r="K39" s="51"/>
      <c r="L39" s="51"/>
      <c r="M39" s="51"/>
      <c r="N39" s="51"/>
      <c r="O39" s="51"/>
      <c r="P39" s="51"/>
      <c r="Q39" s="51"/>
      <c r="R39" s="55"/>
      <c r="S39" s="53"/>
      <c r="T39" s="54"/>
      <c r="U39" s="52"/>
      <c r="V39" s="55"/>
      <c r="W39" s="55"/>
      <c r="X39" s="52"/>
      <c r="Y39" s="52"/>
      <c r="Z39" s="56"/>
      <c r="AA39" s="52"/>
      <c r="AB39" s="55"/>
      <c r="AC39" s="55"/>
      <c r="AD39" s="55"/>
      <c r="AE39" s="55"/>
      <c r="AF39" s="55"/>
    </row>
    <row r="40" spans="1:32" s="57" customFormat="1" ht="15.75" hidden="1" customHeight="1">
      <c r="A40" s="17"/>
      <c r="B40" s="2"/>
      <c r="C40" s="51"/>
      <c r="D40" s="51"/>
      <c r="E40" s="51"/>
      <c r="F40" s="51"/>
      <c r="G40" s="51"/>
      <c r="H40" s="51"/>
      <c r="I40" s="51"/>
      <c r="J40" s="51"/>
      <c r="K40" s="51"/>
      <c r="L40" s="51"/>
      <c r="M40" s="51"/>
      <c r="N40" s="51"/>
      <c r="O40" s="51"/>
      <c r="P40" s="51"/>
      <c r="Q40" s="51"/>
      <c r="R40" s="55"/>
      <c r="S40" s="53"/>
      <c r="T40" s="54"/>
      <c r="U40" s="52"/>
      <c r="V40" s="55"/>
      <c r="W40" s="55"/>
      <c r="X40" s="52"/>
      <c r="Y40" s="52"/>
      <c r="Z40" s="56"/>
      <c r="AA40" s="55"/>
      <c r="AB40" s="55"/>
      <c r="AC40" s="55"/>
      <c r="AD40" s="55"/>
      <c r="AE40" s="55"/>
      <c r="AF40" s="55"/>
    </row>
    <row r="41" spans="1:32" s="57" customFormat="1" ht="15.75" hidden="1" customHeight="1">
      <c r="A41" s="17"/>
      <c r="B41" s="2"/>
      <c r="C41" s="51"/>
      <c r="D41" s="51"/>
      <c r="E41" s="51"/>
      <c r="F41" s="51"/>
      <c r="G41" s="51"/>
      <c r="H41" s="51"/>
      <c r="I41" s="51"/>
      <c r="J41" s="51"/>
      <c r="K41" s="51"/>
      <c r="L41" s="51"/>
      <c r="M41" s="51"/>
      <c r="N41" s="51"/>
      <c r="O41" s="51"/>
      <c r="P41" s="51"/>
      <c r="Q41" s="51"/>
      <c r="R41" s="55"/>
      <c r="S41" s="53"/>
      <c r="T41" s="54"/>
      <c r="U41" s="52"/>
      <c r="V41" s="55"/>
      <c r="W41" s="55"/>
      <c r="X41" s="52"/>
      <c r="Y41" s="52"/>
      <c r="Z41" s="56"/>
      <c r="AA41" s="55"/>
      <c r="AB41" s="55"/>
      <c r="AC41" s="55"/>
      <c r="AD41" s="55"/>
      <c r="AE41" s="55"/>
      <c r="AF41" s="55"/>
    </row>
    <row r="42" spans="1:32" s="57" customFormat="1" ht="15.75" hidden="1" customHeight="1">
      <c r="A42" s="17"/>
      <c r="B42" s="2"/>
      <c r="C42" s="51"/>
      <c r="D42" s="51"/>
      <c r="E42" s="51"/>
      <c r="F42" s="51"/>
      <c r="G42" s="51"/>
      <c r="H42" s="51"/>
      <c r="I42" s="51"/>
      <c r="J42" s="51"/>
      <c r="K42" s="51"/>
      <c r="L42" s="51"/>
      <c r="M42" s="51"/>
      <c r="N42" s="51"/>
      <c r="O42" s="51"/>
      <c r="P42" s="51"/>
      <c r="Q42" s="51"/>
      <c r="R42" s="55"/>
      <c r="S42" s="53"/>
      <c r="T42" s="54"/>
      <c r="U42" s="52"/>
      <c r="V42" s="55"/>
      <c r="W42" s="55"/>
      <c r="X42" s="52"/>
      <c r="Y42" s="52"/>
      <c r="Z42" s="56"/>
      <c r="AA42" s="55"/>
      <c r="AB42" s="55"/>
      <c r="AC42" s="55"/>
      <c r="AD42" s="55"/>
      <c r="AE42" s="55"/>
      <c r="AF42" s="55"/>
    </row>
    <row r="43" spans="1:32" s="57" customFormat="1" ht="15.75" hidden="1" customHeight="1">
      <c r="A43" s="17"/>
      <c r="B43" s="2"/>
      <c r="C43" s="51"/>
      <c r="D43" s="51"/>
      <c r="E43" s="51"/>
      <c r="F43" s="51"/>
      <c r="G43" s="51"/>
      <c r="H43" s="51"/>
      <c r="I43" s="51"/>
      <c r="J43" s="51"/>
      <c r="K43" s="51"/>
      <c r="L43" s="51"/>
      <c r="M43" s="51"/>
      <c r="N43" s="51"/>
      <c r="O43" s="51"/>
      <c r="P43" s="51"/>
      <c r="Q43" s="51"/>
      <c r="R43" s="55"/>
      <c r="S43" s="53"/>
      <c r="T43" s="54"/>
      <c r="U43" s="52"/>
      <c r="V43" s="55"/>
      <c r="W43" s="55"/>
      <c r="X43" s="52"/>
      <c r="Y43" s="52"/>
      <c r="Z43" s="56"/>
      <c r="AA43" s="55"/>
      <c r="AB43" s="55"/>
      <c r="AC43" s="55"/>
      <c r="AD43" s="55"/>
      <c r="AE43" s="55"/>
      <c r="AF43" s="55"/>
    </row>
    <row r="44" spans="1:32" s="57" customFormat="1" ht="15.75" hidden="1" customHeight="1">
      <c r="A44" s="17"/>
      <c r="B44" s="2"/>
      <c r="C44" s="51"/>
      <c r="D44" s="51"/>
      <c r="E44" s="51"/>
      <c r="F44" s="51"/>
      <c r="G44" s="51"/>
      <c r="H44" s="51"/>
      <c r="I44" s="51"/>
      <c r="J44" s="51"/>
      <c r="K44" s="51"/>
      <c r="L44" s="51"/>
      <c r="M44" s="51"/>
      <c r="N44" s="51"/>
      <c r="O44" s="51"/>
      <c r="P44" s="51"/>
      <c r="Q44" s="51"/>
      <c r="R44" s="55"/>
      <c r="S44" s="53"/>
      <c r="T44" s="54"/>
      <c r="U44" s="52"/>
      <c r="V44" s="55"/>
      <c r="W44" s="55"/>
      <c r="X44" s="52"/>
      <c r="Y44" s="52"/>
      <c r="Z44" s="56"/>
      <c r="AA44" s="55"/>
      <c r="AB44" s="55"/>
      <c r="AC44" s="55"/>
      <c r="AD44" s="55"/>
      <c r="AE44" s="55"/>
      <c r="AF44" s="55"/>
    </row>
    <row r="45" spans="1:32" s="57" customFormat="1" ht="15.75" hidden="1" customHeight="1">
      <c r="A45" s="17"/>
      <c r="B45" s="2"/>
      <c r="C45" s="51"/>
      <c r="D45" s="51"/>
      <c r="E45" s="51"/>
      <c r="F45" s="51"/>
      <c r="G45" s="51"/>
      <c r="H45" s="51"/>
      <c r="I45" s="51"/>
      <c r="J45" s="51"/>
      <c r="K45" s="51"/>
      <c r="L45" s="51"/>
      <c r="M45" s="51"/>
      <c r="N45" s="51"/>
      <c r="O45" s="51"/>
      <c r="P45" s="51"/>
      <c r="Q45" s="51"/>
      <c r="R45" s="55"/>
      <c r="S45" s="53"/>
      <c r="T45" s="54"/>
      <c r="U45" s="52"/>
      <c r="V45" s="55"/>
      <c r="W45" s="55"/>
      <c r="X45" s="52"/>
      <c r="Y45" s="52"/>
      <c r="Z45" s="56"/>
      <c r="AA45" s="55"/>
      <c r="AB45" s="55"/>
      <c r="AC45" s="55"/>
      <c r="AD45" s="55"/>
      <c r="AE45" s="55"/>
      <c r="AF45" s="55"/>
    </row>
    <row r="46" spans="1:32" s="57" customFormat="1" ht="15.75" hidden="1" customHeight="1">
      <c r="A46" s="17"/>
      <c r="B46" s="2"/>
      <c r="C46" s="51"/>
      <c r="D46" s="51"/>
      <c r="E46" s="51"/>
      <c r="F46" s="51"/>
      <c r="G46" s="51"/>
      <c r="H46" s="51"/>
      <c r="I46" s="51"/>
      <c r="J46" s="51"/>
      <c r="K46" s="51"/>
      <c r="L46" s="51"/>
      <c r="M46" s="51"/>
      <c r="N46" s="51"/>
      <c r="O46" s="51"/>
      <c r="P46" s="51"/>
      <c r="Q46" s="51"/>
      <c r="R46" s="55"/>
      <c r="S46" s="53"/>
      <c r="T46" s="54"/>
      <c r="U46" s="52"/>
      <c r="V46" s="55"/>
      <c r="W46" s="55"/>
      <c r="X46" s="52"/>
      <c r="Y46" s="52"/>
      <c r="Z46" s="56"/>
      <c r="AA46" s="55"/>
      <c r="AB46" s="55"/>
      <c r="AC46" s="55"/>
      <c r="AD46" s="55"/>
      <c r="AE46" s="55"/>
      <c r="AF46" s="55"/>
    </row>
    <row r="47" spans="1:32" s="57" customFormat="1" ht="15.75" hidden="1" customHeight="1">
      <c r="A47" s="17"/>
      <c r="B47" s="2"/>
      <c r="C47" s="51"/>
      <c r="D47" s="51"/>
      <c r="E47" s="51"/>
      <c r="F47" s="51"/>
      <c r="G47" s="51"/>
      <c r="H47" s="51"/>
      <c r="I47" s="51"/>
      <c r="J47" s="51"/>
      <c r="K47" s="51"/>
      <c r="L47" s="51"/>
      <c r="M47" s="51"/>
      <c r="N47" s="51"/>
      <c r="O47" s="51"/>
      <c r="P47" s="51"/>
      <c r="Q47" s="51"/>
      <c r="R47" s="55"/>
      <c r="S47" s="53"/>
      <c r="T47" s="54"/>
      <c r="U47" s="52"/>
      <c r="V47" s="55"/>
      <c r="W47" s="55"/>
      <c r="X47" s="52"/>
      <c r="Y47" s="52"/>
      <c r="Z47" s="56"/>
      <c r="AA47" s="55"/>
      <c r="AB47" s="55"/>
      <c r="AC47" s="55"/>
      <c r="AD47" s="55"/>
      <c r="AE47" s="55"/>
      <c r="AF47" s="55"/>
    </row>
    <row r="48" spans="1:32" s="57" customFormat="1" ht="15.75" hidden="1" customHeight="1">
      <c r="A48" s="17"/>
      <c r="B48" s="2"/>
      <c r="C48" s="51"/>
      <c r="D48" s="51"/>
      <c r="E48" s="51"/>
      <c r="F48" s="51"/>
      <c r="G48" s="51"/>
      <c r="H48" s="51"/>
      <c r="I48" s="51"/>
      <c r="J48" s="51"/>
      <c r="K48" s="51"/>
      <c r="L48" s="51"/>
      <c r="M48" s="51"/>
      <c r="N48" s="51"/>
      <c r="O48" s="51"/>
      <c r="P48" s="51"/>
      <c r="Q48" s="51"/>
      <c r="R48" s="55"/>
      <c r="S48" s="53"/>
      <c r="T48" s="54"/>
      <c r="U48" s="52"/>
      <c r="V48" s="55"/>
      <c r="W48" s="55"/>
      <c r="X48" s="52"/>
      <c r="Y48" s="52"/>
      <c r="Z48" s="56"/>
      <c r="AA48" s="55"/>
      <c r="AB48" s="55"/>
      <c r="AC48" s="55"/>
      <c r="AD48" s="55"/>
      <c r="AE48" s="55"/>
      <c r="AF48" s="55"/>
    </row>
    <row r="49" spans="1:32" s="57" customFormat="1" ht="15.75" hidden="1" customHeight="1">
      <c r="A49" s="17"/>
      <c r="B49" s="2"/>
      <c r="C49" s="51"/>
      <c r="D49" s="51"/>
      <c r="E49" s="51"/>
      <c r="F49" s="51"/>
      <c r="G49" s="51"/>
      <c r="H49" s="51"/>
      <c r="I49" s="51"/>
      <c r="J49" s="51"/>
      <c r="K49" s="51"/>
      <c r="L49" s="51"/>
      <c r="M49" s="51"/>
      <c r="N49" s="51"/>
      <c r="O49" s="51"/>
      <c r="P49" s="51"/>
      <c r="Q49" s="51"/>
      <c r="R49" s="55"/>
      <c r="S49" s="53"/>
      <c r="T49" s="54"/>
      <c r="U49" s="52"/>
      <c r="V49" s="55"/>
      <c r="W49" s="55"/>
      <c r="X49" s="52"/>
      <c r="Y49" s="52"/>
      <c r="Z49" s="56"/>
      <c r="AA49" s="55"/>
      <c r="AB49" s="55"/>
      <c r="AC49" s="55"/>
      <c r="AD49" s="55"/>
      <c r="AE49" s="55"/>
      <c r="AF49" s="55"/>
    </row>
    <row r="50" spans="1:32" s="57" customFormat="1" ht="15.75" hidden="1" customHeight="1">
      <c r="A50" s="2"/>
      <c r="B50" s="2"/>
      <c r="C50" s="51"/>
      <c r="D50" s="51"/>
      <c r="E50" s="51"/>
      <c r="F50" s="51"/>
      <c r="G50" s="51"/>
      <c r="H50" s="51"/>
      <c r="I50" s="51"/>
      <c r="J50" s="51"/>
      <c r="K50" s="51"/>
      <c r="L50" s="51"/>
      <c r="M50" s="51"/>
      <c r="N50" s="51"/>
      <c r="O50" s="51"/>
      <c r="P50" s="51"/>
      <c r="Q50" s="51"/>
      <c r="R50" s="55"/>
      <c r="S50" s="53"/>
      <c r="T50" s="54"/>
      <c r="U50" s="55"/>
      <c r="V50" s="55"/>
      <c r="W50" s="55"/>
      <c r="X50" s="55"/>
      <c r="Y50" s="55"/>
      <c r="Z50" s="56"/>
      <c r="AA50" s="55"/>
      <c r="AB50" s="55"/>
      <c r="AC50" s="55"/>
      <c r="AD50" s="55"/>
      <c r="AE50" s="55"/>
      <c r="AF50" s="55"/>
    </row>
    <row r="51" spans="1:32" s="57" customFormat="1" ht="15.75" hidden="1" customHeight="1">
      <c r="A51" s="2"/>
      <c r="B51" s="2"/>
      <c r="C51" s="51"/>
      <c r="D51" s="51"/>
      <c r="E51" s="51"/>
      <c r="F51" s="51"/>
      <c r="G51" s="51"/>
      <c r="H51" s="51"/>
      <c r="I51" s="51"/>
      <c r="J51" s="51"/>
      <c r="K51" s="51"/>
      <c r="L51" s="51"/>
      <c r="M51" s="51"/>
      <c r="N51" s="51"/>
      <c r="O51" s="51"/>
      <c r="P51" s="51"/>
      <c r="Q51" s="51"/>
      <c r="R51" s="55"/>
      <c r="S51" s="53"/>
      <c r="T51" s="54"/>
      <c r="U51" s="55"/>
      <c r="V51" s="55"/>
      <c r="W51" s="55"/>
      <c r="X51" s="55"/>
      <c r="Y51" s="55"/>
      <c r="Z51" s="56"/>
      <c r="AA51" s="55"/>
      <c r="AB51" s="55"/>
      <c r="AC51" s="55"/>
      <c r="AD51" s="55"/>
      <c r="AE51" s="55"/>
      <c r="AF51" s="55"/>
    </row>
    <row r="52" spans="1:32" s="57" customFormat="1" ht="15.75" hidden="1" customHeight="1">
      <c r="A52" s="2"/>
      <c r="B52" s="2"/>
      <c r="C52" s="51"/>
      <c r="D52" s="51"/>
      <c r="E52" s="51"/>
      <c r="F52" s="51"/>
      <c r="G52" s="51"/>
      <c r="H52" s="51"/>
      <c r="I52" s="51"/>
      <c r="J52" s="51"/>
      <c r="K52" s="51"/>
      <c r="L52" s="51"/>
      <c r="M52" s="51"/>
      <c r="N52" s="51"/>
      <c r="O52" s="51"/>
      <c r="P52" s="51"/>
      <c r="Q52" s="51"/>
      <c r="R52" s="55"/>
      <c r="S52" s="53"/>
      <c r="T52" s="54"/>
      <c r="U52" s="55"/>
      <c r="V52" s="55"/>
      <c r="W52" s="55"/>
      <c r="X52" s="55"/>
      <c r="Y52" s="55"/>
      <c r="Z52" s="56"/>
      <c r="AA52" s="55"/>
      <c r="AB52" s="55"/>
      <c r="AC52" s="55"/>
      <c r="AD52" s="55"/>
      <c r="AE52" s="55"/>
      <c r="AF52" s="55"/>
    </row>
    <row r="53" spans="1:32" s="57" customFormat="1">
      <c r="A53" s="2"/>
      <c r="B53" s="2"/>
      <c r="C53" s="51"/>
      <c r="D53" s="51"/>
      <c r="E53" s="51"/>
      <c r="F53" s="51"/>
      <c r="G53" s="51"/>
      <c r="H53" s="51"/>
      <c r="I53" s="51"/>
      <c r="J53" s="51"/>
      <c r="K53" s="51"/>
      <c r="L53" s="51"/>
      <c r="M53" s="51"/>
      <c r="N53" s="51"/>
      <c r="O53" s="51"/>
      <c r="P53" s="51"/>
      <c r="Q53" s="51"/>
      <c r="R53" s="55"/>
      <c r="S53" s="53"/>
      <c r="T53" s="54"/>
      <c r="U53" s="55"/>
      <c r="V53" s="55"/>
      <c r="W53" s="55"/>
      <c r="X53" s="55"/>
      <c r="Y53" s="55"/>
      <c r="Z53" s="56"/>
      <c r="AA53" s="55"/>
      <c r="AB53" s="55"/>
      <c r="AC53" s="55"/>
      <c r="AD53" s="55">
        <v>-5.65</v>
      </c>
      <c r="AE53" s="55"/>
      <c r="AF53" s="55"/>
    </row>
    <row r="54" spans="1:32" s="57" customFormat="1">
      <c r="A54" s="2" t="s">
        <v>40</v>
      </c>
      <c r="B54" s="2"/>
      <c r="C54" s="51">
        <f t="shared" ref="C54:C56" si="1">IFERROR(F54/D54," - ")</f>
        <v>17.989999999999998</v>
      </c>
      <c r="D54" s="51">
        <v>1</v>
      </c>
      <c r="E54" s="51">
        <v>0</v>
      </c>
      <c r="F54" s="51">
        <v>17.989999999999998</v>
      </c>
      <c r="G54" s="51">
        <v>0</v>
      </c>
      <c r="H54" s="51">
        <f t="shared" ref="H54:H56" si="2">G54/F54*-1</f>
        <v>0</v>
      </c>
      <c r="I54" s="51">
        <f t="shared" ref="I54:I56" si="3">J54/F54</f>
        <v>0.15465403241699927</v>
      </c>
      <c r="J54" s="51">
        <f t="shared" ref="J54:J56" si="4">F54*0.85+G54+AD54*D54+D54*AC54+AE54+AB54</f>
        <v>2.7822260431818164</v>
      </c>
      <c r="K54" s="51">
        <f t="shared" ref="K54:K56" si="5">J54/D54</f>
        <v>2.7822260431818164</v>
      </c>
      <c r="L54" s="51">
        <v>2</v>
      </c>
      <c r="M54" s="51">
        <f t="shared" ref="M54:M56" si="6">IFERROR(D54/L54,"-")</f>
        <v>0.5</v>
      </c>
      <c r="N54" s="51">
        <v>29</v>
      </c>
      <c r="O54" s="51">
        <f t="shared" ref="O54:P54" si="7">D54/7</f>
        <v>0.14285714285714285</v>
      </c>
      <c r="P54" s="51">
        <f t="shared" si="7"/>
        <v>0</v>
      </c>
      <c r="Q54" s="51">
        <f t="shared" ref="Q54:Q56" si="8">ROUNDDOWN(N54/(O54+P54),0)</f>
        <v>203</v>
      </c>
      <c r="R54" s="55">
        <f ca="1">IFERROR(__xludf.DUMMYFUNCTION("IFERROR(VLOOKUP($B$2,IMPORTRANGE(""https://docs.google.com/spreadsheets/d/1iVgg6Mw12RULLujzHmfOFIY8Q_KaAD8anoZzgtVAQ74/edit#gid=1503384807"",""Second Star - Summary!A1:AD2000""),9,FALSE),"""")"),0)</f>
        <v>0</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ref="V54:V56" si="9">IFERROR(U54/D54,0)</f>
        <v>0</v>
      </c>
      <c r="W54" s="55">
        <f t="shared" ref="W54:W56" si="10">IFERROR(G54/(U54+X54)*-1,0)</f>
        <v>0</v>
      </c>
      <c r="X54" s="55">
        <v>0</v>
      </c>
      <c r="Y54" s="55" t="s">
        <v>35</v>
      </c>
      <c r="Z54" s="56">
        <f t="shared" ref="Z54:Z56" si="11">IF(OR(Y54="UsLargeStandardSize",Y54="UsSmallStandardSize"),-2.4,-1.2)</f>
        <v>-2.4</v>
      </c>
      <c r="AA54" s="55">
        <v>4.7219552083333338E-2</v>
      </c>
      <c r="AB54" s="55">
        <f t="shared" ref="AB54:AB56" si="12">IFERROR(Z54*AA54*D54*3,0)</f>
        <v>-0.33998077500000001</v>
      </c>
      <c r="AC54" s="55">
        <v>-5.42</v>
      </c>
      <c r="AD54" s="55">
        <v>-5.8492931818181804</v>
      </c>
      <c r="AE54" s="55">
        <v>-0.9</v>
      </c>
      <c r="AF54" s="55">
        <v>5.0847457627118599E-2</v>
      </c>
    </row>
    <row r="55" spans="1:32" s="57" customFormat="1" ht="15.75" customHeight="1">
      <c r="A55" s="2" t="s">
        <v>32</v>
      </c>
      <c r="B55" s="2" t="s">
        <v>857</v>
      </c>
      <c r="C55" s="51">
        <f t="shared" si="1"/>
        <v>17.989999999999998</v>
      </c>
      <c r="D55" s="51">
        <v>1</v>
      </c>
      <c r="E55" s="51">
        <v>0</v>
      </c>
      <c r="F55" s="51">
        <v>17.989999999999998</v>
      </c>
      <c r="G55" s="51">
        <v>0</v>
      </c>
      <c r="H55" s="51">
        <f t="shared" si="2"/>
        <v>0</v>
      </c>
      <c r="I55" s="51">
        <f t="shared" si="3"/>
        <v>0.20468182563545395</v>
      </c>
      <c r="J55" s="51">
        <f t="shared" si="4"/>
        <v>3.6822260431818163</v>
      </c>
      <c r="K55" s="51">
        <f t="shared" si="5"/>
        <v>3.6822260431818163</v>
      </c>
      <c r="L55" s="51">
        <v>3</v>
      </c>
      <c r="M55" s="51">
        <f t="shared" si="6"/>
        <v>0.33333333333333331</v>
      </c>
      <c r="N55" s="51">
        <v>29</v>
      </c>
      <c r="O55" s="51">
        <f t="shared" ref="O55:P55" si="13">D55/7</f>
        <v>0.14285714285714285</v>
      </c>
      <c r="P55" s="51">
        <f t="shared" si="13"/>
        <v>0</v>
      </c>
      <c r="Q55" s="51">
        <f t="shared" si="8"/>
        <v>203</v>
      </c>
      <c r="R55" s="55">
        <v>0</v>
      </c>
      <c r="S55" s="53" t="s">
        <v>34</v>
      </c>
      <c r="T55" s="54" t="s">
        <v>34</v>
      </c>
      <c r="U55" s="55">
        <v>0</v>
      </c>
      <c r="V55" s="55">
        <f t="shared" si="9"/>
        <v>0</v>
      </c>
      <c r="W55" s="55">
        <f t="shared" si="10"/>
        <v>0</v>
      </c>
      <c r="X55" s="55">
        <v>0</v>
      </c>
      <c r="Y55" s="55" t="s">
        <v>35</v>
      </c>
      <c r="Z55" s="56">
        <f t="shared" si="11"/>
        <v>-2.4</v>
      </c>
      <c r="AA55" s="55">
        <v>4.7219552083333338E-2</v>
      </c>
      <c r="AB55" s="55">
        <f t="shared" si="12"/>
        <v>-0.33998077500000001</v>
      </c>
      <c r="AC55" s="55">
        <v>-5.42</v>
      </c>
      <c r="AD55" s="55">
        <v>-5.8492931818181804</v>
      </c>
      <c r="AE55" s="55">
        <v>0</v>
      </c>
      <c r="AF55" s="55">
        <v>0.10344827586206801</v>
      </c>
    </row>
    <row r="56" spans="1:32" s="57" customFormat="1" ht="15.75" customHeight="1">
      <c r="A56" s="2" t="s">
        <v>36</v>
      </c>
      <c r="B56" s="2"/>
      <c r="C56" s="51" t="str">
        <f t="shared" si="1"/>
        <v xml:space="preserve"> - </v>
      </c>
      <c r="D56" s="51">
        <v>0</v>
      </c>
      <c r="E56" s="51">
        <v>0</v>
      </c>
      <c r="F56" s="51">
        <v>0</v>
      </c>
      <c r="G56" s="51">
        <v>0</v>
      </c>
      <c r="H56" s="51" t="e">
        <f t="shared" si="2"/>
        <v>#DIV/0!</v>
      </c>
      <c r="I56" s="51" t="e">
        <f t="shared" si="3"/>
        <v>#DIV/0!</v>
      </c>
      <c r="J56" s="51">
        <f t="shared" si="4"/>
        <v>0</v>
      </c>
      <c r="K56" s="51" t="e">
        <f t="shared" si="5"/>
        <v>#DIV/0!</v>
      </c>
      <c r="L56" s="51">
        <v>0</v>
      </c>
      <c r="M56" s="51" t="str">
        <f t="shared" si="6"/>
        <v>-</v>
      </c>
      <c r="N56" s="51">
        <v>28</v>
      </c>
      <c r="O56" s="51">
        <f t="shared" ref="O56:P56" si="14">D56/7</f>
        <v>0</v>
      </c>
      <c r="P56" s="51">
        <f t="shared" si="14"/>
        <v>0</v>
      </c>
      <c r="Q56" s="51" t="e">
        <f t="shared" si="8"/>
        <v>#DIV/0!</v>
      </c>
      <c r="R56" s="55">
        <f ca="1">IFERROR(__xludf.DUMMYFUNCTION("IFERROR(VLOOKUP($B$2,IMPORTRANGE(""https://docs.google.com/spreadsheets/d/1iVgg6Mw12RULLujzHmfOFIY8Q_KaAD8anoZzgtVAQ74/edit#gid=1503384807"",""Second Star - Summary!A1:AD2000""),9,FALSE),"""")"),0)</f>
        <v>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9"/>
        <v>0</v>
      </c>
      <c r="W56" s="55">
        <f t="shared" si="10"/>
        <v>0</v>
      </c>
      <c r="X56" s="55">
        <v>0</v>
      </c>
      <c r="Y56" s="55" t="s">
        <v>35</v>
      </c>
      <c r="Z56" s="56">
        <f t="shared" si="11"/>
        <v>-2.4</v>
      </c>
      <c r="AA56" s="55">
        <v>4.7219552083333338E-2</v>
      </c>
      <c r="AB56" s="55">
        <f t="shared" si="12"/>
        <v>0</v>
      </c>
      <c r="AC56" s="55">
        <v>-5.42</v>
      </c>
      <c r="AD56" s="55">
        <v>-5.8492931818181804</v>
      </c>
      <c r="AE56" s="55">
        <v>0</v>
      </c>
      <c r="AF56" s="55">
        <v>6.8181818181818094E-2</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3"/>
    </row>
    <row r="222" spans="1:3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3"/>
    </row>
    <row r="223" spans="1:32"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3"/>
    </row>
    <row r="224" spans="1:32"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3"/>
    </row>
    <row r="225" spans="1:32"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3"/>
    </row>
    <row r="226" spans="1:32"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3"/>
    </row>
    <row r="227" spans="1:32"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3"/>
    </row>
    <row r="228" spans="1:32"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3"/>
    </row>
    <row r="229" spans="1:32"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3"/>
    </row>
    <row r="230" spans="1:32"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3"/>
    </row>
    <row r="231" spans="1:32"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3"/>
    </row>
    <row r="232" spans="1: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3"/>
    </row>
    <row r="233" spans="1:32"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3"/>
    </row>
    <row r="234" spans="1:32"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3"/>
    </row>
    <row r="235" spans="1:32"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3"/>
    </row>
    <row r="236" spans="1:32"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3"/>
    </row>
    <row r="237" spans="1:32"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3"/>
    </row>
    <row r="238" spans="1:32"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3"/>
    </row>
    <row r="239" spans="1:32"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row r="255" spans="1:32" ht="15.75" customHeight="1"/>
    <row r="256" spans="1:3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328" priority="1" operator="lessThan">
      <formula>100</formula>
    </cfRule>
  </conditionalFormatting>
  <conditionalFormatting sqref="Q1:Q3 Q57:Q1000">
    <cfRule type="cellIs" dxfId="327" priority="2" operator="lessThan">
      <formula>100</formula>
    </cfRule>
  </conditionalFormatting>
  <conditionalFormatting sqref="I1:I3 I57:I1000">
    <cfRule type="cellIs" dxfId="326" priority="3" operator="lessThan">
      <formula>0.05</formula>
    </cfRule>
  </conditionalFormatting>
  <conditionalFormatting sqref="I4:I17">
    <cfRule type="cellIs" dxfId="325" priority="4" operator="lessThan">
      <formula>0.05</formula>
    </cfRule>
  </conditionalFormatting>
  <conditionalFormatting sqref="I18:I56">
    <cfRule type="cellIs" dxfId="324" priority="5" operator="lessThan">
      <formula>0.05</formula>
    </cfRule>
  </conditionalFormatting>
  <conditionalFormatting sqref="Q4:Q56">
    <cfRule type="cellIs" dxfId="323" priority="6" operator="lessThan">
      <formula>100</formula>
    </cfRule>
  </conditionalFormatting>
  <conditionalFormatting sqref="Q4:Q56">
    <cfRule type="cellIs" dxfId="322" priority="7" operator="lessThan">
      <formula>100</formula>
    </cfRule>
  </conditionalFormatting>
  <pageMargins left="0.7" right="0.7" top="0.75" bottom="0.75" header="0" footer="0"/>
  <pageSetup orientation="portrait"/>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4.6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Info!B1:BJ5000""),4,FALSE),"""")"),"Heavy Duty Vinyl Zippered Waterproof Bed Bug Proof Mattress Protector - 12-Inch Depth - Queen")</f>
        <v>Heavy Duty Vinyl Zippered Waterproof Bed Bug Proof Mattress Protector - 12-Inch Depth - Queen</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Info!B1:BJ5000""),3,FALSE),"""")"),"B00IOVIMO8")</f>
        <v>B00IOVIMO8</v>
      </c>
      <c r="B2" s="4" t="s">
        <v>858</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19.245228639334471</v>
      </c>
      <c r="D3" s="8">
        <f>SUM(D4:D99819)</f>
        <v>19</v>
      </c>
      <c r="E3" s="8"/>
      <c r="F3" s="9">
        <f t="shared" ref="F3:G3" si="0">SUM(F4:F99819)</f>
        <v>464.45</v>
      </c>
      <c r="G3" s="9">
        <f t="shared" si="0"/>
        <v>-21.8</v>
      </c>
      <c r="H3" s="10">
        <f>G3/F3*-1</f>
        <v>4.693723759285176E-2</v>
      </c>
      <c r="I3" s="11">
        <f>J3/F3</f>
        <v>7.9423454699868834E-2</v>
      </c>
      <c r="J3" s="9">
        <f>SUM(J4:J99819)</f>
        <v>36.888223535354079</v>
      </c>
      <c r="K3" s="9">
        <f>J3/D3</f>
        <v>1.941485449229162</v>
      </c>
      <c r="L3" s="8"/>
      <c r="M3" s="12"/>
      <c r="N3" s="13"/>
      <c r="O3" s="8" t="str">
        <f ca="1">IFERROR(__xludf.DUMMYFUNCTION("IFERROR(VLOOKUP(B2,IMPORTRANGE(""https://docs.google.com/spreadsheets/d/1owCo6kL_VFQ5nPTdNogErmCBLjNiktT1m3SzTrxu3R0/edit#gid=2146806407"",""Second Star - Compiled!b1:g5000""),2,FALSE),"""")"),"0 - March
0 - April
0 - May
0 - Jun
0 - Jul
0 - Aug
0 - Sept
0 - Oct
0 - Nov
0 - Dec
0 - Jan
0 - Feb")</f>
        <v>0 - March
0 - April
0 - May
0 - Jun
0 - Jul
0 - Aug
0 - Sept
0 - Oct
0 - Nov
0 - Dec
0 - Jan
0 - Feb</v>
      </c>
      <c r="P3" s="8"/>
      <c r="Q3" s="14"/>
      <c r="R3" s="13"/>
      <c r="S3" s="13"/>
      <c r="T3" s="13"/>
      <c r="U3" s="8">
        <f>SUM(U4:U99819)</f>
        <v>0</v>
      </c>
      <c r="V3" s="10">
        <f>AVERAGE(V4:V99819)</f>
        <v>0</v>
      </c>
      <c r="W3" s="9">
        <f>ROUND(AVERAGE(W4:W99819),2)</f>
        <v>0</v>
      </c>
      <c r="X3" s="8"/>
      <c r="Y3" s="8"/>
      <c r="Z3" s="8"/>
      <c r="AA3" s="8"/>
      <c r="AB3" s="8"/>
      <c r="AC3" s="15"/>
      <c r="AD3" s="9"/>
      <c r="AE3" s="9">
        <f>SUM(AE4:AE99819)</f>
        <v>-2.4</v>
      </c>
      <c r="AF3" s="16"/>
    </row>
    <row r="4" spans="1:32" s="57" customFormat="1" hidden="1">
      <c r="A4" s="17" t="s">
        <v>48</v>
      </c>
      <c r="B4" s="17"/>
      <c r="C4" s="50"/>
      <c r="D4" s="51"/>
      <c r="E4" s="51"/>
      <c r="F4" s="51"/>
      <c r="G4" s="51"/>
      <c r="H4" s="51"/>
      <c r="I4" s="51"/>
      <c r="J4" s="51"/>
      <c r="K4" s="51"/>
      <c r="L4" s="51"/>
      <c r="M4" s="51"/>
      <c r="N4" s="51"/>
      <c r="O4" s="51"/>
      <c r="P4" s="51"/>
      <c r="Q4" s="51"/>
      <c r="R4" s="52"/>
      <c r="S4" s="53"/>
      <c r="T4" s="54"/>
      <c r="U4" s="52"/>
      <c r="V4" s="55"/>
      <c r="W4" s="55"/>
      <c r="X4" s="52"/>
      <c r="Y4" s="56"/>
      <c r="Z4" s="56"/>
      <c r="AA4" s="55"/>
      <c r="AB4" s="55"/>
      <c r="AC4" s="55"/>
      <c r="AD4" s="55"/>
      <c r="AE4" s="55"/>
      <c r="AF4" s="55"/>
    </row>
    <row r="5" spans="1:32" s="57" customFormat="1" ht="15.75" hidden="1" customHeight="1">
      <c r="A5" s="17" t="s">
        <v>49</v>
      </c>
      <c r="B5" s="2"/>
      <c r="C5" s="51"/>
      <c r="D5" s="51"/>
      <c r="E5" s="51"/>
      <c r="F5" s="51"/>
      <c r="G5" s="51"/>
      <c r="H5" s="51"/>
      <c r="I5" s="51"/>
      <c r="J5" s="51"/>
      <c r="K5" s="51"/>
      <c r="L5" s="51"/>
      <c r="M5" s="51"/>
      <c r="N5" s="51"/>
      <c r="O5" s="51"/>
      <c r="P5" s="51"/>
      <c r="Q5" s="51"/>
      <c r="R5" s="52"/>
      <c r="S5" s="53"/>
      <c r="T5" s="54"/>
      <c r="U5" s="52"/>
      <c r="V5" s="55"/>
      <c r="W5" s="55"/>
      <c r="X5" s="52"/>
      <c r="Y5" s="52"/>
      <c r="Z5" s="56"/>
      <c r="AA5" s="55"/>
      <c r="AB5" s="55"/>
      <c r="AC5" s="55"/>
      <c r="AD5" s="55"/>
      <c r="AE5" s="55"/>
      <c r="AF5" s="55"/>
    </row>
    <row r="6" spans="1:32" s="57" customFormat="1" ht="15.75" hidden="1" customHeight="1">
      <c r="A6" s="17" t="s">
        <v>51</v>
      </c>
      <c r="B6" s="2"/>
      <c r="C6" s="51"/>
      <c r="D6" s="51"/>
      <c r="E6" s="51"/>
      <c r="F6" s="51"/>
      <c r="G6" s="51"/>
      <c r="H6" s="51"/>
      <c r="I6" s="51"/>
      <c r="J6" s="51"/>
      <c r="K6" s="51"/>
      <c r="L6" s="51"/>
      <c r="M6" s="51"/>
      <c r="N6" s="51"/>
      <c r="O6" s="51"/>
      <c r="P6" s="51"/>
      <c r="Q6" s="51"/>
      <c r="R6" s="52"/>
      <c r="S6" s="53"/>
      <c r="T6" s="54"/>
      <c r="U6" s="52"/>
      <c r="V6" s="55"/>
      <c r="W6" s="55"/>
      <c r="X6" s="52"/>
      <c r="Y6" s="52"/>
      <c r="Z6" s="56"/>
      <c r="AA6" s="55"/>
      <c r="AB6" s="55"/>
      <c r="AC6" s="55"/>
      <c r="AD6" s="55"/>
      <c r="AE6" s="55"/>
      <c r="AF6" s="55"/>
    </row>
    <row r="7" spans="1:32" s="57" customFormat="1" ht="15.75" hidden="1" customHeight="1">
      <c r="A7" s="17" t="s">
        <v>53</v>
      </c>
      <c r="B7" s="2"/>
      <c r="C7" s="51"/>
      <c r="D7" s="51"/>
      <c r="E7" s="51"/>
      <c r="F7" s="51"/>
      <c r="G7" s="51"/>
      <c r="H7" s="51"/>
      <c r="I7" s="51"/>
      <c r="J7" s="51"/>
      <c r="K7" s="51"/>
      <c r="L7" s="51"/>
      <c r="M7" s="51"/>
      <c r="N7" s="51"/>
      <c r="O7" s="51"/>
      <c r="P7" s="51"/>
      <c r="Q7" s="51"/>
      <c r="R7" s="52"/>
      <c r="S7" s="53"/>
      <c r="T7" s="54"/>
      <c r="U7" s="52"/>
      <c r="V7" s="55"/>
      <c r="W7" s="55"/>
      <c r="X7" s="52"/>
      <c r="Y7" s="52"/>
      <c r="Z7" s="56"/>
      <c r="AA7" s="55"/>
      <c r="AB7" s="55"/>
      <c r="AC7" s="55"/>
      <c r="AD7" s="55"/>
      <c r="AE7" s="55"/>
      <c r="AF7" s="55"/>
    </row>
    <row r="8" spans="1:32" s="57" customFormat="1" ht="15.75" hidden="1" customHeight="1">
      <c r="A8" s="17" t="s">
        <v>54</v>
      </c>
      <c r="B8" s="2"/>
      <c r="C8" s="51"/>
      <c r="D8" s="51"/>
      <c r="E8" s="51"/>
      <c r="F8" s="51"/>
      <c r="G8" s="51"/>
      <c r="H8" s="51"/>
      <c r="I8" s="51"/>
      <c r="J8" s="51"/>
      <c r="K8" s="51"/>
      <c r="L8" s="51"/>
      <c r="M8" s="51"/>
      <c r="N8" s="51"/>
      <c r="O8" s="51"/>
      <c r="P8" s="51"/>
      <c r="Q8" s="51"/>
      <c r="R8" s="52"/>
      <c r="S8" s="53"/>
      <c r="T8" s="54"/>
      <c r="U8" s="52"/>
      <c r="V8" s="55"/>
      <c r="W8" s="55"/>
      <c r="X8" s="52"/>
      <c r="Y8" s="52"/>
      <c r="Z8" s="56"/>
      <c r="AA8" s="55"/>
      <c r="AB8" s="55"/>
      <c r="AC8" s="55"/>
      <c r="AD8" s="55"/>
      <c r="AE8" s="55"/>
      <c r="AF8" s="55"/>
    </row>
    <row r="9" spans="1:32" s="57" customFormat="1" ht="15.75" hidden="1" customHeight="1">
      <c r="A9" s="17" t="s">
        <v>56</v>
      </c>
      <c r="B9" s="2"/>
      <c r="C9" s="51"/>
      <c r="D9" s="51"/>
      <c r="E9" s="51"/>
      <c r="F9" s="51"/>
      <c r="G9" s="51"/>
      <c r="H9" s="51"/>
      <c r="I9" s="51"/>
      <c r="J9" s="51"/>
      <c r="K9" s="51"/>
      <c r="L9" s="51"/>
      <c r="M9" s="51"/>
      <c r="N9" s="51"/>
      <c r="O9" s="51"/>
      <c r="P9" s="51"/>
      <c r="Q9" s="51"/>
      <c r="R9" s="52"/>
      <c r="S9" s="53"/>
      <c r="T9" s="54"/>
      <c r="U9" s="52"/>
      <c r="V9" s="55"/>
      <c r="W9" s="55"/>
      <c r="X9" s="52"/>
      <c r="Y9" s="52"/>
      <c r="Z9" s="56"/>
      <c r="AA9" s="55"/>
      <c r="AB9" s="55"/>
      <c r="AC9" s="55"/>
      <c r="AD9" s="55"/>
      <c r="AE9" s="55"/>
      <c r="AF9" s="55"/>
    </row>
    <row r="10" spans="1:32" s="57" customFormat="1" ht="15.75" hidden="1" customHeight="1">
      <c r="A10" s="17" t="s">
        <v>58</v>
      </c>
      <c r="B10" s="2"/>
      <c r="C10" s="51"/>
      <c r="D10" s="51"/>
      <c r="E10" s="51"/>
      <c r="F10" s="51"/>
      <c r="G10" s="51"/>
      <c r="H10" s="51"/>
      <c r="I10" s="51"/>
      <c r="J10" s="51"/>
      <c r="K10" s="51"/>
      <c r="L10" s="51"/>
      <c r="M10" s="51"/>
      <c r="N10" s="51"/>
      <c r="O10" s="51"/>
      <c r="P10" s="51"/>
      <c r="Q10" s="51"/>
      <c r="R10" s="52"/>
      <c r="S10" s="53"/>
      <c r="T10" s="54"/>
      <c r="U10" s="52"/>
      <c r="V10" s="55"/>
      <c r="W10" s="55"/>
      <c r="X10" s="52"/>
      <c r="Y10" s="52"/>
      <c r="Z10" s="56"/>
      <c r="AA10" s="55"/>
      <c r="AB10" s="55"/>
      <c r="AC10" s="55"/>
      <c r="AD10" s="55"/>
      <c r="AE10" s="55"/>
      <c r="AF10" s="55"/>
    </row>
    <row r="11" spans="1:32" s="57" customFormat="1" ht="15.75" hidden="1" customHeight="1">
      <c r="A11" s="17" t="s">
        <v>60</v>
      </c>
      <c r="B11" s="17" t="s">
        <v>45</v>
      </c>
      <c r="C11" s="51"/>
      <c r="D11" s="51"/>
      <c r="E11" s="51"/>
      <c r="F11" s="51"/>
      <c r="G11" s="51"/>
      <c r="H11" s="51"/>
      <c r="I11" s="51"/>
      <c r="J11" s="51"/>
      <c r="K11" s="51"/>
      <c r="L11" s="51"/>
      <c r="M11" s="51"/>
      <c r="N11" s="51"/>
      <c r="O11" s="51"/>
      <c r="P11" s="51"/>
      <c r="Q11" s="51"/>
      <c r="R11" s="52"/>
      <c r="S11" s="53"/>
      <c r="T11" s="54"/>
      <c r="U11" s="52"/>
      <c r="V11" s="55"/>
      <c r="W11" s="55"/>
      <c r="X11" s="52"/>
      <c r="Y11" s="52"/>
      <c r="Z11" s="56"/>
      <c r="AA11" s="55"/>
      <c r="AB11" s="55"/>
      <c r="AC11" s="55"/>
      <c r="AD11" s="55"/>
      <c r="AE11" s="55"/>
      <c r="AF11" s="55"/>
    </row>
    <row r="12" spans="1:32" s="57" customFormat="1" ht="15.75" hidden="1" customHeight="1">
      <c r="A12" s="17" t="s">
        <v>62</v>
      </c>
      <c r="B12" s="2"/>
      <c r="C12" s="51"/>
      <c r="D12" s="51"/>
      <c r="E12" s="51"/>
      <c r="F12" s="51"/>
      <c r="G12" s="51"/>
      <c r="H12" s="51"/>
      <c r="I12" s="51"/>
      <c r="J12" s="51"/>
      <c r="K12" s="51"/>
      <c r="L12" s="51"/>
      <c r="M12" s="51"/>
      <c r="N12" s="51"/>
      <c r="O12" s="51"/>
      <c r="P12" s="51"/>
      <c r="Q12" s="51"/>
      <c r="R12" s="52"/>
      <c r="S12" s="53"/>
      <c r="T12" s="54"/>
      <c r="U12" s="52"/>
      <c r="V12" s="55"/>
      <c r="W12" s="55"/>
      <c r="X12" s="52"/>
      <c r="Y12" s="52"/>
      <c r="Z12" s="56"/>
      <c r="AA12" s="55"/>
      <c r="AB12" s="55"/>
      <c r="AC12" s="55"/>
      <c r="AD12" s="55"/>
      <c r="AE12" s="55"/>
      <c r="AF12" s="55"/>
    </row>
    <row r="13" spans="1:32" s="57" customFormat="1" ht="15.75" hidden="1" customHeight="1">
      <c r="A13" s="17" t="s">
        <v>63</v>
      </c>
      <c r="B13" s="2"/>
      <c r="C13" s="51"/>
      <c r="D13" s="51"/>
      <c r="E13" s="51"/>
      <c r="F13" s="51"/>
      <c r="G13" s="51"/>
      <c r="H13" s="51"/>
      <c r="I13" s="51"/>
      <c r="J13" s="51"/>
      <c r="K13" s="51"/>
      <c r="L13" s="51"/>
      <c r="M13" s="51"/>
      <c r="N13" s="51"/>
      <c r="O13" s="51"/>
      <c r="P13" s="51"/>
      <c r="Q13" s="51"/>
      <c r="R13" s="52"/>
      <c r="S13" s="53"/>
      <c r="T13" s="54"/>
      <c r="U13" s="52"/>
      <c r="V13" s="55"/>
      <c r="W13" s="55"/>
      <c r="X13" s="52"/>
      <c r="Y13" s="52"/>
      <c r="Z13" s="56"/>
      <c r="AA13" s="55"/>
      <c r="AB13" s="55"/>
      <c r="AC13" s="55"/>
      <c r="AD13" s="55"/>
      <c r="AE13" s="55"/>
      <c r="AF13" s="55"/>
    </row>
    <row r="14" spans="1:32" s="57" customFormat="1" ht="15.75" hidden="1" customHeight="1">
      <c r="A14" s="17" t="s">
        <v>64</v>
      </c>
      <c r="B14" s="2"/>
      <c r="C14" s="51"/>
      <c r="D14" s="51"/>
      <c r="E14" s="51"/>
      <c r="F14" s="51"/>
      <c r="G14" s="51"/>
      <c r="H14" s="51"/>
      <c r="I14" s="51"/>
      <c r="J14" s="51"/>
      <c r="K14" s="51"/>
      <c r="L14" s="51"/>
      <c r="M14" s="51"/>
      <c r="N14" s="51"/>
      <c r="O14" s="51"/>
      <c r="P14" s="51"/>
      <c r="Q14" s="51"/>
      <c r="R14" s="52"/>
      <c r="S14" s="53"/>
      <c r="T14" s="54"/>
      <c r="U14" s="52"/>
      <c r="V14" s="55"/>
      <c r="W14" s="55"/>
      <c r="X14" s="52"/>
      <c r="Y14" s="52"/>
      <c r="Z14" s="56"/>
      <c r="AA14" s="55"/>
      <c r="AB14" s="55"/>
      <c r="AC14" s="55"/>
      <c r="AD14" s="55"/>
      <c r="AE14" s="55"/>
      <c r="AF14" s="55"/>
    </row>
    <row r="15" spans="1:32" s="57" customFormat="1" ht="15.75" hidden="1" customHeight="1">
      <c r="A15" s="17" t="s">
        <v>65</v>
      </c>
      <c r="B15" s="2"/>
      <c r="C15" s="51"/>
      <c r="D15" s="51"/>
      <c r="E15" s="51"/>
      <c r="F15" s="51"/>
      <c r="G15" s="51"/>
      <c r="H15" s="51"/>
      <c r="I15" s="51"/>
      <c r="J15" s="51"/>
      <c r="K15" s="51"/>
      <c r="L15" s="51"/>
      <c r="M15" s="51"/>
      <c r="N15" s="51"/>
      <c r="O15" s="51"/>
      <c r="P15" s="51"/>
      <c r="Q15" s="51"/>
      <c r="R15" s="52"/>
      <c r="S15" s="53"/>
      <c r="T15" s="54"/>
      <c r="U15" s="52"/>
      <c r="V15" s="55"/>
      <c r="W15" s="55"/>
      <c r="X15" s="52"/>
      <c r="Y15" s="52"/>
      <c r="Z15" s="56"/>
      <c r="AA15" s="55"/>
      <c r="AB15" s="55"/>
      <c r="AC15" s="55"/>
      <c r="AD15" s="55"/>
      <c r="AE15" s="55"/>
      <c r="AF15" s="55"/>
    </row>
    <row r="16" spans="1:32" s="57" customFormat="1" ht="15.75" hidden="1" customHeight="1">
      <c r="A16" s="17" t="s">
        <v>66</v>
      </c>
      <c r="B16" s="2"/>
      <c r="C16" s="51"/>
      <c r="D16" s="51"/>
      <c r="E16" s="51"/>
      <c r="F16" s="51"/>
      <c r="G16" s="51"/>
      <c r="H16" s="51"/>
      <c r="I16" s="51"/>
      <c r="J16" s="51"/>
      <c r="K16" s="51"/>
      <c r="L16" s="51"/>
      <c r="M16" s="51"/>
      <c r="N16" s="51"/>
      <c r="O16" s="51"/>
      <c r="P16" s="51"/>
      <c r="Q16" s="51"/>
      <c r="R16" s="52"/>
      <c r="S16" s="53"/>
      <c r="T16" s="54"/>
      <c r="U16" s="52"/>
      <c r="V16" s="55"/>
      <c r="W16" s="55"/>
      <c r="X16" s="52"/>
      <c r="Y16" s="52"/>
      <c r="Z16" s="56"/>
      <c r="AA16" s="55"/>
      <c r="AB16" s="55"/>
      <c r="AC16" s="55"/>
      <c r="AD16" s="55"/>
      <c r="AE16" s="55"/>
      <c r="AF16" s="55"/>
    </row>
    <row r="17" spans="1:32" s="57" customFormat="1" ht="15.75" hidden="1" customHeight="1">
      <c r="A17" s="17" t="s">
        <v>67</v>
      </c>
      <c r="B17" s="2"/>
      <c r="C17" s="51"/>
      <c r="D17" s="51"/>
      <c r="E17" s="51"/>
      <c r="F17" s="51"/>
      <c r="G17" s="51"/>
      <c r="H17" s="51"/>
      <c r="I17" s="51"/>
      <c r="J17" s="51"/>
      <c r="K17" s="51"/>
      <c r="L17" s="51"/>
      <c r="M17" s="51"/>
      <c r="N17" s="51"/>
      <c r="O17" s="51"/>
      <c r="P17" s="51"/>
      <c r="Q17" s="51"/>
      <c r="R17" s="52"/>
      <c r="S17" s="53"/>
      <c r="T17" s="54"/>
      <c r="U17" s="52"/>
      <c r="V17" s="55"/>
      <c r="W17" s="55"/>
      <c r="X17" s="52"/>
      <c r="Y17" s="52"/>
      <c r="Z17" s="56"/>
      <c r="AA17" s="55"/>
      <c r="AB17" s="55"/>
      <c r="AC17" s="55"/>
      <c r="AD17" s="55"/>
      <c r="AE17" s="55"/>
      <c r="AF17" s="55"/>
    </row>
    <row r="18" spans="1:32" s="57" customFormat="1" ht="15.75" hidden="1" customHeight="1">
      <c r="A18" s="2" t="s">
        <v>69</v>
      </c>
      <c r="B18" s="2"/>
      <c r="C18" s="51"/>
      <c r="D18" s="51"/>
      <c r="E18" s="51"/>
      <c r="F18" s="51"/>
      <c r="G18" s="51"/>
      <c r="H18" s="51"/>
      <c r="I18" s="51"/>
      <c r="J18" s="51"/>
      <c r="K18" s="51"/>
      <c r="L18" s="51"/>
      <c r="M18" s="51"/>
      <c r="N18" s="51"/>
      <c r="O18" s="51"/>
      <c r="P18" s="51"/>
      <c r="Q18" s="51"/>
      <c r="R18" s="55"/>
      <c r="S18" s="53"/>
      <c r="T18" s="54"/>
      <c r="U18" s="55"/>
      <c r="V18" s="55"/>
      <c r="W18" s="55"/>
      <c r="X18" s="55"/>
      <c r="Y18" s="55"/>
      <c r="Z18" s="56"/>
      <c r="AA18" s="55"/>
      <c r="AB18" s="58"/>
      <c r="AC18" s="55"/>
      <c r="AD18" s="55"/>
      <c r="AE18" s="55"/>
      <c r="AF18" s="55"/>
    </row>
    <row r="19" spans="1:32" s="57" customFormat="1" ht="15.75" hidden="1" customHeight="1">
      <c r="A19" s="17" t="s">
        <v>71</v>
      </c>
      <c r="B19" s="2"/>
      <c r="C19" s="51"/>
      <c r="D19" s="51"/>
      <c r="E19" s="51"/>
      <c r="F19" s="51"/>
      <c r="G19" s="51"/>
      <c r="H19" s="51"/>
      <c r="I19" s="51"/>
      <c r="J19" s="51"/>
      <c r="K19" s="51"/>
      <c r="L19" s="51"/>
      <c r="M19" s="51"/>
      <c r="N19" s="51"/>
      <c r="O19" s="51"/>
      <c r="P19" s="51"/>
      <c r="Q19" s="51"/>
      <c r="R19" s="52"/>
      <c r="S19" s="53"/>
      <c r="T19" s="54"/>
      <c r="U19" s="55"/>
      <c r="V19" s="55"/>
      <c r="W19" s="55"/>
      <c r="X19" s="52"/>
      <c r="Y19" s="52"/>
      <c r="Z19" s="56"/>
      <c r="AA19" s="55"/>
      <c r="AB19" s="55"/>
      <c r="AC19" s="55"/>
      <c r="AD19" s="55"/>
      <c r="AE19" s="55"/>
      <c r="AF19" s="55"/>
    </row>
    <row r="20" spans="1:32" s="57" customFormat="1" ht="15.75" hidden="1" customHeight="1">
      <c r="A20" s="17" t="s">
        <v>73</v>
      </c>
      <c r="B20" s="2"/>
      <c r="C20" s="51"/>
      <c r="D20" s="51"/>
      <c r="E20" s="51"/>
      <c r="F20" s="51"/>
      <c r="G20" s="51"/>
      <c r="H20" s="51"/>
      <c r="I20" s="51"/>
      <c r="J20" s="51"/>
      <c r="K20" s="51"/>
      <c r="L20" s="51"/>
      <c r="M20" s="51"/>
      <c r="N20" s="51"/>
      <c r="O20" s="51"/>
      <c r="P20" s="51"/>
      <c r="Q20" s="51"/>
      <c r="R20" s="52"/>
      <c r="S20" s="53"/>
      <c r="T20" s="54"/>
      <c r="U20" s="52"/>
      <c r="V20" s="55"/>
      <c r="W20" s="55"/>
      <c r="X20" s="52"/>
      <c r="Y20" s="52"/>
      <c r="Z20" s="56"/>
      <c r="AA20" s="55"/>
      <c r="AB20" s="55"/>
      <c r="AC20" s="55"/>
      <c r="AD20" s="55"/>
      <c r="AE20" s="55"/>
      <c r="AF20" s="55"/>
    </row>
    <row r="21" spans="1:32" s="57" customFormat="1" ht="15.75" hidden="1" customHeight="1">
      <c r="A21" s="17" t="s">
        <v>75</v>
      </c>
      <c r="B21" s="2"/>
      <c r="C21" s="51"/>
      <c r="D21" s="51"/>
      <c r="E21" s="51"/>
      <c r="F21" s="51"/>
      <c r="G21" s="51"/>
      <c r="H21" s="51"/>
      <c r="I21" s="51"/>
      <c r="J21" s="51"/>
      <c r="K21" s="51"/>
      <c r="L21" s="51"/>
      <c r="M21" s="51"/>
      <c r="N21" s="51"/>
      <c r="O21" s="51"/>
      <c r="P21" s="51"/>
      <c r="Q21" s="51"/>
      <c r="R21" s="52"/>
      <c r="S21" s="53"/>
      <c r="T21" s="54"/>
      <c r="U21" s="52"/>
      <c r="V21" s="55"/>
      <c r="W21" s="55"/>
      <c r="X21" s="52"/>
      <c r="Y21" s="52"/>
      <c r="Z21" s="56"/>
      <c r="AA21" s="55"/>
      <c r="AB21" s="55"/>
      <c r="AC21" s="55"/>
      <c r="AD21" s="55"/>
      <c r="AE21" s="55"/>
      <c r="AF21" s="55"/>
    </row>
    <row r="22" spans="1:32" s="57" customFormat="1" ht="15.75" hidden="1" customHeight="1">
      <c r="A22" s="17" t="s">
        <v>77</v>
      </c>
      <c r="B22" s="2"/>
      <c r="C22" s="51"/>
      <c r="D22" s="51"/>
      <c r="E22" s="51"/>
      <c r="F22" s="51"/>
      <c r="G22" s="51"/>
      <c r="H22" s="51"/>
      <c r="I22" s="51"/>
      <c r="J22" s="51"/>
      <c r="K22" s="51"/>
      <c r="L22" s="51"/>
      <c r="M22" s="51"/>
      <c r="N22" s="51"/>
      <c r="O22" s="51"/>
      <c r="P22" s="51"/>
      <c r="Q22" s="51"/>
      <c r="R22" s="52"/>
      <c r="S22" s="53"/>
      <c r="T22" s="54"/>
      <c r="U22" s="52"/>
      <c r="V22" s="55"/>
      <c r="W22" s="55"/>
      <c r="X22" s="52"/>
      <c r="Y22" s="52"/>
      <c r="Z22" s="56"/>
      <c r="AA22" s="55"/>
      <c r="AB22" s="55"/>
      <c r="AC22" s="55"/>
      <c r="AD22" s="55"/>
      <c r="AE22" s="55"/>
      <c r="AF22" s="55"/>
    </row>
    <row r="23" spans="1:32" s="57" customFormat="1" ht="15.75" hidden="1" customHeight="1">
      <c r="A23" s="17" t="s">
        <v>79</v>
      </c>
      <c r="B23" s="2"/>
      <c r="C23" s="51"/>
      <c r="D23" s="51"/>
      <c r="E23" s="51"/>
      <c r="F23" s="51"/>
      <c r="G23" s="51"/>
      <c r="H23" s="51"/>
      <c r="I23" s="51"/>
      <c r="J23" s="51"/>
      <c r="K23" s="51"/>
      <c r="L23" s="51"/>
      <c r="M23" s="51"/>
      <c r="N23" s="51"/>
      <c r="O23" s="51"/>
      <c r="P23" s="51"/>
      <c r="Q23" s="51"/>
      <c r="R23" s="52"/>
      <c r="S23" s="53"/>
      <c r="T23" s="54"/>
      <c r="U23" s="52"/>
      <c r="V23" s="55"/>
      <c r="W23" s="55"/>
      <c r="X23" s="52"/>
      <c r="Y23" s="52"/>
      <c r="Z23" s="56"/>
      <c r="AA23" s="55"/>
      <c r="AB23" s="55"/>
      <c r="AC23" s="55"/>
      <c r="AD23" s="55"/>
      <c r="AE23" s="55"/>
      <c r="AF23" s="55"/>
    </row>
    <row r="24" spans="1:32" s="57" customFormat="1" ht="15.75" hidden="1" customHeight="1">
      <c r="A24" s="17" t="s">
        <v>80</v>
      </c>
      <c r="B24" s="2"/>
      <c r="C24" s="51"/>
      <c r="D24" s="51"/>
      <c r="E24" s="51"/>
      <c r="F24" s="51"/>
      <c r="G24" s="51"/>
      <c r="H24" s="51"/>
      <c r="I24" s="51"/>
      <c r="J24" s="51"/>
      <c r="K24" s="51"/>
      <c r="L24" s="51"/>
      <c r="M24" s="51"/>
      <c r="N24" s="51"/>
      <c r="O24" s="51"/>
      <c r="P24" s="51"/>
      <c r="Q24" s="51"/>
      <c r="R24" s="52"/>
      <c r="S24" s="53"/>
      <c r="T24" s="54"/>
      <c r="U24" s="52"/>
      <c r="V24" s="55"/>
      <c r="W24" s="55"/>
      <c r="X24" s="52"/>
      <c r="Y24" s="52"/>
      <c r="Z24" s="56"/>
      <c r="AA24" s="55"/>
      <c r="AB24" s="55"/>
      <c r="AC24" s="55"/>
      <c r="AD24" s="55"/>
      <c r="AE24" s="55"/>
      <c r="AF24" s="55"/>
    </row>
    <row r="25" spans="1:32" s="57" customFormat="1" ht="15.75" hidden="1" customHeight="1">
      <c r="A25" s="17" t="s">
        <v>81</v>
      </c>
      <c r="B25" s="2"/>
      <c r="C25" s="51"/>
      <c r="D25" s="51"/>
      <c r="E25" s="51"/>
      <c r="F25" s="51"/>
      <c r="G25" s="51"/>
      <c r="H25" s="51"/>
      <c r="I25" s="51"/>
      <c r="J25" s="51"/>
      <c r="K25" s="51"/>
      <c r="L25" s="51"/>
      <c r="M25" s="51"/>
      <c r="N25" s="51"/>
      <c r="O25" s="51"/>
      <c r="P25" s="51"/>
      <c r="Q25" s="51"/>
      <c r="R25" s="52"/>
      <c r="S25" s="53"/>
      <c r="T25" s="54"/>
      <c r="U25" s="52"/>
      <c r="V25" s="55"/>
      <c r="W25" s="55"/>
      <c r="X25" s="52"/>
      <c r="Y25" s="52"/>
      <c r="Z25" s="56"/>
      <c r="AA25" s="55"/>
      <c r="AB25" s="55"/>
      <c r="AC25" s="55"/>
      <c r="AD25" s="55"/>
      <c r="AE25" s="55"/>
      <c r="AF25" s="55"/>
    </row>
    <row r="26" spans="1:32" s="57" customFormat="1" ht="15.75" hidden="1" customHeight="1">
      <c r="A26" s="17" t="s">
        <v>83</v>
      </c>
      <c r="B26" s="2"/>
      <c r="C26" s="51"/>
      <c r="D26" s="51"/>
      <c r="E26" s="51"/>
      <c r="F26" s="51"/>
      <c r="G26" s="51"/>
      <c r="H26" s="51"/>
      <c r="I26" s="51"/>
      <c r="J26" s="51"/>
      <c r="K26" s="51"/>
      <c r="L26" s="51"/>
      <c r="M26" s="51"/>
      <c r="N26" s="51"/>
      <c r="O26" s="51"/>
      <c r="P26" s="51"/>
      <c r="Q26" s="51"/>
      <c r="R26" s="52"/>
      <c r="S26" s="53"/>
      <c r="T26" s="54"/>
      <c r="U26" s="52"/>
      <c r="V26" s="55"/>
      <c r="W26" s="55"/>
      <c r="X26" s="52"/>
      <c r="Y26" s="52"/>
      <c r="Z26" s="56"/>
      <c r="AA26" s="55"/>
      <c r="AB26" s="55"/>
      <c r="AC26" s="55"/>
      <c r="AD26" s="55"/>
      <c r="AE26" s="55"/>
      <c r="AF26" s="55"/>
    </row>
    <row r="27" spans="1:32" s="57" customFormat="1" ht="15.75" hidden="1" customHeight="1">
      <c r="A27" s="17" t="s">
        <v>84</v>
      </c>
      <c r="B27" s="2"/>
      <c r="C27" s="51"/>
      <c r="D27" s="51"/>
      <c r="E27" s="51"/>
      <c r="F27" s="51"/>
      <c r="G27" s="51"/>
      <c r="H27" s="51"/>
      <c r="I27" s="51"/>
      <c r="J27" s="51"/>
      <c r="K27" s="51"/>
      <c r="L27" s="51"/>
      <c r="M27" s="51"/>
      <c r="N27" s="51"/>
      <c r="O27" s="51"/>
      <c r="P27" s="51"/>
      <c r="Q27" s="51"/>
      <c r="R27" s="52"/>
      <c r="S27" s="53"/>
      <c r="T27" s="54"/>
      <c r="U27" s="52"/>
      <c r="V27" s="55"/>
      <c r="W27" s="55"/>
      <c r="X27" s="52"/>
      <c r="Y27" s="52"/>
      <c r="Z27" s="56"/>
      <c r="AA27" s="55"/>
      <c r="AB27" s="55"/>
      <c r="AC27" s="55"/>
      <c r="AD27" s="55"/>
      <c r="AE27" s="55"/>
      <c r="AF27" s="55"/>
    </row>
    <row r="28" spans="1:32" s="57" customFormat="1" ht="15.75" hidden="1" customHeight="1">
      <c r="A28" s="17" t="s">
        <v>86</v>
      </c>
      <c r="B28" s="2"/>
      <c r="C28" s="51"/>
      <c r="D28" s="51"/>
      <c r="E28" s="51"/>
      <c r="F28" s="51"/>
      <c r="G28" s="51"/>
      <c r="H28" s="51"/>
      <c r="I28" s="51"/>
      <c r="J28" s="51"/>
      <c r="K28" s="51"/>
      <c r="L28" s="51"/>
      <c r="M28" s="51"/>
      <c r="N28" s="51"/>
      <c r="O28" s="51"/>
      <c r="P28" s="51"/>
      <c r="Q28" s="51"/>
      <c r="R28" s="52"/>
      <c r="S28" s="53"/>
      <c r="T28" s="54"/>
      <c r="U28" s="52"/>
      <c r="V28" s="55"/>
      <c r="W28" s="55"/>
      <c r="X28" s="52"/>
      <c r="Y28" s="52"/>
      <c r="Z28" s="56"/>
      <c r="AA28" s="55"/>
      <c r="AB28" s="55"/>
      <c r="AC28" s="55"/>
      <c r="AD28" s="55"/>
      <c r="AE28" s="55"/>
      <c r="AF28" s="55"/>
    </row>
    <row r="29" spans="1:32" s="57" customFormat="1" ht="15.75" hidden="1" customHeight="1">
      <c r="A29" s="17" t="s">
        <v>87</v>
      </c>
      <c r="B29" s="2"/>
      <c r="C29" s="51"/>
      <c r="D29" s="51"/>
      <c r="E29" s="51"/>
      <c r="F29" s="51"/>
      <c r="G29" s="51"/>
      <c r="H29" s="51"/>
      <c r="I29" s="51"/>
      <c r="J29" s="51"/>
      <c r="K29" s="51"/>
      <c r="L29" s="51"/>
      <c r="M29" s="51"/>
      <c r="N29" s="51"/>
      <c r="O29" s="51"/>
      <c r="P29" s="51"/>
      <c r="Q29" s="51"/>
      <c r="R29" s="52"/>
      <c r="S29" s="53"/>
      <c r="T29" s="54"/>
      <c r="U29" s="52"/>
      <c r="V29" s="55"/>
      <c r="W29" s="55"/>
      <c r="X29" s="52"/>
      <c r="Y29" s="52"/>
      <c r="Z29" s="56"/>
      <c r="AA29" s="55"/>
      <c r="AB29" s="55"/>
      <c r="AC29" s="55"/>
      <c r="AD29" s="55"/>
      <c r="AE29" s="55"/>
      <c r="AF29" s="55"/>
    </row>
    <row r="30" spans="1:32" s="57" customFormat="1" ht="15.75" hidden="1" customHeight="1">
      <c r="A30" s="17" t="s">
        <v>89</v>
      </c>
      <c r="B30" s="2"/>
      <c r="C30" s="51"/>
      <c r="D30" s="51"/>
      <c r="E30" s="51"/>
      <c r="F30" s="51"/>
      <c r="G30" s="51"/>
      <c r="H30" s="51"/>
      <c r="I30" s="51"/>
      <c r="J30" s="51"/>
      <c r="K30" s="51"/>
      <c r="L30" s="51"/>
      <c r="M30" s="51"/>
      <c r="N30" s="51"/>
      <c r="O30" s="51"/>
      <c r="P30" s="51"/>
      <c r="Q30" s="51"/>
      <c r="R30" s="52"/>
      <c r="S30" s="53"/>
      <c r="T30" s="54"/>
      <c r="U30" s="52"/>
      <c r="V30" s="55"/>
      <c r="W30" s="55"/>
      <c r="X30" s="52"/>
      <c r="Y30" s="52"/>
      <c r="Z30" s="56"/>
      <c r="AA30" s="55"/>
      <c r="AB30" s="55"/>
      <c r="AC30" s="55"/>
      <c r="AD30" s="55"/>
      <c r="AE30" s="55"/>
      <c r="AF30" s="55"/>
    </row>
    <row r="31" spans="1:32" s="57" customFormat="1" ht="15.75" hidden="1" customHeight="1">
      <c r="A31" s="17" t="s">
        <v>90</v>
      </c>
      <c r="B31" s="2"/>
      <c r="C31" s="51"/>
      <c r="D31" s="51"/>
      <c r="E31" s="51"/>
      <c r="F31" s="51"/>
      <c r="G31" s="51"/>
      <c r="H31" s="51"/>
      <c r="I31" s="51"/>
      <c r="J31" s="51"/>
      <c r="K31" s="51"/>
      <c r="L31" s="51"/>
      <c r="M31" s="51"/>
      <c r="N31" s="51"/>
      <c r="O31" s="51"/>
      <c r="P31" s="51"/>
      <c r="Q31" s="51"/>
      <c r="R31" s="52"/>
      <c r="S31" s="53"/>
      <c r="T31" s="54"/>
      <c r="U31" s="52"/>
      <c r="V31" s="55"/>
      <c r="W31" s="55"/>
      <c r="X31" s="52"/>
      <c r="Y31" s="52"/>
      <c r="Z31" s="56"/>
      <c r="AA31" s="55"/>
      <c r="AB31" s="55"/>
      <c r="AC31" s="55"/>
      <c r="AD31" s="55"/>
      <c r="AE31" s="55"/>
      <c r="AF31" s="55"/>
    </row>
    <row r="32" spans="1:32" s="57" customFormat="1" ht="15.75" hidden="1" customHeight="1">
      <c r="A32" s="17" t="s">
        <v>92</v>
      </c>
      <c r="B32" s="2"/>
      <c r="C32" s="51"/>
      <c r="D32" s="51"/>
      <c r="E32" s="51"/>
      <c r="F32" s="51"/>
      <c r="G32" s="51"/>
      <c r="H32" s="51"/>
      <c r="I32" s="51"/>
      <c r="J32" s="51"/>
      <c r="K32" s="51"/>
      <c r="L32" s="51"/>
      <c r="M32" s="51"/>
      <c r="N32" s="51"/>
      <c r="O32" s="51"/>
      <c r="P32" s="51"/>
      <c r="Q32" s="51"/>
      <c r="R32" s="52"/>
      <c r="S32" s="53"/>
      <c r="T32" s="54"/>
      <c r="U32" s="52"/>
      <c r="V32" s="55"/>
      <c r="W32" s="55"/>
      <c r="X32" s="52"/>
      <c r="Y32" s="52"/>
      <c r="Z32" s="56"/>
      <c r="AA32" s="55"/>
      <c r="AB32" s="55"/>
      <c r="AC32" s="55"/>
      <c r="AD32" s="55"/>
      <c r="AE32" s="55"/>
      <c r="AF32" s="52"/>
    </row>
    <row r="33" spans="1:32" s="57" customFormat="1" ht="15.75" hidden="1" customHeight="1">
      <c r="A33" s="17" t="s">
        <v>94</v>
      </c>
      <c r="B33" s="2"/>
      <c r="C33" s="51"/>
      <c r="D33" s="51"/>
      <c r="E33" s="51"/>
      <c r="F33" s="51"/>
      <c r="G33" s="51"/>
      <c r="H33" s="51"/>
      <c r="I33" s="51"/>
      <c r="J33" s="51"/>
      <c r="K33" s="51"/>
      <c r="L33" s="51"/>
      <c r="M33" s="51"/>
      <c r="N33" s="51"/>
      <c r="O33" s="51"/>
      <c r="P33" s="51"/>
      <c r="Q33" s="51"/>
      <c r="R33" s="52"/>
      <c r="S33" s="53"/>
      <c r="T33" s="54"/>
      <c r="U33" s="52"/>
      <c r="V33" s="55"/>
      <c r="W33" s="55"/>
      <c r="X33" s="52"/>
      <c r="Y33" s="52"/>
      <c r="Z33" s="56"/>
      <c r="AA33" s="55"/>
      <c r="AB33" s="55"/>
      <c r="AC33" s="55"/>
      <c r="AD33" s="55"/>
      <c r="AE33" s="55"/>
      <c r="AF33" s="55"/>
    </row>
    <row r="34" spans="1:32" s="57" customFormat="1" ht="15.75" hidden="1" customHeight="1">
      <c r="A34" s="17" t="s">
        <v>95</v>
      </c>
      <c r="B34" s="2"/>
      <c r="C34" s="51"/>
      <c r="D34" s="51"/>
      <c r="E34" s="51"/>
      <c r="F34" s="51"/>
      <c r="G34" s="51"/>
      <c r="H34" s="51"/>
      <c r="I34" s="51"/>
      <c r="J34" s="51"/>
      <c r="K34" s="51"/>
      <c r="L34" s="51"/>
      <c r="M34" s="51"/>
      <c r="N34" s="51"/>
      <c r="O34" s="51"/>
      <c r="P34" s="51"/>
      <c r="Q34" s="51"/>
      <c r="R34" s="55"/>
      <c r="S34" s="53"/>
      <c r="T34" s="54"/>
      <c r="U34" s="52"/>
      <c r="V34" s="55"/>
      <c r="W34" s="55"/>
      <c r="X34" s="52"/>
      <c r="Y34" s="52"/>
      <c r="Z34" s="56"/>
      <c r="AA34" s="55"/>
      <c r="AB34" s="55"/>
      <c r="AC34" s="55"/>
      <c r="AD34" s="55"/>
      <c r="AE34" s="55"/>
      <c r="AF34" s="55"/>
    </row>
    <row r="35" spans="1:32" s="57" customFormat="1" ht="15.75" hidden="1" customHeight="1">
      <c r="A35" s="17" t="s">
        <v>96</v>
      </c>
      <c r="B35" s="2"/>
      <c r="C35" s="51"/>
      <c r="D35" s="51"/>
      <c r="E35" s="51"/>
      <c r="F35" s="51"/>
      <c r="G35" s="51"/>
      <c r="H35" s="51"/>
      <c r="I35" s="51"/>
      <c r="J35" s="51"/>
      <c r="K35" s="51"/>
      <c r="L35" s="51"/>
      <c r="M35" s="51"/>
      <c r="N35" s="51"/>
      <c r="O35" s="51"/>
      <c r="P35" s="51"/>
      <c r="Q35" s="51"/>
      <c r="R35" s="55"/>
      <c r="S35" s="53"/>
      <c r="T35" s="54"/>
      <c r="U35" s="52"/>
      <c r="V35" s="55"/>
      <c r="W35" s="55"/>
      <c r="X35" s="52"/>
      <c r="Y35" s="52"/>
      <c r="Z35" s="56"/>
      <c r="AA35" s="55"/>
      <c r="AB35" s="55"/>
      <c r="AC35" s="55"/>
      <c r="AD35" s="55"/>
      <c r="AE35" s="55"/>
      <c r="AF35" s="55"/>
    </row>
    <row r="36" spans="1:32" s="57" customFormat="1" ht="15.75" hidden="1" customHeight="1">
      <c r="A36" s="17" t="s">
        <v>98</v>
      </c>
      <c r="B36" s="2"/>
      <c r="C36" s="51"/>
      <c r="D36" s="51"/>
      <c r="E36" s="51"/>
      <c r="F36" s="51"/>
      <c r="G36" s="51"/>
      <c r="H36" s="51"/>
      <c r="I36" s="51"/>
      <c r="J36" s="51"/>
      <c r="K36" s="51"/>
      <c r="L36" s="51"/>
      <c r="M36" s="51"/>
      <c r="N36" s="51"/>
      <c r="O36" s="51"/>
      <c r="P36" s="51"/>
      <c r="Q36" s="51"/>
      <c r="R36" s="55"/>
      <c r="S36" s="53"/>
      <c r="T36" s="54"/>
      <c r="U36" s="55"/>
      <c r="V36" s="55"/>
      <c r="W36" s="55"/>
      <c r="X36" s="55"/>
      <c r="Y36" s="52"/>
      <c r="Z36" s="56"/>
      <c r="AA36" s="55"/>
      <c r="AB36" s="55"/>
      <c r="AC36" s="55"/>
      <c r="AD36" s="55"/>
      <c r="AE36" s="55"/>
      <c r="AF36" s="55"/>
    </row>
    <row r="37" spans="1:32" s="57" customFormat="1" ht="15.75" hidden="1" customHeight="1">
      <c r="A37" s="17" t="s">
        <v>99</v>
      </c>
      <c r="B37" s="2"/>
      <c r="C37" s="51"/>
      <c r="D37" s="51"/>
      <c r="E37" s="51"/>
      <c r="F37" s="51"/>
      <c r="G37" s="51"/>
      <c r="H37" s="51"/>
      <c r="I37" s="51"/>
      <c r="J37" s="51"/>
      <c r="K37" s="51"/>
      <c r="L37" s="51"/>
      <c r="M37" s="51"/>
      <c r="N37" s="51"/>
      <c r="O37" s="51"/>
      <c r="P37" s="51"/>
      <c r="Q37" s="51"/>
      <c r="R37" s="55"/>
      <c r="S37" s="53"/>
      <c r="T37" s="54"/>
      <c r="U37" s="52"/>
      <c r="V37" s="55"/>
      <c r="W37" s="55"/>
      <c r="X37" s="52"/>
      <c r="Y37" s="52"/>
      <c r="Z37" s="56"/>
      <c r="AA37" s="55"/>
      <c r="AB37" s="55"/>
      <c r="AC37" s="55"/>
      <c r="AD37" s="55"/>
      <c r="AE37" s="55"/>
      <c r="AF37" s="55"/>
    </row>
    <row r="38" spans="1:32" s="57" customFormat="1" ht="15.75" hidden="1" customHeight="1">
      <c r="A38" s="17" t="s">
        <v>100</v>
      </c>
      <c r="B38" s="2"/>
      <c r="C38" s="51"/>
      <c r="D38" s="51"/>
      <c r="E38" s="51"/>
      <c r="F38" s="51"/>
      <c r="G38" s="51"/>
      <c r="H38" s="51"/>
      <c r="I38" s="51"/>
      <c r="J38" s="51"/>
      <c r="K38" s="51"/>
      <c r="L38" s="51"/>
      <c r="M38" s="51"/>
      <c r="N38" s="51"/>
      <c r="O38" s="51"/>
      <c r="P38" s="51"/>
      <c r="Q38" s="51"/>
      <c r="R38" s="52"/>
      <c r="S38" s="53"/>
      <c r="T38" s="54"/>
      <c r="U38" s="52"/>
      <c r="V38" s="55"/>
      <c r="W38" s="55"/>
      <c r="X38" s="52"/>
      <c r="Y38" s="52"/>
      <c r="Z38" s="56"/>
      <c r="AA38" s="55"/>
      <c r="AB38" s="55"/>
      <c r="AC38" s="55"/>
      <c r="AD38" s="55"/>
      <c r="AE38" s="55"/>
      <c r="AF38" s="55"/>
    </row>
    <row r="39" spans="1:32" s="57" customFormat="1" ht="15.75" hidden="1" customHeight="1">
      <c r="A39" s="17" t="s">
        <v>101</v>
      </c>
      <c r="B39" s="2"/>
      <c r="C39" s="51"/>
      <c r="D39" s="51"/>
      <c r="E39" s="51"/>
      <c r="F39" s="51"/>
      <c r="G39" s="51"/>
      <c r="H39" s="51"/>
      <c r="I39" s="51"/>
      <c r="J39" s="51"/>
      <c r="K39" s="51"/>
      <c r="L39" s="51"/>
      <c r="M39" s="51"/>
      <c r="N39" s="51"/>
      <c r="O39" s="51"/>
      <c r="P39" s="51"/>
      <c r="Q39" s="51"/>
      <c r="R39" s="55"/>
      <c r="S39" s="53"/>
      <c r="T39" s="54"/>
      <c r="U39" s="52"/>
      <c r="V39" s="55"/>
      <c r="W39" s="55"/>
      <c r="X39" s="52"/>
      <c r="Y39" s="52"/>
      <c r="Z39" s="56"/>
      <c r="AA39" s="52"/>
      <c r="AB39" s="55"/>
      <c r="AC39" s="55"/>
      <c r="AD39" s="55"/>
      <c r="AE39" s="55"/>
      <c r="AF39" s="55"/>
    </row>
    <row r="40" spans="1:32" s="57" customFormat="1" ht="15.75" hidden="1" customHeight="1">
      <c r="A40" s="17" t="s">
        <v>102</v>
      </c>
      <c r="B40" s="2"/>
      <c r="C40" s="51"/>
      <c r="D40" s="51"/>
      <c r="E40" s="51"/>
      <c r="F40" s="51"/>
      <c r="G40" s="51"/>
      <c r="H40" s="51"/>
      <c r="I40" s="51"/>
      <c r="J40" s="51"/>
      <c r="K40" s="51"/>
      <c r="L40" s="51"/>
      <c r="M40" s="51"/>
      <c r="N40" s="51"/>
      <c r="O40" s="51"/>
      <c r="P40" s="51"/>
      <c r="Q40" s="51"/>
      <c r="R40" s="55"/>
      <c r="S40" s="53"/>
      <c r="T40" s="54"/>
      <c r="U40" s="52"/>
      <c r="V40" s="55"/>
      <c r="W40" s="55"/>
      <c r="X40" s="52"/>
      <c r="Y40" s="52"/>
      <c r="Z40" s="56"/>
      <c r="AA40" s="55"/>
      <c r="AB40" s="55"/>
      <c r="AC40" s="55"/>
      <c r="AD40" s="55"/>
      <c r="AE40" s="55"/>
      <c r="AF40" s="55"/>
    </row>
    <row r="41" spans="1:32" s="57" customFormat="1" ht="15.75" hidden="1" customHeight="1">
      <c r="A41" s="17" t="s">
        <v>105</v>
      </c>
      <c r="B41" s="2"/>
      <c r="C41" s="51"/>
      <c r="D41" s="51"/>
      <c r="E41" s="51"/>
      <c r="F41" s="51"/>
      <c r="G41" s="51"/>
      <c r="H41" s="51"/>
      <c r="I41" s="51"/>
      <c r="J41" s="51"/>
      <c r="K41" s="51"/>
      <c r="L41" s="51"/>
      <c r="M41" s="51"/>
      <c r="N41" s="51"/>
      <c r="O41" s="51"/>
      <c r="P41" s="51"/>
      <c r="Q41" s="51"/>
      <c r="R41" s="55"/>
      <c r="S41" s="53"/>
      <c r="T41" s="54"/>
      <c r="U41" s="52"/>
      <c r="V41" s="55"/>
      <c r="W41" s="55"/>
      <c r="X41" s="52"/>
      <c r="Y41" s="52"/>
      <c r="Z41" s="56"/>
      <c r="AA41" s="55"/>
      <c r="AB41" s="55"/>
      <c r="AC41" s="55"/>
      <c r="AD41" s="55"/>
      <c r="AE41" s="55"/>
      <c r="AF41" s="55"/>
    </row>
    <row r="42" spans="1:32" s="57" customFormat="1" ht="15.75" hidden="1" customHeight="1">
      <c r="A42" s="17" t="s">
        <v>106</v>
      </c>
      <c r="B42" s="2"/>
      <c r="C42" s="51"/>
      <c r="D42" s="51"/>
      <c r="E42" s="51"/>
      <c r="F42" s="51"/>
      <c r="G42" s="51"/>
      <c r="H42" s="51"/>
      <c r="I42" s="51"/>
      <c r="J42" s="51"/>
      <c r="K42" s="51"/>
      <c r="L42" s="51"/>
      <c r="M42" s="51"/>
      <c r="N42" s="51"/>
      <c r="O42" s="51"/>
      <c r="P42" s="51"/>
      <c r="Q42" s="51"/>
      <c r="R42" s="55"/>
      <c r="S42" s="53"/>
      <c r="T42" s="54"/>
      <c r="U42" s="52"/>
      <c r="V42" s="55"/>
      <c r="W42" s="55"/>
      <c r="X42" s="52"/>
      <c r="Y42" s="52"/>
      <c r="Z42" s="56"/>
      <c r="AA42" s="55"/>
      <c r="AB42" s="55"/>
      <c r="AC42" s="55"/>
      <c r="AD42" s="55"/>
      <c r="AE42" s="55"/>
      <c r="AF42" s="55"/>
    </row>
    <row r="43" spans="1:32" s="57" customFormat="1" ht="15.75" hidden="1" customHeight="1">
      <c r="A43" s="17" t="s">
        <v>107</v>
      </c>
      <c r="B43" s="2"/>
      <c r="C43" s="51"/>
      <c r="D43" s="51"/>
      <c r="E43" s="51"/>
      <c r="F43" s="51"/>
      <c r="G43" s="51"/>
      <c r="H43" s="51"/>
      <c r="I43" s="51"/>
      <c r="J43" s="51"/>
      <c r="K43" s="51"/>
      <c r="L43" s="51"/>
      <c r="M43" s="51"/>
      <c r="N43" s="51"/>
      <c r="O43" s="51"/>
      <c r="P43" s="51"/>
      <c r="Q43" s="51"/>
      <c r="R43" s="55"/>
      <c r="S43" s="53"/>
      <c r="T43" s="54"/>
      <c r="U43" s="52"/>
      <c r="V43" s="55"/>
      <c r="W43" s="55"/>
      <c r="X43" s="52"/>
      <c r="Y43" s="52"/>
      <c r="Z43" s="56"/>
      <c r="AA43" s="55"/>
      <c r="AB43" s="55"/>
      <c r="AC43" s="55"/>
      <c r="AD43" s="55"/>
      <c r="AE43" s="55"/>
      <c r="AF43" s="55"/>
    </row>
    <row r="44" spans="1:32" s="57" customFormat="1" ht="15.75" hidden="1" customHeight="1">
      <c r="A44" s="17" t="s">
        <v>108</v>
      </c>
      <c r="B44" s="2"/>
      <c r="C44" s="51"/>
      <c r="D44" s="51"/>
      <c r="E44" s="51"/>
      <c r="F44" s="51"/>
      <c r="G44" s="51"/>
      <c r="H44" s="51"/>
      <c r="I44" s="51"/>
      <c r="J44" s="51"/>
      <c r="K44" s="51"/>
      <c r="L44" s="51"/>
      <c r="M44" s="51"/>
      <c r="N44" s="51"/>
      <c r="O44" s="51"/>
      <c r="P44" s="51"/>
      <c r="Q44" s="51"/>
      <c r="R44" s="55"/>
      <c r="S44" s="53"/>
      <c r="T44" s="54"/>
      <c r="U44" s="52"/>
      <c r="V44" s="55"/>
      <c r="W44" s="55"/>
      <c r="X44" s="52"/>
      <c r="Y44" s="52"/>
      <c r="Z44" s="56"/>
      <c r="AA44" s="55"/>
      <c r="AB44" s="55"/>
      <c r="AC44" s="55"/>
      <c r="AD44" s="55"/>
      <c r="AE44" s="55"/>
      <c r="AF44" s="55"/>
    </row>
    <row r="45" spans="1:32" s="57" customFormat="1" ht="15.75" hidden="1" customHeight="1">
      <c r="A45" s="17" t="s">
        <v>109</v>
      </c>
      <c r="B45" s="2"/>
      <c r="C45" s="51"/>
      <c r="D45" s="51"/>
      <c r="E45" s="51"/>
      <c r="F45" s="51"/>
      <c r="G45" s="51"/>
      <c r="H45" s="51"/>
      <c r="I45" s="51"/>
      <c r="J45" s="51"/>
      <c r="K45" s="51"/>
      <c r="L45" s="51"/>
      <c r="M45" s="51"/>
      <c r="N45" s="51"/>
      <c r="O45" s="51"/>
      <c r="P45" s="51"/>
      <c r="Q45" s="51"/>
      <c r="R45" s="55"/>
      <c r="S45" s="53"/>
      <c r="T45" s="54"/>
      <c r="U45" s="52"/>
      <c r="V45" s="55"/>
      <c r="W45" s="55"/>
      <c r="X45" s="52"/>
      <c r="Y45" s="52"/>
      <c r="Z45" s="56"/>
      <c r="AA45" s="55"/>
      <c r="AB45" s="55"/>
      <c r="AC45" s="55"/>
      <c r="AD45" s="55"/>
      <c r="AE45" s="55"/>
      <c r="AF45" s="55"/>
    </row>
    <row r="46" spans="1:32" s="57" customFormat="1" ht="15.75" hidden="1" customHeight="1">
      <c r="A46" s="17" t="s">
        <v>111</v>
      </c>
      <c r="B46" s="2"/>
      <c r="C46" s="51"/>
      <c r="D46" s="51"/>
      <c r="E46" s="51"/>
      <c r="F46" s="51"/>
      <c r="G46" s="51"/>
      <c r="H46" s="51"/>
      <c r="I46" s="51"/>
      <c r="J46" s="51"/>
      <c r="K46" s="51"/>
      <c r="L46" s="51"/>
      <c r="M46" s="51"/>
      <c r="N46" s="51"/>
      <c r="O46" s="51"/>
      <c r="P46" s="51"/>
      <c r="Q46" s="51"/>
      <c r="R46" s="55"/>
      <c r="S46" s="53"/>
      <c r="T46" s="54"/>
      <c r="U46" s="52"/>
      <c r="V46" s="55"/>
      <c r="W46" s="55"/>
      <c r="X46" s="52"/>
      <c r="Y46" s="52"/>
      <c r="Z46" s="56"/>
      <c r="AA46" s="55"/>
      <c r="AB46" s="55"/>
      <c r="AC46" s="55"/>
      <c r="AD46" s="55"/>
      <c r="AE46" s="55"/>
      <c r="AF46" s="55"/>
    </row>
    <row r="47" spans="1:32" s="57" customFormat="1" ht="15.75" hidden="1" customHeight="1">
      <c r="A47" s="17" t="s">
        <v>113</v>
      </c>
      <c r="B47" s="2"/>
      <c r="C47" s="51"/>
      <c r="D47" s="51"/>
      <c r="E47" s="51"/>
      <c r="F47" s="51"/>
      <c r="G47" s="51"/>
      <c r="H47" s="51"/>
      <c r="I47" s="51"/>
      <c r="J47" s="51"/>
      <c r="K47" s="51"/>
      <c r="L47" s="51"/>
      <c r="M47" s="51"/>
      <c r="N47" s="51"/>
      <c r="O47" s="51"/>
      <c r="P47" s="51"/>
      <c r="Q47" s="51"/>
      <c r="R47" s="55"/>
      <c r="S47" s="53"/>
      <c r="T47" s="54"/>
      <c r="U47" s="52"/>
      <c r="V47" s="55"/>
      <c r="W47" s="55"/>
      <c r="X47" s="52"/>
      <c r="Y47" s="52"/>
      <c r="Z47" s="56"/>
      <c r="AA47" s="55"/>
      <c r="AB47" s="55"/>
      <c r="AC47" s="55"/>
      <c r="AD47" s="55"/>
      <c r="AE47" s="55"/>
      <c r="AF47" s="55"/>
    </row>
    <row r="48" spans="1:32" s="57" customFormat="1" ht="15.75" hidden="1" customHeight="1">
      <c r="A48" s="17" t="s">
        <v>115</v>
      </c>
      <c r="B48" s="2"/>
      <c r="C48" s="51"/>
      <c r="D48" s="51"/>
      <c r="E48" s="51"/>
      <c r="F48" s="51"/>
      <c r="G48" s="51"/>
      <c r="H48" s="51"/>
      <c r="I48" s="51"/>
      <c r="J48" s="51"/>
      <c r="K48" s="51"/>
      <c r="L48" s="51"/>
      <c r="M48" s="51"/>
      <c r="N48" s="51"/>
      <c r="O48" s="51"/>
      <c r="P48" s="51"/>
      <c r="Q48" s="51"/>
      <c r="R48" s="55"/>
      <c r="S48" s="53"/>
      <c r="T48" s="54"/>
      <c r="U48" s="52"/>
      <c r="V48" s="55"/>
      <c r="W48" s="55"/>
      <c r="X48" s="52"/>
      <c r="Y48" s="52"/>
      <c r="Z48" s="56"/>
      <c r="AA48" s="55"/>
      <c r="AB48" s="55"/>
      <c r="AC48" s="55"/>
      <c r="AD48" s="55"/>
      <c r="AE48" s="55"/>
      <c r="AF48" s="55"/>
    </row>
    <row r="49" spans="1:32" s="57" customFormat="1" ht="15.75" customHeight="1">
      <c r="A49" s="2" t="s">
        <v>117</v>
      </c>
      <c r="B49" s="2"/>
      <c r="C49" s="51">
        <f t="shared" ref="C49:C56" si="1">IFERROR(F49/D49," - ")</f>
        <v>29.95</v>
      </c>
      <c r="D49" s="51">
        <v>2</v>
      </c>
      <c r="E49" s="51">
        <v>0</v>
      </c>
      <c r="F49" s="51">
        <v>59.9</v>
      </c>
      <c r="G49" s="51">
        <v>0</v>
      </c>
      <c r="H49" s="51">
        <f t="shared" ref="H49:H56" si="2">G49/F49*-1</f>
        <v>0</v>
      </c>
      <c r="I49" s="51">
        <f t="shared" ref="I49:I56" si="3">J49/F49</f>
        <v>0.26584307178631056</v>
      </c>
      <c r="J49" s="51">
        <f t="shared" ref="J49:J56" si="4">F49*0.85+G49+AD49*D49+D49*AC49+AE49+AB49</f>
        <v>15.924000000000001</v>
      </c>
      <c r="K49" s="51">
        <f t="shared" ref="K49:K56" si="5">J49/D49</f>
        <v>7.9620000000000006</v>
      </c>
      <c r="L49" s="51">
        <v>24</v>
      </c>
      <c r="M49" s="51">
        <f t="shared" ref="M49:M56" si="6">IFERROR(D49/L49,"-")</f>
        <v>8.3333333333333329E-2</v>
      </c>
      <c r="N49" s="51">
        <v>28</v>
      </c>
      <c r="O49" s="51">
        <f t="shared" ref="O49:P49" si="7">D49/7</f>
        <v>0.2857142857142857</v>
      </c>
      <c r="P49" s="51">
        <f t="shared" si="7"/>
        <v>0</v>
      </c>
      <c r="Q49" s="51">
        <f t="shared" ref="Q49:Q56" si="8">ROUNDDOWN(N49/(O49+P49),0)</f>
        <v>98</v>
      </c>
      <c r="R49" s="55">
        <f ca="1">IFERROR(__xludf.DUMMYFUNCTION("IFERROR(VLOOKUP($B$2,IMPORTRANGE(""https://docs.google.com/spreadsheets/d/1iVgg6Mw12RULLujzHmfOFIY8Q_KaAD8anoZzgtVAQ74/edit#gid=1503384807"",""Second Star - Summary!A1:AD2000""),9,FALSE),"""")"),0)</f>
        <v>0</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ref="V49:V56" si="9">IFERROR(U49/D49,0)</f>
        <v>0</v>
      </c>
      <c r="W49" s="55">
        <f t="shared" ref="W49:W56" si="10">IFERROR(G49/(U49+X49)*-1,0)</f>
        <v>0</v>
      </c>
      <c r="X49" s="55">
        <v>0</v>
      </c>
      <c r="Y49" s="55" t="s">
        <v>35</v>
      </c>
      <c r="Z49" s="56">
        <f t="shared" ref="Z49:Z56" si="11">IF(OR(Y49="UsLargeStandardSize",Y49="UsSmallStandardSize"),-2.4,-1.2)</f>
        <v>-2.4</v>
      </c>
      <c r="AA49" s="55">
        <v>5.0763888888888879E-2</v>
      </c>
      <c r="AB49" s="55">
        <f t="shared" ref="AB49:AB56" si="12">IFERROR(Z49*AA49*D49*3,0)</f>
        <v>-0.73099999999999987</v>
      </c>
      <c r="AC49" s="55">
        <v>-5.8</v>
      </c>
      <c r="AD49" s="55">
        <v>-11.33</v>
      </c>
      <c r="AE49" s="55">
        <v>0</v>
      </c>
      <c r="AF49" s="55">
        <v>7.1428571428571397E-2</v>
      </c>
    </row>
    <row r="50" spans="1:32" s="57" customFormat="1" ht="15.75" customHeight="1">
      <c r="A50" s="2" t="s">
        <v>119</v>
      </c>
      <c r="B50" s="2"/>
      <c r="C50" s="51">
        <f t="shared" si="1"/>
        <v>29.95</v>
      </c>
      <c r="D50" s="51">
        <v>1</v>
      </c>
      <c r="E50" s="51">
        <v>0</v>
      </c>
      <c r="F50" s="51">
        <v>29.95</v>
      </c>
      <c r="G50" s="51">
        <v>0</v>
      </c>
      <c r="H50" s="51">
        <f t="shared" si="2"/>
        <v>0</v>
      </c>
      <c r="I50" s="51">
        <f t="shared" si="3"/>
        <v>0.26584307178631056</v>
      </c>
      <c r="J50" s="51">
        <f t="shared" si="4"/>
        <v>7.9620000000000006</v>
      </c>
      <c r="K50" s="51">
        <f t="shared" si="5"/>
        <v>7.9620000000000006</v>
      </c>
      <c r="L50" s="51">
        <v>22</v>
      </c>
      <c r="M50" s="51">
        <f t="shared" si="6"/>
        <v>4.5454545454545456E-2</v>
      </c>
      <c r="N50" s="51">
        <v>27</v>
      </c>
      <c r="O50" s="51">
        <f t="shared" ref="O50:P50" si="13">D50/7</f>
        <v>0.14285714285714285</v>
      </c>
      <c r="P50" s="51">
        <f t="shared" si="13"/>
        <v>0</v>
      </c>
      <c r="Q50" s="51">
        <f t="shared" si="8"/>
        <v>189</v>
      </c>
      <c r="R50" s="55">
        <f ca="1">IFERROR(__xludf.DUMMYFUNCTION("IFERROR(VLOOKUP($B$2,IMPORTRANGE(""https://docs.google.com/spreadsheets/d/1iVgg6Mw12RULLujzHmfOFIY8Q_KaAD8anoZzgtVAQ74/edit#gid=1503384807"",""Second Star - Summary!A1:AD2000""),9,FALSE),"""")"),0)</f>
        <v>0</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9"/>
        <v>0</v>
      </c>
      <c r="W50" s="55">
        <f t="shared" si="10"/>
        <v>0</v>
      </c>
      <c r="X50" s="55">
        <v>0</v>
      </c>
      <c r="Y50" s="55" t="s">
        <v>35</v>
      </c>
      <c r="Z50" s="56">
        <f t="shared" si="11"/>
        <v>-2.4</v>
      </c>
      <c r="AA50" s="55">
        <v>5.0763888888888879E-2</v>
      </c>
      <c r="AB50" s="55">
        <f t="shared" si="12"/>
        <v>-0.36549999999999994</v>
      </c>
      <c r="AC50" s="55">
        <v>-5.8</v>
      </c>
      <c r="AD50" s="55">
        <v>-11.33</v>
      </c>
      <c r="AE50" s="55">
        <v>0</v>
      </c>
      <c r="AF50" s="55">
        <v>0.14285714285714199</v>
      </c>
    </row>
    <row r="51" spans="1:32" s="57" customFormat="1" ht="15.75" customHeight="1">
      <c r="A51" s="2" t="s">
        <v>121</v>
      </c>
      <c r="B51" s="2" t="s">
        <v>859</v>
      </c>
      <c r="C51" s="51" t="str">
        <f t="shared" si="1"/>
        <v xml:space="preserve"> - </v>
      </c>
      <c r="D51" s="51">
        <v>0</v>
      </c>
      <c r="E51" s="51">
        <v>0</v>
      </c>
      <c r="F51" s="51">
        <v>0</v>
      </c>
      <c r="G51" s="51">
        <v>0</v>
      </c>
      <c r="H51" s="51" t="e">
        <f t="shared" si="2"/>
        <v>#DIV/0!</v>
      </c>
      <c r="I51" s="51" t="e">
        <f t="shared" si="3"/>
        <v>#DIV/0!</v>
      </c>
      <c r="J51" s="51">
        <f t="shared" si="4"/>
        <v>0</v>
      </c>
      <c r="K51" s="51" t="e">
        <f t="shared" si="5"/>
        <v>#DIV/0!</v>
      </c>
      <c r="L51" s="51">
        <v>0</v>
      </c>
      <c r="M51" s="51" t="str">
        <f t="shared" si="6"/>
        <v>-</v>
      </c>
      <c r="N51" s="51">
        <v>27</v>
      </c>
      <c r="O51" s="51">
        <f t="shared" ref="O51:P51" si="14">D51/7</f>
        <v>0</v>
      </c>
      <c r="P51" s="51">
        <f t="shared" si="14"/>
        <v>0</v>
      </c>
      <c r="Q51" s="51" t="e">
        <f t="shared" si="8"/>
        <v>#DIV/0!</v>
      </c>
      <c r="R51" s="55">
        <f ca="1">IFERROR(__xludf.DUMMYFUNCTION("IFERROR(VLOOKUP($B$2,IMPORTRANGE(""https://docs.google.com/spreadsheets/d/1iVgg6Mw12RULLujzHmfOFIY8Q_KaAD8anoZzgtVAQ74/edit#gid=1503384807"",""Second Star - Summary!A1:AD2000""),9,FALSE),"""")"),0)</f>
        <v>0</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9"/>
        <v>0</v>
      </c>
      <c r="W51" s="55">
        <f t="shared" si="10"/>
        <v>0</v>
      </c>
      <c r="X51" s="55">
        <v>0</v>
      </c>
      <c r="Y51" s="55" t="s">
        <v>35</v>
      </c>
      <c r="Z51" s="56">
        <f t="shared" si="11"/>
        <v>-2.4</v>
      </c>
      <c r="AA51" s="55">
        <v>5.0763888888888879E-2</v>
      </c>
      <c r="AB51" s="55">
        <f t="shared" si="12"/>
        <v>0</v>
      </c>
      <c r="AC51" s="55">
        <v>-5.8</v>
      </c>
      <c r="AD51" s="55">
        <v>-11.33</v>
      </c>
      <c r="AE51" s="55">
        <v>0</v>
      </c>
      <c r="AF51" s="55">
        <v>0.22222222222222199</v>
      </c>
    </row>
    <row r="52" spans="1:32" s="57" customFormat="1" ht="15.75" customHeight="1">
      <c r="A52" s="2" t="s">
        <v>123</v>
      </c>
      <c r="B52" s="2" t="s">
        <v>860</v>
      </c>
      <c r="C52" s="51">
        <f t="shared" si="1"/>
        <v>19.989999999999998</v>
      </c>
      <c r="D52" s="51">
        <v>3</v>
      </c>
      <c r="E52" s="51">
        <v>0</v>
      </c>
      <c r="F52" s="51">
        <v>59.97</v>
      </c>
      <c r="G52" s="51">
        <v>-8.7100000000000009</v>
      </c>
      <c r="H52" s="51">
        <f t="shared" si="2"/>
        <v>0.14523928630982161</v>
      </c>
      <c r="I52" s="51">
        <f t="shared" si="3"/>
        <v>-0.17045189261297317</v>
      </c>
      <c r="J52" s="51">
        <f t="shared" si="4"/>
        <v>-10.222000000000001</v>
      </c>
      <c r="K52" s="51">
        <f t="shared" si="5"/>
        <v>-3.4073333333333338</v>
      </c>
      <c r="L52" s="51">
        <v>20</v>
      </c>
      <c r="M52" s="51">
        <f t="shared" si="6"/>
        <v>0.15</v>
      </c>
      <c r="N52" s="51">
        <v>23</v>
      </c>
      <c r="O52" s="51">
        <f t="shared" ref="O52:P52" si="15">D52/7</f>
        <v>0.42857142857142855</v>
      </c>
      <c r="P52" s="51">
        <f t="shared" si="15"/>
        <v>0</v>
      </c>
      <c r="Q52" s="51">
        <f t="shared" si="8"/>
        <v>53</v>
      </c>
      <c r="R52" s="55">
        <f ca="1">IFERROR(__xludf.DUMMYFUNCTION("IFERROR(VLOOKUP($B$2,IMPORTRANGE(""https://docs.google.com/spreadsheets/d/1iVgg6Mw12RULLujzHmfOFIY8Q_KaAD8anoZzgtVAQ74/edit#gid=1503384807"",""Second Star - Summary!A1:AD2000""),9,FALSE),"""")"),0)</f>
        <v>0</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9"/>
        <v>0</v>
      </c>
      <c r="W52" s="55">
        <f t="shared" si="10"/>
        <v>0</v>
      </c>
      <c r="X52" s="55">
        <v>0</v>
      </c>
      <c r="Y52" s="55" t="s">
        <v>35</v>
      </c>
      <c r="Z52" s="56">
        <f t="shared" si="11"/>
        <v>-2.4</v>
      </c>
      <c r="AA52" s="55">
        <v>5.0763888888888879E-2</v>
      </c>
      <c r="AB52" s="55">
        <f t="shared" si="12"/>
        <v>-1.0964999999999998</v>
      </c>
      <c r="AC52" s="55">
        <v>-5.8</v>
      </c>
      <c r="AD52" s="55">
        <v>-11.33</v>
      </c>
      <c r="AE52" s="55">
        <v>0</v>
      </c>
      <c r="AF52" s="55">
        <v>0.30769230769230699</v>
      </c>
    </row>
    <row r="53" spans="1:32" s="57" customFormat="1">
      <c r="A53" s="2" t="s">
        <v>38</v>
      </c>
      <c r="B53" s="2" t="s">
        <v>861</v>
      </c>
      <c r="C53" s="51">
        <f t="shared" si="1"/>
        <v>22.99</v>
      </c>
      <c r="D53" s="51">
        <v>3</v>
      </c>
      <c r="E53" s="51">
        <v>0</v>
      </c>
      <c r="F53" s="51">
        <v>68.97</v>
      </c>
      <c r="G53" s="51">
        <v>-13.09</v>
      </c>
      <c r="H53" s="51">
        <f t="shared" si="2"/>
        <v>0.18979266347687401</v>
      </c>
      <c r="I53" s="51">
        <f t="shared" si="3"/>
        <v>-0.10507949877197195</v>
      </c>
      <c r="J53" s="51">
        <f t="shared" si="4"/>
        <v>-7.2473330303029053</v>
      </c>
      <c r="K53" s="51">
        <f t="shared" si="5"/>
        <v>-2.4157776767676351</v>
      </c>
      <c r="L53" s="51">
        <v>35</v>
      </c>
      <c r="M53" s="51">
        <f t="shared" si="6"/>
        <v>8.5714285714285715E-2</v>
      </c>
      <c r="N53" s="51">
        <v>20</v>
      </c>
      <c r="O53" s="51">
        <f t="shared" ref="O53:P53" si="16">D53/7</f>
        <v>0.42857142857142855</v>
      </c>
      <c r="P53" s="51">
        <f t="shared" si="16"/>
        <v>0</v>
      </c>
      <c r="Q53" s="51">
        <f t="shared" si="8"/>
        <v>46</v>
      </c>
      <c r="R53" s="55">
        <f ca="1">IFERROR(__xludf.DUMMYFUNCTION("IFERROR(VLOOKUP($B$2,IMPORTRANGE(""https://docs.google.com/spreadsheets/d/1iVgg6Mw12RULLujzHmfOFIY8Q_KaAD8anoZzgtVAQ74/edit#gid=1503384807"",""Second Star - Summary!A1:AD2000""),9,FALSE),"""")"),0)</f>
        <v>0</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9"/>
        <v>0</v>
      </c>
      <c r="W53" s="55">
        <f t="shared" si="10"/>
        <v>0</v>
      </c>
      <c r="X53" s="55">
        <v>0</v>
      </c>
      <c r="Y53" s="55" t="s">
        <v>35</v>
      </c>
      <c r="Z53" s="56">
        <f t="shared" si="11"/>
        <v>-2.4</v>
      </c>
      <c r="AA53" s="55">
        <v>5.0763888888888879E-2</v>
      </c>
      <c r="AB53" s="55">
        <f t="shared" si="12"/>
        <v>-1.0964999999999998</v>
      </c>
      <c r="AC53" s="55">
        <v>-5.8</v>
      </c>
      <c r="AD53" s="55">
        <v>-11.4284443434343</v>
      </c>
      <c r="AE53" s="55">
        <v>0</v>
      </c>
      <c r="AF53" s="55">
        <v>0.22641509433962201</v>
      </c>
    </row>
    <row r="54" spans="1:32" s="57" customFormat="1">
      <c r="A54" s="2" t="s">
        <v>40</v>
      </c>
      <c r="B54" s="2"/>
      <c r="C54" s="51">
        <f t="shared" si="1"/>
        <v>23.656666666666666</v>
      </c>
      <c r="D54" s="51">
        <v>3</v>
      </c>
      <c r="E54" s="51">
        <v>0</v>
      </c>
      <c r="F54" s="51">
        <v>70.97</v>
      </c>
      <c r="G54" s="51">
        <v>0</v>
      </c>
      <c r="H54" s="51">
        <f t="shared" si="2"/>
        <v>0</v>
      </c>
      <c r="I54" s="51">
        <f t="shared" si="3"/>
        <v>7.2462547128323243E-2</v>
      </c>
      <c r="J54" s="51">
        <f t="shared" si="4"/>
        <v>5.1426669696971006</v>
      </c>
      <c r="K54" s="51">
        <f t="shared" si="5"/>
        <v>1.7142223232323668</v>
      </c>
      <c r="L54" s="51">
        <v>29</v>
      </c>
      <c r="M54" s="51">
        <f t="shared" si="6"/>
        <v>0.10344827586206896</v>
      </c>
      <c r="N54" s="51">
        <v>14</v>
      </c>
      <c r="O54" s="51">
        <f t="shared" ref="O54:P54" si="17">D54/7</f>
        <v>0.42857142857142855</v>
      </c>
      <c r="P54" s="51">
        <f t="shared" si="17"/>
        <v>0</v>
      </c>
      <c r="Q54" s="51">
        <f t="shared" si="8"/>
        <v>32</v>
      </c>
      <c r="R54" s="55">
        <f ca="1">IFERROR(__xludf.DUMMYFUNCTION("IFERROR(VLOOKUP($B$2,IMPORTRANGE(""https://docs.google.com/spreadsheets/d/1iVgg6Mw12RULLujzHmfOFIY8Q_KaAD8anoZzgtVAQ74/edit#gid=1503384807"",""Second Star - Summary!A1:AD2000""),9,FALSE),"""")"),0)</f>
        <v>0</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9"/>
        <v>0</v>
      </c>
      <c r="W54" s="55">
        <f t="shared" si="10"/>
        <v>0</v>
      </c>
      <c r="X54" s="55">
        <v>0</v>
      </c>
      <c r="Y54" s="55" t="s">
        <v>35</v>
      </c>
      <c r="Z54" s="56">
        <f t="shared" si="11"/>
        <v>-2.4</v>
      </c>
      <c r="AA54" s="55">
        <v>5.0763888888888879E-2</v>
      </c>
      <c r="AB54" s="55">
        <f t="shared" si="12"/>
        <v>-1.0964999999999998</v>
      </c>
      <c r="AC54" s="55">
        <v>-5.8</v>
      </c>
      <c r="AD54" s="55">
        <v>-11.4284443434343</v>
      </c>
      <c r="AE54" s="55">
        <v>-2.4</v>
      </c>
      <c r="AF54" s="55">
        <v>0.86666666666666603</v>
      </c>
    </row>
    <row r="55" spans="1:32" s="57" customFormat="1" ht="15.75" customHeight="1">
      <c r="A55" s="2" t="s">
        <v>32</v>
      </c>
      <c r="B55" s="2" t="s">
        <v>862</v>
      </c>
      <c r="C55" s="51">
        <f t="shared" si="1"/>
        <v>24.55</v>
      </c>
      <c r="D55" s="51">
        <v>5</v>
      </c>
      <c r="E55" s="51">
        <v>0</v>
      </c>
      <c r="F55" s="51">
        <v>122.75</v>
      </c>
      <c r="G55" s="51">
        <v>0</v>
      </c>
      <c r="H55" s="51">
        <f t="shared" si="2"/>
        <v>0</v>
      </c>
      <c r="I55" s="51">
        <f t="shared" si="3"/>
        <v>0.13334238926947853</v>
      </c>
      <c r="J55" s="51">
        <f t="shared" si="4"/>
        <v>16.367778282828489</v>
      </c>
      <c r="K55" s="51">
        <f t="shared" si="5"/>
        <v>3.2735556565656978</v>
      </c>
      <c r="L55" s="51">
        <v>29</v>
      </c>
      <c r="M55" s="51">
        <f t="shared" si="6"/>
        <v>0.17241379310344829</v>
      </c>
      <c r="N55" s="51">
        <v>12</v>
      </c>
      <c r="O55" s="51">
        <f t="shared" ref="O55:P55" si="18">D55/7</f>
        <v>0.7142857142857143</v>
      </c>
      <c r="P55" s="51">
        <f t="shared" si="18"/>
        <v>0</v>
      </c>
      <c r="Q55" s="51">
        <f t="shared" si="8"/>
        <v>16</v>
      </c>
      <c r="R55" s="55">
        <v>0</v>
      </c>
      <c r="S55" s="53" t="s">
        <v>34</v>
      </c>
      <c r="T55" s="54" t="s">
        <v>34</v>
      </c>
      <c r="U55" s="55">
        <v>0</v>
      </c>
      <c r="V55" s="55">
        <f t="shared" si="9"/>
        <v>0</v>
      </c>
      <c r="W55" s="55">
        <f t="shared" si="10"/>
        <v>0</v>
      </c>
      <c r="X55" s="55">
        <v>0</v>
      </c>
      <c r="Y55" s="55" t="s">
        <v>35</v>
      </c>
      <c r="Z55" s="56">
        <f t="shared" si="11"/>
        <v>-2.4</v>
      </c>
      <c r="AA55" s="55">
        <v>5.0763888888888879E-2</v>
      </c>
      <c r="AB55" s="55">
        <f t="shared" si="12"/>
        <v>-1.8274999999999997</v>
      </c>
      <c r="AC55" s="55">
        <v>-5.8</v>
      </c>
      <c r="AD55" s="55">
        <v>-11.4284443434343</v>
      </c>
      <c r="AE55" s="55">
        <v>0</v>
      </c>
      <c r="AF55" s="55">
        <v>1.5</v>
      </c>
    </row>
    <row r="56" spans="1:32" s="57" customFormat="1" ht="15.75" customHeight="1">
      <c r="A56" s="2" t="s">
        <v>36</v>
      </c>
      <c r="B56" s="2"/>
      <c r="C56" s="51">
        <f t="shared" si="1"/>
        <v>25.97</v>
      </c>
      <c r="D56" s="51">
        <v>2</v>
      </c>
      <c r="E56" s="51">
        <v>0</v>
      </c>
      <c r="F56" s="51">
        <v>51.94</v>
      </c>
      <c r="G56" s="51">
        <v>0</v>
      </c>
      <c r="H56" s="51">
        <f t="shared" si="2"/>
        <v>0</v>
      </c>
      <c r="I56" s="51">
        <f t="shared" si="3"/>
        <v>0.17252813463864833</v>
      </c>
      <c r="J56" s="51">
        <f t="shared" si="4"/>
        <v>8.9611113131313935</v>
      </c>
      <c r="K56" s="51">
        <f t="shared" si="5"/>
        <v>4.4805556565656968</v>
      </c>
      <c r="L56" s="51">
        <v>26</v>
      </c>
      <c r="M56" s="51">
        <f t="shared" si="6"/>
        <v>7.6923076923076927E-2</v>
      </c>
      <c r="N56" s="51">
        <v>9</v>
      </c>
      <c r="O56" s="51">
        <f t="shared" ref="O56:P56" si="19">D56/7</f>
        <v>0.2857142857142857</v>
      </c>
      <c r="P56" s="51">
        <f t="shared" si="19"/>
        <v>0</v>
      </c>
      <c r="Q56" s="51">
        <f t="shared" si="8"/>
        <v>31</v>
      </c>
      <c r="R56" s="55">
        <f ca="1">IFERROR(__xludf.DUMMYFUNCTION("IFERROR(VLOOKUP($B$2,IMPORTRANGE(""https://docs.google.com/spreadsheets/d/1iVgg6Mw12RULLujzHmfOFIY8Q_KaAD8anoZzgtVAQ74/edit#gid=1503384807"",""Second Star - Summary!A1:AD2000""),9,FALSE),"""")"),0)</f>
        <v>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9"/>
        <v>0</v>
      </c>
      <c r="W56" s="55">
        <f t="shared" si="10"/>
        <v>0</v>
      </c>
      <c r="X56" s="55">
        <v>0</v>
      </c>
      <c r="Y56" s="55" t="s">
        <v>35</v>
      </c>
      <c r="Z56" s="56">
        <f t="shared" si="11"/>
        <v>-2.4</v>
      </c>
      <c r="AA56" s="55">
        <v>5.0763888888888879E-2</v>
      </c>
      <c r="AB56" s="55">
        <f t="shared" si="12"/>
        <v>-0.73099999999999987</v>
      </c>
      <c r="AC56" s="55">
        <v>-5.8</v>
      </c>
      <c r="AD56" s="55">
        <v>-11.4284443434343</v>
      </c>
      <c r="AE56" s="55">
        <v>0</v>
      </c>
      <c r="AF56" s="55">
        <v>1</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3"/>
    </row>
    <row r="222" spans="1:3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3"/>
    </row>
    <row r="223" spans="1:32"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3"/>
    </row>
    <row r="224" spans="1:32"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3"/>
    </row>
    <row r="225" spans="1:32"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3"/>
    </row>
    <row r="226" spans="1:32"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3"/>
    </row>
    <row r="227" spans="1:32"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3"/>
    </row>
    <row r="228" spans="1:32"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3"/>
    </row>
    <row r="229" spans="1:32"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3"/>
    </row>
    <row r="230" spans="1:32"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3"/>
    </row>
    <row r="231" spans="1:32"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3"/>
    </row>
    <row r="232" spans="1: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3"/>
    </row>
    <row r="233" spans="1:32"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3"/>
    </row>
    <row r="234" spans="1:32"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3"/>
    </row>
    <row r="235" spans="1:32"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3"/>
    </row>
    <row r="236" spans="1:32"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3"/>
    </row>
    <row r="237" spans="1:32"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3"/>
    </row>
    <row r="238" spans="1:32"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3"/>
    </row>
    <row r="239" spans="1:32"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row r="252" spans="1:32" ht="15.75" customHeight="1"/>
    <row r="253" spans="1:32" ht="15.75" customHeight="1"/>
    <row r="254" spans="1:32" ht="15.75" customHeight="1"/>
    <row r="255" spans="1:32" ht="15.75" customHeight="1"/>
    <row r="256" spans="1:3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321" priority="1" operator="lessThan">
      <formula>100</formula>
    </cfRule>
  </conditionalFormatting>
  <conditionalFormatting sqref="Q1:Q3 Q57:Q1000">
    <cfRule type="cellIs" dxfId="320" priority="2" operator="lessThan">
      <formula>100</formula>
    </cfRule>
  </conditionalFormatting>
  <conditionalFormatting sqref="I1:I3 I57:I1000">
    <cfRule type="cellIs" dxfId="319" priority="3" operator="lessThan">
      <formula>0.05</formula>
    </cfRule>
  </conditionalFormatting>
  <conditionalFormatting sqref="I4:I17">
    <cfRule type="cellIs" dxfId="318" priority="4" operator="lessThan">
      <formula>0.05</formula>
    </cfRule>
  </conditionalFormatting>
  <conditionalFormatting sqref="I18:I48">
    <cfRule type="cellIs" dxfId="317" priority="5" operator="lessThan">
      <formula>0.05</formula>
    </cfRule>
  </conditionalFormatting>
  <conditionalFormatting sqref="Q4:Q48">
    <cfRule type="cellIs" dxfId="316" priority="6" operator="lessThan">
      <formula>100</formula>
    </cfRule>
  </conditionalFormatting>
  <conditionalFormatting sqref="Q4:Q48">
    <cfRule type="cellIs" dxfId="315" priority="7" operator="lessThan">
      <formula>100</formula>
    </cfRule>
  </conditionalFormatting>
  <conditionalFormatting sqref="I49:I56">
    <cfRule type="cellIs" dxfId="314" priority="8" operator="lessThan">
      <formula>0.05</formula>
    </cfRule>
  </conditionalFormatting>
  <conditionalFormatting sqref="Q49:Q56">
    <cfRule type="cellIs" dxfId="313" priority="9" operator="lessThan">
      <formula>100</formula>
    </cfRule>
  </conditionalFormatting>
  <conditionalFormatting sqref="Q49:Q56">
    <cfRule type="cellIs" dxfId="312" priority="10" operator="lessThan">
      <formula>100</formula>
    </cfRule>
  </conditionalFormatting>
  <pageMargins left="0.7" right="0.7" top="0.75" bottom="0.75" header="0" footer="0"/>
  <pageSetup orientation="portrait"/>
  <legacy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4.6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Info!B1:BJ5000""),4,FALSE),"""")"),"Heavy Duty Vinyl Zippered Waterproof Bed Bug Proof Mattress Protector - 16-Inch Depth - Queen")</f>
        <v>Heavy Duty Vinyl Zippered Waterproof Bed Bug Proof Mattress Protector - 16-Inch Depth - Queen</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Info!B1:BJ5000""),3,FALSE),"""")"),"B00IOWBM4E")</f>
        <v>B00IOWBM4E</v>
      </c>
      <c r="B2" s="4" t="s">
        <v>863</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20.090739393939295</v>
      </c>
      <c r="D3" s="8">
        <f>SUM(D4:D99819)</f>
        <v>3</v>
      </c>
      <c r="E3" s="8"/>
      <c r="F3" s="9">
        <f t="shared" ref="F3:G3" si="0">SUM(F4:F99819)</f>
        <v>71.97</v>
      </c>
      <c r="G3" s="9">
        <f t="shared" si="0"/>
        <v>0</v>
      </c>
      <c r="H3" s="10">
        <f>G3/F3*-1</f>
        <v>0</v>
      </c>
      <c r="I3" s="11">
        <f>J3/F3</f>
        <v>7.8277261990479255E-2</v>
      </c>
      <c r="J3" s="9">
        <f>SUM(J4:J99819)</f>
        <v>5.6336145454547921</v>
      </c>
      <c r="K3" s="9">
        <f>J3/D3</f>
        <v>1.8778715151515974</v>
      </c>
      <c r="L3" s="8"/>
      <c r="M3" s="12"/>
      <c r="N3" s="13"/>
      <c r="O3" s="8" t="str">
        <f ca="1">IFERROR(__xludf.DUMMYFUNCTION("IFERROR(VLOOKUP(B2,IMPORTRANGE(""https://docs.google.com/spreadsheets/d/1owCo6kL_VFQ5nPTdNogErmCBLjNiktT1m3SzTrxu3R0/edit#gid=2146806407"",""Second Star - Compiled!b1:g5000""),2,FALSE),"""")"),"0 - March
0 - April
0 - May
0 - Jun
0 - Jul
0 - Aug
0 - Sept
0 - Oct
0 - Nov
0 - Dec
0 - Jan
0 - Feb")</f>
        <v>0 - March
0 - April
0 - May
0 - Jun
0 - Jul
0 - Aug
0 - Sept
0 - Oct
0 - Nov
0 - Dec
0 - Jan
0 - Feb</v>
      </c>
      <c r="P3" s="8"/>
      <c r="Q3" s="14"/>
      <c r="R3" s="13"/>
      <c r="S3" s="13"/>
      <c r="T3" s="13"/>
      <c r="U3" s="8">
        <f>SUM(U4:U99819)</f>
        <v>0</v>
      </c>
      <c r="V3" s="10">
        <f>AVERAGE(V4:V99819)</f>
        <v>0</v>
      </c>
      <c r="W3" s="9">
        <f>ROUND(AVERAGE(W4:W99819),2)</f>
        <v>0</v>
      </c>
      <c r="X3" s="8"/>
      <c r="Y3" s="8"/>
      <c r="Z3" s="8"/>
      <c r="AA3" s="8"/>
      <c r="AB3" s="8"/>
      <c r="AC3" s="15"/>
      <c r="AD3" s="9"/>
      <c r="AE3" s="9">
        <f>SUM(AE4:AE99819)</f>
        <v>0</v>
      </c>
      <c r="AF3" s="16"/>
    </row>
    <row r="4" spans="1:32" s="57" customFormat="1" hidden="1">
      <c r="A4" s="17"/>
      <c r="B4" s="17"/>
      <c r="C4" s="50"/>
      <c r="D4" s="51"/>
      <c r="E4" s="51"/>
      <c r="F4" s="51"/>
      <c r="G4" s="51"/>
      <c r="H4" s="51"/>
      <c r="I4" s="51"/>
      <c r="J4" s="51"/>
      <c r="K4" s="51"/>
      <c r="L4" s="51"/>
      <c r="M4" s="51"/>
      <c r="N4" s="51"/>
      <c r="O4" s="51"/>
      <c r="P4" s="51"/>
      <c r="Q4" s="51"/>
      <c r="R4" s="52"/>
      <c r="S4" s="53"/>
      <c r="T4" s="54"/>
      <c r="U4" s="52"/>
      <c r="V4" s="55"/>
      <c r="W4" s="55"/>
      <c r="X4" s="52"/>
      <c r="Y4" s="56"/>
      <c r="Z4" s="56"/>
      <c r="AA4" s="55"/>
      <c r="AB4" s="55"/>
      <c r="AC4" s="55"/>
      <c r="AD4" s="55"/>
      <c r="AE4" s="55"/>
      <c r="AF4" s="55"/>
    </row>
    <row r="5" spans="1:32" s="57" customFormat="1" ht="15.75" hidden="1" customHeight="1">
      <c r="A5" s="17"/>
      <c r="B5" s="2"/>
      <c r="C5" s="51"/>
      <c r="D5" s="51"/>
      <c r="E5" s="51"/>
      <c r="F5" s="51"/>
      <c r="G5" s="51"/>
      <c r="H5" s="51"/>
      <c r="I5" s="51"/>
      <c r="J5" s="51"/>
      <c r="K5" s="51"/>
      <c r="L5" s="51"/>
      <c r="M5" s="51"/>
      <c r="N5" s="51"/>
      <c r="O5" s="51"/>
      <c r="P5" s="51"/>
      <c r="Q5" s="51"/>
      <c r="R5" s="52"/>
      <c r="S5" s="53"/>
      <c r="T5" s="54"/>
      <c r="U5" s="52"/>
      <c r="V5" s="55"/>
      <c r="W5" s="55"/>
      <c r="X5" s="52"/>
      <c r="Y5" s="52"/>
      <c r="Z5" s="56"/>
      <c r="AA5" s="55"/>
      <c r="AB5" s="55"/>
      <c r="AC5" s="55"/>
      <c r="AD5" s="55"/>
      <c r="AE5" s="55"/>
      <c r="AF5" s="55"/>
    </row>
    <row r="6" spans="1:32" s="57" customFormat="1" ht="15.75" hidden="1" customHeight="1">
      <c r="A6" s="17"/>
      <c r="B6" s="2"/>
      <c r="C6" s="51"/>
      <c r="D6" s="51"/>
      <c r="E6" s="51"/>
      <c r="F6" s="51"/>
      <c r="G6" s="51"/>
      <c r="H6" s="51"/>
      <c r="I6" s="51"/>
      <c r="J6" s="51"/>
      <c r="K6" s="51"/>
      <c r="L6" s="51"/>
      <c r="M6" s="51"/>
      <c r="N6" s="51"/>
      <c r="O6" s="51"/>
      <c r="P6" s="51"/>
      <c r="Q6" s="51"/>
      <c r="R6" s="52"/>
      <c r="S6" s="53"/>
      <c r="T6" s="54"/>
      <c r="U6" s="52"/>
      <c r="V6" s="55"/>
      <c r="W6" s="55"/>
      <c r="X6" s="52"/>
      <c r="Y6" s="52"/>
      <c r="Z6" s="56"/>
      <c r="AA6" s="55"/>
      <c r="AB6" s="55"/>
      <c r="AC6" s="55"/>
      <c r="AD6" s="55"/>
      <c r="AE6" s="55"/>
      <c r="AF6" s="55"/>
    </row>
    <row r="7" spans="1:32" s="57" customFormat="1" ht="15.75" hidden="1" customHeight="1">
      <c r="A7" s="17"/>
      <c r="B7" s="2"/>
      <c r="C7" s="51"/>
      <c r="D7" s="51"/>
      <c r="E7" s="51"/>
      <c r="F7" s="51"/>
      <c r="G7" s="51"/>
      <c r="H7" s="51"/>
      <c r="I7" s="51"/>
      <c r="J7" s="51"/>
      <c r="K7" s="51"/>
      <c r="L7" s="51"/>
      <c r="M7" s="51"/>
      <c r="N7" s="51"/>
      <c r="O7" s="51"/>
      <c r="P7" s="51"/>
      <c r="Q7" s="51"/>
      <c r="R7" s="52"/>
      <c r="S7" s="53"/>
      <c r="T7" s="54"/>
      <c r="U7" s="52"/>
      <c r="V7" s="55"/>
      <c r="W7" s="55"/>
      <c r="X7" s="52"/>
      <c r="Y7" s="52"/>
      <c r="Z7" s="56"/>
      <c r="AA7" s="55"/>
      <c r="AB7" s="55"/>
      <c r="AC7" s="55"/>
      <c r="AD7" s="55"/>
      <c r="AE7" s="55"/>
      <c r="AF7" s="55"/>
    </row>
    <row r="8" spans="1:32" s="57" customFormat="1" ht="15.75" hidden="1" customHeight="1">
      <c r="A8" s="17"/>
      <c r="B8" s="2"/>
      <c r="C8" s="51"/>
      <c r="D8" s="51"/>
      <c r="E8" s="51"/>
      <c r="F8" s="51"/>
      <c r="G8" s="51"/>
      <c r="H8" s="51"/>
      <c r="I8" s="51"/>
      <c r="J8" s="51"/>
      <c r="K8" s="51"/>
      <c r="L8" s="51"/>
      <c r="M8" s="51"/>
      <c r="N8" s="51"/>
      <c r="O8" s="51"/>
      <c r="P8" s="51"/>
      <c r="Q8" s="51"/>
      <c r="R8" s="52"/>
      <c r="S8" s="53"/>
      <c r="T8" s="54"/>
      <c r="U8" s="52"/>
      <c r="V8" s="55"/>
      <c r="W8" s="55"/>
      <c r="X8" s="52"/>
      <c r="Y8" s="52"/>
      <c r="Z8" s="56"/>
      <c r="AA8" s="55"/>
      <c r="AB8" s="55"/>
      <c r="AC8" s="55"/>
      <c r="AD8" s="55"/>
      <c r="AE8" s="55"/>
      <c r="AF8" s="55"/>
    </row>
    <row r="9" spans="1:32" s="57" customFormat="1" ht="15.75" hidden="1" customHeight="1">
      <c r="A9" s="17"/>
      <c r="B9" s="2"/>
      <c r="C9" s="51"/>
      <c r="D9" s="51"/>
      <c r="E9" s="51"/>
      <c r="F9" s="51"/>
      <c r="G9" s="51"/>
      <c r="H9" s="51"/>
      <c r="I9" s="51"/>
      <c r="J9" s="51"/>
      <c r="K9" s="51"/>
      <c r="L9" s="51"/>
      <c r="M9" s="51"/>
      <c r="N9" s="51"/>
      <c r="O9" s="51"/>
      <c r="P9" s="51"/>
      <c r="Q9" s="51"/>
      <c r="R9" s="52"/>
      <c r="S9" s="53"/>
      <c r="T9" s="54"/>
      <c r="U9" s="52"/>
      <c r="V9" s="55"/>
      <c r="W9" s="55"/>
      <c r="X9" s="52"/>
      <c r="Y9" s="52"/>
      <c r="Z9" s="56"/>
      <c r="AA9" s="55"/>
      <c r="AB9" s="55"/>
      <c r="AC9" s="55"/>
      <c r="AD9" s="55"/>
      <c r="AE9" s="55"/>
      <c r="AF9" s="55"/>
    </row>
    <row r="10" spans="1:32" s="57" customFormat="1" ht="15.75" hidden="1" customHeight="1">
      <c r="A10" s="17"/>
      <c r="B10" s="2"/>
      <c r="C10" s="51"/>
      <c r="D10" s="51"/>
      <c r="E10" s="51"/>
      <c r="F10" s="51"/>
      <c r="G10" s="51"/>
      <c r="H10" s="51"/>
      <c r="I10" s="51"/>
      <c r="J10" s="51"/>
      <c r="K10" s="51"/>
      <c r="L10" s="51"/>
      <c r="M10" s="51"/>
      <c r="N10" s="51"/>
      <c r="O10" s="51"/>
      <c r="P10" s="51"/>
      <c r="Q10" s="51"/>
      <c r="R10" s="52"/>
      <c r="S10" s="53"/>
      <c r="T10" s="54"/>
      <c r="U10" s="52"/>
      <c r="V10" s="55"/>
      <c r="W10" s="55"/>
      <c r="X10" s="52"/>
      <c r="Y10" s="52"/>
      <c r="Z10" s="56"/>
      <c r="AA10" s="55"/>
      <c r="AB10" s="55"/>
      <c r="AC10" s="55"/>
      <c r="AD10" s="55"/>
      <c r="AE10" s="55"/>
      <c r="AF10" s="55"/>
    </row>
    <row r="11" spans="1:32" s="57" customFormat="1" ht="15.75" hidden="1" customHeight="1">
      <c r="A11" s="17"/>
      <c r="B11" s="17"/>
      <c r="C11" s="51"/>
      <c r="D11" s="51"/>
      <c r="E11" s="51"/>
      <c r="F11" s="51"/>
      <c r="G11" s="51"/>
      <c r="H11" s="51"/>
      <c r="I11" s="51"/>
      <c r="J11" s="51"/>
      <c r="K11" s="51"/>
      <c r="L11" s="51"/>
      <c r="M11" s="51"/>
      <c r="N11" s="51"/>
      <c r="O11" s="51"/>
      <c r="P11" s="51"/>
      <c r="Q11" s="51"/>
      <c r="R11" s="52"/>
      <c r="S11" s="53"/>
      <c r="T11" s="54"/>
      <c r="U11" s="52"/>
      <c r="V11" s="55"/>
      <c r="W11" s="55"/>
      <c r="X11" s="52"/>
      <c r="Y11" s="52"/>
      <c r="Z11" s="56"/>
      <c r="AA11" s="55"/>
      <c r="AB11" s="55"/>
      <c r="AC11" s="55"/>
      <c r="AD11" s="55"/>
      <c r="AE11" s="55"/>
      <c r="AF11" s="55"/>
    </row>
    <row r="12" spans="1:32" s="57" customFormat="1" ht="15.75" hidden="1" customHeight="1">
      <c r="A12" s="17"/>
      <c r="B12" s="2"/>
      <c r="C12" s="51"/>
      <c r="D12" s="51"/>
      <c r="E12" s="51"/>
      <c r="F12" s="51"/>
      <c r="G12" s="51"/>
      <c r="H12" s="51"/>
      <c r="I12" s="51"/>
      <c r="J12" s="51"/>
      <c r="K12" s="51"/>
      <c r="L12" s="51"/>
      <c r="M12" s="51"/>
      <c r="N12" s="51"/>
      <c r="O12" s="51"/>
      <c r="P12" s="51"/>
      <c r="Q12" s="51"/>
      <c r="R12" s="52"/>
      <c r="S12" s="53"/>
      <c r="T12" s="54"/>
      <c r="U12" s="52"/>
      <c r="V12" s="55"/>
      <c r="W12" s="55"/>
      <c r="X12" s="52"/>
      <c r="Y12" s="52"/>
      <c r="Z12" s="56"/>
      <c r="AA12" s="55"/>
      <c r="AB12" s="55"/>
      <c r="AC12" s="55"/>
      <c r="AD12" s="55"/>
      <c r="AE12" s="55"/>
      <c r="AF12" s="55"/>
    </row>
    <row r="13" spans="1:32" s="57" customFormat="1" ht="15.75" hidden="1" customHeight="1">
      <c r="A13" s="17"/>
      <c r="B13" s="2"/>
      <c r="C13" s="51"/>
      <c r="D13" s="51"/>
      <c r="E13" s="51"/>
      <c r="F13" s="51"/>
      <c r="G13" s="51"/>
      <c r="H13" s="51"/>
      <c r="I13" s="51"/>
      <c r="J13" s="51"/>
      <c r="K13" s="51"/>
      <c r="L13" s="51"/>
      <c r="M13" s="51"/>
      <c r="N13" s="51"/>
      <c r="O13" s="51"/>
      <c r="P13" s="51"/>
      <c r="Q13" s="51"/>
      <c r="R13" s="52"/>
      <c r="S13" s="53"/>
      <c r="T13" s="54"/>
      <c r="U13" s="52"/>
      <c r="V13" s="55"/>
      <c r="W13" s="55"/>
      <c r="X13" s="52"/>
      <c r="Y13" s="52"/>
      <c r="Z13" s="56"/>
      <c r="AA13" s="55"/>
      <c r="AB13" s="55"/>
      <c r="AC13" s="55"/>
      <c r="AD13" s="55"/>
      <c r="AE13" s="55"/>
      <c r="AF13" s="55"/>
    </row>
    <row r="14" spans="1:32" s="57" customFormat="1" ht="15.75" hidden="1" customHeight="1">
      <c r="A14" s="17"/>
      <c r="B14" s="2"/>
      <c r="C14" s="51"/>
      <c r="D14" s="51"/>
      <c r="E14" s="51"/>
      <c r="F14" s="51"/>
      <c r="G14" s="51"/>
      <c r="H14" s="51"/>
      <c r="I14" s="51"/>
      <c r="J14" s="51"/>
      <c r="K14" s="51"/>
      <c r="L14" s="51"/>
      <c r="M14" s="51"/>
      <c r="N14" s="51"/>
      <c r="O14" s="51"/>
      <c r="P14" s="51"/>
      <c r="Q14" s="51"/>
      <c r="R14" s="52"/>
      <c r="S14" s="53"/>
      <c r="T14" s="54"/>
      <c r="U14" s="52"/>
      <c r="V14" s="55"/>
      <c r="W14" s="55"/>
      <c r="X14" s="52"/>
      <c r="Y14" s="52"/>
      <c r="Z14" s="56"/>
      <c r="AA14" s="55"/>
      <c r="AB14" s="55"/>
      <c r="AC14" s="55"/>
      <c r="AD14" s="55"/>
      <c r="AE14" s="55"/>
      <c r="AF14" s="55"/>
    </row>
    <row r="15" spans="1:32" s="57" customFormat="1" ht="15.75" hidden="1" customHeight="1">
      <c r="A15" s="17"/>
      <c r="B15" s="2"/>
      <c r="C15" s="51"/>
      <c r="D15" s="51"/>
      <c r="E15" s="51"/>
      <c r="F15" s="51"/>
      <c r="G15" s="51"/>
      <c r="H15" s="51"/>
      <c r="I15" s="51"/>
      <c r="J15" s="51"/>
      <c r="K15" s="51"/>
      <c r="L15" s="51"/>
      <c r="M15" s="51"/>
      <c r="N15" s="51"/>
      <c r="O15" s="51"/>
      <c r="P15" s="51"/>
      <c r="Q15" s="51"/>
      <c r="R15" s="52"/>
      <c r="S15" s="53"/>
      <c r="T15" s="54"/>
      <c r="U15" s="52"/>
      <c r="V15" s="55"/>
      <c r="W15" s="55"/>
      <c r="X15" s="52"/>
      <c r="Y15" s="52"/>
      <c r="Z15" s="56"/>
      <c r="AA15" s="55"/>
      <c r="AB15" s="55"/>
      <c r="AC15" s="55"/>
      <c r="AD15" s="55"/>
      <c r="AE15" s="55"/>
      <c r="AF15" s="55"/>
    </row>
    <row r="16" spans="1:32" s="57" customFormat="1" ht="15.75" hidden="1" customHeight="1">
      <c r="A16" s="17"/>
      <c r="B16" s="2"/>
      <c r="C16" s="51"/>
      <c r="D16" s="51"/>
      <c r="E16" s="51"/>
      <c r="F16" s="51"/>
      <c r="G16" s="51"/>
      <c r="H16" s="51"/>
      <c r="I16" s="51"/>
      <c r="J16" s="51"/>
      <c r="K16" s="51"/>
      <c r="L16" s="51"/>
      <c r="M16" s="51"/>
      <c r="N16" s="51"/>
      <c r="O16" s="51"/>
      <c r="P16" s="51"/>
      <c r="Q16" s="51"/>
      <c r="R16" s="52"/>
      <c r="S16" s="53"/>
      <c r="T16" s="54"/>
      <c r="U16" s="52"/>
      <c r="V16" s="55"/>
      <c r="W16" s="55"/>
      <c r="X16" s="52"/>
      <c r="Y16" s="52"/>
      <c r="Z16" s="56"/>
      <c r="AA16" s="55"/>
      <c r="AB16" s="55"/>
      <c r="AC16" s="55"/>
      <c r="AD16" s="55"/>
      <c r="AE16" s="55"/>
      <c r="AF16" s="55"/>
    </row>
    <row r="17" spans="1:32" s="57" customFormat="1" ht="15.75" hidden="1" customHeight="1">
      <c r="A17" s="17"/>
      <c r="B17" s="2"/>
      <c r="C17" s="51"/>
      <c r="D17" s="51"/>
      <c r="E17" s="51"/>
      <c r="F17" s="51"/>
      <c r="G17" s="51"/>
      <c r="H17" s="51"/>
      <c r="I17" s="51"/>
      <c r="J17" s="51"/>
      <c r="K17" s="51"/>
      <c r="L17" s="51"/>
      <c r="M17" s="51"/>
      <c r="N17" s="51"/>
      <c r="O17" s="51"/>
      <c r="P17" s="51"/>
      <c r="Q17" s="51"/>
      <c r="R17" s="52"/>
      <c r="S17" s="53"/>
      <c r="T17" s="54"/>
      <c r="U17" s="52"/>
      <c r="V17" s="55"/>
      <c r="W17" s="55"/>
      <c r="X17" s="52"/>
      <c r="Y17" s="52"/>
      <c r="Z17" s="56"/>
      <c r="AA17" s="55"/>
      <c r="AB17" s="55"/>
      <c r="AC17" s="55"/>
      <c r="AD17" s="55"/>
      <c r="AE17" s="55"/>
      <c r="AF17" s="55"/>
    </row>
    <row r="18" spans="1:32" s="57" customFormat="1" ht="15.75" hidden="1" customHeight="1">
      <c r="A18" s="2"/>
      <c r="B18" s="2"/>
      <c r="C18" s="51"/>
      <c r="D18" s="51"/>
      <c r="E18" s="51"/>
      <c r="F18" s="51"/>
      <c r="G18" s="51"/>
      <c r="H18" s="51"/>
      <c r="I18" s="51"/>
      <c r="J18" s="51"/>
      <c r="K18" s="51"/>
      <c r="L18" s="51"/>
      <c r="M18" s="51"/>
      <c r="N18" s="51"/>
      <c r="O18" s="51"/>
      <c r="P18" s="51"/>
      <c r="Q18" s="51"/>
      <c r="R18" s="55"/>
      <c r="S18" s="53"/>
      <c r="T18" s="54"/>
      <c r="U18" s="55"/>
      <c r="V18" s="55"/>
      <c r="W18" s="55"/>
      <c r="X18" s="55"/>
      <c r="Y18" s="55"/>
      <c r="Z18" s="56"/>
      <c r="AA18" s="55"/>
      <c r="AB18" s="58"/>
      <c r="AC18" s="55"/>
      <c r="AD18" s="55"/>
      <c r="AE18" s="55"/>
      <c r="AF18" s="55"/>
    </row>
    <row r="19" spans="1:32" s="57" customFormat="1" ht="15.75" hidden="1" customHeight="1">
      <c r="A19" s="17"/>
      <c r="B19" s="2"/>
      <c r="C19" s="51"/>
      <c r="D19" s="51"/>
      <c r="E19" s="51"/>
      <c r="F19" s="51"/>
      <c r="G19" s="51"/>
      <c r="H19" s="51"/>
      <c r="I19" s="51"/>
      <c r="J19" s="51"/>
      <c r="K19" s="51"/>
      <c r="L19" s="51"/>
      <c r="M19" s="51"/>
      <c r="N19" s="51"/>
      <c r="O19" s="51"/>
      <c r="P19" s="51"/>
      <c r="Q19" s="51"/>
      <c r="R19" s="52"/>
      <c r="S19" s="53"/>
      <c r="T19" s="54"/>
      <c r="U19" s="55"/>
      <c r="V19" s="55"/>
      <c r="W19" s="55"/>
      <c r="X19" s="52"/>
      <c r="Y19" s="52"/>
      <c r="Z19" s="56"/>
      <c r="AA19" s="55"/>
      <c r="AB19" s="55"/>
      <c r="AC19" s="55"/>
      <c r="AD19" s="55"/>
      <c r="AE19" s="55"/>
      <c r="AF19" s="55"/>
    </row>
    <row r="20" spans="1:32" s="57" customFormat="1" ht="15.75" hidden="1" customHeight="1">
      <c r="A20" s="17"/>
      <c r="B20" s="2"/>
      <c r="C20" s="51"/>
      <c r="D20" s="51"/>
      <c r="E20" s="51"/>
      <c r="F20" s="51"/>
      <c r="G20" s="51"/>
      <c r="H20" s="51"/>
      <c r="I20" s="51"/>
      <c r="J20" s="51"/>
      <c r="K20" s="51"/>
      <c r="L20" s="51"/>
      <c r="M20" s="51"/>
      <c r="N20" s="51"/>
      <c r="O20" s="51"/>
      <c r="P20" s="51"/>
      <c r="Q20" s="51"/>
      <c r="R20" s="52"/>
      <c r="S20" s="53"/>
      <c r="T20" s="54"/>
      <c r="U20" s="52"/>
      <c r="V20" s="55"/>
      <c r="W20" s="55"/>
      <c r="X20" s="52"/>
      <c r="Y20" s="52"/>
      <c r="Z20" s="56"/>
      <c r="AA20" s="55"/>
      <c r="AB20" s="55"/>
      <c r="AC20" s="55"/>
      <c r="AD20" s="55"/>
      <c r="AE20" s="55"/>
      <c r="AF20" s="55"/>
    </row>
    <row r="21" spans="1:32" s="57" customFormat="1" ht="15.75" hidden="1" customHeight="1">
      <c r="A21" s="17"/>
      <c r="B21" s="2"/>
      <c r="C21" s="51"/>
      <c r="D21" s="51"/>
      <c r="E21" s="51"/>
      <c r="F21" s="51"/>
      <c r="G21" s="51"/>
      <c r="H21" s="51"/>
      <c r="I21" s="51"/>
      <c r="J21" s="51"/>
      <c r="K21" s="51"/>
      <c r="L21" s="51"/>
      <c r="M21" s="51"/>
      <c r="N21" s="51"/>
      <c r="O21" s="51"/>
      <c r="P21" s="51"/>
      <c r="Q21" s="51"/>
      <c r="R21" s="52"/>
      <c r="S21" s="53"/>
      <c r="T21" s="54"/>
      <c r="U21" s="52"/>
      <c r="V21" s="55"/>
      <c r="W21" s="55"/>
      <c r="X21" s="52"/>
      <c r="Y21" s="52"/>
      <c r="Z21" s="56"/>
      <c r="AA21" s="55"/>
      <c r="AB21" s="55"/>
      <c r="AC21" s="55"/>
      <c r="AD21" s="55"/>
      <c r="AE21" s="55"/>
      <c r="AF21" s="55"/>
    </row>
    <row r="22" spans="1:32" s="57" customFormat="1" ht="15.75" hidden="1" customHeight="1">
      <c r="A22" s="17"/>
      <c r="B22" s="2"/>
      <c r="C22" s="51"/>
      <c r="D22" s="51"/>
      <c r="E22" s="51"/>
      <c r="F22" s="51"/>
      <c r="G22" s="51"/>
      <c r="H22" s="51"/>
      <c r="I22" s="51"/>
      <c r="J22" s="51"/>
      <c r="K22" s="51"/>
      <c r="L22" s="51"/>
      <c r="M22" s="51"/>
      <c r="N22" s="51"/>
      <c r="O22" s="51"/>
      <c r="P22" s="51"/>
      <c r="Q22" s="51"/>
      <c r="R22" s="52"/>
      <c r="S22" s="53"/>
      <c r="T22" s="54"/>
      <c r="U22" s="52"/>
      <c r="V22" s="55"/>
      <c r="W22" s="55"/>
      <c r="X22" s="52"/>
      <c r="Y22" s="52"/>
      <c r="Z22" s="56"/>
      <c r="AA22" s="55"/>
      <c r="AB22" s="55"/>
      <c r="AC22" s="55"/>
      <c r="AD22" s="55"/>
      <c r="AE22" s="55"/>
      <c r="AF22" s="55"/>
    </row>
    <row r="23" spans="1:32" s="57" customFormat="1" ht="15.75" hidden="1" customHeight="1">
      <c r="A23" s="17"/>
      <c r="B23" s="2"/>
      <c r="C23" s="51"/>
      <c r="D23" s="51"/>
      <c r="E23" s="51"/>
      <c r="F23" s="51"/>
      <c r="G23" s="51"/>
      <c r="H23" s="51"/>
      <c r="I23" s="51"/>
      <c r="J23" s="51"/>
      <c r="K23" s="51"/>
      <c r="L23" s="51"/>
      <c r="M23" s="51"/>
      <c r="N23" s="51"/>
      <c r="O23" s="51"/>
      <c r="P23" s="51"/>
      <c r="Q23" s="51"/>
      <c r="R23" s="52"/>
      <c r="S23" s="53"/>
      <c r="T23" s="54"/>
      <c r="U23" s="52"/>
      <c r="V23" s="55"/>
      <c r="W23" s="55"/>
      <c r="X23" s="52"/>
      <c r="Y23" s="52"/>
      <c r="Z23" s="56"/>
      <c r="AA23" s="55"/>
      <c r="AB23" s="55"/>
      <c r="AC23" s="55"/>
      <c r="AD23" s="55"/>
      <c r="AE23" s="55"/>
      <c r="AF23" s="55"/>
    </row>
    <row r="24" spans="1:32" s="57" customFormat="1" ht="15.75" hidden="1" customHeight="1">
      <c r="A24" s="17"/>
      <c r="B24" s="2"/>
      <c r="C24" s="51"/>
      <c r="D24" s="51"/>
      <c r="E24" s="51"/>
      <c r="F24" s="51"/>
      <c r="G24" s="51"/>
      <c r="H24" s="51"/>
      <c r="I24" s="51"/>
      <c r="J24" s="51"/>
      <c r="K24" s="51"/>
      <c r="L24" s="51"/>
      <c r="M24" s="51"/>
      <c r="N24" s="51"/>
      <c r="O24" s="51"/>
      <c r="P24" s="51"/>
      <c r="Q24" s="51"/>
      <c r="R24" s="52"/>
      <c r="S24" s="53"/>
      <c r="T24" s="54"/>
      <c r="U24" s="52"/>
      <c r="V24" s="55"/>
      <c r="W24" s="55"/>
      <c r="X24" s="52"/>
      <c r="Y24" s="52"/>
      <c r="Z24" s="56"/>
      <c r="AA24" s="55"/>
      <c r="AB24" s="55"/>
      <c r="AC24" s="55"/>
      <c r="AD24" s="55"/>
      <c r="AE24" s="55"/>
      <c r="AF24" s="55"/>
    </row>
    <row r="25" spans="1:32" s="57" customFormat="1" ht="15.75" hidden="1" customHeight="1">
      <c r="A25" s="17"/>
      <c r="B25" s="2"/>
      <c r="C25" s="51"/>
      <c r="D25" s="51"/>
      <c r="E25" s="51"/>
      <c r="F25" s="51"/>
      <c r="G25" s="51"/>
      <c r="H25" s="51"/>
      <c r="I25" s="51"/>
      <c r="J25" s="51"/>
      <c r="K25" s="51"/>
      <c r="L25" s="51"/>
      <c r="M25" s="51"/>
      <c r="N25" s="51"/>
      <c r="O25" s="51"/>
      <c r="P25" s="51"/>
      <c r="Q25" s="51"/>
      <c r="R25" s="52"/>
      <c r="S25" s="53"/>
      <c r="T25" s="54"/>
      <c r="U25" s="52"/>
      <c r="V25" s="55"/>
      <c r="W25" s="55"/>
      <c r="X25" s="52"/>
      <c r="Y25" s="52"/>
      <c r="Z25" s="56"/>
      <c r="AA25" s="55"/>
      <c r="AB25" s="55"/>
      <c r="AC25" s="55"/>
      <c r="AD25" s="55"/>
      <c r="AE25" s="55"/>
      <c r="AF25" s="55"/>
    </row>
    <row r="26" spans="1:32" s="57" customFormat="1" ht="15.75" hidden="1" customHeight="1">
      <c r="A26" s="17"/>
      <c r="B26" s="2"/>
      <c r="C26" s="51"/>
      <c r="D26" s="51"/>
      <c r="E26" s="51"/>
      <c r="F26" s="51"/>
      <c r="G26" s="51"/>
      <c r="H26" s="51"/>
      <c r="I26" s="51"/>
      <c r="J26" s="51"/>
      <c r="K26" s="51"/>
      <c r="L26" s="51"/>
      <c r="M26" s="51"/>
      <c r="N26" s="51"/>
      <c r="O26" s="51"/>
      <c r="P26" s="51"/>
      <c r="Q26" s="51"/>
      <c r="R26" s="52"/>
      <c r="S26" s="53"/>
      <c r="T26" s="54"/>
      <c r="U26" s="52"/>
      <c r="V26" s="55"/>
      <c r="W26" s="55"/>
      <c r="X26" s="52"/>
      <c r="Y26" s="52"/>
      <c r="Z26" s="56"/>
      <c r="AA26" s="55"/>
      <c r="AB26" s="55"/>
      <c r="AC26" s="55"/>
      <c r="AD26" s="55"/>
      <c r="AE26" s="55"/>
      <c r="AF26" s="55"/>
    </row>
    <row r="27" spans="1:32" s="57" customFormat="1" ht="15.75" hidden="1" customHeight="1">
      <c r="A27" s="17"/>
      <c r="B27" s="2"/>
      <c r="C27" s="51"/>
      <c r="D27" s="51"/>
      <c r="E27" s="51"/>
      <c r="F27" s="51"/>
      <c r="G27" s="51"/>
      <c r="H27" s="51"/>
      <c r="I27" s="51"/>
      <c r="J27" s="51"/>
      <c r="K27" s="51"/>
      <c r="L27" s="51"/>
      <c r="M27" s="51"/>
      <c r="N27" s="51"/>
      <c r="O27" s="51"/>
      <c r="P27" s="51"/>
      <c r="Q27" s="51"/>
      <c r="R27" s="52"/>
      <c r="S27" s="53"/>
      <c r="T27" s="54"/>
      <c r="U27" s="52"/>
      <c r="V27" s="55"/>
      <c r="W27" s="55"/>
      <c r="X27" s="52"/>
      <c r="Y27" s="52"/>
      <c r="Z27" s="56"/>
      <c r="AA27" s="55"/>
      <c r="AB27" s="55"/>
      <c r="AC27" s="55"/>
      <c r="AD27" s="55"/>
      <c r="AE27" s="55"/>
      <c r="AF27" s="55"/>
    </row>
    <row r="28" spans="1:32" s="57" customFormat="1" ht="15.75" hidden="1" customHeight="1">
      <c r="A28" s="17"/>
      <c r="B28" s="2"/>
      <c r="C28" s="51"/>
      <c r="D28" s="51"/>
      <c r="E28" s="51"/>
      <c r="F28" s="51"/>
      <c r="G28" s="51"/>
      <c r="H28" s="51"/>
      <c r="I28" s="51"/>
      <c r="J28" s="51"/>
      <c r="K28" s="51"/>
      <c r="L28" s="51"/>
      <c r="M28" s="51"/>
      <c r="N28" s="51"/>
      <c r="O28" s="51"/>
      <c r="P28" s="51"/>
      <c r="Q28" s="51"/>
      <c r="R28" s="52"/>
      <c r="S28" s="53"/>
      <c r="T28" s="54"/>
      <c r="U28" s="52"/>
      <c r="V28" s="55"/>
      <c r="W28" s="55"/>
      <c r="X28" s="52"/>
      <c r="Y28" s="52"/>
      <c r="Z28" s="56"/>
      <c r="AA28" s="55"/>
      <c r="AB28" s="55"/>
      <c r="AC28" s="55"/>
      <c r="AD28" s="55"/>
      <c r="AE28" s="55"/>
      <c r="AF28" s="55"/>
    </row>
    <row r="29" spans="1:32" s="57" customFormat="1" ht="15.75" hidden="1" customHeight="1">
      <c r="A29" s="17"/>
      <c r="B29" s="2"/>
      <c r="C29" s="51"/>
      <c r="D29" s="51"/>
      <c r="E29" s="51"/>
      <c r="F29" s="51"/>
      <c r="G29" s="51"/>
      <c r="H29" s="51"/>
      <c r="I29" s="51"/>
      <c r="J29" s="51"/>
      <c r="K29" s="51"/>
      <c r="L29" s="51"/>
      <c r="M29" s="51"/>
      <c r="N29" s="51"/>
      <c r="O29" s="51"/>
      <c r="P29" s="51"/>
      <c r="Q29" s="51"/>
      <c r="R29" s="52"/>
      <c r="S29" s="53"/>
      <c r="T29" s="54"/>
      <c r="U29" s="52"/>
      <c r="V29" s="55"/>
      <c r="W29" s="55"/>
      <c r="X29" s="52"/>
      <c r="Y29" s="52"/>
      <c r="Z29" s="56"/>
      <c r="AA29" s="55"/>
      <c r="AB29" s="55"/>
      <c r="AC29" s="55"/>
      <c r="AD29" s="55"/>
      <c r="AE29" s="55"/>
      <c r="AF29" s="55"/>
    </row>
    <row r="30" spans="1:32" s="57" customFormat="1" ht="15.75" hidden="1" customHeight="1">
      <c r="A30" s="17"/>
      <c r="B30" s="2"/>
      <c r="C30" s="51"/>
      <c r="D30" s="51"/>
      <c r="E30" s="51"/>
      <c r="F30" s="51"/>
      <c r="G30" s="51"/>
      <c r="H30" s="51"/>
      <c r="I30" s="51"/>
      <c r="J30" s="51"/>
      <c r="K30" s="51"/>
      <c r="L30" s="51"/>
      <c r="M30" s="51"/>
      <c r="N30" s="51"/>
      <c r="O30" s="51"/>
      <c r="P30" s="51"/>
      <c r="Q30" s="51"/>
      <c r="R30" s="52"/>
      <c r="S30" s="53"/>
      <c r="T30" s="54"/>
      <c r="U30" s="52"/>
      <c r="V30" s="55"/>
      <c r="W30" s="55"/>
      <c r="X30" s="52"/>
      <c r="Y30" s="52"/>
      <c r="Z30" s="56"/>
      <c r="AA30" s="55"/>
      <c r="AB30" s="55"/>
      <c r="AC30" s="55"/>
      <c r="AD30" s="55"/>
      <c r="AE30" s="55"/>
      <c r="AF30" s="55"/>
    </row>
    <row r="31" spans="1:32" s="57" customFormat="1" ht="15.75" hidden="1" customHeight="1">
      <c r="A31" s="17"/>
      <c r="B31" s="2"/>
      <c r="C31" s="51"/>
      <c r="D31" s="51"/>
      <c r="E31" s="51"/>
      <c r="F31" s="51"/>
      <c r="G31" s="51"/>
      <c r="H31" s="51"/>
      <c r="I31" s="51"/>
      <c r="J31" s="51"/>
      <c r="K31" s="51"/>
      <c r="L31" s="51"/>
      <c r="M31" s="51"/>
      <c r="N31" s="51"/>
      <c r="O31" s="51"/>
      <c r="P31" s="51"/>
      <c r="Q31" s="51"/>
      <c r="R31" s="52"/>
      <c r="S31" s="53"/>
      <c r="T31" s="54"/>
      <c r="U31" s="52"/>
      <c r="V31" s="55"/>
      <c r="W31" s="55"/>
      <c r="X31" s="52"/>
      <c r="Y31" s="52"/>
      <c r="Z31" s="56"/>
      <c r="AA31" s="55"/>
      <c r="AB31" s="55"/>
      <c r="AC31" s="55"/>
      <c r="AD31" s="55"/>
      <c r="AE31" s="55"/>
      <c r="AF31" s="55"/>
    </row>
    <row r="32" spans="1:32" s="57" customFormat="1" ht="15.75" hidden="1" customHeight="1">
      <c r="A32" s="17"/>
      <c r="B32" s="2"/>
      <c r="C32" s="51"/>
      <c r="D32" s="51"/>
      <c r="E32" s="51"/>
      <c r="F32" s="51"/>
      <c r="G32" s="51"/>
      <c r="H32" s="51"/>
      <c r="I32" s="51"/>
      <c r="J32" s="51"/>
      <c r="K32" s="51"/>
      <c r="L32" s="51"/>
      <c r="M32" s="51"/>
      <c r="N32" s="51"/>
      <c r="O32" s="51"/>
      <c r="P32" s="51"/>
      <c r="Q32" s="51"/>
      <c r="R32" s="52"/>
      <c r="S32" s="53"/>
      <c r="T32" s="54"/>
      <c r="U32" s="52"/>
      <c r="V32" s="55"/>
      <c r="W32" s="55"/>
      <c r="X32" s="52"/>
      <c r="Y32" s="52"/>
      <c r="Z32" s="56"/>
      <c r="AA32" s="55"/>
      <c r="AB32" s="55"/>
      <c r="AC32" s="55"/>
      <c r="AD32" s="55"/>
      <c r="AE32" s="55"/>
      <c r="AF32" s="52"/>
    </row>
    <row r="33" spans="1:32" s="57" customFormat="1" ht="15.75" hidden="1" customHeight="1">
      <c r="A33" s="17"/>
      <c r="B33" s="2"/>
      <c r="C33" s="51"/>
      <c r="D33" s="51"/>
      <c r="E33" s="51"/>
      <c r="F33" s="51"/>
      <c r="G33" s="51"/>
      <c r="H33" s="51"/>
      <c r="I33" s="51"/>
      <c r="J33" s="51"/>
      <c r="K33" s="51"/>
      <c r="L33" s="51"/>
      <c r="M33" s="51"/>
      <c r="N33" s="51"/>
      <c r="O33" s="51"/>
      <c r="P33" s="51"/>
      <c r="Q33" s="51"/>
      <c r="R33" s="52"/>
      <c r="S33" s="53"/>
      <c r="T33" s="54"/>
      <c r="U33" s="52"/>
      <c r="V33" s="55"/>
      <c r="W33" s="55"/>
      <c r="X33" s="52"/>
      <c r="Y33" s="52"/>
      <c r="Z33" s="56"/>
      <c r="AA33" s="55"/>
      <c r="AB33" s="55"/>
      <c r="AC33" s="55"/>
      <c r="AD33" s="55"/>
      <c r="AE33" s="55"/>
      <c r="AF33" s="55"/>
    </row>
    <row r="34" spans="1:32" s="57" customFormat="1" ht="15.75" hidden="1" customHeight="1">
      <c r="A34" s="17"/>
      <c r="B34" s="2"/>
      <c r="C34" s="51"/>
      <c r="D34" s="51"/>
      <c r="E34" s="51"/>
      <c r="F34" s="51"/>
      <c r="G34" s="51"/>
      <c r="H34" s="51"/>
      <c r="I34" s="51"/>
      <c r="J34" s="51"/>
      <c r="K34" s="51"/>
      <c r="L34" s="51"/>
      <c r="M34" s="51"/>
      <c r="N34" s="51"/>
      <c r="O34" s="51"/>
      <c r="P34" s="51"/>
      <c r="Q34" s="51"/>
      <c r="R34" s="55"/>
      <c r="S34" s="53"/>
      <c r="T34" s="54"/>
      <c r="U34" s="52"/>
      <c r="V34" s="55"/>
      <c r="W34" s="55"/>
      <c r="X34" s="52"/>
      <c r="Y34" s="52"/>
      <c r="Z34" s="56"/>
      <c r="AA34" s="55"/>
      <c r="AB34" s="55"/>
      <c r="AC34" s="55"/>
      <c r="AD34" s="55"/>
      <c r="AE34" s="55"/>
      <c r="AF34" s="55"/>
    </row>
    <row r="35" spans="1:32" s="57" customFormat="1" ht="15.75" hidden="1" customHeight="1">
      <c r="A35" s="17"/>
      <c r="B35" s="2"/>
      <c r="C35" s="51"/>
      <c r="D35" s="51"/>
      <c r="E35" s="51"/>
      <c r="F35" s="51"/>
      <c r="G35" s="51"/>
      <c r="H35" s="51"/>
      <c r="I35" s="51"/>
      <c r="J35" s="51"/>
      <c r="K35" s="51"/>
      <c r="L35" s="51"/>
      <c r="M35" s="51"/>
      <c r="N35" s="51"/>
      <c r="O35" s="51"/>
      <c r="P35" s="51"/>
      <c r="Q35" s="51"/>
      <c r="R35" s="55"/>
      <c r="S35" s="53"/>
      <c r="T35" s="54"/>
      <c r="U35" s="52"/>
      <c r="V35" s="55"/>
      <c r="W35" s="55"/>
      <c r="X35" s="52"/>
      <c r="Y35" s="52"/>
      <c r="Z35" s="56"/>
      <c r="AA35" s="55"/>
      <c r="AB35" s="55"/>
      <c r="AC35" s="55"/>
      <c r="AD35" s="55"/>
      <c r="AE35" s="55"/>
      <c r="AF35" s="55"/>
    </row>
    <row r="36" spans="1:32" s="57" customFormat="1" ht="15.75" hidden="1" customHeight="1">
      <c r="A36" s="17"/>
      <c r="B36" s="2"/>
      <c r="C36" s="51"/>
      <c r="D36" s="51"/>
      <c r="E36" s="51"/>
      <c r="F36" s="51"/>
      <c r="G36" s="51"/>
      <c r="H36" s="51"/>
      <c r="I36" s="51"/>
      <c r="J36" s="51"/>
      <c r="K36" s="51"/>
      <c r="L36" s="51"/>
      <c r="M36" s="51"/>
      <c r="N36" s="51"/>
      <c r="O36" s="51"/>
      <c r="P36" s="51"/>
      <c r="Q36" s="51"/>
      <c r="R36" s="55"/>
      <c r="S36" s="53"/>
      <c r="T36" s="54"/>
      <c r="U36" s="55"/>
      <c r="V36" s="55"/>
      <c r="W36" s="55"/>
      <c r="X36" s="55"/>
      <c r="Y36" s="52"/>
      <c r="Z36" s="56"/>
      <c r="AA36" s="55"/>
      <c r="AB36" s="55"/>
      <c r="AC36" s="55"/>
      <c r="AD36" s="55"/>
      <c r="AE36" s="55"/>
      <c r="AF36" s="55"/>
    </row>
    <row r="37" spans="1:32" s="57" customFormat="1" ht="15.75" hidden="1" customHeight="1">
      <c r="A37" s="17"/>
      <c r="B37" s="2"/>
      <c r="C37" s="51"/>
      <c r="D37" s="51"/>
      <c r="E37" s="51"/>
      <c r="F37" s="51"/>
      <c r="G37" s="51"/>
      <c r="H37" s="51"/>
      <c r="I37" s="51"/>
      <c r="J37" s="51"/>
      <c r="K37" s="51"/>
      <c r="L37" s="51"/>
      <c r="M37" s="51"/>
      <c r="N37" s="51"/>
      <c r="O37" s="51"/>
      <c r="P37" s="51"/>
      <c r="Q37" s="51"/>
      <c r="R37" s="55"/>
      <c r="S37" s="53"/>
      <c r="T37" s="54"/>
      <c r="U37" s="52"/>
      <c r="V37" s="55"/>
      <c r="W37" s="55"/>
      <c r="X37" s="52"/>
      <c r="Y37" s="52"/>
      <c r="Z37" s="56"/>
      <c r="AA37" s="55"/>
      <c r="AB37" s="55"/>
      <c r="AC37" s="55"/>
      <c r="AD37" s="55"/>
      <c r="AE37" s="55"/>
      <c r="AF37" s="55"/>
    </row>
    <row r="38" spans="1:32" s="57" customFormat="1" ht="15.75" hidden="1" customHeight="1">
      <c r="A38" s="17"/>
      <c r="B38" s="2"/>
      <c r="C38" s="51"/>
      <c r="D38" s="51"/>
      <c r="E38" s="51"/>
      <c r="F38" s="51"/>
      <c r="G38" s="51"/>
      <c r="H38" s="51"/>
      <c r="I38" s="51"/>
      <c r="J38" s="51"/>
      <c r="K38" s="51"/>
      <c r="L38" s="51"/>
      <c r="M38" s="51"/>
      <c r="N38" s="51"/>
      <c r="O38" s="51"/>
      <c r="P38" s="51"/>
      <c r="Q38" s="51"/>
      <c r="R38" s="52"/>
      <c r="S38" s="53"/>
      <c r="T38" s="54"/>
      <c r="U38" s="52"/>
      <c r="V38" s="55"/>
      <c r="W38" s="55"/>
      <c r="X38" s="52"/>
      <c r="Y38" s="52"/>
      <c r="Z38" s="56"/>
      <c r="AA38" s="55"/>
      <c r="AB38" s="55"/>
      <c r="AC38" s="55"/>
      <c r="AD38" s="55"/>
      <c r="AE38" s="55"/>
      <c r="AF38" s="55"/>
    </row>
    <row r="39" spans="1:32" s="57" customFormat="1" ht="15.75" hidden="1" customHeight="1">
      <c r="A39" s="17"/>
      <c r="B39" s="2"/>
      <c r="C39" s="51"/>
      <c r="D39" s="51"/>
      <c r="E39" s="51"/>
      <c r="F39" s="51"/>
      <c r="G39" s="51"/>
      <c r="H39" s="51"/>
      <c r="I39" s="51"/>
      <c r="J39" s="51"/>
      <c r="K39" s="51"/>
      <c r="L39" s="51"/>
      <c r="M39" s="51"/>
      <c r="N39" s="51"/>
      <c r="O39" s="51"/>
      <c r="P39" s="51"/>
      <c r="Q39" s="51"/>
      <c r="R39" s="55"/>
      <c r="S39" s="53"/>
      <c r="T39" s="54"/>
      <c r="U39" s="52"/>
      <c r="V39" s="55"/>
      <c r="W39" s="55"/>
      <c r="X39" s="52"/>
      <c r="Y39" s="52"/>
      <c r="Z39" s="56"/>
      <c r="AA39" s="52"/>
      <c r="AB39" s="55"/>
      <c r="AC39" s="55"/>
      <c r="AD39" s="55"/>
      <c r="AE39" s="55"/>
      <c r="AF39" s="55"/>
    </row>
    <row r="40" spans="1:32" s="57" customFormat="1" ht="15.75" hidden="1" customHeight="1">
      <c r="A40" s="17"/>
      <c r="B40" s="2"/>
      <c r="C40" s="51"/>
      <c r="D40" s="51"/>
      <c r="E40" s="51"/>
      <c r="F40" s="51"/>
      <c r="G40" s="51"/>
      <c r="H40" s="51"/>
      <c r="I40" s="51"/>
      <c r="J40" s="51"/>
      <c r="K40" s="51"/>
      <c r="L40" s="51"/>
      <c r="M40" s="51"/>
      <c r="N40" s="51"/>
      <c r="O40" s="51"/>
      <c r="P40" s="51"/>
      <c r="Q40" s="51"/>
      <c r="R40" s="55"/>
      <c r="S40" s="53"/>
      <c r="T40" s="54"/>
      <c r="U40" s="52"/>
      <c r="V40" s="55"/>
      <c r="W40" s="55"/>
      <c r="X40" s="52"/>
      <c r="Y40" s="52"/>
      <c r="Z40" s="56"/>
      <c r="AA40" s="55"/>
      <c r="AB40" s="55"/>
      <c r="AC40" s="55"/>
      <c r="AD40" s="55"/>
      <c r="AE40" s="55"/>
      <c r="AF40" s="55"/>
    </row>
    <row r="41" spans="1:32" s="57" customFormat="1" ht="15.75" hidden="1" customHeight="1">
      <c r="A41" s="17"/>
      <c r="B41" s="2"/>
      <c r="C41" s="51"/>
      <c r="D41" s="51"/>
      <c r="E41" s="51"/>
      <c r="F41" s="51"/>
      <c r="G41" s="51"/>
      <c r="H41" s="51"/>
      <c r="I41" s="51"/>
      <c r="J41" s="51"/>
      <c r="K41" s="51"/>
      <c r="L41" s="51"/>
      <c r="M41" s="51"/>
      <c r="N41" s="51"/>
      <c r="O41" s="51"/>
      <c r="P41" s="51"/>
      <c r="Q41" s="51"/>
      <c r="R41" s="55"/>
      <c r="S41" s="53"/>
      <c r="T41" s="54"/>
      <c r="U41" s="52"/>
      <c r="V41" s="55"/>
      <c r="W41" s="55"/>
      <c r="X41" s="52"/>
      <c r="Y41" s="52"/>
      <c r="Z41" s="56"/>
      <c r="AA41" s="55"/>
      <c r="AB41" s="55"/>
      <c r="AC41" s="55"/>
      <c r="AD41" s="55"/>
      <c r="AE41" s="55"/>
      <c r="AF41" s="55"/>
    </row>
    <row r="42" spans="1:32" s="57" customFormat="1" ht="15.75" hidden="1" customHeight="1">
      <c r="A42" s="17"/>
      <c r="B42" s="2"/>
      <c r="C42" s="51"/>
      <c r="D42" s="51"/>
      <c r="E42" s="51"/>
      <c r="F42" s="51"/>
      <c r="G42" s="51"/>
      <c r="H42" s="51"/>
      <c r="I42" s="51"/>
      <c r="J42" s="51"/>
      <c r="K42" s="51"/>
      <c r="L42" s="51"/>
      <c r="M42" s="51"/>
      <c r="N42" s="51"/>
      <c r="O42" s="51"/>
      <c r="P42" s="51"/>
      <c r="Q42" s="51"/>
      <c r="R42" s="55"/>
      <c r="S42" s="53"/>
      <c r="T42" s="54"/>
      <c r="U42" s="52"/>
      <c r="V42" s="55"/>
      <c r="W42" s="55"/>
      <c r="X42" s="52"/>
      <c r="Y42" s="52"/>
      <c r="Z42" s="56"/>
      <c r="AA42" s="55"/>
      <c r="AB42" s="55"/>
      <c r="AC42" s="55"/>
      <c r="AD42" s="55"/>
      <c r="AE42" s="55"/>
      <c r="AF42" s="55"/>
    </row>
    <row r="43" spans="1:32" s="57" customFormat="1" ht="15.75" hidden="1" customHeight="1">
      <c r="A43" s="17"/>
      <c r="B43" s="2"/>
      <c r="C43" s="51"/>
      <c r="D43" s="51"/>
      <c r="E43" s="51"/>
      <c r="F43" s="51"/>
      <c r="G43" s="51"/>
      <c r="H43" s="51"/>
      <c r="I43" s="51"/>
      <c r="J43" s="51"/>
      <c r="K43" s="51"/>
      <c r="L43" s="51"/>
      <c r="M43" s="51"/>
      <c r="N43" s="51"/>
      <c r="O43" s="51"/>
      <c r="P43" s="51"/>
      <c r="Q43" s="51"/>
      <c r="R43" s="55"/>
      <c r="S43" s="53"/>
      <c r="T43" s="54"/>
      <c r="U43" s="52"/>
      <c r="V43" s="55"/>
      <c r="W43" s="55"/>
      <c r="X43" s="52"/>
      <c r="Y43" s="52"/>
      <c r="Z43" s="56"/>
      <c r="AA43" s="55"/>
      <c r="AB43" s="55"/>
      <c r="AC43" s="55"/>
      <c r="AD43" s="55"/>
      <c r="AE43" s="55"/>
      <c r="AF43" s="55"/>
    </row>
    <row r="44" spans="1:32" s="57" customFormat="1" ht="15.75" hidden="1" customHeight="1">
      <c r="A44" s="17"/>
      <c r="B44" s="2"/>
      <c r="C44" s="51"/>
      <c r="D44" s="51"/>
      <c r="E44" s="51"/>
      <c r="F44" s="51"/>
      <c r="G44" s="51"/>
      <c r="H44" s="51"/>
      <c r="I44" s="51"/>
      <c r="J44" s="51"/>
      <c r="K44" s="51"/>
      <c r="L44" s="51"/>
      <c r="M44" s="51"/>
      <c r="N44" s="51"/>
      <c r="O44" s="51"/>
      <c r="P44" s="51"/>
      <c r="Q44" s="51"/>
      <c r="R44" s="55"/>
      <c r="S44" s="53"/>
      <c r="T44" s="54"/>
      <c r="U44" s="52"/>
      <c r="V44" s="55"/>
      <c r="W44" s="55"/>
      <c r="X44" s="52"/>
      <c r="Y44" s="52"/>
      <c r="Z44" s="56"/>
      <c r="AA44" s="55"/>
      <c r="AB44" s="55"/>
      <c r="AC44" s="55"/>
      <c r="AD44" s="55"/>
      <c r="AE44" s="55"/>
      <c r="AF44" s="55"/>
    </row>
    <row r="45" spans="1:32" s="57" customFormat="1" ht="15.75" hidden="1" customHeight="1">
      <c r="A45" s="17"/>
      <c r="B45" s="2"/>
      <c r="C45" s="51"/>
      <c r="D45" s="51"/>
      <c r="E45" s="51"/>
      <c r="F45" s="51"/>
      <c r="G45" s="51"/>
      <c r="H45" s="51"/>
      <c r="I45" s="51"/>
      <c r="J45" s="51"/>
      <c r="K45" s="51"/>
      <c r="L45" s="51"/>
      <c r="M45" s="51"/>
      <c r="N45" s="51"/>
      <c r="O45" s="51"/>
      <c r="P45" s="51"/>
      <c r="Q45" s="51"/>
      <c r="R45" s="55"/>
      <c r="S45" s="53"/>
      <c r="T45" s="54"/>
      <c r="U45" s="52"/>
      <c r="V45" s="55"/>
      <c r="W45" s="55"/>
      <c r="X45" s="52"/>
      <c r="Y45" s="52"/>
      <c r="Z45" s="56"/>
      <c r="AA45" s="55"/>
      <c r="AB45" s="55"/>
      <c r="AC45" s="55"/>
      <c r="AD45" s="55"/>
      <c r="AE45" s="55"/>
      <c r="AF45" s="55"/>
    </row>
    <row r="46" spans="1:32" s="57" customFormat="1" ht="15.75" hidden="1" customHeight="1">
      <c r="A46" s="17"/>
      <c r="B46" s="2"/>
      <c r="C46" s="51"/>
      <c r="D46" s="51"/>
      <c r="E46" s="51"/>
      <c r="F46" s="51"/>
      <c r="G46" s="51"/>
      <c r="H46" s="51"/>
      <c r="I46" s="51"/>
      <c r="J46" s="51"/>
      <c r="K46" s="51"/>
      <c r="L46" s="51"/>
      <c r="M46" s="51"/>
      <c r="N46" s="51"/>
      <c r="O46" s="51"/>
      <c r="P46" s="51"/>
      <c r="Q46" s="51"/>
      <c r="R46" s="55"/>
      <c r="S46" s="53"/>
      <c r="T46" s="54"/>
      <c r="U46" s="52"/>
      <c r="V46" s="55"/>
      <c r="W46" s="55"/>
      <c r="X46" s="52"/>
      <c r="Y46" s="52"/>
      <c r="Z46" s="56"/>
      <c r="AA46" s="55"/>
      <c r="AB46" s="55"/>
      <c r="AC46" s="55"/>
      <c r="AD46" s="55"/>
      <c r="AE46" s="55"/>
      <c r="AF46" s="55"/>
    </row>
    <row r="47" spans="1:32" s="57" customFormat="1" ht="15.75" hidden="1" customHeight="1">
      <c r="A47" s="17"/>
      <c r="B47" s="2"/>
      <c r="C47" s="51"/>
      <c r="D47" s="51"/>
      <c r="E47" s="51"/>
      <c r="F47" s="51"/>
      <c r="G47" s="51"/>
      <c r="H47" s="51"/>
      <c r="I47" s="51"/>
      <c r="J47" s="51"/>
      <c r="K47" s="51"/>
      <c r="L47" s="51"/>
      <c r="M47" s="51"/>
      <c r="N47" s="51"/>
      <c r="O47" s="51"/>
      <c r="P47" s="51"/>
      <c r="Q47" s="51"/>
      <c r="R47" s="55"/>
      <c r="S47" s="53"/>
      <c r="T47" s="54"/>
      <c r="U47" s="52"/>
      <c r="V47" s="55"/>
      <c r="W47" s="55"/>
      <c r="X47" s="52"/>
      <c r="Y47" s="52"/>
      <c r="Z47" s="56"/>
      <c r="AA47" s="55"/>
      <c r="AB47" s="55"/>
      <c r="AC47" s="55"/>
      <c r="AD47" s="55"/>
      <c r="AE47" s="55"/>
      <c r="AF47" s="55"/>
    </row>
    <row r="48" spans="1:32" s="57" customFormat="1" ht="15.75" hidden="1" customHeight="1">
      <c r="A48" s="17"/>
      <c r="B48" s="2"/>
      <c r="C48" s="51"/>
      <c r="D48" s="51"/>
      <c r="E48" s="51"/>
      <c r="F48" s="51"/>
      <c r="G48" s="51"/>
      <c r="H48" s="51"/>
      <c r="I48" s="51"/>
      <c r="J48" s="51"/>
      <c r="K48" s="51"/>
      <c r="L48" s="51"/>
      <c r="M48" s="51"/>
      <c r="N48" s="51"/>
      <c r="O48" s="51"/>
      <c r="P48" s="51"/>
      <c r="Q48" s="51"/>
      <c r="R48" s="55"/>
      <c r="S48" s="53"/>
      <c r="T48" s="54"/>
      <c r="U48" s="52"/>
      <c r="V48" s="55"/>
      <c r="W48" s="55"/>
      <c r="X48" s="52"/>
      <c r="Y48" s="52"/>
      <c r="Z48" s="56"/>
      <c r="AA48" s="55"/>
      <c r="AB48" s="55"/>
      <c r="AC48" s="55"/>
      <c r="AD48" s="55"/>
      <c r="AE48" s="55"/>
      <c r="AF48" s="55"/>
    </row>
    <row r="49" spans="1:32" s="57" customFormat="1" ht="15.75" hidden="1" customHeight="1">
      <c r="A49" s="17"/>
      <c r="B49" s="2"/>
      <c r="C49" s="51"/>
      <c r="D49" s="51"/>
      <c r="E49" s="51"/>
      <c r="F49" s="51"/>
      <c r="G49" s="51"/>
      <c r="H49" s="51"/>
      <c r="I49" s="51"/>
      <c r="J49" s="51"/>
      <c r="K49" s="51"/>
      <c r="L49" s="51"/>
      <c r="M49" s="51"/>
      <c r="N49" s="51"/>
      <c r="O49" s="51"/>
      <c r="P49" s="51"/>
      <c r="Q49" s="51"/>
      <c r="R49" s="55"/>
      <c r="S49" s="53"/>
      <c r="T49" s="54"/>
      <c r="U49" s="52"/>
      <c r="V49" s="55"/>
      <c r="W49" s="55"/>
      <c r="X49" s="52"/>
      <c r="Y49" s="52"/>
      <c r="Z49" s="56"/>
      <c r="AA49" s="55"/>
      <c r="AB49" s="55"/>
      <c r="AC49" s="55"/>
      <c r="AD49" s="55"/>
      <c r="AE49" s="55"/>
      <c r="AF49" s="55"/>
    </row>
    <row r="50" spans="1:32" s="57" customFormat="1" ht="15.75" hidden="1" customHeight="1">
      <c r="A50" s="2"/>
      <c r="B50" s="2"/>
      <c r="C50" s="51"/>
      <c r="D50" s="51"/>
      <c r="E50" s="51"/>
      <c r="F50" s="51"/>
      <c r="G50" s="51"/>
      <c r="H50" s="51"/>
      <c r="I50" s="51"/>
      <c r="J50" s="51"/>
      <c r="K50" s="51"/>
      <c r="L50" s="51"/>
      <c r="M50" s="51"/>
      <c r="N50" s="51"/>
      <c r="O50" s="51"/>
      <c r="P50" s="51"/>
      <c r="Q50" s="51"/>
      <c r="R50" s="55"/>
      <c r="S50" s="53"/>
      <c r="T50" s="54"/>
      <c r="U50" s="55"/>
      <c r="V50" s="55"/>
      <c r="W50" s="55"/>
      <c r="X50" s="55"/>
      <c r="Y50" s="55"/>
      <c r="Z50" s="56"/>
      <c r="AA50" s="55"/>
      <c r="AB50" s="55"/>
      <c r="AC50" s="55"/>
      <c r="AD50" s="55"/>
      <c r="AE50" s="55"/>
      <c r="AF50" s="55"/>
    </row>
    <row r="51" spans="1:32" s="57" customFormat="1" ht="15.75" hidden="1" customHeight="1">
      <c r="A51" s="2"/>
      <c r="B51" s="2"/>
      <c r="C51" s="51"/>
      <c r="D51" s="51"/>
      <c r="E51" s="51"/>
      <c r="F51" s="51"/>
      <c r="G51" s="51"/>
      <c r="H51" s="51"/>
      <c r="I51" s="51"/>
      <c r="J51" s="51"/>
      <c r="K51" s="51"/>
      <c r="L51" s="51"/>
      <c r="M51" s="51"/>
      <c r="N51" s="51"/>
      <c r="O51" s="51"/>
      <c r="P51" s="51"/>
      <c r="Q51" s="51"/>
      <c r="R51" s="55"/>
      <c r="S51" s="53"/>
      <c r="T51" s="54"/>
      <c r="U51" s="55"/>
      <c r="V51" s="55"/>
      <c r="W51" s="55"/>
      <c r="X51" s="55"/>
      <c r="Y51" s="55"/>
      <c r="Z51" s="56"/>
      <c r="AA51" s="55"/>
      <c r="AB51" s="55"/>
      <c r="AC51" s="55"/>
      <c r="AD51" s="55"/>
      <c r="AE51" s="55"/>
      <c r="AF51" s="55"/>
    </row>
    <row r="52" spans="1:32" s="57" customFormat="1" ht="15.75" hidden="1" customHeight="1">
      <c r="A52" s="2"/>
      <c r="B52" s="2"/>
      <c r="C52" s="51"/>
      <c r="D52" s="51"/>
      <c r="E52" s="51"/>
      <c r="F52" s="51"/>
      <c r="G52" s="51"/>
      <c r="H52" s="51"/>
      <c r="I52" s="51"/>
      <c r="J52" s="51"/>
      <c r="K52" s="51"/>
      <c r="L52" s="51"/>
      <c r="M52" s="51"/>
      <c r="N52" s="51"/>
      <c r="O52" s="51"/>
      <c r="P52" s="51"/>
      <c r="Q52" s="51"/>
      <c r="R52" s="55"/>
      <c r="S52" s="53"/>
      <c r="T52" s="54"/>
      <c r="U52" s="55"/>
      <c r="V52" s="55"/>
      <c r="W52" s="55"/>
      <c r="X52" s="55"/>
      <c r="Y52" s="55"/>
      <c r="Z52" s="56"/>
      <c r="AA52" s="55"/>
      <c r="AB52" s="55"/>
      <c r="AC52" s="55"/>
      <c r="AD52" s="55"/>
      <c r="AE52" s="55"/>
      <c r="AF52" s="55"/>
    </row>
    <row r="53" spans="1:32" s="57" customFormat="1">
      <c r="A53" s="2"/>
      <c r="B53" s="2"/>
      <c r="C53" s="51"/>
      <c r="D53" s="51"/>
      <c r="E53" s="51"/>
      <c r="F53" s="51"/>
      <c r="G53" s="51"/>
      <c r="H53" s="51"/>
      <c r="I53" s="51"/>
      <c r="J53" s="51"/>
      <c r="K53" s="51"/>
      <c r="L53" s="51"/>
      <c r="M53" s="51"/>
      <c r="N53" s="51"/>
      <c r="O53" s="51"/>
      <c r="P53" s="51"/>
      <c r="Q53" s="51"/>
      <c r="R53" s="55"/>
      <c r="S53" s="53"/>
      <c r="T53" s="54"/>
      <c r="U53" s="55"/>
      <c r="V53" s="55"/>
      <c r="W53" s="55"/>
      <c r="X53" s="55"/>
      <c r="Y53" s="55"/>
      <c r="Z53" s="56"/>
      <c r="AA53" s="55"/>
      <c r="AB53" s="55"/>
      <c r="AC53" s="55"/>
      <c r="AD53" s="55">
        <v>-12.1471284848484</v>
      </c>
      <c r="AE53" s="55"/>
      <c r="AF53" s="55"/>
    </row>
    <row r="54" spans="1:32" s="57" customFormat="1">
      <c r="A54" s="2" t="s">
        <v>40</v>
      </c>
      <c r="B54" s="2"/>
      <c r="C54" s="51">
        <f t="shared" ref="C54:C56" si="1">IFERROR(F54/D54," - ")</f>
        <v>23.99</v>
      </c>
      <c r="D54" s="51">
        <v>1</v>
      </c>
      <c r="E54" s="51">
        <v>0</v>
      </c>
      <c r="F54" s="51">
        <v>23.99</v>
      </c>
      <c r="G54" s="51">
        <v>0</v>
      </c>
      <c r="H54" s="51">
        <f t="shared" ref="H54:H56" si="2">G54/F54*-1</f>
        <v>0</v>
      </c>
      <c r="I54" s="51">
        <f t="shared" ref="I54:I56" si="3">J54/F54</f>
        <v>7.8277261990479255E-2</v>
      </c>
      <c r="J54" s="51">
        <f t="shared" ref="J54:J56" si="4">F54*0.85+G54+AD54*D54+D54*AC54+AE54+AB54</f>
        <v>1.8778715151515972</v>
      </c>
      <c r="K54" s="51">
        <f t="shared" ref="K54:K56" si="5">J54/D54</f>
        <v>1.8778715151515972</v>
      </c>
      <c r="L54" s="51">
        <v>5</v>
      </c>
      <c r="M54" s="51">
        <f t="shared" ref="M54:M56" si="6">IFERROR(D54/L54,"-")</f>
        <v>0.2</v>
      </c>
      <c r="N54" s="51">
        <v>22</v>
      </c>
      <c r="O54" s="51">
        <f t="shared" ref="O54:P54" si="7">D54/7</f>
        <v>0.14285714285714285</v>
      </c>
      <c r="P54" s="51">
        <f t="shared" si="7"/>
        <v>0</v>
      </c>
      <c r="Q54" s="51">
        <f t="shared" ref="Q54:Q56" si="8">ROUNDDOWN(N54/(O54+P54),0)</f>
        <v>154</v>
      </c>
      <c r="R54" s="55">
        <f ca="1">IFERROR(__xludf.DUMMYFUNCTION("IFERROR(VLOOKUP($B$2,IMPORTRANGE(""https://docs.google.com/spreadsheets/d/1iVgg6Mw12RULLujzHmfOFIY8Q_KaAD8anoZzgtVAQ74/edit#gid=1503384807"",""Second Star - Summary!A1:AD2000""),9,FALSE),"""")"),0)</f>
        <v>0</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ref="V54:V56" si="9">IFERROR(U54/D54,0)</f>
        <v>0</v>
      </c>
      <c r="W54" s="55">
        <f t="shared" ref="W54:W56" si="10">IFERROR(G54/(U54+X54)*-1,0)</f>
        <v>0</v>
      </c>
      <c r="X54" s="55">
        <v>0</v>
      </c>
      <c r="Y54" s="55" t="s">
        <v>35</v>
      </c>
      <c r="Z54" s="56">
        <f t="shared" ref="Z54:Z56" si="11">IF(OR(Y54="UsLargeStandardSize",Y54="UsSmallStandardSize"),-2.4,-1.2)</f>
        <v>-2.4</v>
      </c>
      <c r="AA54" s="55">
        <v>7.8680555555555573E-2</v>
      </c>
      <c r="AB54" s="55">
        <f t="shared" ref="AB54:AB56" si="12">IFERROR(Z54*AA54*D54*3,0)</f>
        <v>-0.56650000000000011</v>
      </c>
      <c r="AC54" s="55">
        <v>-5.8</v>
      </c>
      <c r="AD54" s="55">
        <v>-12.1471284848484</v>
      </c>
      <c r="AE54" s="55">
        <v>0</v>
      </c>
      <c r="AF54" s="55">
        <v>5.6603773584905599E-2</v>
      </c>
    </row>
    <row r="55" spans="1:32" s="57" customFormat="1" ht="15.75" customHeight="1">
      <c r="A55" s="2" t="s">
        <v>32</v>
      </c>
      <c r="B55" s="2" t="s">
        <v>45</v>
      </c>
      <c r="C55" s="51">
        <f t="shared" si="1"/>
        <v>23.99</v>
      </c>
      <c r="D55" s="51">
        <v>1</v>
      </c>
      <c r="E55" s="51">
        <v>0</v>
      </c>
      <c r="F55" s="51">
        <v>23.99</v>
      </c>
      <c r="G55" s="51">
        <v>0</v>
      </c>
      <c r="H55" s="51">
        <f t="shared" si="2"/>
        <v>0</v>
      </c>
      <c r="I55" s="51">
        <f t="shared" si="3"/>
        <v>7.8277261990479255E-2</v>
      </c>
      <c r="J55" s="51">
        <f t="shared" si="4"/>
        <v>1.8778715151515972</v>
      </c>
      <c r="K55" s="51">
        <f t="shared" si="5"/>
        <v>1.8778715151515972</v>
      </c>
      <c r="L55" s="51">
        <v>2</v>
      </c>
      <c r="M55" s="51">
        <f t="shared" si="6"/>
        <v>0.5</v>
      </c>
      <c r="N55" s="51">
        <v>21</v>
      </c>
      <c r="O55" s="51">
        <f t="shared" ref="O55:P55" si="13">D55/7</f>
        <v>0.14285714285714285</v>
      </c>
      <c r="P55" s="51">
        <f t="shared" si="13"/>
        <v>0</v>
      </c>
      <c r="Q55" s="51">
        <f t="shared" si="8"/>
        <v>147</v>
      </c>
      <c r="R55" s="55">
        <v>0</v>
      </c>
      <c r="S55" s="53" t="s">
        <v>34</v>
      </c>
      <c r="T55" s="54" t="s">
        <v>34</v>
      </c>
      <c r="U55" s="55">
        <v>0</v>
      </c>
      <c r="V55" s="55">
        <f t="shared" si="9"/>
        <v>0</v>
      </c>
      <c r="W55" s="55">
        <f t="shared" si="10"/>
        <v>0</v>
      </c>
      <c r="X55" s="55">
        <v>0</v>
      </c>
      <c r="Y55" s="55" t="s">
        <v>35</v>
      </c>
      <c r="Z55" s="56">
        <f t="shared" si="11"/>
        <v>-2.4</v>
      </c>
      <c r="AA55" s="55">
        <v>7.8680555555555573E-2</v>
      </c>
      <c r="AB55" s="55">
        <f t="shared" si="12"/>
        <v>-0.56650000000000011</v>
      </c>
      <c r="AC55" s="55">
        <v>-5.8</v>
      </c>
      <c r="AD55" s="55">
        <v>-12.1471284848484</v>
      </c>
      <c r="AE55" s="55">
        <v>0</v>
      </c>
      <c r="AF55" s="55">
        <v>0.24</v>
      </c>
    </row>
    <row r="56" spans="1:32" s="57" customFormat="1" ht="15.75" customHeight="1">
      <c r="A56" s="2" t="s">
        <v>36</v>
      </c>
      <c r="B56" s="2"/>
      <c r="C56" s="51">
        <f t="shared" si="1"/>
        <v>23.99</v>
      </c>
      <c r="D56" s="51">
        <v>1</v>
      </c>
      <c r="E56" s="51">
        <v>0</v>
      </c>
      <c r="F56" s="51">
        <v>23.99</v>
      </c>
      <c r="G56" s="51">
        <v>0</v>
      </c>
      <c r="H56" s="51">
        <f t="shared" si="2"/>
        <v>0</v>
      </c>
      <c r="I56" s="51">
        <f t="shared" si="3"/>
        <v>7.8277261990479255E-2</v>
      </c>
      <c r="J56" s="51">
        <f t="shared" si="4"/>
        <v>1.8778715151515972</v>
      </c>
      <c r="K56" s="51">
        <f t="shared" si="5"/>
        <v>1.8778715151515972</v>
      </c>
      <c r="L56" s="51">
        <v>6</v>
      </c>
      <c r="M56" s="51">
        <f t="shared" si="6"/>
        <v>0.16666666666666666</v>
      </c>
      <c r="N56" s="51">
        <v>18</v>
      </c>
      <c r="O56" s="51">
        <f t="shared" ref="O56:P56" si="14">D56/7</f>
        <v>0.14285714285714285</v>
      </c>
      <c r="P56" s="51">
        <f t="shared" si="14"/>
        <v>0</v>
      </c>
      <c r="Q56" s="51">
        <f t="shared" si="8"/>
        <v>126</v>
      </c>
      <c r="R56" s="55">
        <f ca="1">IFERROR(__xludf.DUMMYFUNCTION("IFERROR(VLOOKUP($B$2,IMPORTRANGE(""https://docs.google.com/spreadsheets/d/1iVgg6Mw12RULLujzHmfOFIY8Q_KaAD8anoZzgtVAQ74/edit#gid=1503384807"",""Second Star - Summary!A1:AD2000""),9,FALSE),"""")"),0)</f>
        <v>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9"/>
        <v>0</v>
      </c>
      <c r="W56" s="55">
        <f t="shared" si="10"/>
        <v>0</v>
      </c>
      <c r="X56" s="55">
        <v>0</v>
      </c>
      <c r="Y56" s="55" t="s">
        <v>35</v>
      </c>
      <c r="Z56" s="56">
        <f t="shared" si="11"/>
        <v>-2.4</v>
      </c>
      <c r="AA56" s="55">
        <v>7.8680555555555573E-2</v>
      </c>
      <c r="AB56" s="55">
        <f t="shared" si="12"/>
        <v>-0.56650000000000011</v>
      </c>
      <c r="AC56" s="55">
        <v>-5.8</v>
      </c>
      <c r="AD56" s="55">
        <v>-12.1471284848484</v>
      </c>
      <c r="AE56" s="55">
        <v>0</v>
      </c>
      <c r="AF56" s="55">
        <v>0.20547945205479401</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3"/>
    </row>
    <row r="222" spans="1:3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3"/>
    </row>
    <row r="223" spans="1:32"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3"/>
    </row>
    <row r="224" spans="1:32"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3"/>
    </row>
    <row r="225" spans="1:32"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3"/>
    </row>
    <row r="226" spans="1:32"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3"/>
    </row>
    <row r="227" spans="1:32"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3"/>
    </row>
    <row r="228" spans="1:32"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3"/>
    </row>
    <row r="229" spans="1:32"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3"/>
    </row>
    <row r="230" spans="1:32"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3"/>
    </row>
    <row r="231" spans="1:32"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3"/>
    </row>
    <row r="232" spans="1: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3"/>
    </row>
    <row r="233" spans="1:32"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3"/>
    </row>
    <row r="234" spans="1:32"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3"/>
    </row>
    <row r="235" spans="1:32"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3"/>
    </row>
    <row r="236" spans="1:32"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3"/>
    </row>
    <row r="237" spans="1:32"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3"/>
    </row>
    <row r="238" spans="1:32"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3"/>
    </row>
    <row r="239" spans="1:32"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row r="255" spans="1:32" ht="15.75" customHeight="1"/>
    <row r="256" spans="1:3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311" priority="1" operator="lessThan">
      <formula>100</formula>
    </cfRule>
  </conditionalFormatting>
  <conditionalFormatting sqref="Q1:Q3 Q57:Q1000">
    <cfRule type="cellIs" dxfId="310" priority="2" operator="lessThan">
      <formula>100</formula>
    </cfRule>
  </conditionalFormatting>
  <conditionalFormatting sqref="I1:I3 I57:I1000">
    <cfRule type="cellIs" dxfId="309" priority="3" operator="lessThan">
      <formula>0.05</formula>
    </cfRule>
  </conditionalFormatting>
  <conditionalFormatting sqref="I4:I17">
    <cfRule type="cellIs" dxfId="308" priority="4" operator="lessThan">
      <formula>0.05</formula>
    </cfRule>
  </conditionalFormatting>
  <conditionalFormatting sqref="I18:I56">
    <cfRule type="cellIs" dxfId="307" priority="5" operator="lessThan">
      <formula>0.05</formula>
    </cfRule>
  </conditionalFormatting>
  <conditionalFormatting sqref="Q4:Q56">
    <cfRule type="cellIs" dxfId="306" priority="6" operator="lessThan">
      <formula>100</formula>
    </cfRule>
  </conditionalFormatting>
  <conditionalFormatting sqref="Q4:Q56">
    <cfRule type="cellIs" dxfId="305" priority="7" operator="lessThan">
      <formula>100</formula>
    </cfRule>
  </conditionalFormatting>
  <pageMargins left="0.7" right="0.7" top="0.75" bottom="0.75" header="0" footer="0"/>
  <pageSetup orientation="portrait"/>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4.6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Info!B1:BJ5000""),4,FALSE),"""")"),"Heavy Duty Vinyl Zippered Waterproof Bed Bug Proof Mattress Protector - 12-Inch Depth - Twin")</f>
        <v>Heavy Duty Vinyl Zippered Waterproof Bed Bug Proof Mattress Protector - 12-Inch Depth - Twin</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Info!B1:BJ5000""),3,FALSE),"""")"),"B00IOVIQYE")</f>
        <v>B00IOVIQYE</v>
      </c>
      <c r="B2" s="4" t="s">
        <v>864</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15.170350802139035</v>
      </c>
      <c r="D3" s="8">
        <f>SUM(D4:D99819)</f>
        <v>25</v>
      </c>
      <c r="E3" s="8"/>
      <c r="F3" s="9">
        <f t="shared" ref="F3:G3" si="0">SUM(F4:F99819)</f>
        <v>360.71000000000004</v>
      </c>
      <c r="G3" s="9">
        <f t="shared" si="0"/>
        <v>-66.509999999999991</v>
      </c>
      <c r="H3" s="10">
        <f>G3/F3*-1</f>
        <v>0.18438634914474228</v>
      </c>
      <c r="I3" s="11">
        <f>J3/F3</f>
        <v>-0.30053317909207666</v>
      </c>
      <c r="J3" s="9">
        <f>SUM(J4:J99819)</f>
        <v>-108.40532303030298</v>
      </c>
      <c r="K3" s="9">
        <f>J3/D3</f>
        <v>-4.3362129212121197</v>
      </c>
      <c r="L3" s="8"/>
      <c r="M3" s="12"/>
      <c r="N3" s="13"/>
      <c r="O3" s="8" t="str">
        <f ca="1">IFERROR(__xludf.DUMMYFUNCTION("IFERROR(VLOOKUP(B2,IMPORTRANGE(""https://docs.google.com/spreadsheets/d/1owCo6kL_VFQ5nPTdNogErmCBLjNiktT1m3SzTrxu3R0/edit#gid=2146806407"",""Second Star - Compiled!b1:g5000""),2,FALSE),"""")"),"0 - March
0 - April
0 - May
0 - Jun
0 - Jul
0 - Aug
0 - Sept
0 - Oct
0 - Nov
0 - Dec
0 - Jan
0 - Feb")</f>
        <v>0 - March
0 - April
0 - May
0 - Jun
0 - Jul
0 - Aug
0 - Sept
0 - Oct
0 - Nov
0 - Dec
0 - Jan
0 - Feb</v>
      </c>
      <c r="P3" s="8"/>
      <c r="Q3" s="14"/>
      <c r="R3" s="13"/>
      <c r="S3" s="13"/>
      <c r="T3" s="13"/>
      <c r="U3" s="8">
        <f>SUM(U4:U99819)</f>
        <v>14</v>
      </c>
      <c r="V3" s="10">
        <f>AVERAGE(V4:V99819)</f>
        <v>0.14980158730158732</v>
      </c>
      <c r="W3" s="9">
        <f>ROUND(AVERAGE(W4:W99819),2)</f>
        <v>1.57</v>
      </c>
      <c r="X3" s="8"/>
      <c r="Y3" s="8"/>
      <c r="Z3" s="8"/>
      <c r="AA3" s="8"/>
      <c r="AB3" s="8"/>
      <c r="AC3" s="15"/>
      <c r="AD3" s="9"/>
      <c r="AE3" s="9">
        <f>SUM(AE4:AE99819)</f>
        <v>-1.4</v>
      </c>
      <c r="AF3" s="16"/>
    </row>
    <row r="4" spans="1:32" s="57" customFormat="1" hidden="1">
      <c r="A4" s="17" t="s">
        <v>48</v>
      </c>
      <c r="B4" s="17"/>
      <c r="C4" s="50"/>
      <c r="D4" s="51"/>
      <c r="E4" s="51"/>
      <c r="F4" s="51"/>
      <c r="G4" s="51"/>
      <c r="H4" s="51"/>
      <c r="I4" s="51"/>
      <c r="J4" s="51"/>
      <c r="K4" s="51"/>
      <c r="L4" s="51"/>
      <c r="M4" s="51"/>
      <c r="N4" s="51"/>
      <c r="O4" s="51"/>
      <c r="P4" s="51"/>
      <c r="Q4" s="51"/>
      <c r="R4" s="52"/>
      <c r="S4" s="53"/>
      <c r="T4" s="54"/>
      <c r="U4" s="52"/>
      <c r="V4" s="55"/>
      <c r="W4" s="55"/>
      <c r="X4" s="52"/>
      <c r="Y4" s="56"/>
      <c r="Z4" s="56"/>
      <c r="AA4" s="55"/>
      <c r="AB4" s="55"/>
      <c r="AC4" s="55"/>
      <c r="AD4" s="55"/>
      <c r="AE4" s="55"/>
      <c r="AF4" s="55"/>
    </row>
    <row r="5" spans="1:32" s="57" customFormat="1" ht="15.75" hidden="1" customHeight="1">
      <c r="A5" s="17" t="s">
        <v>49</v>
      </c>
      <c r="B5" s="2"/>
      <c r="C5" s="51"/>
      <c r="D5" s="51"/>
      <c r="E5" s="51"/>
      <c r="F5" s="51"/>
      <c r="G5" s="51"/>
      <c r="H5" s="51"/>
      <c r="I5" s="51"/>
      <c r="J5" s="51"/>
      <c r="K5" s="51"/>
      <c r="L5" s="51"/>
      <c r="M5" s="51"/>
      <c r="N5" s="51"/>
      <c r="O5" s="51"/>
      <c r="P5" s="51"/>
      <c r="Q5" s="51"/>
      <c r="R5" s="52"/>
      <c r="S5" s="53"/>
      <c r="T5" s="54"/>
      <c r="U5" s="52"/>
      <c r="V5" s="55"/>
      <c r="W5" s="55"/>
      <c r="X5" s="52"/>
      <c r="Y5" s="52"/>
      <c r="Z5" s="56"/>
      <c r="AA5" s="55"/>
      <c r="AB5" s="55"/>
      <c r="AC5" s="55"/>
      <c r="AD5" s="55"/>
      <c r="AE5" s="55"/>
      <c r="AF5" s="55"/>
    </row>
    <row r="6" spans="1:32" s="57" customFormat="1" ht="15.75" hidden="1" customHeight="1">
      <c r="A6" s="17" t="s">
        <v>51</v>
      </c>
      <c r="B6" s="2"/>
      <c r="C6" s="51"/>
      <c r="D6" s="51"/>
      <c r="E6" s="51"/>
      <c r="F6" s="51"/>
      <c r="G6" s="51"/>
      <c r="H6" s="51"/>
      <c r="I6" s="51"/>
      <c r="J6" s="51"/>
      <c r="K6" s="51"/>
      <c r="L6" s="51"/>
      <c r="M6" s="51"/>
      <c r="N6" s="51"/>
      <c r="O6" s="51"/>
      <c r="P6" s="51"/>
      <c r="Q6" s="51"/>
      <c r="R6" s="52"/>
      <c r="S6" s="53"/>
      <c r="T6" s="54"/>
      <c r="U6" s="52"/>
      <c r="V6" s="55"/>
      <c r="W6" s="55"/>
      <c r="X6" s="52"/>
      <c r="Y6" s="52"/>
      <c r="Z6" s="56"/>
      <c r="AA6" s="55"/>
      <c r="AB6" s="55"/>
      <c r="AC6" s="55"/>
      <c r="AD6" s="55"/>
      <c r="AE6" s="55"/>
      <c r="AF6" s="55"/>
    </row>
    <row r="7" spans="1:32" s="57" customFormat="1" ht="15.75" hidden="1" customHeight="1">
      <c r="A7" s="17" t="s">
        <v>53</v>
      </c>
      <c r="B7" s="2"/>
      <c r="C7" s="51"/>
      <c r="D7" s="51"/>
      <c r="E7" s="51"/>
      <c r="F7" s="51"/>
      <c r="G7" s="51"/>
      <c r="H7" s="51"/>
      <c r="I7" s="51"/>
      <c r="J7" s="51"/>
      <c r="K7" s="51"/>
      <c r="L7" s="51"/>
      <c r="M7" s="51"/>
      <c r="N7" s="51"/>
      <c r="O7" s="51"/>
      <c r="P7" s="51"/>
      <c r="Q7" s="51"/>
      <c r="R7" s="52"/>
      <c r="S7" s="53"/>
      <c r="T7" s="54"/>
      <c r="U7" s="52"/>
      <c r="V7" s="55"/>
      <c r="W7" s="55"/>
      <c r="X7" s="52"/>
      <c r="Y7" s="52"/>
      <c r="Z7" s="56"/>
      <c r="AA7" s="55"/>
      <c r="AB7" s="55"/>
      <c r="AC7" s="55"/>
      <c r="AD7" s="55"/>
      <c r="AE7" s="55"/>
      <c r="AF7" s="55"/>
    </row>
    <row r="8" spans="1:32" s="57" customFormat="1" ht="15.75" hidden="1" customHeight="1">
      <c r="A8" s="17" t="s">
        <v>54</v>
      </c>
      <c r="B8" s="2"/>
      <c r="C8" s="51"/>
      <c r="D8" s="51"/>
      <c r="E8" s="51"/>
      <c r="F8" s="51"/>
      <c r="G8" s="51"/>
      <c r="H8" s="51"/>
      <c r="I8" s="51"/>
      <c r="J8" s="51"/>
      <c r="K8" s="51"/>
      <c r="L8" s="51"/>
      <c r="M8" s="51"/>
      <c r="N8" s="51"/>
      <c r="O8" s="51"/>
      <c r="P8" s="51"/>
      <c r="Q8" s="51"/>
      <c r="R8" s="52"/>
      <c r="S8" s="53"/>
      <c r="T8" s="54"/>
      <c r="U8" s="52"/>
      <c r="V8" s="55"/>
      <c r="W8" s="55"/>
      <c r="X8" s="52"/>
      <c r="Y8" s="52"/>
      <c r="Z8" s="56"/>
      <c r="AA8" s="55"/>
      <c r="AB8" s="55"/>
      <c r="AC8" s="55"/>
      <c r="AD8" s="55"/>
      <c r="AE8" s="55"/>
      <c r="AF8" s="55"/>
    </row>
    <row r="9" spans="1:32" s="57" customFormat="1" ht="15.75" hidden="1" customHeight="1">
      <c r="A9" s="17" t="s">
        <v>56</v>
      </c>
      <c r="B9" s="2"/>
      <c r="C9" s="51"/>
      <c r="D9" s="51"/>
      <c r="E9" s="51"/>
      <c r="F9" s="51"/>
      <c r="G9" s="51"/>
      <c r="H9" s="51"/>
      <c r="I9" s="51"/>
      <c r="J9" s="51"/>
      <c r="K9" s="51"/>
      <c r="L9" s="51"/>
      <c r="M9" s="51"/>
      <c r="N9" s="51"/>
      <c r="O9" s="51"/>
      <c r="P9" s="51"/>
      <c r="Q9" s="51"/>
      <c r="R9" s="52"/>
      <c r="S9" s="53"/>
      <c r="T9" s="54"/>
      <c r="U9" s="52"/>
      <c r="V9" s="55"/>
      <c r="W9" s="55"/>
      <c r="X9" s="52"/>
      <c r="Y9" s="52"/>
      <c r="Z9" s="56"/>
      <c r="AA9" s="55"/>
      <c r="AB9" s="55"/>
      <c r="AC9" s="55"/>
      <c r="AD9" s="55"/>
      <c r="AE9" s="55"/>
      <c r="AF9" s="55"/>
    </row>
    <row r="10" spans="1:32" s="57" customFormat="1" ht="15.75" hidden="1" customHeight="1">
      <c r="A10" s="17" t="s">
        <v>58</v>
      </c>
      <c r="B10" s="2"/>
      <c r="C10" s="51"/>
      <c r="D10" s="51"/>
      <c r="E10" s="51"/>
      <c r="F10" s="51"/>
      <c r="G10" s="51"/>
      <c r="H10" s="51"/>
      <c r="I10" s="51"/>
      <c r="J10" s="51"/>
      <c r="K10" s="51"/>
      <c r="L10" s="51"/>
      <c r="M10" s="51"/>
      <c r="N10" s="51"/>
      <c r="O10" s="51"/>
      <c r="P10" s="51"/>
      <c r="Q10" s="51"/>
      <c r="R10" s="52"/>
      <c r="S10" s="53"/>
      <c r="T10" s="54"/>
      <c r="U10" s="52"/>
      <c r="V10" s="55"/>
      <c r="W10" s="55"/>
      <c r="X10" s="52"/>
      <c r="Y10" s="52"/>
      <c r="Z10" s="56"/>
      <c r="AA10" s="55"/>
      <c r="AB10" s="55"/>
      <c r="AC10" s="55"/>
      <c r="AD10" s="55"/>
      <c r="AE10" s="55"/>
      <c r="AF10" s="55"/>
    </row>
    <row r="11" spans="1:32" s="57" customFormat="1" ht="15.75" hidden="1" customHeight="1">
      <c r="A11" s="17" t="s">
        <v>60</v>
      </c>
      <c r="B11" s="17" t="s">
        <v>45</v>
      </c>
      <c r="C11" s="51"/>
      <c r="D11" s="51"/>
      <c r="E11" s="51"/>
      <c r="F11" s="51"/>
      <c r="G11" s="51"/>
      <c r="H11" s="51"/>
      <c r="I11" s="51"/>
      <c r="J11" s="51"/>
      <c r="K11" s="51"/>
      <c r="L11" s="51"/>
      <c r="M11" s="51"/>
      <c r="N11" s="51"/>
      <c r="O11" s="51"/>
      <c r="P11" s="51"/>
      <c r="Q11" s="51"/>
      <c r="R11" s="52"/>
      <c r="S11" s="53"/>
      <c r="T11" s="54"/>
      <c r="U11" s="52"/>
      <c r="V11" s="55"/>
      <c r="W11" s="55"/>
      <c r="X11" s="52"/>
      <c r="Y11" s="52"/>
      <c r="Z11" s="56"/>
      <c r="AA11" s="55"/>
      <c r="AB11" s="55"/>
      <c r="AC11" s="55"/>
      <c r="AD11" s="55"/>
      <c r="AE11" s="55"/>
      <c r="AF11" s="55"/>
    </row>
    <row r="12" spans="1:32" s="57" customFormat="1" ht="15.75" hidden="1" customHeight="1">
      <c r="A12" s="17" t="s">
        <v>62</v>
      </c>
      <c r="B12" s="2"/>
      <c r="C12" s="51"/>
      <c r="D12" s="51"/>
      <c r="E12" s="51"/>
      <c r="F12" s="51"/>
      <c r="G12" s="51"/>
      <c r="H12" s="51"/>
      <c r="I12" s="51"/>
      <c r="J12" s="51"/>
      <c r="K12" s="51"/>
      <c r="L12" s="51"/>
      <c r="M12" s="51"/>
      <c r="N12" s="51"/>
      <c r="O12" s="51"/>
      <c r="P12" s="51"/>
      <c r="Q12" s="51"/>
      <c r="R12" s="52"/>
      <c r="S12" s="53"/>
      <c r="T12" s="54"/>
      <c r="U12" s="52"/>
      <c r="V12" s="55"/>
      <c r="W12" s="55"/>
      <c r="X12" s="52"/>
      <c r="Y12" s="52"/>
      <c r="Z12" s="56"/>
      <c r="AA12" s="55"/>
      <c r="AB12" s="55"/>
      <c r="AC12" s="55"/>
      <c r="AD12" s="55"/>
      <c r="AE12" s="55"/>
      <c r="AF12" s="55"/>
    </row>
    <row r="13" spans="1:32" s="57" customFormat="1" ht="15.75" hidden="1" customHeight="1">
      <c r="A13" s="17" t="s">
        <v>63</v>
      </c>
      <c r="B13" s="2"/>
      <c r="C13" s="51"/>
      <c r="D13" s="51"/>
      <c r="E13" s="51"/>
      <c r="F13" s="51"/>
      <c r="G13" s="51"/>
      <c r="H13" s="51"/>
      <c r="I13" s="51"/>
      <c r="J13" s="51"/>
      <c r="K13" s="51"/>
      <c r="L13" s="51"/>
      <c r="M13" s="51"/>
      <c r="N13" s="51"/>
      <c r="O13" s="51"/>
      <c r="P13" s="51"/>
      <c r="Q13" s="51"/>
      <c r="R13" s="52"/>
      <c r="S13" s="53"/>
      <c r="T13" s="54"/>
      <c r="U13" s="52"/>
      <c r="V13" s="55"/>
      <c r="W13" s="55"/>
      <c r="X13" s="52"/>
      <c r="Y13" s="52"/>
      <c r="Z13" s="56"/>
      <c r="AA13" s="55"/>
      <c r="AB13" s="55"/>
      <c r="AC13" s="55"/>
      <c r="AD13" s="55"/>
      <c r="AE13" s="55"/>
      <c r="AF13" s="55"/>
    </row>
    <row r="14" spans="1:32" s="57" customFormat="1" ht="15.75" hidden="1" customHeight="1">
      <c r="A14" s="17" t="s">
        <v>64</v>
      </c>
      <c r="B14" s="2"/>
      <c r="C14" s="51"/>
      <c r="D14" s="51"/>
      <c r="E14" s="51"/>
      <c r="F14" s="51"/>
      <c r="G14" s="51"/>
      <c r="H14" s="51"/>
      <c r="I14" s="51"/>
      <c r="J14" s="51"/>
      <c r="K14" s="51"/>
      <c r="L14" s="51"/>
      <c r="M14" s="51"/>
      <c r="N14" s="51"/>
      <c r="O14" s="51"/>
      <c r="P14" s="51"/>
      <c r="Q14" s="51"/>
      <c r="R14" s="52"/>
      <c r="S14" s="53"/>
      <c r="T14" s="54"/>
      <c r="U14" s="52"/>
      <c r="V14" s="55"/>
      <c r="W14" s="55"/>
      <c r="X14" s="52"/>
      <c r="Y14" s="52"/>
      <c r="Z14" s="56"/>
      <c r="AA14" s="55"/>
      <c r="AB14" s="55"/>
      <c r="AC14" s="55"/>
      <c r="AD14" s="55"/>
      <c r="AE14" s="55"/>
      <c r="AF14" s="55"/>
    </row>
    <row r="15" spans="1:32" s="57" customFormat="1" ht="15.75" hidden="1" customHeight="1">
      <c r="A15" s="17" t="s">
        <v>65</v>
      </c>
      <c r="B15" s="2"/>
      <c r="C15" s="51"/>
      <c r="D15" s="51"/>
      <c r="E15" s="51"/>
      <c r="F15" s="51"/>
      <c r="G15" s="51"/>
      <c r="H15" s="51"/>
      <c r="I15" s="51"/>
      <c r="J15" s="51"/>
      <c r="K15" s="51"/>
      <c r="L15" s="51"/>
      <c r="M15" s="51"/>
      <c r="N15" s="51"/>
      <c r="O15" s="51"/>
      <c r="P15" s="51"/>
      <c r="Q15" s="51"/>
      <c r="R15" s="52"/>
      <c r="S15" s="53"/>
      <c r="T15" s="54"/>
      <c r="U15" s="52"/>
      <c r="V15" s="55"/>
      <c r="W15" s="55"/>
      <c r="X15" s="52"/>
      <c r="Y15" s="52"/>
      <c r="Z15" s="56"/>
      <c r="AA15" s="55"/>
      <c r="AB15" s="55"/>
      <c r="AC15" s="55"/>
      <c r="AD15" s="55"/>
      <c r="AE15" s="55"/>
      <c r="AF15" s="55"/>
    </row>
    <row r="16" spans="1:32" s="57" customFormat="1" ht="15.75" hidden="1" customHeight="1">
      <c r="A16" s="17" t="s">
        <v>66</v>
      </c>
      <c r="B16" s="2"/>
      <c r="C16" s="51"/>
      <c r="D16" s="51"/>
      <c r="E16" s="51"/>
      <c r="F16" s="51"/>
      <c r="G16" s="51"/>
      <c r="H16" s="51"/>
      <c r="I16" s="51"/>
      <c r="J16" s="51"/>
      <c r="K16" s="51"/>
      <c r="L16" s="51"/>
      <c r="M16" s="51"/>
      <c r="N16" s="51"/>
      <c r="O16" s="51"/>
      <c r="P16" s="51"/>
      <c r="Q16" s="51"/>
      <c r="R16" s="52"/>
      <c r="S16" s="53"/>
      <c r="T16" s="54"/>
      <c r="U16" s="52"/>
      <c r="V16" s="55"/>
      <c r="W16" s="55"/>
      <c r="X16" s="52"/>
      <c r="Y16" s="52"/>
      <c r="Z16" s="56"/>
      <c r="AA16" s="55"/>
      <c r="AB16" s="55"/>
      <c r="AC16" s="55"/>
      <c r="AD16" s="55"/>
      <c r="AE16" s="55"/>
      <c r="AF16" s="55"/>
    </row>
    <row r="17" spans="1:32" s="57" customFormat="1" ht="15.75" hidden="1" customHeight="1">
      <c r="A17" s="17" t="s">
        <v>67</v>
      </c>
      <c r="B17" s="2"/>
      <c r="C17" s="51"/>
      <c r="D17" s="51"/>
      <c r="E17" s="51"/>
      <c r="F17" s="51"/>
      <c r="G17" s="51"/>
      <c r="H17" s="51"/>
      <c r="I17" s="51"/>
      <c r="J17" s="51"/>
      <c r="K17" s="51"/>
      <c r="L17" s="51"/>
      <c r="M17" s="51"/>
      <c r="N17" s="51"/>
      <c r="O17" s="51"/>
      <c r="P17" s="51"/>
      <c r="Q17" s="51"/>
      <c r="R17" s="52"/>
      <c r="S17" s="53"/>
      <c r="T17" s="54"/>
      <c r="U17" s="52"/>
      <c r="V17" s="55"/>
      <c r="W17" s="55"/>
      <c r="X17" s="52"/>
      <c r="Y17" s="52"/>
      <c r="Z17" s="56"/>
      <c r="AA17" s="55"/>
      <c r="AB17" s="55"/>
      <c r="AC17" s="55"/>
      <c r="AD17" s="55"/>
      <c r="AE17" s="55"/>
      <c r="AF17" s="55"/>
    </row>
    <row r="18" spans="1:32" s="57" customFormat="1" ht="15.75" hidden="1" customHeight="1">
      <c r="A18" s="2" t="s">
        <v>69</v>
      </c>
      <c r="B18" s="2"/>
      <c r="C18" s="51"/>
      <c r="D18" s="51"/>
      <c r="E18" s="51"/>
      <c r="F18" s="51"/>
      <c r="G18" s="51"/>
      <c r="H18" s="51"/>
      <c r="I18" s="51"/>
      <c r="J18" s="51"/>
      <c r="K18" s="51"/>
      <c r="L18" s="51"/>
      <c r="M18" s="51"/>
      <c r="N18" s="51"/>
      <c r="O18" s="51"/>
      <c r="P18" s="51"/>
      <c r="Q18" s="51"/>
      <c r="R18" s="55"/>
      <c r="S18" s="53"/>
      <c r="T18" s="54"/>
      <c r="U18" s="55"/>
      <c r="V18" s="55"/>
      <c r="W18" s="55"/>
      <c r="X18" s="55"/>
      <c r="Y18" s="55"/>
      <c r="Z18" s="56"/>
      <c r="AA18" s="55"/>
      <c r="AB18" s="58"/>
      <c r="AC18" s="55"/>
      <c r="AD18" s="55"/>
      <c r="AE18" s="55"/>
      <c r="AF18" s="55"/>
    </row>
    <row r="19" spans="1:32" s="57" customFormat="1" ht="15.75" hidden="1" customHeight="1">
      <c r="A19" s="17" t="s">
        <v>71</v>
      </c>
      <c r="B19" s="2"/>
      <c r="C19" s="51"/>
      <c r="D19" s="51"/>
      <c r="E19" s="51"/>
      <c r="F19" s="51"/>
      <c r="G19" s="51"/>
      <c r="H19" s="51"/>
      <c r="I19" s="51"/>
      <c r="J19" s="51"/>
      <c r="K19" s="51"/>
      <c r="L19" s="51"/>
      <c r="M19" s="51"/>
      <c r="N19" s="51"/>
      <c r="O19" s="51"/>
      <c r="P19" s="51"/>
      <c r="Q19" s="51"/>
      <c r="R19" s="52"/>
      <c r="S19" s="53"/>
      <c r="T19" s="54"/>
      <c r="U19" s="55"/>
      <c r="V19" s="55"/>
      <c r="W19" s="55"/>
      <c r="X19" s="52"/>
      <c r="Y19" s="52"/>
      <c r="Z19" s="56"/>
      <c r="AA19" s="55"/>
      <c r="AB19" s="55"/>
      <c r="AC19" s="55"/>
      <c r="AD19" s="55"/>
      <c r="AE19" s="55"/>
      <c r="AF19" s="55"/>
    </row>
    <row r="20" spans="1:32" s="57" customFormat="1" ht="15.75" hidden="1" customHeight="1">
      <c r="A20" s="17" t="s">
        <v>73</v>
      </c>
      <c r="B20" s="2"/>
      <c r="C20" s="51"/>
      <c r="D20" s="51"/>
      <c r="E20" s="51"/>
      <c r="F20" s="51"/>
      <c r="G20" s="51"/>
      <c r="H20" s="51"/>
      <c r="I20" s="51"/>
      <c r="J20" s="51"/>
      <c r="K20" s="51"/>
      <c r="L20" s="51"/>
      <c r="M20" s="51"/>
      <c r="N20" s="51"/>
      <c r="O20" s="51"/>
      <c r="P20" s="51"/>
      <c r="Q20" s="51"/>
      <c r="R20" s="52"/>
      <c r="S20" s="53"/>
      <c r="T20" s="54"/>
      <c r="U20" s="52"/>
      <c r="V20" s="55"/>
      <c r="W20" s="55"/>
      <c r="X20" s="52"/>
      <c r="Y20" s="52"/>
      <c r="Z20" s="56"/>
      <c r="AA20" s="55"/>
      <c r="AB20" s="55"/>
      <c r="AC20" s="55"/>
      <c r="AD20" s="55"/>
      <c r="AE20" s="55"/>
      <c r="AF20" s="55"/>
    </row>
    <row r="21" spans="1:32" s="57" customFormat="1" ht="15.75" hidden="1" customHeight="1">
      <c r="A21" s="17" t="s">
        <v>75</v>
      </c>
      <c r="B21" s="2"/>
      <c r="C21" s="51"/>
      <c r="D21" s="51"/>
      <c r="E21" s="51"/>
      <c r="F21" s="51"/>
      <c r="G21" s="51"/>
      <c r="H21" s="51"/>
      <c r="I21" s="51"/>
      <c r="J21" s="51"/>
      <c r="K21" s="51"/>
      <c r="L21" s="51"/>
      <c r="M21" s="51"/>
      <c r="N21" s="51"/>
      <c r="O21" s="51"/>
      <c r="P21" s="51"/>
      <c r="Q21" s="51"/>
      <c r="R21" s="52"/>
      <c r="S21" s="53"/>
      <c r="T21" s="54"/>
      <c r="U21" s="52"/>
      <c r="V21" s="55"/>
      <c r="W21" s="55"/>
      <c r="X21" s="52"/>
      <c r="Y21" s="52"/>
      <c r="Z21" s="56"/>
      <c r="AA21" s="55"/>
      <c r="AB21" s="55"/>
      <c r="AC21" s="55"/>
      <c r="AD21" s="55"/>
      <c r="AE21" s="55"/>
      <c r="AF21" s="55"/>
    </row>
    <row r="22" spans="1:32" s="57" customFormat="1" ht="15.75" hidden="1" customHeight="1">
      <c r="A22" s="17" t="s">
        <v>77</v>
      </c>
      <c r="B22" s="2"/>
      <c r="C22" s="51"/>
      <c r="D22" s="51"/>
      <c r="E22" s="51"/>
      <c r="F22" s="51"/>
      <c r="G22" s="51"/>
      <c r="H22" s="51"/>
      <c r="I22" s="51"/>
      <c r="J22" s="51"/>
      <c r="K22" s="51"/>
      <c r="L22" s="51"/>
      <c r="M22" s="51"/>
      <c r="N22" s="51"/>
      <c r="O22" s="51"/>
      <c r="P22" s="51"/>
      <c r="Q22" s="51"/>
      <c r="R22" s="52"/>
      <c r="S22" s="53"/>
      <c r="T22" s="54"/>
      <c r="U22" s="52"/>
      <c r="V22" s="55"/>
      <c r="W22" s="55"/>
      <c r="X22" s="52"/>
      <c r="Y22" s="52"/>
      <c r="Z22" s="56"/>
      <c r="AA22" s="55"/>
      <c r="AB22" s="55"/>
      <c r="AC22" s="55"/>
      <c r="AD22" s="55"/>
      <c r="AE22" s="55"/>
      <c r="AF22" s="55"/>
    </row>
    <row r="23" spans="1:32" s="57" customFormat="1" ht="15.75" hidden="1" customHeight="1">
      <c r="A23" s="17" t="s">
        <v>79</v>
      </c>
      <c r="B23" s="2"/>
      <c r="C23" s="51"/>
      <c r="D23" s="51"/>
      <c r="E23" s="51"/>
      <c r="F23" s="51"/>
      <c r="G23" s="51"/>
      <c r="H23" s="51"/>
      <c r="I23" s="51"/>
      <c r="J23" s="51"/>
      <c r="K23" s="51"/>
      <c r="L23" s="51"/>
      <c r="M23" s="51"/>
      <c r="N23" s="51"/>
      <c r="O23" s="51"/>
      <c r="P23" s="51"/>
      <c r="Q23" s="51"/>
      <c r="R23" s="52"/>
      <c r="S23" s="53"/>
      <c r="T23" s="54"/>
      <c r="U23" s="52"/>
      <c r="V23" s="55"/>
      <c r="W23" s="55"/>
      <c r="X23" s="52"/>
      <c r="Y23" s="52"/>
      <c r="Z23" s="56"/>
      <c r="AA23" s="55"/>
      <c r="AB23" s="55"/>
      <c r="AC23" s="55"/>
      <c r="AD23" s="55"/>
      <c r="AE23" s="55"/>
      <c r="AF23" s="55"/>
    </row>
    <row r="24" spans="1:32" s="57" customFormat="1" ht="15.75" hidden="1" customHeight="1">
      <c r="A24" s="17" t="s">
        <v>80</v>
      </c>
      <c r="B24" s="2"/>
      <c r="C24" s="51"/>
      <c r="D24" s="51"/>
      <c r="E24" s="51"/>
      <c r="F24" s="51"/>
      <c r="G24" s="51"/>
      <c r="H24" s="51"/>
      <c r="I24" s="51"/>
      <c r="J24" s="51"/>
      <c r="K24" s="51"/>
      <c r="L24" s="51"/>
      <c r="M24" s="51"/>
      <c r="N24" s="51"/>
      <c r="O24" s="51"/>
      <c r="P24" s="51"/>
      <c r="Q24" s="51"/>
      <c r="R24" s="52"/>
      <c r="S24" s="53"/>
      <c r="T24" s="54"/>
      <c r="U24" s="52"/>
      <c r="V24" s="55"/>
      <c r="W24" s="55"/>
      <c r="X24" s="52"/>
      <c r="Y24" s="52"/>
      <c r="Z24" s="56"/>
      <c r="AA24" s="55"/>
      <c r="AB24" s="55"/>
      <c r="AC24" s="55"/>
      <c r="AD24" s="55"/>
      <c r="AE24" s="55"/>
      <c r="AF24" s="55"/>
    </row>
    <row r="25" spans="1:32" s="57" customFormat="1" ht="15.75" hidden="1" customHeight="1">
      <c r="A25" s="17" t="s">
        <v>81</v>
      </c>
      <c r="B25" s="2"/>
      <c r="C25" s="51"/>
      <c r="D25" s="51"/>
      <c r="E25" s="51"/>
      <c r="F25" s="51"/>
      <c r="G25" s="51"/>
      <c r="H25" s="51"/>
      <c r="I25" s="51"/>
      <c r="J25" s="51"/>
      <c r="K25" s="51"/>
      <c r="L25" s="51"/>
      <c r="M25" s="51"/>
      <c r="N25" s="51"/>
      <c r="O25" s="51"/>
      <c r="P25" s="51"/>
      <c r="Q25" s="51"/>
      <c r="R25" s="52"/>
      <c r="S25" s="53"/>
      <c r="T25" s="54"/>
      <c r="U25" s="52"/>
      <c r="V25" s="55"/>
      <c r="W25" s="55"/>
      <c r="X25" s="52"/>
      <c r="Y25" s="52"/>
      <c r="Z25" s="56"/>
      <c r="AA25" s="55"/>
      <c r="AB25" s="55"/>
      <c r="AC25" s="55"/>
      <c r="AD25" s="55"/>
      <c r="AE25" s="55"/>
      <c r="AF25" s="55"/>
    </row>
    <row r="26" spans="1:32" s="57" customFormat="1" ht="15.75" hidden="1" customHeight="1">
      <c r="A26" s="17" t="s">
        <v>83</v>
      </c>
      <c r="B26" s="2"/>
      <c r="C26" s="51"/>
      <c r="D26" s="51"/>
      <c r="E26" s="51"/>
      <c r="F26" s="51"/>
      <c r="G26" s="51"/>
      <c r="H26" s="51"/>
      <c r="I26" s="51"/>
      <c r="J26" s="51"/>
      <c r="K26" s="51"/>
      <c r="L26" s="51"/>
      <c r="M26" s="51"/>
      <c r="N26" s="51"/>
      <c r="O26" s="51"/>
      <c r="P26" s="51"/>
      <c r="Q26" s="51"/>
      <c r="R26" s="52"/>
      <c r="S26" s="53"/>
      <c r="T26" s="54"/>
      <c r="U26" s="52"/>
      <c r="V26" s="55"/>
      <c r="W26" s="55"/>
      <c r="X26" s="52"/>
      <c r="Y26" s="52"/>
      <c r="Z26" s="56"/>
      <c r="AA26" s="55"/>
      <c r="AB26" s="55"/>
      <c r="AC26" s="55"/>
      <c r="AD26" s="55"/>
      <c r="AE26" s="55"/>
      <c r="AF26" s="55"/>
    </row>
    <row r="27" spans="1:32" s="57" customFormat="1" ht="15.75" hidden="1" customHeight="1">
      <c r="A27" s="17" t="s">
        <v>84</v>
      </c>
      <c r="B27" s="2"/>
      <c r="C27" s="51"/>
      <c r="D27" s="51"/>
      <c r="E27" s="51"/>
      <c r="F27" s="51"/>
      <c r="G27" s="51"/>
      <c r="H27" s="51"/>
      <c r="I27" s="51"/>
      <c r="J27" s="51"/>
      <c r="K27" s="51"/>
      <c r="L27" s="51"/>
      <c r="M27" s="51"/>
      <c r="N27" s="51"/>
      <c r="O27" s="51"/>
      <c r="P27" s="51"/>
      <c r="Q27" s="51"/>
      <c r="R27" s="52"/>
      <c r="S27" s="53"/>
      <c r="T27" s="54"/>
      <c r="U27" s="52"/>
      <c r="V27" s="55"/>
      <c r="W27" s="55"/>
      <c r="X27" s="52"/>
      <c r="Y27" s="52"/>
      <c r="Z27" s="56"/>
      <c r="AA27" s="55"/>
      <c r="AB27" s="55"/>
      <c r="AC27" s="55"/>
      <c r="AD27" s="55"/>
      <c r="AE27" s="55"/>
      <c r="AF27" s="55"/>
    </row>
    <row r="28" spans="1:32" s="57" customFormat="1" ht="15.75" hidden="1" customHeight="1">
      <c r="A28" s="17" t="s">
        <v>86</v>
      </c>
      <c r="B28" s="2"/>
      <c r="C28" s="51"/>
      <c r="D28" s="51"/>
      <c r="E28" s="51"/>
      <c r="F28" s="51"/>
      <c r="G28" s="51"/>
      <c r="H28" s="51"/>
      <c r="I28" s="51"/>
      <c r="J28" s="51"/>
      <c r="K28" s="51"/>
      <c r="L28" s="51"/>
      <c r="M28" s="51"/>
      <c r="N28" s="51"/>
      <c r="O28" s="51"/>
      <c r="P28" s="51"/>
      <c r="Q28" s="51"/>
      <c r="R28" s="52"/>
      <c r="S28" s="53"/>
      <c r="T28" s="54"/>
      <c r="U28" s="52"/>
      <c r="V28" s="55"/>
      <c r="W28" s="55"/>
      <c r="X28" s="52"/>
      <c r="Y28" s="52"/>
      <c r="Z28" s="56"/>
      <c r="AA28" s="55"/>
      <c r="AB28" s="55"/>
      <c r="AC28" s="55"/>
      <c r="AD28" s="55"/>
      <c r="AE28" s="55"/>
      <c r="AF28" s="55"/>
    </row>
    <row r="29" spans="1:32" s="57" customFormat="1" ht="15.75" hidden="1" customHeight="1">
      <c r="A29" s="17" t="s">
        <v>87</v>
      </c>
      <c r="B29" s="2"/>
      <c r="C29" s="51"/>
      <c r="D29" s="51"/>
      <c r="E29" s="51"/>
      <c r="F29" s="51"/>
      <c r="G29" s="51"/>
      <c r="H29" s="51"/>
      <c r="I29" s="51"/>
      <c r="J29" s="51"/>
      <c r="K29" s="51"/>
      <c r="L29" s="51"/>
      <c r="M29" s="51"/>
      <c r="N29" s="51"/>
      <c r="O29" s="51"/>
      <c r="P29" s="51"/>
      <c r="Q29" s="51"/>
      <c r="R29" s="52"/>
      <c r="S29" s="53"/>
      <c r="T29" s="54"/>
      <c r="U29" s="52"/>
      <c r="V29" s="55"/>
      <c r="W29" s="55"/>
      <c r="X29" s="52"/>
      <c r="Y29" s="52"/>
      <c r="Z29" s="56"/>
      <c r="AA29" s="55"/>
      <c r="AB29" s="55"/>
      <c r="AC29" s="55"/>
      <c r="AD29" s="55"/>
      <c r="AE29" s="55"/>
      <c r="AF29" s="55"/>
    </row>
    <row r="30" spans="1:32" s="57" customFormat="1" ht="15.75" hidden="1" customHeight="1">
      <c r="A30" s="17" t="s">
        <v>89</v>
      </c>
      <c r="B30" s="2"/>
      <c r="C30" s="51"/>
      <c r="D30" s="51"/>
      <c r="E30" s="51"/>
      <c r="F30" s="51"/>
      <c r="G30" s="51"/>
      <c r="H30" s="51"/>
      <c r="I30" s="51"/>
      <c r="J30" s="51"/>
      <c r="K30" s="51"/>
      <c r="L30" s="51"/>
      <c r="M30" s="51"/>
      <c r="N30" s="51"/>
      <c r="O30" s="51"/>
      <c r="P30" s="51"/>
      <c r="Q30" s="51"/>
      <c r="R30" s="52"/>
      <c r="S30" s="53"/>
      <c r="T30" s="54"/>
      <c r="U30" s="52"/>
      <c r="V30" s="55"/>
      <c r="W30" s="55"/>
      <c r="X30" s="52"/>
      <c r="Y30" s="52"/>
      <c r="Z30" s="56"/>
      <c r="AA30" s="55"/>
      <c r="AB30" s="55"/>
      <c r="AC30" s="55"/>
      <c r="AD30" s="55"/>
      <c r="AE30" s="55"/>
      <c r="AF30" s="55"/>
    </row>
    <row r="31" spans="1:32" s="57" customFormat="1" ht="15.75" hidden="1" customHeight="1">
      <c r="A31" s="17" t="s">
        <v>90</v>
      </c>
      <c r="B31" s="2"/>
      <c r="C31" s="51"/>
      <c r="D31" s="51"/>
      <c r="E31" s="51"/>
      <c r="F31" s="51"/>
      <c r="G31" s="51"/>
      <c r="H31" s="51"/>
      <c r="I31" s="51"/>
      <c r="J31" s="51"/>
      <c r="K31" s="51"/>
      <c r="L31" s="51"/>
      <c r="M31" s="51"/>
      <c r="N31" s="51"/>
      <c r="O31" s="51"/>
      <c r="P31" s="51"/>
      <c r="Q31" s="51"/>
      <c r="R31" s="52"/>
      <c r="S31" s="53"/>
      <c r="T31" s="54"/>
      <c r="U31" s="52"/>
      <c r="V31" s="55"/>
      <c r="W31" s="55"/>
      <c r="X31" s="52"/>
      <c r="Y31" s="52"/>
      <c r="Z31" s="56"/>
      <c r="AA31" s="55"/>
      <c r="AB31" s="55"/>
      <c r="AC31" s="55"/>
      <c r="AD31" s="55"/>
      <c r="AE31" s="55"/>
      <c r="AF31" s="55"/>
    </row>
    <row r="32" spans="1:32" s="57" customFormat="1" ht="15.75" hidden="1" customHeight="1">
      <c r="A32" s="17" t="s">
        <v>92</v>
      </c>
      <c r="B32" s="2"/>
      <c r="C32" s="51"/>
      <c r="D32" s="51"/>
      <c r="E32" s="51"/>
      <c r="F32" s="51"/>
      <c r="G32" s="51"/>
      <c r="H32" s="51"/>
      <c r="I32" s="51"/>
      <c r="J32" s="51"/>
      <c r="K32" s="51"/>
      <c r="L32" s="51"/>
      <c r="M32" s="51"/>
      <c r="N32" s="51"/>
      <c r="O32" s="51"/>
      <c r="P32" s="51"/>
      <c r="Q32" s="51"/>
      <c r="R32" s="52"/>
      <c r="S32" s="53"/>
      <c r="T32" s="54"/>
      <c r="U32" s="52"/>
      <c r="V32" s="55"/>
      <c r="W32" s="55"/>
      <c r="X32" s="52"/>
      <c r="Y32" s="52"/>
      <c r="Z32" s="56"/>
      <c r="AA32" s="55"/>
      <c r="AB32" s="55"/>
      <c r="AC32" s="55"/>
      <c r="AD32" s="55"/>
      <c r="AE32" s="55"/>
      <c r="AF32" s="52"/>
    </row>
    <row r="33" spans="1:32" s="57" customFormat="1" ht="15.75" hidden="1" customHeight="1">
      <c r="A33" s="17" t="s">
        <v>94</v>
      </c>
      <c r="B33" s="2"/>
      <c r="C33" s="51"/>
      <c r="D33" s="51"/>
      <c r="E33" s="51"/>
      <c r="F33" s="51"/>
      <c r="G33" s="51"/>
      <c r="H33" s="51"/>
      <c r="I33" s="51"/>
      <c r="J33" s="51"/>
      <c r="K33" s="51"/>
      <c r="L33" s="51"/>
      <c r="M33" s="51"/>
      <c r="N33" s="51"/>
      <c r="O33" s="51"/>
      <c r="P33" s="51"/>
      <c r="Q33" s="51"/>
      <c r="R33" s="52"/>
      <c r="S33" s="53"/>
      <c r="T33" s="54"/>
      <c r="U33" s="52"/>
      <c r="V33" s="55"/>
      <c r="W33" s="55"/>
      <c r="X33" s="52"/>
      <c r="Y33" s="52"/>
      <c r="Z33" s="56"/>
      <c r="AA33" s="55"/>
      <c r="AB33" s="55"/>
      <c r="AC33" s="55"/>
      <c r="AD33" s="55"/>
      <c r="AE33" s="55"/>
      <c r="AF33" s="55"/>
    </row>
    <row r="34" spans="1:32" s="57" customFormat="1" ht="15.75" hidden="1" customHeight="1">
      <c r="A34" s="17" t="s">
        <v>95</v>
      </c>
      <c r="B34" s="2"/>
      <c r="C34" s="51"/>
      <c r="D34" s="51"/>
      <c r="E34" s="51"/>
      <c r="F34" s="51"/>
      <c r="G34" s="51"/>
      <c r="H34" s="51"/>
      <c r="I34" s="51"/>
      <c r="J34" s="51"/>
      <c r="K34" s="51"/>
      <c r="L34" s="51"/>
      <c r="M34" s="51"/>
      <c r="N34" s="51"/>
      <c r="O34" s="51"/>
      <c r="P34" s="51"/>
      <c r="Q34" s="51"/>
      <c r="R34" s="55"/>
      <c r="S34" s="53"/>
      <c r="T34" s="54"/>
      <c r="U34" s="52"/>
      <c r="V34" s="55"/>
      <c r="W34" s="55"/>
      <c r="X34" s="52"/>
      <c r="Y34" s="52"/>
      <c r="Z34" s="56"/>
      <c r="AA34" s="55"/>
      <c r="AB34" s="55"/>
      <c r="AC34" s="55"/>
      <c r="AD34" s="55"/>
      <c r="AE34" s="55"/>
      <c r="AF34" s="55"/>
    </row>
    <row r="35" spans="1:32" s="57" customFormat="1" ht="15.75" hidden="1" customHeight="1">
      <c r="A35" s="17" t="s">
        <v>96</v>
      </c>
      <c r="B35" s="2"/>
      <c r="C35" s="51"/>
      <c r="D35" s="51"/>
      <c r="E35" s="51"/>
      <c r="F35" s="51"/>
      <c r="G35" s="51"/>
      <c r="H35" s="51"/>
      <c r="I35" s="51"/>
      <c r="J35" s="51"/>
      <c r="K35" s="51"/>
      <c r="L35" s="51"/>
      <c r="M35" s="51"/>
      <c r="N35" s="51"/>
      <c r="O35" s="51"/>
      <c r="P35" s="51"/>
      <c r="Q35" s="51"/>
      <c r="R35" s="55"/>
      <c r="S35" s="53"/>
      <c r="T35" s="54"/>
      <c r="U35" s="52"/>
      <c r="V35" s="55"/>
      <c r="W35" s="55"/>
      <c r="X35" s="52"/>
      <c r="Y35" s="52"/>
      <c r="Z35" s="56"/>
      <c r="AA35" s="55"/>
      <c r="AB35" s="55"/>
      <c r="AC35" s="55"/>
      <c r="AD35" s="55"/>
      <c r="AE35" s="55"/>
      <c r="AF35" s="55"/>
    </row>
    <row r="36" spans="1:32" s="57" customFormat="1" ht="15.75" hidden="1" customHeight="1">
      <c r="A36" s="17" t="s">
        <v>98</v>
      </c>
      <c r="B36" s="2"/>
      <c r="C36" s="51"/>
      <c r="D36" s="51"/>
      <c r="E36" s="51"/>
      <c r="F36" s="51"/>
      <c r="G36" s="51"/>
      <c r="H36" s="51"/>
      <c r="I36" s="51"/>
      <c r="J36" s="51"/>
      <c r="K36" s="51"/>
      <c r="L36" s="51"/>
      <c r="M36" s="51"/>
      <c r="N36" s="51"/>
      <c r="O36" s="51"/>
      <c r="P36" s="51"/>
      <c r="Q36" s="51"/>
      <c r="R36" s="55"/>
      <c r="S36" s="53"/>
      <c r="T36" s="54"/>
      <c r="U36" s="55"/>
      <c r="V36" s="55"/>
      <c r="W36" s="55"/>
      <c r="X36" s="55"/>
      <c r="Y36" s="52"/>
      <c r="Z36" s="56"/>
      <c r="AA36" s="55"/>
      <c r="AB36" s="55"/>
      <c r="AC36" s="55"/>
      <c r="AD36" s="55"/>
      <c r="AE36" s="55"/>
      <c r="AF36" s="55"/>
    </row>
    <row r="37" spans="1:32" s="57" customFormat="1" ht="15.75" hidden="1" customHeight="1">
      <c r="A37" s="17" t="s">
        <v>99</v>
      </c>
      <c r="B37" s="2"/>
      <c r="C37" s="51"/>
      <c r="D37" s="51"/>
      <c r="E37" s="51"/>
      <c r="F37" s="51"/>
      <c r="G37" s="51"/>
      <c r="H37" s="51"/>
      <c r="I37" s="51"/>
      <c r="J37" s="51"/>
      <c r="K37" s="51"/>
      <c r="L37" s="51"/>
      <c r="M37" s="51"/>
      <c r="N37" s="51"/>
      <c r="O37" s="51"/>
      <c r="P37" s="51"/>
      <c r="Q37" s="51"/>
      <c r="R37" s="55"/>
      <c r="S37" s="53"/>
      <c r="T37" s="54"/>
      <c r="U37" s="52"/>
      <c r="V37" s="55"/>
      <c r="W37" s="55"/>
      <c r="X37" s="52"/>
      <c r="Y37" s="52"/>
      <c r="Z37" s="56"/>
      <c r="AA37" s="55"/>
      <c r="AB37" s="55"/>
      <c r="AC37" s="55"/>
      <c r="AD37" s="55"/>
      <c r="AE37" s="55"/>
      <c r="AF37" s="55"/>
    </row>
    <row r="38" spans="1:32" s="57" customFormat="1" ht="15.75" hidden="1" customHeight="1">
      <c r="A38" s="17" t="s">
        <v>100</v>
      </c>
      <c r="B38" s="2"/>
      <c r="C38" s="51"/>
      <c r="D38" s="51"/>
      <c r="E38" s="51"/>
      <c r="F38" s="51"/>
      <c r="G38" s="51"/>
      <c r="H38" s="51"/>
      <c r="I38" s="51"/>
      <c r="J38" s="51"/>
      <c r="K38" s="51"/>
      <c r="L38" s="51"/>
      <c r="M38" s="51"/>
      <c r="N38" s="51"/>
      <c r="O38" s="51"/>
      <c r="P38" s="51"/>
      <c r="Q38" s="51"/>
      <c r="R38" s="52"/>
      <c r="S38" s="53"/>
      <c r="T38" s="54"/>
      <c r="U38" s="52"/>
      <c r="V38" s="55"/>
      <c r="W38" s="55"/>
      <c r="X38" s="52"/>
      <c r="Y38" s="52"/>
      <c r="Z38" s="56"/>
      <c r="AA38" s="55"/>
      <c r="AB38" s="55"/>
      <c r="AC38" s="55"/>
      <c r="AD38" s="55"/>
      <c r="AE38" s="55"/>
      <c r="AF38" s="55"/>
    </row>
    <row r="39" spans="1:32" s="57" customFormat="1" ht="15.75" hidden="1" customHeight="1">
      <c r="A39" s="17" t="s">
        <v>101</v>
      </c>
      <c r="B39" s="2"/>
      <c r="C39" s="51"/>
      <c r="D39" s="51"/>
      <c r="E39" s="51"/>
      <c r="F39" s="51"/>
      <c r="G39" s="51"/>
      <c r="H39" s="51"/>
      <c r="I39" s="51"/>
      <c r="J39" s="51"/>
      <c r="K39" s="51"/>
      <c r="L39" s="51"/>
      <c r="M39" s="51"/>
      <c r="N39" s="51"/>
      <c r="O39" s="51"/>
      <c r="P39" s="51"/>
      <c r="Q39" s="51"/>
      <c r="R39" s="55"/>
      <c r="S39" s="53"/>
      <c r="T39" s="54"/>
      <c r="U39" s="52"/>
      <c r="V39" s="55"/>
      <c r="W39" s="55"/>
      <c r="X39" s="52"/>
      <c r="Y39" s="52"/>
      <c r="Z39" s="56"/>
      <c r="AA39" s="52"/>
      <c r="AB39" s="55"/>
      <c r="AC39" s="55"/>
      <c r="AD39" s="55"/>
      <c r="AE39" s="55"/>
      <c r="AF39" s="55"/>
    </row>
    <row r="40" spans="1:32" s="57" customFormat="1" ht="15.75" hidden="1" customHeight="1">
      <c r="A40" s="17" t="s">
        <v>102</v>
      </c>
      <c r="B40" s="2"/>
      <c r="C40" s="51"/>
      <c r="D40" s="51"/>
      <c r="E40" s="51"/>
      <c r="F40" s="51"/>
      <c r="G40" s="51"/>
      <c r="H40" s="51"/>
      <c r="I40" s="51"/>
      <c r="J40" s="51"/>
      <c r="K40" s="51"/>
      <c r="L40" s="51"/>
      <c r="M40" s="51"/>
      <c r="N40" s="51"/>
      <c r="O40" s="51"/>
      <c r="P40" s="51"/>
      <c r="Q40" s="51"/>
      <c r="R40" s="55"/>
      <c r="S40" s="53"/>
      <c r="T40" s="54"/>
      <c r="U40" s="52"/>
      <c r="V40" s="55"/>
      <c r="W40" s="55"/>
      <c r="X40" s="52"/>
      <c r="Y40" s="52"/>
      <c r="Z40" s="56"/>
      <c r="AA40" s="55"/>
      <c r="AB40" s="55"/>
      <c r="AC40" s="55"/>
      <c r="AD40" s="55"/>
      <c r="AE40" s="55"/>
      <c r="AF40" s="55"/>
    </row>
    <row r="41" spans="1:32" s="57" customFormat="1" ht="15.75" hidden="1" customHeight="1">
      <c r="A41" s="17" t="s">
        <v>105</v>
      </c>
      <c r="B41" s="2"/>
      <c r="C41" s="51"/>
      <c r="D41" s="51"/>
      <c r="E41" s="51"/>
      <c r="F41" s="51"/>
      <c r="G41" s="51"/>
      <c r="H41" s="51"/>
      <c r="I41" s="51"/>
      <c r="J41" s="51"/>
      <c r="K41" s="51"/>
      <c r="L41" s="51"/>
      <c r="M41" s="51"/>
      <c r="N41" s="51"/>
      <c r="O41" s="51"/>
      <c r="P41" s="51"/>
      <c r="Q41" s="51"/>
      <c r="R41" s="55"/>
      <c r="S41" s="53"/>
      <c r="T41" s="54"/>
      <c r="U41" s="52"/>
      <c r="V41" s="55"/>
      <c r="W41" s="55"/>
      <c r="X41" s="52"/>
      <c r="Y41" s="52"/>
      <c r="Z41" s="56"/>
      <c r="AA41" s="55"/>
      <c r="AB41" s="55"/>
      <c r="AC41" s="55"/>
      <c r="AD41" s="55"/>
      <c r="AE41" s="55"/>
      <c r="AF41" s="55"/>
    </row>
    <row r="42" spans="1:32" s="57" customFormat="1" ht="15.75" hidden="1" customHeight="1">
      <c r="A42" s="17" t="s">
        <v>106</v>
      </c>
      <c r="B42" s="2"/>
      <c r="C42" s="51"/>
      <c r="D42" s="51"/>
      <c r="E42" s="51"/>
      <c r="F42" s="51"/>
      <c r="G42" s="51"/>
      <c r="H42" s="51"/>
      <c r="I42" s="51"/>
      <c r="J42" s="51"/>
      <c r="K42" s="51"/>
      <c r="L42" s="51"/>
      <c r="M42" s="51"/>
      <c r="N42" s="51"/>
      <c r="O42" s="51"/>
      <c r="P42" s="51"/>
      <c r="Q42" s="51"/>
      <c r="R42" s="55"/>
      <c r="S42" s="53"/>
      <c r="T42" s="54"/>
      <c r="U42" s="52"/>
      <c r="V42" s="55"/>
      <c r="W42" s="55"/>
      <c r="X42" s="52"/>
      <c r="Y42" s="52"/>
      <c r="Z42" s="56"/>
      <c r="AA42" s="55"/>
      <c r="AB42" s="55"/>
      <c r="AC42" s="55"/>
      <c r="AD42" s="55"/>
      <c r="AE42" s="55"/>
      <c r="AF42" s="55"/>
    </row>
    <row r="43" spans="1:32" s="57" customFormat="1" ht="15.75" hidden="1" customHeight="1">
      <c r="A43" s="17" t="s">
        <v>107</v>
      </c>
      <c r="B43" s="2"/>
      <c r="C43" s="51"/>
      <c r="D43" s="51"/>
      <c r="E43" s="51"/>
      <c r="F43" s="51"/>
      <c r="G43" s="51"/>
      <c r="H43" s="51"/>
      <c r="I43" s="51"/>
      <c r="J43" s="51"/>
      <c r="K43" s="51"/>
      <c r="L43" s="51"/>
      <c r="M43" s="51"/>
      <c r="N43" s="51"/>
      <c r="O43" s="51"/>
      <c r="P43" s="51"/>
      <c r="Q43" s="51"/>
      <c r="R43" s="55"/>
      <c r="S43" s="53"/>
      <c r="T43" s="54"/>
      <c r="U43" s="52"/>
      <c r="V43" s="55"/>
      <c r="W43" s="55"/>
      <c r="X43" s="52"/>
      <c r="Y43" s="52"/>
      <c r="Z43" s="56"/>
      <c r="AA43" s="55"/>
      <c r="AB43" s="55"/>
      <c r="AC43" s="55"/>
      <c r="AD43" s="55"/>
      <c r="AE43" s="55"/>
      <c r="AF43" s="55"/>
    </row>
    <row r="44" spans="1:32" s="57" customFormat="1" ht="15.75" hidden="1" customHeight="1">
      <c r="A44" s="17" t="s">
        <v>108</v>
      </c>
      <c r="B44" s="2"/>
      <c r="C44" s="51"/>
      <c r="D44" s="51"/>
      <c r="E44" s="51"/>
      <c r="F44" s="51"/>
      <c r="G44" s="51"/>
      <c r="H44" s="51"/>
      <c r="I44" s="51"/>
      <c r="J44" s="51"/>
      <c r="K44" s="51"/>
      <c r="L44" s="51"/>
      <c r="M44" s="51"/>
      <c r="N44" s="51"/>
      <c r="O44" s="51"/>
      <c r="P44" s="51"/>
      <c r="Q44" s="51"/>
      <c r="R44" s="55"/>
      <c r="S44" s="53"/>
      <c r="T44" s="54"/>
      <c r="U44" s="52"/>
      <c r="V44" s="55"/>
      <c r="W44" s="55"/>
      <c r="X44" s="52"/>
      <c r="Y44" s="52"/>
      <c r="Z44" s="56"/>
      <c r="AA44" s="55"/>
      <c r="AB44" s="55"/>
      <c r="AC44" s="55"/>
      <c r="AD44" s="55"/>
      <c r="AE44" s="55"/>
      <c r="AF44" s="55"/>
    </row>
    <row r="45" spans="1:32" s="57" customFormat="1" ht="15.75" hidden="1" customHeight="1">
      <c r="A45" s="17" t="s">
        <v>109</v>
      </c>
      <c r="B45" s="2"/>
      <c r="C45" s="51"/>
      <c r="D45" s="51"/>
      <c r="E45" s="51"/>
      <c r="F45" s="51"/>
      <c r="G45" s="51"/>
      <c r="H45" s="51"/>
      <c r="I45" s="51"/>
      <c r="J45" s="51"/>
      <c r="K45" s="51"/>
      <c r="L45" s="51"/>
      <c r="M45" s="51"/>
      <c r="N45" s="51"/>
      <c r="O45" s="51"/>
      <c r="P45" s="51"/>
      <c r="Q45" s="51"/>
      <c r="R45" s="55"/>
      <c r="S45" s="53"/>
      <c r="T45" s="54"/>
      <c r="U45" s="52"/>
      <c r="V45" s="55"/>
      <c r="W45" s="55"/>
      <c r="X45" s="52"/>
      <c r="Y45" s="52"/>
      <c r="Z45" s="56"/>
      <c r="AA45" s="55"/>
      <c r="AB45" s="55"/>
      <c r="AC45" s="55"/>
      <c r="AD45" s="55"/>
      <c r="AE45" s="55"/>
      <c r="AF45" s="55"/>
    </row>
    <row r="46" spans="1:32" s="57" customFormat="1" ht="15.75" hidden="1" customHeight="1">
      <c r="A46" s="17" t="s">
        <v>111</v>
      </c>
      <c r="B46" s="2"/>
      <c r="C46" s="51"/>
      <c r="D46" s="51"/>
      <c r="E46" s="51"/>
      <c r="F46" s="51"/>
      <c r="G46" s="51"/>
      <c r="H46" s="51"/>
      <c r="I46" s="51"/>
      <c r="J46" s="51"/>
      <c r="K46" s="51"/>
      <c r="L46" s="51"/>
      <c r="M46" s="51"/>
      <c r="N46" s="51"/>
      <c r="O46" s="51"/>
      <c r="P46" s="51"/>
      <c r="Q46" s="51"/>
      <c r="R46" s="55"/>
      <c r="S46" s="53"/>
      <c r="T46" s="54"/>
      <c r="U46" s="52"/>
      <c r="V46" s="55"/>
      <c r="W46" s="55"/>
      <c r="X46" s="52"/>
      <c r="Y46" s="52"/>
      <c r="Z46" s="56"/>
      <c r="AA46" s="55"/>
      <c r="AB46" s="55"/>
      <c r="AC46" s="55"/>
      <c r="AD46" s="55"/>
      <c r="AE46" s="55"/>
      <c r="AF46" s="55"/>
    </row>
    <row r="47" spans="1:32" s="57" customFormat="1" ht="15.75" hidden="1" customHeight="1">
      <c r="A47" s="17" t="s">
        <v>113</v>
      </c>
      <c r="B47" s="2"/>
      <c r="C47" s="51"/>
      <c r="D47" s="51"/>
      <c r="E47" s="51"/>
      <c r="F47" s="51"/>
      <c r="G47" s="51"/>
      <c r="H47" s="51"/>
      <c r="I47" s="51"/>
      <c r="J47" s="51"/>
      <c r="K47" s="51"/>
      <c r="L47" s="51"/>
      <c r="M47" s="51"/>
      <c r="N47" s="51"/>
      <c r="O47" s="51"/>
      <c r="P47" s="51"/>
      <c r="Q47" s="51"/>
      <c r="R47" s="55"/>
      <c r="S47" s="53"/>
      <c r="T47" s="54"/>
      <c r="U47" s="52"/>
      <c r="V47" s="55"/>
      <c r="W47" s="55"/>
      <c r="X47" s="52"/>
      <c r="Y47" s="52"/>
      <c r="Z47" s="56"/>
      <c r="AA47" s="55"/>
      <c r="AB47" s="55"/>
      <c r="AC47" s="55"/>
      <c r="AD47" s="55"/>
      <c r="AE47" s="55"/>
      <c r="AF47" s="55"/>
    </row>
    <row r="48" spans="1:32" s="57" customFormat="1" ht="15.75" hidden="1" customHeight="1">
      <c r="A48" s="17" t="s">
        <v>115</v>
      </c>
      <c r="B48" s="2"/>
      <c r="C48" s="51"/>
      <c r="D48" s="51"/>
      <c r="E48" s="51"/>
      <c r="F48" s="51"/>
      <c r="G48" s="51"/>
      <c r="H48" s="51"/>
      <c r="I48" s="51"/>
      <c r="J48" s="51"/>
      <c r="K48" s="51"/>
      <c r="L48" s="51"/>
      <c r="M48" s="51"/>
      <c r="N48" s="51"/>
      <c r="O48" s="51"/>
      <c r="P48" s="51"/>
      <c r="Q48" s="51"/>
      <c r="R48" s="55"/>
      <c r="S48" s="53"/>
      <c r="T48" s="54"/>
      <c r="U48" s="52"/>
      <c r="V48" s="55"/>
      <c r="W48" s="55"/>
      <c r="X48" s="52"/>
      <c r="Y48" s="52"/>
      <c r="Z48" s="56"/>
      <c r="AA48" s="55"/>
      <c r="AB48" s="55"/>
      <c r="AC48" s="55"/>
      <c r="AD48" s="55"/>
      <c r="AE48" s="55"/>
      <c r="AF48" s="55"/>
    </row>
    <row r="49" spans="1:32" s="57" customFormat="1" ht="15.75" customHeight="1">
      <c r="A49" s="2" t="s">
        <v>117</v>
      </c>
      <c r="B49" s="2"/>
      <c r="C49" s="51">
        <f t="shared" ref="C49:C56" si="1">IFERROR(F49/D49," - ")</f>
        <v>24.95</v>
      </c>
      <c r="D49" s="51">
        <v>1</v>
      </c>
      <c r="E49" s="51">
        <v>0</v>
      </c>
      <c r="F49" s="51">
        <v>24.95</v>
      </c>
      <c r="G49" s="51">
        <v>0</v>
      </c>
      <c r="H49" s="51">
        <f t="shared" ref="H49:H56" si="2">G49/F49*-1</f>
        <v>0</v>
      </c>
      <c r="I49" s="51">
        <f t="shared" ref="I49:I56" si="3">J49/F49</f>
        <v>0.29498329993319972</v>
      </c>
      <c r="J49" s="51">
        <f t="shared" ref="J49:J56" si="4">F49*0.85+G49+AD49*D49+D49*AC49+AE49+AB49</f>
        <v>7.3598333333333326</v>
      </c>
      <c r="K49" s="51">
        <f t="shared" ref="K49:K56" si="5">J49/D49</f>
        <v>7.3598333333333326</v>
      </c>
      <c r="L49" s="51">
        <v>12</v>
      </c>
      <c r="M49" s="51">
        <f t="shared" ref="M49:M56" si="6">IFERROR(D49/L49,"-")</f>
        <v>8.3333333333333329E-2</v>
      </c>
      <c r="N49" s="51">
        <v>41</v>
      </c>
      <c r="O49" s="51">
        <f t="shared" ref="O49:P49" si="7">D49/7</f>
        <v>0.14285714285714285</v>
      </c>
      <c r="P49" s="51">
        <f t="shared" si="7"/>
        <v>0</v>
      </c>
      <c r="Q49" s="51">
        <f t="shared" ref="Q49:Q56" si="8">ROUNDDOWN(N49/(O49+P49),0)</f>
        <v>287</v>
      </c>
      <c r="R49" s="55">
        <f ca="1">IFERROR(__xludf.DUMMYFUNCTION("IFERROR(VLOOKUP($B$2,IMPORTRANGE(""https://docs.google.com/spreadsheets/d/1iVgg6Mw12RULLujzHmfOFIY8Q_KaAD8anoZzgtVAQ74/edit#gid=1503384807"",""Second Star - Summary!A1:AD2000""),9,FALSE),"""")"),0)</f>
        <v>0</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ref="V49:V56" si="9">IFERROR(U49/D49,0)</f>
        <v>0</v>
      </c>
      <c r="W49" s="55">
        <f t="shared" ref="W49:W56" si="10">IFERROR(G49/(U49+X49)*-1,0)</f>
        <v>0</v>
      </c>
      <c r="X49" s="55">
        <v>0</v>
      </c>
      <c r="Y49" s="55" t="s">
        <v>35</v>
      </c>
      <c r="Z49" s="56">
        <f t="shared" ref="Z49:Z56" si="11">IF(OR(Y49="UsLargeStandardSize",Y49="UsSmallStandardSize"),-2.4,-1.2)</f>
        <v>-2.4</v>
      </c>
      <c r="AA49" s="55">
        <v>2.4675925925925928E-2</v>
      </c>
      <c r="AB49" s="55">
        <f t="shared" ref="AB49:AB56" si="12">IFERROR(Z49*AA49*D49*3,0)</f>
        <v>-0.17766666666666667</v>
      </c>
      <c r="AC49" s="55">
        <v>-5.42</v>
      </c>
      <c r="AD49" s="55">
        <v>-8.25</v>
      </c>
      <c r="AE49" s="55">
        <v>0</v>
      </c>
      <c r="AF49" s="55">
        <v>1.8867924528301799E-2</v>
      </c>
    </row>
    <row r="50" spans="1:32" s="57" customFormat="1" ht="15.75" customHeight="1">
      <c r="A50" s="2" t="s">
        <v>119</v>
      </c>
      <c r="B50" s="2"/>
      <c r="C50" s="51" t="str">
        <f t="shared" si="1"/>
        <v xml:space="preserve"> - </v>
      </c>
      <c r="D50" s="51">
        <v>0</v>
      </c>
      <c r="E50" s="51">
        <v>0</v>
      </c>
      <c r="F50" s="51">
        <v>0</v>
      </c>
      <c r="G50" s="51">
        <v>0</v>
      </c>
      <c r="H50" s="51" t="e">
        <f t="shared" si="2"/>
        <v>#DIV/0!</v>
      </c>
      <c r="I50" s="51" t="e">
        <f t="shared" si="3"/>
        <v>#DIV/0!</v>
      </c>
      <c r="J50" s="51">
        <f t="shared" si="4"/>
        <v>0</v>
      </c>
      <c r="K50" s="51" t="e">
        <f t="shared" si="5"/>
        <v>#DIV/0!</v>
      </c>
      <c r="L50" s="51">
        <v>0</v>
      </c>
      <c r="M50" s="51" t="str">
        <f t="shared" si="6"/>
        <v>-</v>
      </c>
      <c r="N50" s="51">
        <v>35</v>
      </c>
      <c r="O50" s="51">
        <f t="shared" ref="O50:P50" si="13">D50/7</f>
        <v>0</v>
      </c>
      <c r="P50" s="51">
        <f t="shared" si="13"/>
        <v>0</v>
      </c>
      <c r="Q50" s="51" t="e">
        <f t="shared" si="8"/>
        <v>#DIV/0!</v>
      </c>
      <c r="R50" s="55">
        <f ca="1">IFERROR(__xludf.DUMMYFUNCTION("IFERROR(VLOOKUP($B$2,IMPORTRANGE(""https://docs.google.com/spreadsheets/d/1iVgg6Mw12RULLujzHmfOFIY8Q_KaAD8anoZzgtVAQ74/edit#gid=1503384807"",""Second Star - Summary!A1:AD2000""),9,FALSE),"""")"),0)</f>
        <v>0</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9"/>
        <v>0</v>
      </c>
      <c r="W50" s="55">
        <f t="shared" si="10"/>
        <v>0</v>
      </c>
      <c r="X50" s="55">
        <v>0</v>
      </c>
      <c r="Y50" s="55" t="s">
        <v>35</v>
      </c>
      <c r="Z50" s="56">
        <f t="shared" si="11"/>
        <v>-2.4</v>
      </c>
      <c r="AA50" s="55">
        <v>2.4675925925925928E-2</v>
      </c>
      <c r="AB50" s="55">
        <f t="shared" si="12"/>
        <v>0</v>
      </c>
      <c r="AC50" s="55">
        <v>-5.42</v>
      </c>
      <c r="AD50" s="55">
        <v>-8.25</v>
      </c>
      <c r="AE50" s="55">
        <v>0</v>
      </c>
      <c r="AF50" s="55">
        <v>4.2553191489361701E-2</v>
      </c>
    </row>
    <row r="51" spans="1:32" s="57" customFormat="1" ht="15.75" customHeight="1">
      <c r="A51" s="2" t="s">
        <v>121</v>
      </c>
      <c r="B51" s="2" t="s">
        <v>859</v>
      </c>
      <c r="C51" s="51" t="str">
        <f t="shared" si="1"/>
        <v xml:space="preserve"> - </v>
      </c>
      <c r="D51" s="51">
        <v>0</v>
      </c>
      <c r="E51" s="51">
        <v>0</v>
      </c>
      <c r="F51" s="51">
        <v>0</v>
      </c>
      <c r="G51" s="51">
        <v>0</v>
      </c>
      <c r="H51" s="51" t="e">
        <f t="shared" si="2"/>
        <v>#DIV/0!</v>
      </c>
      <c r="I51" s="51" t="e">
        <f t="shared" si="3"/>
        <v>#DIV/0!</v>
      </c>
      <c r="J51" s="51">
        <f t="shared" si="4"/>
        <v>0</v>
      </c>
      <c r="K51" s="51" t="e">
        <f t="shared" si="5"/>
        <v>#DIV/0!</v>
      </c>
      <c r="L51" s="51">
        <v>0</v>
      </c>
      <c r="M51" s="51" t="str">
        <f t="shared" si="6"/>
        <v>-</v>
      </c>
      <c r="N51" s="51">
        <v>35</v>
      </c>
      <c r="O51" s="51">
        <f t="shared" ref="O51:P51" si="14">D51/7</f>
        <v>0</v>
      </c>
      <c r="P51" s="51">
        <f t="shared" si="14"/>
        <v>0</v>
      </c>
      <c r="Q51" s="51" t="e">
        <f t="shared" si="8"/>
        <v>#DIV/0!</v>
      </c>
      <c r="R51" s="55">
        <f ca="1">IFERROR(__xludf.DUMMYFUNCTION("IFERROR(VLOOKUP($B$2,IMPORTRANGE(""https://docs.google.com/spreadsheets/d/1iVgg6Mw12RULLujzHmfOFIY8Q_KaAD8anoZzgtVAQ74/edit#gid=1503384807"",""Second Star - Summary!A1:AD2000""),9,FALSE),"""")"),0)</f>
        <v>0</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9"/>
        <v>0</v>
      </c>
      <c r="W51" s="55">
        <f t="shared" si="10"/>
        <v>0</v>
      </c>
      <c r="X51" s="55">
        <v>0</v>
      </c>
      <c r="Y51" s="55" t="s">
        <v>35</v>
      </c>
      <c r="Z51" s="56">
        <f t="shared" si="11"/>
        <v>-2.4</v>
      </c>
      <c r="AA51" s="55">
        <v>2.4675925925925928E-2</v>
      </c>
      <c r="AB51" s="55">
        <f t="shared" si="12"/>
        <v>0</v>
      </c>
      <c r="AC51" s="55">
        <v>-5.42</v>
      </c>
      <c r="AD51" s="55">
        <v>-8.25</v>
      </c>
      <c r="AE51" s="55">
        <v>0</v>
      </c>
      <c r="AF51" s="55">
        <v>4.2553191489361701E-2</v>
      </c>
    </row>
    <row r="52" spans="1:32" s="57" customFormat="1" ht="15.75" customHeight="1">
      <c r="A52" s="2" t="s">
        <v>123</v>
      </c>
      <c r="B52" s="2" t="s">
        <v>865</v>
      </c>
      <c r="C52" s="51" t="str">
        <f t="shared" si="1"/>
        <v xml:space="preserve"> - </v>
      </c>
      <c r="D52" s="51">
        <v>0</v>
      </c>
      <c r="E52" s="51">
        <v>0</v>
      </c>
      <c r="F52" s="51">
        <v>0</v>
      </c>
      <c r="G52" s="51">
        <v>0</v>
      </c>
      <c r="H52" s="51" t="e">
        <f t="shared" si="2"/>
        <v>#DIV/0!</v>
      </c>
      <c r="I52" s="51" t="e">
        <f t="shared" si="3"/>
        <v>#DIV/0!</v>
      </c>
      <c r="J52" s="51">
        <f t="shared" si="4"/>
        <v>0</v>
      </c>
      <c r="K52" s="51" t="e">
        <f t="shared" si="5"/>
        <v>#DIV/0!</v>
      </c>
      <c r="L52" s="51">
        <v>5</v>
      </c>
      <c r="M52" s="51">
        <f t="shared" si="6"/>
        <v>0</v>
      </c>
      <c r="N52" s="51">
        <v>35</v>
      </c>
      <c r="O52" s="51">
        <f t="shared" ref="O52:P52" si="15">D52/7</f>
        <v>0</v>
      </c>
      <c r="P52" s="51">
        <f t="shared" si="15"/>
        <v>0</v>
      </c>
      <c r="Q52" s="51" t="e">
        <f t="shared" si="8"/>
        <v>#DIV/0!</v>
      </c>
      <c r="R52" s="55">
        <f ca="1">IFERROR(__xludf.DUMMYFUNCTION("IFERROR(VLOOKUP($B$2,IMPORTRANGE(""https://docs.google.com/spreadsheets/d/1iVgg6Mw12RULLujzHmfOFIY8Q_KaAD8anoZzgtVAQ74/edit#gid=1503384807"",""Second Star - Summary!A1:AD2000""),9,FALSE),"""")"),0)</f>
        <v>0</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9"/>
        <v>0</v>
      </c>
      <c r="W52" s="55">
        <f t="shared" si="10"/>
        <v>0</v>
      </c>
      <c r="X52" s="55">
        <v>0</v>
      </c>
      <c r="Y52" s="55" t="s">
        <v>35</v>
      </c>
      <c r="Z52" s="56">
        <f t="shared" si="11"/>
        <v>-2.4</v>
      </c>
      <c r="AA52" s="55">
        <v>2.4675925925925928E-2</v>
      </c>
      <c r="AB52" s="55">
        <f t="shared" si="12"/>
        <v>0</v>
      </c>
      <c r="AC52" s="55">
        <v>-5.42</v>
      </c>
      <c r="AD52" s="55">
        <v>-8.25</v>
      </c>
      <c r="AE52" s="55">
        <v>0</v>
      </c>
      <c r="AF52" s="55">
        <v>4.8780487804878002E-2</v>
      </c>
    </row>
    <row r="53" spans="1:32" s="57" customFormat="1">
      <c r="A53" s="2" t="s">
        <v>38</v>
      </c>
      <c r="B53" s="2" t="s">
        <v>866</v>
      </c>
      <c r="C53" s="51">
        <f t="shared" si="1"/>
        <v>13.99</v>
      </c>
      <c r="D53" s="51">
        <v>1</v>
      </c>
      <c r="E53" s="51">
        <v>0</v>
      </c>
      <c r="F53" s="51">
        <v>13.99</v>
      </c>
      <c r="G53" s="51">
        <v>-5.88</v>
      </c>
      <c r="H53" s="51">
        <f t="shared" si="2"/>
        <v>0.42030021443888488</v>
      </c>
      <c r="I53" s="51">
        <f t="shared" si="3"/>
        <v>-0.5628280806636774</v>
      </c>
      <c r="J53" s="51">
        <f t="shared" si="4"/>
        <v>-7.8739648484848468</v>
      </c>
      <c r="K53" s="51">
        <f t="shared" si="5"/>
        <v>-7.8739648484848468</v>
      </c>
      <c r="L53" s="51">
        <v>10</v>
      </c>
      <c r="M53" s="51">
        <f t="shared" si="6"/>
        <v>0.1</v>
      </c>
      <c r="N53" s="51">
        <v>30</v>
      </c>
      <c r="O53" s="51">
        <f t="shared" ref="O53:P53" si="16">D53/7</f>
        <v>0.14285714285714285</v>
      </c>
      <c r="P53" s="51">
        <f t="shared" si="16"/>
        <v>0</v>
      </c>
      <c r="Q53" s="51">
        <f t="shared" si="8"/>
        <v>210</v>
      </c>
      <c r="R53" s="55">
        <f ca="1">IFERROR(__xludf.DUMMYFUNCTION("IFERROR(VLOOKUP($B$2,IMPORTRANGE(""https://docs.google.com/spreadsheets/d/1iVgg6Mw12RULLujzHmfOFIY8Q_KaAD8anoZzgtVAQ74/edit#gid=1503384807"",""Second Star - Summary!A1:AD2000""),9,FALSE),"""")"),0)</f>
        <v>0</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9"/>
        <v>0</v>
      </c>
      <c r="W53" s="55">
        <f t="shared" si="10"/>
        <v>0</v>
      </c>
      <c r="X53" s="55">
        <v>0</v>
      </c>
      <c r="Y53" s="55" t="s">
        <v>35</v>
      </c>
      <c r="Z53" s="56">
        <f t="shared" si="11"/>
        <v>-2.4</v>
      </c>
      <c r="AA53" s="55">
        <v>2.4675925925925928E-2</v>
      </c>
      <c r="AB53" s="55">
        <f t="shared" si="12"/>
        <v>-0.17766666666666667</v>
      </c>
      <c r="AC53" s="55">
        <v>-5.42</v>
      </c>
      <c r="AD53" s="55">
        <v>-8.2877981818181805</v>
      </c>
      <c r="AE53" s="55">
        <v>0</v>
      </c>
      <c r="AF53" s="55">
        <v>0.11111111111111099</v>
      </c>
    </row>
    <row r="54" spans="1:32" s="57" customFormat="1">
      <c r="A54" s="2" t="s">
        <v>40</v>
      </c>
      <c r="B54" s="2"/>
      <c r="C54" s="51">
        <f t="shared" si="1"/>
        <v>13.99</v>
      </c>
      <c r="D54" s="51">
        <v>9</v>
      </c>
      <c r="E54" s="51">
        <v>0</v>
      </c>
      <c r="F54" s="51">
        <v>125.91</v>
      </c>
      <c r="G54" s="51">
        <v>-18.540000000000003</v>
      </c>
      <c r="H54" s="51">
        <f t="shared" si="2"/>
        <v>0.14724803431022163</v>
      </c>
      <c r="I54" s="51">
        <f t="shared" si="3"/>
        <v>-0.30089495382704806</v>
      </c>
      <c r="J54" s="51">
        <f t="shared" si="4"/>
        <v>-37.885683636363623</v>
      </c>
      <c r="K54" s="51">
        <f t="shared" si="5"/>
        <v>-4.2095204040404024</v>
      </c>
      <c r="L54" s="51">
        <v>18</v>
      </c>
      <c r="M54" s="51">
        <f t="shared" si="6"/>
        <v>0.5</v>
      </c>
      <c r="N54" s="51">
        <v>20</v>
      </c>
      <c r="O54" s="51">
        <f t="shared" ref="O54:P54" si="17">D54/7</f>
        <v>1.2857142857142858</v>
      </c>
      <c r="P54" s="51">
        <f t="shared" si="17"/>
        <v>0</v>
      </c>
      <c r="Q54" s="51">
        <f t="shared" si="8"/>
        <v>15</v>
      </c>
      <c r="R54" s="55">
        <f ca="1">IFERROR(__xludf.DUMMYFUNCTION("IFERROR(VLOOKUP($B$2,IMPORTRANGE(""https://docs.google.com/spreadsheets/d/1iVgg6Mw12RULLujzHmfOFIY8Q_KaAD8anoZzgtVAQ74/edit#gid=1503384807"",""Second Star - Summary!A1:AD2000""),9,FALSE),"""")"),0)</f>
        <v>0</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5</v>
      </c>
      <c r="V54" s="55">
        <f t="shared" si="9"/>
        <v>0.55555555555555558</v>
      </c>
      <c r="W54" s="55">
        <f t="shared" si="10"/>
        <v>3.7080000000000006</v>
      </c>
      <c r="X54" s="55">
        <v>0</v>
      </c>
      <c r="Y54" s="55" t="s">
        <v>35</v>
      </c>
      <c r="Z54" s="56">
        <f t="shared" si="11"/>
        <v>-2.4</v>
      </c>
      <c r="AA54" s="55">
        <v>2.4675925925925928E-2</v>
      </c>
      <c r="AB54" s="55">
        <f t="shared" si="12"/>
        <v>-1.5990000000000002</v>
      </c>
      <c r="AC54" s="55">
        <v>-5.42</v>
      </c>
      <c r="AD54" s="55">
        <v>-8.2877981818181805</v>
      </c>
      <c r="AE54" s="55">
        <v>-1.4</v>
      </c>
      <c r="AF54" s="55">
        <v>0.55714285714285705</v>
      </c>
    </row>
    <row r="55" spans="1:32" s="57" customFormat="1" ht="15.75" customHeight="1">
      <c r="A55" s="2" t="s">
        <v>32</v>
      </c>
      <c r="B55" s="2" t="s">
        <v>867</v>
      </c>
      <c r="C55" s="51" t="str">
        <f t="shared" si="1"/>
        <v xml:space="preserve"> - </v>
      </c>
      <c r="D55" s="51">
        <v>0</v>
      </c>
      <c r="E55" s="51">
        <v>0</v>
      </c>
      <c r="F55" s="51">
        <v>0</v>
      </c>
      <c r="G55" s="51">
        <v>-19.989999999999998</v>
      </c>
      <c r="H55" s="51" t="e">
        <f t="shared" si="2"/>
        <v>#DIV/0!</v>
      </c>
      <c r="I55" s="51" t="e">
        <f t="shared" si="3"/>
        <v>#DIV/0!</v>
      </c>
      <c r="J55" s="51">
        <f t="shared" si="4"/>
        <v>-19.989999999999998</v>
      </c>
      <c r="K55" s="51" t="e">
        <f t="shared" si="5"/>
        <v>#DIV/0!</v>
      </c>
      <c r="L55" s="51">
        <v>0</v>
      </c>
      <c r="M55" s="51" t="str">
        <f t="shared" si="6"/>
        <v>-</v>
      </c>
      <c r="N55" s="51">
        <v>20</v>
      </c>
      <c r="O55" s="51">
        <f t="shared" ref="O55:P55" si="18">D55/7</f>
        <v>0</v>
      </c>
      <c r="P55" s="51">
        <f t="shared" si="18"/>
        <v>0</v>
      </c>
      <c r="Q55" s="51" t="e">
        <f t="shared" si="8"/>
        <v>#DIV/0!</v>
      </c>
      <c r="R55" s="55">
        <v>0</v>
      </c>
      <c r="S55" s="53" t="s">
        <v>34</v>
      </c>
      <c r="T55" s="54" t="s">
        <v>34</v>
      </c>
      <c r="U55" s="55">
        <v>0</v>
      </c>
      <c r="V55" s="55">
        <f t="shared" si="9"/>
        <v>0</v>
      </c>
      <c r="W55" s="55">
        <f t="shared" si="10"/>
        <v>6.6633333333333331</v>
      </c>
      <c r="X55" s="55">
        <v>3</v>
      </c>
      <c r="Y55" s="55" t="s">
        <v>35</v>
      </c>
      <c r="Z55" s="56">
        <f t="shared" si="11"/>
        <v>-2.4</v>
      </c>
      <c r="AA55" s="55">
        <v>2.4675925925925928E-2</v>
      </c>
      <c r="AB55" s="55">
        <f t="shared" si="12"/>
        <v>0</v>
      </c>
      <c r="AC55" s="55">
        <v>-5.42</v>
      </c>
      <c r="AD55" s="55">
        <v>-8.2877981818181805</v>
      </c>
      <c r="AE55" s="55">
        <v>0</v>
      </c>
      <c r="AF55" s="55">
        <v>0.786885245901639</v>
      </c>
    </row>
    <row r="56" spans="1:32" s="57" customFormat="1" ht="15.75" customHeight="1">
      <c r="A56" s="2" t="s">
        <v>36</v>
      </c>
      <c r="B56" s="2"/>
      <c r="C56" s="51">
        <f t="shared" si="1"/>
        <v>13.99</v>
      </c>
      <c r="D56" s="51">
        <v>14</v>
      </c>
      <c r="E56" s="51">
        <v>0</v>
      </c>
      <c r="F56" s="51">
        <v>195.86</v>
      </c>
      <c r="G56" s="51">
        <v>-22.099999999999998</v>
      </c>
      <c r="H56" s="51">
        <f t="shared" si="2"/>
        <v>0.11283569896865106</v>
      </c>
      <c r="I56" s="51">
        <f t="shared" si="3"/>
        <v>-0.2553635651934435</v>
      </c>
      <c r="J56" s="51">
        <f t="shared" si="4"/>
        <v>-50.015507878787851</v>
      </c>
      <c r="K56" s="51">
        <f t="shared" si="5"/>
        <v>-3.5725362770562752</v>
      </c>
      <c r="L56" s="51">
        <v>22</v>
      </c>
      <c r="M56" s="51">
        <f t="shared" si="6"/>
        <v>0.63636363636363635</v>
      </c>
      <c r="N56" s="51">
        <v>2</v>
      </c>
      <c r="O56" s="51">
        <f t="shared" ref="O56:P56" si="19">D56/7</f>
        <v>2</v>
      </c>
      <c r="P56" s="51">
        <f t="shared" si="19"/>
        <v>0</v>
      </c>
      <c r="Q56" s="51">
        <f t="shared" si="8"/>
        <v>1</v>
      </c>
      <c r="R56" s="55">
        <f ca="1">IFERROR(__xludf.DUMMYFUNCTION("IFERROR(VLOOKUP($B$2,IMPORTRANGE(""https://docs.google.com/spreadsheets/d/1iVgg6Mw12RULLujzHmfOFIY8Q_KaAD8anoZzgtVAQ74/edit#gid=1503384807"",""Second Star - Summary!A1:AD2000""),9,FALSE),"""")"),0)</f>
        <v>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9</v>
      </c>
      <c r="V56" s="55">
        <f t="shared" si="9"/>
        <v>0.6428571428571429</v>
      </c>
      <c r="W56" s="55">
        <f t="shared" si="10"/>
        <v>2.21</v>
      </c>
      <c r="X56" s="55">
        <v>1</v>
      </c>
      <c r="Y56" s="55" t="s">
        <v>35</v>
      </c>
      <c r="Z56" s="56">
        <f t="shared" si="11"/>
        <v>-2.4</v>
      </c>
      <c r="AA56" s="55">
        <v>2.4675925925925928E-2</v>
      </c>
      <c r="AB56" s="55">
        <f t="shared" si="12"/>
        <v>-2.4873333333333334</v>
      </c>
      <c r="AC56" s="55">
        <v>-5.42</v>
      </c>
      <c r="AD56" s="55">
        <v>-8.2877981818181805</v>
      </c>
      <c r="AE56" s="55">
        <v>0</v>
      </c>
      <c r="AF56" s="55">
        <v>0.89108910891089099</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3"/>
    </row>
    <row r="222" spans="1:3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3"/>
    </row>
    <row r="223" spans="1:32"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3"/>
    </row>
    <row r="224" spans="1:32"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3"/>
    </row>
    <row r="225" spans="1:32"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3"/>
    </row>
    <row r="226" spans="1:32"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3"/>
    </row>
    <row r="227" spans="1:32"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3"/>
    </row>
    <row r="228" spans="1:32"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3"/>
    </row>
    <row r="229" spans="1:32"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3"/>
    </row>
    <row r="230" spans="1:32"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3"/>
    </row>
    <row r="231" spans="1:32"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3"/>
    </row>
    <row r="232" spans="1: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3"/>
    </row>
    <row r="233" spans="1:32"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3"/>
    </row>
    <row r="234" spans="1:32"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3"/>
    </row>
    <row r="235" spans="1:32"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3"/>
    </row>
    <row r="236" spans="1:32"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3"/>
    </row>
    <row r="237" spans="1:32"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3"/>
    </row>
    <row r="238" spans="1:32"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3"/>
    </row>
    <row r="239" spans="1:32"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row r="252" spans="1:32" ht="15.75" customHeight="1"/>
    <row r="253" spans="1:32" ht="15.75" customHeight="1"/>
    <row r="254" spans="1:32" ht="15.75" customHeight="1"/>
    <row r="255" spans="1:32" ht="15.75" customHeight="1"/>
    <row r="256" spans="1:3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304" priority="1" operator="lessThan">
      <formula>100</formula>
    </cfRule>
  </conditionalFormatting>
  <conditionalFormatting sqref="Q1:Q3 Q57:Q1000">
    <cfRule type="cellIs" dxfId="303" priority="2" operator="lessThan">
      <formula>100</formula>
    </cfRule>
  </conditionalFormatting>
  <conditionalFormatting sqref="I1:I3 I57:I1000">
    <cfRule type="cellIs" dxfId="302" priority="3" operator="lessThan">
      <formula>0.05</formula>
    </cfRule>
  </conditionalFormatting>
  <conditionalFormatting sqref="I4:I17">
    <cfRule type="cellIs" dxfId="301" priority="4" operator="lessThan">
      <formula>0.05</formula>
    </cfRule>
  </conditionalFormatting>
  <conditionalFormatting sqref="I18:I48">
    <cfRule type="cellIs" dxfId="300" priority="5" operator="lessThan">
      <formula>0.05</formula>
    </cfRule>
  </conditionalFormatting>
  <conditionalFormatting sqref="Q4:Q48">
    <cfRule type="cellIs" dxfId="299" priority="6" operator="lessThan">
      <formula>100</formula>
    </cfRule>
  </conditionalFormatting>
  <conditionalFormatting sqref="Q4:Q48">
    <cfRule type="cellIs" dxfId="298" priority="7" operator="lessThan">
      <formula>100</formula>
    </cfRule>
  </conditionalFormatting>
  <conditionalFormatting sqref="I49:I56">
    <cfRule type="cellIs" dxfId="297" priority="8" operator="lessThan">
      <formula>0.05</formula>
    </cfRule>
  </conditionalFormatting>
  <conditionalFormatting sqref="Q49:Q56">
    <cfRule type="cellIs" dxfId="296" priority="9" operator="lessThan">
      <formula>100</formula>
    </cfRule>
  </conditionalFormatting>
  <conditionalFormatting sqref="Q49:Q56">
    <cfRule type="cellIs" dxfId="295" priority="10" operator="lessThan">
      <formula>100</formula>
    </cfRule>
  </conditionalFormatting>
  <pageMargins left="0.7" right="0.7" top="0.75" bottom="0.75" header="0" footer="0"/>
  <pageSetup orientation="portrait"/>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4.6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Info!B1:BJ5000""),4,FALSE),"""")"),"Dry Defender Heavy Duty Vinyl Zippered Waterproof Bed Bug Proof Mattress Protector - 16-Inch Depth - Twin")</f>
        <v>Dry Defender Heavy Duty Vinyl Zippered Waterproof Bed Bug Proof Mattress Protector - 16-Inch Depth - Twin</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Info!B1:BJ5000""),3,FALSE),"""")"),"B00IOWBJ6U")</f>
        <v>B00IOWBJ6U</v>
      </c>
      <c r="B2" s="4" t="s">
        <v>868</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15.701397504456329</v>
      </c>
      <c r="D3" s="8">
        <f>SUM(D4:D99819)</f>
        <v>15</v>
      </c>
      <c r="E3" s="8"/>
      <c r="F3" s="9">
        <f t="shared" ref="F3:G3" si="0">SUM(F4:F99819)</f>
        <v>305.80999999999995</v>
      </c>
      <c r="G3" s="9">
        <f t="shared" si="0"/>
        <v>-48.910000000000004</v>
      </c>
      <c r="H3" s="10">
        <f>G3/F3*-1</f>
        <v>0.15993590791668033</v>
      </c>
      <c r="I3" s="11">
        <f>J3/F3</f>
        <v>-3.0590703972460626E-2</v>
      </c>
      <c r="J3" s="9">
        <f>SUM(J4:J99819)</f>
        <v>-9.3549431818181823</v>
      </c>
      <c r="K3" s="9">
        <f>J3/D3</f>
        <v>-0.62366287878787885</v>
      </c>
      <c r="L3" s="8"/>
      <c r="M3" s="12"/>
      <c r="N3" s="13"/>
      <c r="O3" s="8" t="str">
        <f ca="1">IFERROR(__xludf.DUMMYFUNCTION("IFERROR(VLOOKUP(B2,IMPORTRANGE(""https://docs.google.com/spreadsheets/d/1owCo6kL_VFQ5nPTdNogErmCBLjNiktT1m3SzTrxu3R0/edit#gid=2146806407"",""Second Star - Compiled!b1:g5000""),2,FALSE),"""")"),"0 - March
0 - April
0 - May
0 - Jun
0 - Jul
0 - Aug
0 - Sept
0 - Oct
0 - Nov
0 - Dec
0 - Jan
0 - Feb")</f>
        <v>0 - March
0 - April
0 - May
0 - Jun
0 - Jul
0 - Aug
0 - Sept
0 - Oct
0 - Nov
0 - Dec
0 - Jan
0 - Feb</v>
      </c>
      <c r="P3" s="8"/>
      <c r="Q3" s="14"/>
      <c r="R3" s="13"/>
      <c r="S3" s="13"/>
      <c r="T3" s="13"/>
      <c r="U3" s="8">
        <f>SUM(U4:U99819)</f>
        <v>0</v>
      </c>
      <c r="V3" s="10">
        <f>AVERAGE(V4:V99819)</f>
        <v>0</v>
      </c>
      <c r="W3" s="9">
        <f>ROUND(AVERAGE(W4:W99819),2)</f>
        <v>1.56</v>
      </c>
      <c r="X3" s="8"/>
      <c r="Y3" s="8"/>
      <c r="Z3" s="8"/>
      <c r="AA3" s="8"/>
      <c r="AB3" s="8"/>
      <c r="AC3" s="15"/>
      <c r="AD3" s="9"/>
      <c r="AE3" s="9">
        <f>SUM(AE4:AE99819)</f>
        <v>-1</v>
      </c>
      <c r="AF3" s="16"/>
    </row>
    <row r="4" spans="1:32" s="57" customFormat="1" hidden="1">
      <c r="A4" s="17"/>
      <c r="B4" s="17"/>
      <c r="C4" s="50"/>
      <c r="D4" s="51"/>
      <c r="E4" s="51"/>
      <c r="F4" s="51"/>
      <c r="G4" s="51"/>
      <c r="H4" s="51"/>
      <c r="I4" s="51"/>
      <c r="J4" s="51"/>
      <c r="K4" s="51"/>
      <c r="L4" s="51"/>
      <c r="M4" s="51"/>
      <c r="N4" s="51"/>
      <c r="O4" s="51"/>
      <c r="P4" s="51"/>
      <c r="Q4" s="51"/>
      <c r="R4" s="52"/>
      <c r="S4" s="53"/>
      <c r="T4" s="54"/>
      <c r="U4" s="52"/>
      <c r="V4" s="55"/>
      <c r="W4" s="55"/>
      <c r="X4" s="52"/>
      <c r="Y4" s="56"/>
      <c r="Z4" s="56"/>
      <c r="AA4" s="55"/>
      <c r="AB4" s="55"/>
      <c r="AC4" s="55"/>
      <c r="AD4" s="55"/>
      <c r="AE4" s="55"/>
      <c r="AF4" s="55"/>
    </row>
    <row r="5" spans="1:32" s="57" customFormat="1" ht="15.75" hidden="1" customHeight="1">
      <c r="A5" s="17"/>
      <c r="B5" s="2"/>
      <c r="C5" s="51"/>
      <c r="D5" s="51"/>
      <c r="E5" s="51"/>
      <c r="F5" s="51"/>
      <c r="G5" s="51"/>
      <c r="H5" s="51"/>
      <c r="I5" s="51"/>
      <c r="J5" s="51"/>
      <c r="K5" s="51"/>
      <c r="L5" s="51"/>
      <c r="M5" s="51"/>
      <c r="N5" s="51"/>
      <c r="O5" s="51"/>
      <c r="P5" s="51"/>
      <c r="Q5" s="51"/>
      <c r="R5" s="52"/>
      <c r="S5" s="53"/>
      <c r="T5" s="54"/>
      <c r="U5" s="52"/>
      <c r="V5" s="55"/>
      <c r="W5" s="55"/>
      <c r="X5" s="52"/>
      <c r="Y5" s="52"/>
      <c r="Z5" s="56"/>
      <c r="AA5" s="55"/>
      <c r="AB5" s="55"/>
      <c r="AC5" s="55"/>
      <c r="AD5" s="55"/>
      <c r="AE5" s="55"/>
      <c r="AF5" s="55"/>
    </row>
    <row r="6" spans="1:32" s="57" customFormat="1" ht="15.75" hidden="1" customHeight="1">
      <c r="A6" s="17"/>
      <c r="B6" s="2"/>
      <c r="C6" s="51"/>
      <c r="D6" s="51"/>
      <c r="E6" s="51"/>
      <c r="F6" s="51"/>
      <c r="G6" s="51"/>
      <c r="H6" s="51"/>
      <c r="I6" s="51"/>
      <c r="J6" s="51"/>
      <c r="K6" s="51"/>
      <c r="L6" s="51"/>
      <c r="M6" s="51"/>
      <c r="N6" s="51"/>
      <c r="O6" s="51"/>
      <c r="P6" s="51"/>
      <c r="Q6" s="51"/>
      <c r="R6" s="52"/>
      <c r="S6" s="53"/>
      <c r="T6" s="54"/>
      <c r="U6" s="52"/>
      <c r="V6" s="55"/>
      <c r="W6" s="55"/>
      <c r="X6" s="52"/>
      <c r="Y6" s="52"/>
      <c r="Z6" s="56"/>
      <c r="AA6" s="55"/>
      <c r="AB6" s="55"/>
      <c r="AC6" s="55"/>
      <c r="AD6" s="55"/>
      <c r="AE6" s="55"/>
      <c r="AF6" s="55"/>
    </row>
    <row r="7" spans="1:32" s="57" customFormat="1" ht="15.75" hidden="1" customHeight="1">
      <c r="A7" s="17"/>
      <c r="B7" s="2"/>
      <c r="C7" s="51"/>
      <c r="D7" s="51"/>
      <c r="E7" s="51"/>
      <c r="F7" s="51"/>
      <c r="G7" s="51"/>
      <c r="H7" s="51"/>
      <c r="I7" s="51"/>
      <c r="J7" s="51"/>
      <c r="K7" s="51"/>
      <c r="L7" s="51"/>
      <c r="M7" s="51"/>
      <c r="N7" s="51"/>
      <c r="O7" s="51"/>
      <c r="P7" s="51"/>
      <c r="Q7" s="51"/>
      <c r="R7" s="52"/>
      <c r="S7" s="53"/>
      <c r="T7" s="54"/>
      <c r="U7" s="52"/>
      <c r="V7" s="55"/>
      <c r="W7" s="55"/>
      <c r="X7" s="52"/>
      <c r="Y7" s="52"/>
      <c r="Z7" s="56"/>
      <c r="AA7" s="55"/>
      <c r="AB7" s="55"/>
      <c r="AC7" s="55"/>
      <c r="AD7" s="55"/>
      <c r="AE7" s="55"/>
      <c r="AF7" s="55"/>
    </row>
    <row r="8" spans="1:32" s="57" customFormat="1" ht="15.75" hidden="1" customHeight="1">
      <c r="A8" s="17"/>
      <c r="B8" s="2"/>
      <c r="C8" s="51"/>
      <c r="D8" s="51"/>
      <c r="E8" s="51"/>
      <c r="F8" s="51"/>
      <c r="G8" s="51"/>
      <c r="H8" s="51"/>
      <c r="I8" s="51"/>
      <c r="J8" s="51"/>
      <c r="K8" s="51"/>
      <c r="L8" s="51"/>
      <c r="M8" s="51"/>
      <c r="N8" s="51"/>
      <c r="O8" s="51"/>
      <c r="P8" s="51"/>
      <c r="Q8" s="51"/>
      <c r="R8" s="52"/>
      <c r="S8" s="53"/>
      <c r="T8" s="54"/>
      <c r="U8" s="52"/>
      <c r="V8" s="55"/>
      <c r="W8" s="55"/>
      <c r="X8" s="52"/>
      <c r="Y8" s="52"/>
      <c r="Z8" s="56"/>
      <c r="AA8" s="55"/>
      <c r="AB8" s="55"/>
      <c r="AC8" s="55"/>
      <c r="AD8" s="55"/>
      <c r="AE8" s="55"/>
      <c r="AF8" s="55"/>
    </row>
    <row r="9" spans="1:32" s="57" customFormat="1" ht="15.75" hidden="1" customHeight="1">
      <c r="A9" s="17"/>
      <c r="B9" s="2"/>
      <c r="C9" s="51"/>
      <c r="D9" s="51"/>
      <c r="E9" s="51"/>
      <c r="F9" s="51"/>
      <c r="G9" s="51"/>
      <c r="H9" s="51"/>
      <c r="I9" s="51"/>
      <c r="J9" s="51"/>
      <c r="K9" s="51"/>
      <c r="L9" s="51"/>
      <c r="M9" s="51"/>
      <c r="N9" s="51"/>
      <c r="O9" s="51"/>
      <c r="P9" s="51"/>
      <c r="Q9" s="51"/>
      <c r="R9" s="52"/>
      <c r="S9" s="53"/>
      <c r="T9" s="54"/>
      <c r="U9" s="52"/>
      <c r="V9" s="55"/>
      <c r="W9" s="55"/>
      <c r="X9" s="52"/>
      <c r="Y9" s="52"/>
      <c r="Z9" s="56"/>
      <c r="AA9" s="55"/>
      <c r="AB9" s="55"/>
      <c r="AC9" s="55"/>
      <c r="AD9" s="55"/>
      <c r="AE9" s="55"/>
      <c r="AF9" s="55"/>
    </row>
    <row r="10" spans="1:32" s="57" customFormat="1" ht="15.75" hidden="1" customHeight="1">
      <c r="A10" s="17"/>
      <c r="B10" s="2"/>
      <c r="C10" s="51"/>
      <c r="D10" s="51"/>
      <c r="E10" s="51"/>
      <c r="F10" s="51"/>
      <c r="G10" s="51"/>
      <c r="H10" s="51"/>
      <c r="I10" s="51"/>
      <c r="J10" s="51"/>
      <c r="K10" s="51"/>
      <c r="L10" s="51"/>
      <c r="M10" s="51"/>
      <c r="N10" s="51"/>
      <c r="O10" s="51"/>
      <c r="P10" s="51"/>
      <c r="Q10" s="51"/>
      <c r="R10" s="52"/>
      <c r="S10" s="53"/>
      <c r="T10" s="54"/>
      <c r="U10" s="52"/>
      <c r="V10" s="55"/>
      <c r="W10" s="55"/>
      <c r="X10" s="52"/>
      <c r="Y10" s="52"/>
      <c r="Z10" s="56"/>
      <c r="AA10" s="55"/>
      <c r="AB10" s="55"/>
      <c r="AC10" s="55"/>
      <c r="AD10" s="55"/>
      <c r="AE10" s="55"/>
      <c r="AF10" s="55"/>
    </row>
    <row r="11" spans="1:32" s="57" customFormat="1" ht="15.75" hidden="1" customHeight="1">
      <c r="A11" s="17"/>
      <c r="B11" s="17"/>
      <c r="C11" s="51"/>
      <c r="D11" s="51"/>
      <c r="E11" s="51"/>
      <c r="F11" s="51"/>
      <c r="G11" s="51"/>
      <c r="H11" s="51"/>
      <c r="I11" s="51"/>
      <c r="J11" s="51"/>
      <c r="K11" s="51"/>
      <c r="L11" s="51"/>
      <c r="M11" s="51"/>
      <c r="N11" s="51"/>
      <c r="O11" s="51"/>
      <c r="P11" s="51"/>
      <c r="Q11" s="51"/>
      <c r="R11" s="52"/>
      <c r="S11" s="53"/>
      <c r="T11" s="54"/>
      <c r="U11" s="52"/>
      <c r="V11" s="55"/>
      <c r="W11" s="55"/>
      <c r="X11" s="52"/>
      <c r="Y11" s="52"/>
      <c r="Z11" s="56"/>
      <c r="AA11" s="55"/>
      <c r="AB11" s="55"/>
      <c r="AC11" s="55"/>
      <c r="AD11" s="55"/>
      <c r="AE11" s="55"/>
      <c r="AF11" s="55"/>
    </row>
    <row r="12" spans="1:32" s="57" customFormat="1" ht="15.75" hidden="1" customHeight="1">
      <c r="A12" s="17"/>
      <c r="B12" s="2"/>
      <c r="C12" s="51"/>
      <c r="D12" s="51"/>
      <c r="E12" s="51"/>
      <c r="F12" s="51"/>
      <c r="G12" s="51"/>
      <c r="H12" s="51"/>
      <c r="I12" s="51"/>
      <c r="J12" s="51"/>
      <c r="K12" s="51"/>
      <c r="L12" s="51"/>
      <c r="M12" s="51"/>
      <c r="N12" s="51"/>
      <c r="O12" s="51"/>
      <c r="P12" s="51"/>
      <c r="Q12" s="51"/>
      <c r="R12" s="52"/>
      <c r="S12" s="53"/>
      <c r="T12" s="54"/>
      <c r="U12" s="52"/>
      <c r="V12" s="55"/>
      <c r="W12" s="55"/>
      <c r="X12" s="52"/>
      <c r="Y12" s="52"/>
      <c r="Z12" s="56"/>
      <c r="AA12" s="55"/>
      <c r="AB12" s="55"/>
      <c r="AC12" s="55"/>
      <c r="AD12" s="55"/>
      <c r="AE12" s="55"/>
      <c r="AF12" s="55"/>
    </row>
    <row r="13" spans="1:32" s="57" customFormat="1" ht="15.75" hidden="1" customHeight="1">
      <c r="A13" s="17"/>
      <c r="B13" s="2"/>
      <c r="C13" s="51"/>
      <c r="D13" s="51"/>
      <c r="E13" s="51"/>
      <c r="F13" s="51"/>
      <c r="G13" s="51"/>
      <c r="H13" s="51"/>
      <c r="I13" s="51"/>
      <c r="J13" s="51"/>
      <c r="K13" s="51"/>
      <c r="L13" s="51"/>
      <c r="M13" s="51"/>
      <c r="N13" s="51"/>
      <c r="O13" s="51"/>
      <c r="P13" s="51"/>
      <c r="Q13" s="51"/>
      <c r="R13" s="52"/>
      <c r="S13" s="53"/>
      <c r="T13" s="54"/>
      <c r="U13" s="52"/>
      <c r="V13" s="55"/>
      <c r="W13" s="55"/>
      <c r="X13" s="52"/>
      <c r="Y13" s="52"/>
      <c r="Z13" s="56"/>
      <c r="AA13" s="55"/>
      <c r="AB13" s="55"/>
      <c r="AC13" s="55"/>
      <c r="AD13" s="55"/>
      <c r="AE13" s="55"/>
      <c r="AF13" s="55"/>
    </row>
    <row r="14" spans="1:32" s="57" customFormat="1" ht="15.75" hidden="1" customHeight="1">
      <c r="A14" s="17"/>
      <c r="B14" s="2"/>
      <c r="C14" s="51"/>
      <c r="D14" s="51"/>
      <c r="E14" s="51"/>
      <c r="F14" s="51"/>
      <c r="G14" s="51"/>
      <c r="H14" s="51"/>
      <c r="I14" s="51"/>
      <c r="J14" s="51"/>
      <c r="K14" s="51"/>
      <c r="L14" s="51"/>
      <c r="M14" s="51"/>
      <c r="N14" s="51"/>
      <c r="O14" s="51"/>
      <c r="P14" s="51"/>
      <c r="Q14" s="51"/>
      <c r="R14" s="52"/>
      <c r="S14" s="53"/>
      <c r="T14" s="54"/>
      <c r="U14" s="52"/>
      <c r="V14" s="55"/>
      <c r="W14" s="55"/>
      <c r="X14" s="52"/>
      <c r="Y14" s="52"/>
      <c r="Z14" s="56"/>
      <c r="AA14" s="55"/>
      <c r="AB14" s="55"/>
      <c r="AC14" s="55"/>
      <c r="AD14" s="55"/>
      <c r="AE14" s="55"/>
      <c r="AF14" s="55"/>
    </row>
    <row r="15" spans="1:32" s="57" customFormat="1" ht="15.75" hidden="1" customHeight="1">
      <c r="A15" s="17"/>
      <c r="B15" s="2"/>
      <c r="C15" s="51"/>
      <c r="D15" s="51"/>
      <c r="E15" s="51"/>
      <c r="F15" s="51"/>
      <c r="G15" s="51"/>
      <c r="H15" s="51"/>
      <c r="I15" s="51"/>
      <c r="J15" s="51"/>
      <c r="K15" s="51"/>
      <c r="L15" s="51"/>
      <c r="M15" s="51"/>
      <c r="N15" s="51"/>
      <c r="O15" s="51"/>
      <c r="P15" s="51"/>
      <c r="Q15" s="51"/>
      <c r="R15" s="52"/>
      <c r="S15" s="53"/>
      <c r="T15" s="54"/>
      <c r="U15" s="52"/>
      <c r="V15" s="55"/>
      <c r="W15" s="55"/>
      <c r="X15" s="52"/>
      <c r="Y15" s="52"/>
      <c r="Z15" s="56"/>
      <c r="AA15" s="55"/>
      <c r="AB15" s="55"/>
      <c r="AC15" s="55"/>
      <c r="AD15" s="55"/>
      <c r="AE15" s="55"/>
      <c r="AF15" s="55"/>
    </row>
    <row r="16" spans="1:32" s="57" customFormat="1" ht="15.75" hidden="1" customHeight="1">
      <c r="A16" s="17"/>
      <c r="B16" s="2"/>
      <c r="C16" s="51"/>
      <c r="D16" s="51"/>
      <c r="E16" s="51"/>
      <c r="F16" s="51"/>
      <c r="G16" s="51"/>
      <c r="H16" s="51"/>
      <c r="I16" s="51"/>
      <c r="J16" s="51"/>
      <c r="K16" s="51"/>
      <c r="L16" s="51"/>
      <c r="M16" s="51"/>
      <c r="N16" s="51"/>
      <c r="O16" s="51"/>
      <c r="P16" s="51"/>
      <c r="Q16" s="51"/>
      <c r="R16" s="52"/>
      <c r="S16" s="53"/>
      <c r="T16" s="54"/>
      <c r="U16" s="52"/>
      <c r="V16" s="55"/>
      <c r="W16" s="55"/>
      <c r="X16" s="52"/>
      <c r="Y16" s="52"/>
      <c r="Z16" s="56"/>
      <c r="AA16" s="55"/>
      <c r="AB16" s="55"/>
      <c r="AC16" s="55"/>
      <c r="AD16" s="55"/>
      <c r="AE16" s="55"/>
      <c r="AF16" s="55"/>
    </row>
    <row r="17" spans="1:32" s="57" customFormat="1" ht="15.75" hidden="1" customHeight="1">
      <c r="A17" s="17"/>
      <c r="B17" s="2"/>
      <c r="C17" s="51"/>
      <c r="D17" s="51"/>
      <c r="E17" s="51"/>
      <c r="F17" s="51"/>
      <c r="G17" s="51"/>
      <c r="H17" s="51"/>
      <c r="I17" s="51"/>
      <c r="J17" s="51"/>
      <c r="K17" s="51"/>
      <c r="L17" s="51"/>
      <c r="M17" s="51"/>
      <c r="N17" s="51"/>
      <c r="O17" s="51"/>
      <c r="P17" s="51"/>
      <c r="Q17" s="51"/>
      <c r="R17" s="52"/>
      <c r="S17" s="53"/>
      <c r="T17" s="54"/>
      <c r="U17" s="52"/>
      <c r="V17" s="55"/>
      <c r="W17" s="55"/>
      <c r="X17" s="52"/>
      <c r="Y17" s="52"/>
      <c r="Z17" s="56"/>
      <c r="AA17" s="55"/>
      <c r="AB17" s="55"/>
      <c r="AC17" s="55"/>
      <c r="AD17" s="55"/>
      <c r="AE17" s="55"/>
      <c r="AF17" s="55"/>
    </row>
    <row r="18" spans="1:32" s="57" customFormat="1" ht="15.75" hidden="1" customHeight="1">
      <c r="A18" s="2"/>
      <c r="B18" s="2"/>
      <c r="C18" s="51"/>
      <c r="D18" s="51"/>
      <c r="E18" s="51"/>
      <c r="F18" s="51"/>
      <c r="G18" s="51"/>
      <c r="H18" s="51"/>
      <c r="I18" s="51"/>
      <c r="J18" s="51"/>
      <c r="K18" s="51"/>
      <c r="L18" s="51"/>
      <c r="M18" s="51"/>
      <c r="N18" s="51"/>
      <c r="O18" s="51"/>
      <c r="P18" s="51"/>
      <c r="Q18" s="51"/>
      <c r="R18" s="55"/>
      <c r="S18" s="53"/>
      <c r="T18" s="54"/>
      <c r="U18" s="55"/>
      <c r="V18" s="55"/>
      <c r="W18" s="55"/>
      <c r="X18" s="55"/>
      <c r="Y18" s="55"/>
      <c r="Z18" s="56"/>
      <c r="AA18" s="55"/>
      <c r="AB18" s="58"/>
      <c r="AC18" s="55"/>
      <c r="AD18" s="55"/>
      <c r="AE18" s="55"/>
      <c r="AF18" s="55"/>
    </row>
    <row r="19" spans="1:32" s="57" customFormat="1" ht="15.75" hidden="1" customHeight="1">
      <c r="A19" s="17"/>
      <c r="B19" s="2"/>
      <c r="C19" s="51"/>
      <c r="D19" s="51"/>
      <c r="E19" s="51"/>
      <c r="F19" s="51"/>
      <c r="G19" s="51"/>
      <c r="H19" s="51"/>
      <c r="I19" s="51"/>
      <c r="J19" s="51"/>
      <c r="K19" s="51"/>
      <c r="L19" s="51"/>
      <c r="M19" s="51"/>
      <c r="N19" s="51"/>
      <c r="O19" s="51"/>
      <c r="P19" s="51"/>
      <c r="Q19" s="51"/>
      <c r="R19" s="52"/>
      <c r="S19" s="53"/>
      <c r="T19" s="54"/>
      <c r="U19" s="55"/>
      <c r="V19" s="55"/>
      <c r="W19" s="55"/>
      <c r="X19" s="52"/>
      <c r="Y19" s="52"/>
      <c r="Z19" s="56"/>
      <c r="AA19" s="55"/>
      <c r="AB19" s="55"/>
      <c r="AC19" s="55"/>
      <c r="AD19" s="55"/>
      <c r="AE19" s="55"/>
      <c r="AF19" s="55"/>
    </row>
    <row r="20" spans="1:32" s="57" customFormat="1" ht="15.75" hidden="1" customHeight="1">
      <c r="A20" s="17"/>
      <c r="B20" s="2"/>
      <c r="C20" s="51"/>
      <c r="D20" s="51"/>
      <c r="E20" s="51"/>
      <c r="F20" s="51"/>
      <c r="G20" s="51"/>
      <c r="H20" s="51"/>
      <c r="I20" s="51"/>
      <c r="J20" s="51"/>
      <c r="K20" s="51"/>
      <c r="L20" s="51"/>
      <c r="M20" s="51"/>
      <c r="N20" s="51"/>
      <c r="O20" s="51"/>
      <c r="P20" s="51"/>
      <c r="Q20" s="51"/>
      <c r="R20" s="52"/>
      <c r="S20" s="53"/>
      <c r="T20" s="54"/>
      <c r="U20" s="52"/>
      <c r="V20" s="55"/>
      <c r="W20" s="55"/>
      <c r="X20" s="52"/>
      <c r="Y20" s="52"/>
      <c r="Z20" s="56"/>
      <c r="AA20" s="55"/>
      <c r="AB20" s="55"/>
      <c r="AC20" s="55"/>
      <c r="AD20" s="55"/>
      <c r="AE20" s="55"/>
      <c r="AF20" s="55"/>
    </row>
    <row r="21" spans="1:32" s="57" customFormat="1" ht="15.75" hidden="1" customHeight="1">
      <c r="A21" s="17"/>
      <c r="B21" s="2"/>
      <c r="C21" s="51"/>
      <c r="D21" s="51"/>
      <c r="E21" s="51"/>
      <c r="F21" s="51"/>
      <c r="G21" s="51"/>
      <c r="H21" s="51"/>
      <c r="I21" s="51"/>
      <c r="J21" s="51"/>
      <c r="K21" s="51"/>
      <c r="L21" s="51"/>
      <c r="M21" s="51"/>
      <c r="N21" s="51"/>
      <c r="O21" s="51"/>
      <c r="P21" s="51"/>
      <c r="Q21" s="51"/>
      <c r="R21" s="52"/>
      <c r="S21" s="53"/>
      <c r="T21" s="54"/>
      <c r="U21" s="52"/>
      <c r="V21" s="55"/>
      <c r="W21" s="55"/>
      <c r="X21" s="52"/>
      <c r="Y21" s="52"/>
      <c r="Z21" s="56"/>
      <c r="AA21" s="55"/>
      <c r="AB21" s="55"/>
      <c r="AC21" s="55"/>
      <c r="AD21" s="55"/>
      <c r="AE21" s="55"/>
      <c r="AF21" s="55"/>
    </row>
    <row r="22" spans="1:32" s="57" customFormat="1" ht="15.75" hidden="1" customHeight="1">
      <c r="A22" s="17"/>
      <c r="B22" s="2"/>
      <c r="C22" s="51"/>
      <c r="D22" s="51"/>
      <c r="E22" s="51"/>
      <c r="F22" s="51"/>
      <c r="G22" s="51"/>
      <c r="H22" s="51"/>
      <c r="I22" s="51"/>
      <c r="J22" s="51"/>
      <c r="K22" s="51"/>
      <c r="L22" s="51"/>
      <c r="M22" s="51"/>
      <c r="N22" s="51"/>
      <c r="O22" s="51"/>
      <c r="P22" s="51"/>
      <c r="Q22" s="51"/>
      <c r="R22" s="52"/>
      <c r="S22" s="53"/>
      <c r="T22" s="54"/>
      <c r="U22" s="52"/>
      <c r="V22" s="55"/>
      <c r="W22" s="55"/>
      <c r="X22" s="52"/>
      <c r="Y22" s="52"/>
      <c r="Z22" s="56"/>
      <c r="AA22" s="55"/>
      <c r="AB22" s="55"/>
      <c r="AC22" s="55"/>
      <c r="AD22" s="55"/>
      <c r="AE22" s="55"/>
      <c r="AF22" s="55"/>
    </row>
    <row r="23" spans="1:32" s="57" customFormat="1" ht="15.75" hidden="1" customHeight="1">
      <c r="A23" s="17"/>
      <c r="B23" s="2"/>
      <c r="C23" s="51"/>
      <c r="D23" s="51"/>
      <c r="E23" s="51"/>
      <c r="F23" s="51"/>
      <c r="G23" s="51"/>
      <c r="H23" s="51"/>
      <c r="I23" s="51"/>
      <c r="J23" s="51"/>
      <c r="K23" s="51"/>
      <c r="L23" s="51"/>
      <c r="M23" s="51"/>
      <c r="N23" s="51"/>
      <c r="O23" s="51"/>
      <c r="P23" s="51"/>
      <c r="Q23" s="51"/>
      <c r="R23" s="52"/>
      <c r="S23" s="53"/>
      <c r="T23" s="54"/>
      <c r="U23" s="52"/>
      <c r="V23" s="55"/>
      <c r="W23" s="55"/>
      <c r="X23" s="52"/>
      <c r="Y23" s="52"/>
      <c r="Z23" s="56"/>
      <c r="AA23" s="55"/>
      <c r="AB23" s="55"/>
      <c r="AC23" s="55"/>
      <c r="AD23" s="55"/>
      <c r="AE23" s="55"/>
      <c r="AF23" s="55"/>
    </row>
    <row r="24" spans="1:32" s="57" customFormat="1" ht="15.75" hidden="1" customHeight="1">
      <c r="A24" s="17"/>
      <c r="B24" s="2"/>
      <c r="C24" s="51"/>
      <c r="D24" s="51"/>
      <c r="E24" s="51"/>
      <c r="F24" s="51"/>
      <c r="G24" s="51"/>
      <c r="H24" s="51"/>
      <c r="I24" s="51"/>
      <c r="J24" s="51"/>
      <c r="K24" s="51"/>
      <c r="L24" s="51"/>
      <c r="M24" s="51"/>
      <c r="N24" s="51"/>
      <c r="O24" s="51"/>
      <c r="P24" s="51"/>
      <c r="Q24" s="51"/>
      <c r="R24" s="52"/>
      <c r="S24" s="53"/>
      <c r="T24" s="54"/>
      <c r="U24" s="52"/>
      <c r="V24" s="55"/>
      <c r="W24" s="55"/>
      <c r="X24" s="52"/>
      <c r="Y24" s="52"/>
      <c r="Z24" s="56"/>
      <c r="AA24" s="55"/>
      <c r="AB24" s="55"/>
      <c r="AC24" s="55"/>
      <c r="AD24" s="55"/>
      <c r="AE24" s="55"/>
      <c r="AF24" s="55"/>
    </row>
    <row r="25" spans="1:32" s="57" customFormat="1" ht="15.75" hidden="1" customHeight="1">
      <c r="A25" s="17"/>
      <c r="B25" s="2"/>
      <c r="C25" s="51"/>
      <c r="D25" s="51"/>
      <c r="E25" s="51"/>
      <c r="F25" s="51"/>
      <c r="G25" s="51"/>
      <c r="H25" s="51"/>
      <c r="I25" s="51"/>
      <c r="J25" s="51"/>
      <c r="K25" s="51"/>
      <c r="L25" s="51"/>
      <c r="M25" s="51"/>
      <c r="N25" s="51"/>
      <c r="O25" s="51"/>
      <c r="P25" s="51"/>
      <c r="Q25" s="51"/>
      <c r="R25" s="52"/>
      <c r="S25" s="53"/>
      <c r="T25" s="54"/>
      <c r="U25" s="52"/>
      <c r="V25" s="55"/>
      <c r="W25" s="55"/>
      <c r="X25" s="52"/>
      <c r="Y25" s="52"/>
      <c r="Z25" s="56"/>
      <c r="AA25" s="55"/>
      <c r="AB25" s="55"/>
      <c r="AC25" s="55"/>
      <c r="AD25" s="55"/>
      <c r="AE25" s="55"/>
      <c r="AF25" s="55"/>
    </row>
    <row r="26" spans="1:32" s="57" customFormat="1" ht="15.75" hidden="1" customHeight="1">
      <c r="A26" s="17"/>
      <c r="B26" s="2"/>
      <c r="C26" s="51"/>
      <c r="D26" s="51"/>
      <c r="E26" s="51"/>
      <c r="F26" s="51"/>
      <c r="G26" s="51"/>
      <c r="H26" s="51"/>
      <c r="I26" s="51"/>
      <c r="J26" s="51"/>
      <c r="K26" s="51"/>
      <c r="L26" s="51"/>
      <c r="M26" s="51"/>
      <c r="N26" s="51"/>
      <c r="O26" s="51"/>
      <c r="P26" s="51"/>
      <c r="Q26" s="51"/>
      <c r="R26" s="52"/>
      <c r="S26" s="53"/>
      <c r="T26" s="54"/>
      <c r="U26" s="52"/>
      <c r="V26" s="55"/>
      <c r="W26" s="55"/>
      <c r="X26" s="52"/>
      <c r="Y26" s="52"/>
      <c r="Z26" s="56"/>
      <c r="AA26" s="55"/>
      <c r="AB26" s="55"/>
      <c r="AC26" s="55"/>
      <c r="AD26" s="55"/>
      <c r="AE26" s="55"/>
      <c r="AF26" s="55"/>
    </row>
    <row r="27" spans="1:32" s="57" customFormat="1" ht="15.75" hidden="1" customHeight="1">
      <c r="A27" s="17"/>
      <c r="B27" s="2"/>
      <c r="C27" s="51"/>
      <c r="D27" s="51"/>
      <c r="E27" s="51"/>
      <c r="F27" s="51"/>
      <c r="G27" s="51"/>
      <c r="H27" s="51"/>
      <c r="I27" s="51"/>
      <c r="J27" s="51"/>
      <c r="K27" s="51"/>
      <c r="L27" s="51"/>
      <c r="M27" s="51"/>
      <c r="N27" s="51"/>
      <c r="O27" s="51"/>
      <c r="P27" s="51"/>
      <c r="Q27" s="51"/>
      <c r="R27" s="52"/>
      <c r="S27" s="53"/>
      <c r="T27" s="54"/>
      <c r="U27" s="52"/>
      <c r="V27" s="55"/>
      <c r="W27" s="55"/>
      <c r="X27" s="52"/>
      <c r="Y27" s="52"/>
      <c r="Z27" s="56"/>
      <c r="AA27" s="55"/>
      <c r="AB27" s="55"/>
      <c r="AC27" s="55"/>
      <c r="AD27" s="55"/>
      <c r="AE27" s="55"/>
      <c r="AF27" s="55"/>
    </row>
    <row r="28" spans="1:32" s="57" customFormat="1" ht="15.75" hidden="1" customHeight="1">
      <c r="A28" s="17"/>
      <c r="B28" s="2"/>
      <c r="C28" s="51"/>
      <c r="D28" s="51"/>
      <c r="E28" s="51"/>
      <c r="F28" s="51"/>
      <c r="G28" s="51"/>
      <c r="H28" s="51"/>
      <c r="I28" s="51"/>
      <c r="J28" s="51"/>
      <c r="K28" s="51"/>
      <c r="L28" s="51"/>
      <c r="M28" s="51"/>
      <c r="N28" s="51"/>
      <c r="O28" s="51"/>
      <c r="P28" s="51"/>
      <c r="Q28" s="51"/>
      <c r="R28" s="52"/>
      <c r="S28" s="53"/>
      <c r="T28" s="54"/>
      <c r="U28" s="52"/>
      <c r="V28" s="55"/>
      <c r="W28" s="55"/>
      <c r="X28" s="52"/>
      <c r="Y28" s="52"/>
      <c r="Z28" s="56"/>
      <c r="AA28" s="55"/>
      <c r="AB28" s="55"/>
      <c r="AC28" s="55"/>
      <c r="AD28" s="55"/>
      <c r="AE28" s="55"/>
      <c r="AF28" s="55"/>
    </row>
    <row r="29" spans="1:32" s="57" customFormat="1" ht="15.75" hidden="1" customHeight="1">
      <c r="A29" s="17"/>
      <c r="B29" s="2"/>
      <c r="C29" s="51"/>
      <c r="D29" s="51"/>
      <c r="E29" s="51"/>
      <c r="F29" s="51"/>
      <c r="G29" s="51"/>
      <c r="H29" s="51"/>
      <c r="I29" s="51"/>
      <c r="J29" s="51"/>
      <c r="K29" s="51"/>
      <c r="L29" s="51"/>
      <c r="M29" s="51"/>
      <c r="N29" s="51"/>
      <c r="O29" s="51"/>
      <c r="P29" s="51"/>
      <c r="Q29" s="51"/>
      <c r="R29" s="52"/>
      <c r="S29" s="53"/>
      <c r="T29" s="54"/>
      <c r="U29" s="52"/>
      <c r="V29" s="55"/>
      <c r="W29" s="55"/>
      <c r="X29" s="52"/>
      <c r="Y29" s="52"/>
      <c r="Z29" s="56"/>
      <c r="AA29" s="55"/>
      <c r="AB29" s="55"/>
      <c r="AC29" s="55"/>
      <c r="AD29" s="55"/>
      <c r="AE29" s="55"/>
      <c r="AF29" s="55"/>
    </row>
    <row r="30" spans="1:32" s="57" customFormat="1" ht="15.75" hidden="1" customHeight="1">
      <c r="A30" s="17"/>
      <c r="B30" s="2"/>
      <c r="C30" s="51"/>
      <c r="D30" s="51"/>
      <c r="E30" s="51"/>
      <c r="F30" s="51"/>
      <c r="G30" s="51"/>
      <c r="H30" s="51"/>
      <c r="I30" s="51"/>
      <c r="J30" s="51"/>
      <c r="K30" s="51"/>
      <c r="L30" s="51"/>
      <c r="M30" s="51"/>
      <c r="N30" s="51"/>
      <c r="O30" s="51"/>
      <c r="P30" s="51"/>
      <c r="Q30" s="51"/>
      <c r="R30" s="52"/>
      <c r="S30" s="53"/>
      <c r="T30" s="54"/>
      <c r="U30" s="52"/>
      <c r="V30" s="55"/>
      <c r="W30" s="55"/>
      <c r="X30" s="52"/>
      <c r="Y30" s="52"/>
      <c r="Z30" s="56"/>
      <c r="AA30" s="55"/>
      <c r="AB30" s="55"/>
      <c r="AC30" s="55"/>
      <c r="AD30" s="55"/>
      <c r="AE30" s="55"/>
      <c r="AF30" s="55"/>
    </row>
    <row r="31" spans="1:32" s="57" customFormat="1" ht="15.75" hidden="1" customHeight="1">
      <c r="A31" s="17"/>
      <c r="B31" s="2"/>
      <c r="C31" s="51"/>
      <c r="D31" s="51"/>
      <c r="E31" s="51"/>
      <c r="F31" s="51"/>
      <c r="G31" s="51"/>
      <c r="H31" s="51"/>
      <c r="I31" s="51"/>
      <c r="J31" s="51"/>
      <c r="K31" s="51"/>
      <c r="L31" s="51"/>
      <c r="M31" s="51"/>
      <c r="N31" s="51"/>
      <c r="O31" s="51"/>
      <c r="P31" s="51"/>
      <c r="Q31" s="51"/>
      <c r="R31" s="52"/>
      <c r="S31" s="53"/>
      <c r="T31" s="54"/>
      <c r="U31" s="52"/>
      <c r="V31" s="55"/>
      <c r="W31" s="55"/>
      <c r="X31" s="52"/>
      <c r="Y31" s="52"/>
      <c r="Z31" s="56"/>
      <c r="AA31" s="55"/>
      <c r="AB31" s="55"/>
      <c r="AC31" s="55"/>
      <c r="AD31" s="55"/>
      <c r="AE31" s="55"/>
      <c r="AF31" s="55"/>
    </row>
    <row r="32" spans="1:32" s="57" customFormat="1" ht="15.75" hidden="1" customHeight="1">
      <c r="A32" s="17"/>
      <c r="B32" s="2"/>
      <c r="C32" s="51"/>
      <c r="D32" s="51"/>
      <c r="E32" s="51"/>
      <c r="F32" s="51"/>
      <c r="G32" s="51"/>
      <c r="H32" s="51"/>
      <c r="I32" s="51"/>
      <c r="J32" s="51"/>
      <c r="K32" s="51"/>
      <c r="L32" s="51"/>
      <c r="M32" s="51"/>
      <c r="N32" s="51"/>
      <c r="O32" s="51"/>
      <c r="P32" s="51"/>
      <c r="Q32" s="51"/>
      <c r="R32" s="52"/>
      <c r="S32" s="53"/>
      <c r="T32" s="54"/>
      <c r="U32" s="52"/>
      <c r="V32" s="55"/>
      <c r="W32" s="55"/>
      <c r="X32" s="52"/>
      <c r="Y32" s="52"/>
      <c r="Z32" s="56"/>
      <c r="AA32" s="55"/>
      <c r="AB32" s="55"/>
      <c r="AC32" s="55"/>
      <c r="AD32" s="55"/>
      <c r="AE32" s="55"/>
      <c r="AF32" s="52"/>
    </row>
    <row r="33" spans="1:32" s="57" customFormat="1" ht="15.75" hidden="1" customHeight="1">
      <c r="A33" s="17"/>
      <c r="B33" s="2"/>
      <c r="C33" s="51"/>
      <c r="D33" s="51"/>
      <c r="E33" s="51"/>
      <c r="F33" s="51"/>
      <c r="G33" s="51"/>
      <c r="H33" s="51"/>
      <c r="I33" s="51"/>
      <c r="J33" s="51"/>
      <c r="K33" s="51"/>
      <c r="L33" s="51"/>
      <c r="M33" s="51"/>
      <c r="N33" s="51"/>
      <c r="O33" s="51"/>
      <c r="P33" s="51"/>
      <c r="Q33" s="51"/>
      <c r="R33" s="52"/>
      <c r="S33" s="53"/>
      <c r="T33" s="54"/>
      <c r="U33" s="52"/>
      <c r="V33" s="55"/>
      <c r="W33" s="55"/>
      <c r="X33" s="52"/>
      <c r="Y33" s="52"/>
      <c r="Z33" s="56"/>
      <c r="AA33" s="55"/>
      <c r="AB33" s="55"/>
      <c r="AC33" s="55"/>
      <c r="AD33" s="55"/>
      <c r="AE33" s="55"/>
      <c r="AF33" s="55"/>
    </row>
    <row r="34" spans="1:32" s="57" customFormat="1" ht="15.75" hidden="1" customHeight="1">
      <c r="A34" s="17"/>
      <c r="B34" s="2"/>
      <c r="C34" s="51"/>
      <c r="D34" s="51"/>
      <c r="E34" s="51"/>
      <c r="F34" s="51"/>
      <c r="G34" s="51"/>
      <c r="H34" s="51"/>
      <c r="I34" s="51"/>
      <c r="J34" s="51"/>
      <c r="K34" s="51"/>
      <c r="L34" s="51"/>
      <c r="M34" s="51"/>
      <c r="N34" s="51"/>
      <c r="O34" s="51"/>
      <c r="P34" s="51"/>
      <c r="Q34" s="51"/>
      <c r="R34" s="55"/>
      <c r="S34" s="53"/>
      <c r="T34" s="54"/>
      <c r="U34" s="52"/>
      <c r="V34" s="55"/>
      <c r="W34" s="55"/>
      <c r="X34" s="52"/>
      <c r="Y34" s="52"/>
      <c r="Z34" s="56"/>
      <c r="AA34" s="55"/>
      <c r="AB34" s="55"/>
      <c r="AC34" s="55"/>
      <c r="AD34" s="55"/>
      <c r="AE34" s="55"/>
      <c r="AF34" s="55"/>
    </row>
    <row r="35" spans="1:32" s="57" customFormat="1" ht="15.75" hidden="1" customHeight="1">
      <c r="A35" s="17"/>
      <c r="B35" s="2"/>
      <c r="C35" s="51"/>
      <c r="D35" s="51"/>
      <c r="E35" s="51"/>
      <c r="F35" s="51"/>
      <c r="G35" s="51"/>
      <c r="H35" s="51"/>
      <c r="I35" s="51"/>
      <c r="J35" s="51"/>
      <c r="K35" s="51"/>
      <c r="L35" s="51"/>
      <c r="M35" s="51"/>
      <c r="N35" s="51"/>
      <c r="O35" s="51"/>
      <c r="P35" s="51"/>
      <c r="Q35" s="51"/>
      <c r="R35" s="55"/>
      <c r="S35" s="53"/>
      <c r="T35" s="54"/>
      <c r="U35" s="52"/>
      <c r="V35" s="55"/>
      <c r="W35" s="55"/>
      <c r="X35" s="52"/>
      <c r="Y35" s="52"/>
      <c r="Z35" s="56"/>
      <c r="AA35" s="55"/>
      <c r="AB35" s="55"/>
      <c r="AC35" s="55"/>
      <c r="AD35" s="55"/>
      <c r="AE35" s="55"/>
      <c r="AF35" s="55"/>
    </row>
    <row r="36" spans="1:32" s="57" customFormat="1" ht="15.75" hidden="1" customHeight="1">
      <c r="A36" s="17"/>
      <c r="B36" s="2"/>
      <c r="C36" s="51"/>
      <c r="D36" s="51"/>
      <c r="E36" s="51"/>
      <c r="F36" s="51"/>
      <c r="G36" s="51"/>
      <c r="H36" s="51"/>
      <c r="I36" s="51"/>
      <c r="J36" s="51"/>
      <c r="K36" s="51"/>
      <c r="L36" s="51"/>
      <c r="M36" s="51"/>
      <c r="N36" s="51"/>
      <c r="O36" s="51"/>
      <c r="P36" s="51"/>
      <c r="Q36" s="51"/>
      <c r="R36" s="55"/>
      <c r="S36" s="53"/>
      <c r="T36" s="54"/>
      <c r="U36" s="55"/>
      <c r="V36" s="55"/>
      <c r="W36" s="55"/>
      <c r="X36" s="55"/>
      <c r="Y36" s="52"/>
      <c r="Z36" s="56"/>
      <c r="AA36" s="55"/>
      <c r="AB36" s="55"/>
      <c r="AC36" s="55"/>
      <c r="AD36" s="55"/>
      <c r="AE36" s="55"/>
      <c r="AF36" s="55"/>
    </row>
    <row r="37" spans="1:32" s="57" customFormat="1" ht="15.75" hidden="1" customHeight="1">
      <c r="A37" s="17"/>
      <c r="B37" s="2"/>
      <c r="C37" s="51"/>
      <c r="D37" s="51"/>
      <c r="E37" s="51"/>
      <c r="F37" s="51"/>
      <c r="G37" s="51"/>
      <c r="H37" s="51"/>
      <c r="I37" s="51"/>
      <c r="J37" s="51"/>
      <c r="K37" s="51"/>
      <c r="L37" s="51"/>
      <c r="M37" s="51"/>
      <c r="N37" s="51"/>
      <c r="O37" s="51"/>
      <c r="P37" s="51"/>
      <c r="Q37" s="51"/>
      <c r="R37" s="55"/>
      <c r="S37" s="53"/>
      <c r="T37" s="54"/>
      <c r="U37" s="52"/>
      <c r="V37" s="55"/>
      <c r="W37" s="55"/>
      <c r="X37" s="52"/>
      <c r="Y37" s="52"/>
      <c r="Z37" s="56"/>
      <c r="AA37" s="55"/>
      <c r="AB37" s="55"/>
      <c r="AC37" s="55"/>
      <c r="AD37" s="55"/>
      <c r="AE37" s="55"/>
      <c r="AF37" s="55"/>
    </row>
    <row r="38" spans="1:32" s="57" customFormat="1" ht="15.75" hidden="1" customHeight="1">
      <c r="A38" s="17"/>
      <c r="B38" s="2"/>
      <c r="C38" s="51"/>
      <c r="D38" s="51"/>
      <c r="E38" s="51"/>
      <c r="F38" s="51"/>
      <c r="G38" s="51"/>
      <c r="H38" s="51"/>
      <c r="I38" s="51"/>
      <c r="J38" s="51"/>
      <c r="K38" s="51"/>
      <c r="L38" s="51"/>
      <c r="M38" s="51"/>
      <c r="N38" s="51"/>
      <c r="O38" s="51"/>
      <c r="P38" s="51"/>
      <c r="Q38" s="51"/>
      <c r="R38" s="52"/>
      <c r="S38" s="53"/>
      <c r="T38" s="54"/>
      <c r="U38" s="52"/>
      <c r="V38" s="55"/>
      <c r="W38" s="55"/>
      <c r="X38" s="52"/>
      <c r="Y38" s="52"/>
      <c r="Z38" s="56"/>
      <c r="AA38" s="55"/>
      <c r="AB38" s="55"/>
      <c r="AC38" s="55"/>
      <c r="AD38" s="55"/>
      <c r="AE38" s="55"/>
      <c r="AF38" s="55"/>
    </row>
    <row r="39" spans="1:32" s="57" customFormat="1" ht="15.75" hidden="1" customHeight="1">
      <c r="A39" s="17"/>
      <c r="B39" s="2"/>
      <c r="C39" s="51"/>
      <c r="D39" s="51"/>
      <c r="E39" s="51"/>
      <c r="F39" s="51"/>
      <c r="G39" s="51"/>
      <c r="H39" s="51"/>
      <c r="I39" s="51"/>
      <c r="J39" s="51"/>
      <c r="K39" s="51"/>
      <c r="L39" s="51"/>
      <c r="M39" s="51"/>
      <c r="N39" s="51"/>
      <c r="O39" s="51"/>
      <c r="P39" s="51"/>
      <c r="Q39" s="51"/>
      <c r="R39" s="55"/>
      <c r="S39" s="53"/>
      <c r="T39" s="54"/>
      <c r="U39" s="52"/>
      <c r="V39" s="55"/>
      <c r="W39" s="55"/>
      <c r="X39" s="52"/>
      <c r="Y39" s="52"/>
      <c r="Z39" s="56"/>
      <c r="AA39" s="52"/>
      <c r="AB39" s="55"/>
      <c r="AC39" s="55"/>
      <c r="AD39" s="55"/>
      <c r="AE39" s="55"/>
      <c r="AF39" s="55"/>
    </row>
    <row r="40" spans="1:32" s="57" customFormat="1" ht="15.75" hidden="1" customHeight="1">
      <c r="A40" s="17"/>
      <c r="B40" s="2"/>
      <c r="C40" s="51"/>
      <c r="D40" s="51"/>
      <c r="E40" s="51"/>
      <c r="F40" s="51"/>
      <c r="G40" s="51"/>
      <c r="H40" s="51"/>
      <c r="I40" s="51"/>
      <c r="J40" s="51"/>
      <c r="K40" s="51"/>
      <c r="L40" s="51"/>
      <c r="M40" s="51"/>
      <c r="N40" s="51"/>
      <c r="O40" s="51"/>
      <c r="P40" s="51"/>
      <c r="Q40" s="51"/>
      <c r="R40" s="55"/>
      <c r="S40" s="53"/>
      <c r="T40" s="54"/>
      <c r="U40" s="52"/>
      <c r="V40" s="55"/>
      <c r="W40" s="55"/>
      <c r="X40" s="52"/>
      <c r="Y40" s="52"/>
      <c r="Z40" s="56"/>
      <c r="AA40" s="55"/>
      <c r="AB40" s="55"/>
      <c r="AC40" s="55"/>
      <c r="AD40" s="55"/>
      <c r="AE40" s="55"/>
      <c r="AF40" s="55"/>
    </row>
    <row r="41" spans="1:32" s="57" customFormat="1" ht="15.75" hidden="1" customHeight="1">
      <c r="A41" s="17"/>
      <c r="B41" s="2"/>
      <c r="C41" s="51"/>
      <c r="D41" s="51"/>
      <c r="E41" s="51"/>
      <c r="F41" s="51"/>
      <c r="G41" s="51"/>
      <c r="H41" s="51"/>
      <c r="I41" s="51"/>
      <c r="J41" s="51"/>
      <c r="K41" s="51"/>
      <c r="L41" s="51"/>
      <c r="M41" s="51"/>
      <c r="N41" s="51"/>
      <c r="O41" s="51"/>
      <c r="P41" s="51"/>
      <c r="Q41" s="51"/>
      <c r="R41" s="55"/>
      <c r="S41" s="53"/>
      <c r="T41" s="54"/>
      <c r="U41" s="52"/>
      <c r="V41" s="55"/>
      <c r="W41" s="55"/>
      <c r="X41" s="52"/>
      <c r="Y41" s="52"/>
      <c r="Z41" s="56"/>
      <c r="AA41" s="55"/>
      <c r="AB41" s="55"/>
      <c r="AC41" s="55"/>
      <c r="AD41" s="55"/>
      <c r="AE41" s="55"/>
      <c r="AF41" s="55"/>
    </row>
    <row r="42" spans="1:32" s="57" customFormat="1" ht="15.75" hidden="1" customHeight="1">
      <c r="A42" s="17"/>
      <c r="B42" s="2"/>
      <c r="C42" s="51"/>
      <c r="D42" s="51"/>
      <c r="E42" s="51"/>
      <c r="F42" s="51"/>
      <c r="G42" s="51"/>
      <c r="H42" s="51"/>
      <c r="I42" s="51"/>
      <c r="J42" s="51"/>
      <c r="K42" s="51"/>
      <c r="L42" s="51"/>
      <c r="M42" s="51"/>
      <c r="N42" s="51"/>
      <c r="O42" s="51"/>
      <c r="P42" s="51"/>
      <c r="Q42" s="51"/>
      <c r="R42" s="55"/>
      <c r="S42" s="53"/>
      <c r="T42" s="54"/>
      <c r="U42" s="52"/>
      <c r="V42" s="55"/>
      <c r="W42" s="55"/>
      <c r="X42" s="52"/>
      <c r="Y42" s="52"/>
      <c r="Z42" s="56"/>
      <c r="AA42" s="55"/>
      <c r="AB42" s="55"/>
      <c r="AC42" s="55"/>
      <c r="AD42" s="55"/>
      <c r="AE42" s="55"/>
      <c r="AF42" s="55"/>
    </row>
    <row r="43" spans="1:32" s="57" customFormat="1" ht="15.75" hidden="1" customHeight="1">
      <c r="A43" s="17"/>
      <c r="B43" s="2"/>
      <c r="C43" s="51"/>
      <c r="D43" s="51"/>
      <c r="E43" s="51"/>
      <c r="F43" s="51"/>
      <c r="G43" s="51"/>
      <c r="H43" s="51"/>
      <c r="I43" s="51"/>
      <c r="J43" s="51"/>
      <c r="K43" s="51"/>
      <c r="L43" s="51"/>
      <c r="M43" s="51"/>
      <c r="N43" s="51"/>
      <c r="O43" s="51"/>
      <c r="P43" s="51"/>
      <c r="Q43" s="51"/>
      <c r="R43" s="55"/>
      <c r="S43" s="53"/>
      <c r="T43" s="54"/>
      <c r="U43" s="52"/>
      <c r="V43" s="55"/>
      <c r="W43" s="55"/>
      <c r="X43" s="52"/>
      <c r="Y43" s="52"/>
      <c r="Z43" s="56"/>
      <c r="AA43" s="55"/>
      <c r="AB43" s="55"/>
      <c r="AC43" s="55"/>
      <c r="AD43" s="55"/>
      <c r="AE43" s="55"/>
      <c r="AF43" s="55"/>
    </row>
    <row r="44" spans="1:32" s="57" customFormat="1" ht="15.75" hidden="1" customHeight="1">
      <c r="A44" s="17"/>
      <c r="B44" s="2"/>
      <c r="C44" s="51"/>
      <c r="D44" s="51"/>
      <c r="E44" s="51"/>
      <c r="F44" s="51"/>
      <c r="G44" s="51"/>
      <c r="H44" s="51"/>
      <c r="I44" s="51"/>
      <c r="J44" s="51"/>
      <c r="K44" s="51"/>
      <c r="L44" s="51"/>
      <c r="M44" s="51"/>
      <c r="N44" s="51"/>
      <c r="O44" s="51"/>
      <c r="P44" s="51"/>
      <c r="Q44" s="51"/>
      <c r="R44" s="55"/>
      <c r="S44" s="53"/>
      <c r="T44" s="54"/>
      <c r="U44" s="52"/>
      <c r="V44" s="55"/>
      <c r="W44" s="55"/>
      <c r="X44" s="52"/>
      <c r="Y44" s="52"/>
      <c r="Z44" s="56"/>
      <c r="AA44" s="55"/>
      <c r="AB44" s="55"/>
      <c r="AC44" s="55"/>
      <c r="AD44" s="55"/>
      <c r="AE44" s="55"/>
      <c r="AF44" s="55"/>
    </row>
    <row r="45" spans="1:32" s="57" customFormat="1" ht="15.75" hidden="1" customHeight="1">
      <c r="A45" s="17"/>
      <c r="B45" s="2"/>
      <c r="C45" s="51"/>
      <c r="D45" s="51"/>
      <c r="E45" s="51"/>
      <c r="F45" s="51"/>
      <c r="G45" s="51"/>
      <c r="H45" s="51"/>
      <c r="I45" s="51"/>
      <c r="J45" s="51"/>
      <c r="K45" s="51"/>
      <c r="L45" s="51"/>
      <c r="M45" s="51"/>
      <c r="N45" s="51"/>
      <c r="O45" s="51"/>
      <c r="P45" s="51"/>
      <c r="Q45" s="51"/>
      <c r="R45" s="55"/>
      <c r="S45" s="53"/>
      <c r="T45" s="54"/>
      <c r="U45" s="52"/>
      <c r="V45" s="55"/>
      <c r="W45" s="55"/>
      <c r="X45" s="52"/>
      <c r="Y45" s="52"/>
      <c r="Z45" s="56"/>
      <c r="AA45" s="55"/>
      <c r="AB45" s="55"/>
      <c r="AC45" s="55"/>
      <c r="AD45" s="55"/>
      <c r="AE45" s="55"/>
      <c r="AF45" s="55"/>
    </row>
    <row r="46" spans="1:32" s="57" customFormat="1" ht="15.75" hidden="1" customHeight="1">
      <c r="A46" s="17"/>
      <c r="B46" s="2"/>
      <c r="C46" s="51"/>
      <c r="D46" s="51"/>
      <c r="E46" s="51"/>
      <c r="F46" s="51"/>
      <c r="G46" s="51"/>
      <c r="H46" s="51"/>
      <c r="I46" s="51"/>
      <c r="J46" s="51"/>
      <c r="K46" s="51"/>
      <c r="L46" s="51"/>
      <c r="M46" s="51"/>
      <c r="N46" s="51"/>
      <c r="O46" s="51"/>
      <c r="P46" s="51"/>
      <c r="Q46" s="51"/>
      <c r="R46" s="55"/>
      <c r="S46" s="53"/>
      <c r="T46" s="54"/>
      <c r="U46" s="52"/>
      <c r="V46" s="55"/>
      <c r="W46" s="55"/>
      <c r="X46" s="52"/>
      <c r="Y46" s="52"/>
      <c r="Z46" s="56"/>
      <c r="AA46" s="55"/>
      <c r="AB46" s="55"/>
      <c r="AC46" s="55"/>
      <c r="AD46" s="55"/>
      <c r="AE46" s="55"/>
      <c r="AF46" s="55"/>
    </row>
    <row r="47" spans="1:32" s="57" customFormat="1" ht="15.75" hidden="1" customHeight="1">
      <c r="A47" s="17"/>
      <c r="B47" s="2"/>
      <c r="C47" s="51"/>
      <c r="D47" s="51"/>
      <c r="E47" s="51"/>
      <c r="F47" s="51"/>
      <c r="G47" s="51"/>
      <c r="H47" s="51"/>
      <c r="I47" s="51"/>
      <c r="J47" s="51"/>
      <c r="K47" s="51"/>
      <c r="L47" s="51"/>
      <c r="M47" s="51"/>
      <c r="N47" s="51"/>
      <c r="O47" s="51"/>
      <c r="P47" s="51"/>
      <c r="Q47" s="51"/>
      <c r="R47" s="55"/>
      <c r="S47" s="53"/>
      <c r="T47" s="54"/>
      <c r="U47" s="52"/>
      <c r="V47" s="55"/>
      <c r="W47" s="55"/>
      <c r="X47" s="52"/>
      <c r="Y47" s="52"/>
      <c r="Z47" s="56"/>
      <c r="AA47" s="55"/>
      <c r="AB47" s="55"/>
      <c r="AC47" s="55"/>
      <c r="AD47" s="55"/>
      <c r="AE47" s="55"/>
      <c r="AF47" s="55"/>
    </row>
    <row r="48" spans="1:32" s="57" customFormat="1" ht="15.75" hidden="1" customHeight="1">
      <c r="A48" s="17"/>
      <c r="B48" s="2"/>
      <c r="C48" s="51"/>
      <c r="D48" s="51"/>
      <c r="E48" s="51"/>
      <c r="F48" s="51"/>
      <c r="G48" s="51"/>
      <c r="H48" s="51"/>
      <c r="I48" s="51"/>
      <c r="J48" s="51"/>
      <c r="K48" s="51"/>
      <c r="L48" s="51"/>
      <c r="M48" s="51"/>
      <c r="N48" s="51"/>
      <c r="O48" s="51"/>
      <c r="P48" s="51"/>
      <c r="Q48" s="51"/>
      <c r="R48" s="55"/>
      <c r="S48" s="53"/>
      <c r="T48" s="54"/>
      <c r="U48" s="52"/>
      <c r="V48" s="55"/>
      <c r="W48" s="55"/>
      <c r="X48" s="52"/>
      <c r="Y48" s="52"/>
      <c r="Z48" s="56"/>
      <c r="AA48" s="55"/>
      <c r="AB48" s="55"/>
      <c r="AC48" s="55"/>
      <c r="AD48" s="55"/>
      <c r="AE48" s="55"/>
      <c r="AF48" s="55"/>
    </row>
    <row r="49" spans="1:32" s="57" customFormat="1" ht="15.75" hidden="1" customHeight="1">
      <c r="A49" s="17"/>
      <c r="B49" s="2"/>
      <c r="C49" s="51"/>
      <c r="D49" s="51"/>
      <c r="E49" s="51"/>
      <c r="F49" s="51"/>
      <c r="G49" s="51"/>
      <c r="H49" s="51"/>
      <c r="I49" s="51"/>
      <c r="J49" s="51"/>
      <c r="K49" s="51"/>
      <c r="L49" s="51"/>
      <c r="M49" s="51"/>
      <c r="N49" s="51"/>
      <c r="O49" s="51"/>
      <c r="P49" s="51"/>
      <c r="Q49" s="51"/>
      <c r="R49" s="55"/>
      <c r="S49" s="53"/>
      <c r="T49" s="54"/>
      <c r="U49" s="52"/>
      <c r="V49" s="55"/>
      <c r="W49" s="55"/>
      <c r="X49" s="52"/>
      <c r="Y49" s="52"/>
      <c r="Z49" s="56"/>
      <c r="AA49" s="55"/>
      <c r="AB49" s="55"/>
      <c r="AC49" s="55"/>
      <c r="AD49" s="55"/>
      <c r="AE49" s="55"/>
      <c r="AF49" s="55"/>
    </row>
    <row r="50" spans="1:32" s="57" customFormat="1" ht="15.75" customHeight="1">
      <c r="A50" s="2" t="s">
        <v>119</v>
      </c>
      <c r="B50" s="2" t="s">
        <v>842</v>
      </c>
      <c r="C50" s="51">
        <f t="shared" ref="C50:C56" si="1">IFERROR(F50/D50," - ")</f>
        <v>25.95</v>
      </c>
      <c r="D50" s="51">
        <v>1</v>
      </c>
      <c r="E50" s="51">
        <v>0</v>
      </c>
      <c r="F50" s="51">
        <v>25.95</v>
      </c>
      <c r="G50" s="51">
        <v>0</v>
      </c>
      <c r="H50" s="51">
        <f t="shared" ref="H50:H56" si="2">G50/F50*-1</f>
        <v>0</v>
      </c>
      <c r="I50" s="51">
        <f t="shared" ref="I50:I56" si="3">J50/F50</f>
        <v>0.28639449407368472</v>
      </c>
      <c r="J50" s="51">
        <f t="shared" ref="J50:J56" si="4">F50*0.85+G50+AD50*D50+D50*AC50+AE50+AB50</f>
        <v>7.4319371212121181</v>
      </c>
      <c r="K50" s="51">
        <f t="shared" ref="K50:K56" si="5">J50/D50</f>
        <v>7.4319371212121181</v>
      </c>
      <c r="L50" s="51">
        <v>8</v>
      </c>
      <c r="M50" s="51">
        <f t="shared" ref="M50:M56" si="6">IFERROR(D50/L50,"-")</f>
        <v>0.125</v>
      </c>
      <c r="N50" s="51">
        <v>36</v>
      </c>
      <c r="O50" s="51">
        <f t="shared" ref="O50:P50" si="7">D50/7</f>
        <v>0.14285714285714285</v>
      </c>
      <c r="P50" s="51">
        <f t="shared" si="7"/>
        <v>0</v>
      </c>
      <c r="Q50" s="51">
        <f t="shared" ref="Q50:Q56" si="8">ROUNDDOWN(N50/(O50+P50),0)</f>
        <v>252</v>
      </c>
      <c r="R50" s="55">
        <f ca="1">IFERROR(__xludf.DUMMYFUNCTION("IFERROR(VLOOKUP($B$2,IMPORTRANGE(""https://docs.google.com/spreadsheets/d/1iVgg6Mw12RULLujzHmfOFIY8Q_KaAD8anoZzgtVAQ74/edit#gid=1503384807"",""Second Star - Summary!A1:AD2000""),9,FALSE),"""")"),0)</f>
        <v>0</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ref="V50:V56" si="9">IFERROR(U50/D50,0)</f>
        <v>0</v>
      </c>
      <c r="W50" s="55">
        <f t="shared" ref="W50:W56" si="10">IFERROR(G50/(U50+X50)*-1,0)</f>
        <v>0</v>
      </c>
      <c r="X50" s="55">
        <v>0</v>
      </c>
      <c r="Y50" s="55" t="s">
        <v>35</v>
      </c>
      <c r="Z50" s="56">
        <f t="shared" ref="Z50:Z56" si="11">IF(OR(Y50="UsLargeStandardSize",Y50="UsSmallStandardSize"),-2.4,-1.2)</f>
        <v>-2.4</v>
      </c>
      <c r="AA50" s="55">
        <v>6.477430555555555E-2</v>
      </c>
      <c r="AB50" s="55">
        <f t="shared" ref="AB50:AB56" si="12">IFERROR(Z50*AA50*D50*3,0)</f>
        <v>-0.46637499999999993</v>
      </c>
      <c r="AC50" s="55">
        <v>-5.42</v>
      </c>
      <c r="AD50" s="55">
        <v>-8.7391878787878792</v>
      </c>
      <c r="AE50" s="55">
        <v>0</v>
      </c>
      <c r="AF50" s="55">
        <v>0</v>
      </c>
    </row>
    <row r="51" spans="1:32" s="57" customFormat="1" ht="15.75" customHeight="1">
      <c r="A51" s="2" t="s">
        <v>121</v>
      </c>
      <c r="B51" s="2" t="s">
        <v>869</v>
      </c>
      <c r="C51" s="51" t="str">
        <f t="shared" si="1"/>
        <v xml:space="preserve"> - </v>
      </c>
      <c r="D51" s="51">
        <v>0</v>
      </c>
      <c r="E51" s="51">
        <v>0</v>
      </c>
      <c r="F51" s="51">
        <v>0</v>
      </c>
      <c r="G51" s="51">
        <v>0</v>
      </c>
      <c r="H51" s="51" t="e">
        <f t="shared" si="2"/>
        <v>#DIV/0!</v>
      </c>
      <c r="I51" s="51" t="e">
        <f t="shared" si="3"/>
        <v>#DIV/0!</v>
      </c>
      <c r="J51" s="51">
        <f t="shared" si="4"/>
        <v>0</v>
      </c>
      <c r="K51" s="51" t="e">
        <f t="shared" si="5"/>
        <v>#DIV/0!</v>
      </c>
      <c r="L51" s="51">
        <v>0</v>
      </c>
      <c r="M51" s="51" t="str">
        <f t="shared" si="6"/>
        <v>-</v>
      </c>
      <c r="N51" s="51">
        <v>35</v>
      </c>
      <c r="O51" s="51">
        <f t="shared" ref="O51:P51" si="13">D51/7</f>
        <v>0</v>
      </c>
      <c r="P51" s="51">
        <f t="shared" si="13"/>
        <v>0</v>
      </c>
      <c r="Q51" s="51" t="e">
        <f t="shared" si="8"/>
        <v>#DIV/0!</v>
      </c>
      <c r="R51" s="55">
        <f ca="1">IFERROR(__xludf.DUMMYFUNCTION("IFERROR(VLOOKUP($B$2,IMPORTRANGE(""https://docs.google.com/spreadsheets/d/1iVgg6Mw12RULLujzHmfOFIY8Q_KaAD8anoZzgtVAQ74/edit#gid=1503384807"",""Second Star - Summary!A1:AD2000""),9,FALSE),"""")"),0)</f>
        <v>0</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9"/>
        <v>0</v>
      </c>
      <c r="W51" s="55">
        <f t="shared" si="10"/>
        <v>0</v>
      </c>
      <c r="X51" s="55">
        <v>0</v>
      </c>
      <c r="Y51" s="55" t="s">
        <v>35</v>
      </c>
      <c r="Z51" s="56">
        <f t="shared" si="11"/>
        <v>-2.4</v>
      </c>
      <c r="AA51" s="55">
        <v>6.477430555555555E-2</v>
      </c>
      <c r="AB51" s="55">
        <f t="shared" si="12"/>
        <v>0</v>
      </c>
      <c r="AC51" s="55">
        <v>-5.42</v>
      </c>
      <c r="AD51" s="55">
        <v>-8.7391878787878792</v>
      </c>
      <c r="AE51" s="55">
        <v>0</v>
      </c>
      <c r="AF51" s="55">
        <v>4.8780487804878002E-2</v>
      </c>
    </row>
    <row r="52" spans="1:32" s="57" customFormat="1" ht="15.75" customHeight="1">
      <c r="A52" s="2" t="s">
        <v>123</v>
      </c>
      <c r="B52" s="2" t="s">
        <v>870</v>
      </c>
      <c r="C52" s="51" t="str">
        <f t="shared" si="1"/>
        <v xml:space="preserve"> - </v>
      </c>
      <c r="D52" s="51">
        <v>0</v>
      </c>
      <c r="E52" s="51">
        <v>0</v>
      </c>
      <c r="F52" s="51">
        <v>0</v>
      </c>
      <c r="G52" s="51">
        <v>0</v>
      </c>
      <c r="H52" s="51" t="e">
        <f t="shared" si="2"/>
        <v>#DIV/0!</v>
      </c>
      <c r="I52" s="51" t="e">
        <f t="shared" si="3"/>
        <v>#DIV/0!</v>
      </c>
      <c r="J52" s="51">
        <f t="shared" si="4"/>
        <v>0</v>
      </c>
      <c r="K52" s="51" t="e">
        <f t="shared" si="5"/>
        <v>#DIV/0!</v>
      </c>
      <c r="L52" s="51">
        <v>0</v>
      </c>
      <c r="M52" s="51" t="str">
        <f t="shared" si="6"/>
        <v>-</v>
      </c>
      <c r="N52" s="51">
        <v>35</v>
      </c>
      <c r="O52" s="51">
        <f t="shared" ref="O52:P52" si="14">D52/7</f>
        <v>0</v>
      </c>
      <c r="P52" s="51">
        <f t="shared" si="14"/>
        <v>0</v>
      </c>
      <c r="Q52" s="51" t="e">
        <f t="shared" si="8"/>
        <v>#DIV/0!</v>
      </c>
      <c r="R52" s="55">
        <f ca="1">IFERROR(__xludf.DUMMYFUNCTION("IFERROR(VLOOKUP($B$2,IMPORTRANGE(""https://docs.google.com/spreadsheets/d/1iVgg6Mw12RULLujzHmfOFIY8Q_KaAD8anoZzgtVAQ74/edit#gid=1503384807"",""Second Star - Summary!A1:AD2000""),9,FALSE),"""")"),0)</f>
        <v>0</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9"/>
        <v>0</v>
      </c>
      <c r="W52" s="55">
        <f t="shared" si="10"/>
        <v>0</v>
      </c>
      <c r="X52" s="55">
        <v>0</v>
      </c>
      <c r="Y52" s="55" t="s">
        <v>35</v>
      </c>
      <c r="Z52" s="56">
        <f t="shared" si="11"/>
        <v>-2.4</v>
      </c>
      <c r="AA52" s="55">
        <v>6.477430555555555E-2</v>
      </c>
      <c r="AB52" s="55">
        <f t="shared" si="12"/>
        <v>0</v>
      </c>
      <c r="AC52" s="55">
        <v>-5.42</v>
      </c>
      <c r="AD52" s="55">
        <v>-8.7391878787878792</v>
      </c>
      <c r="AE52" s="55">
        <v>0</v>
      </c>
      <c r="AF52" s="55">
        <v>4.8780487804878002E-2</v>
      </c>
    </row>
    <row r="53" spans="1:32" s="57" customFormat="1">
      <c r="A53" s="2" t="s">
        <v>38</v>
      </c>
      <c r="B53" s="2" t="s">
        <v>871</v>
      </c>
      <c r="C53" s="51" t="str">
        <f t="shared" si="1"/>
        <v xml:space="preserve"> - </v>
      </c>
      <c r="D53" s="51">
        <v>0</v>
      </c>
      <c r="E53" s="51">
        <v>0</v>
      </c>
      <c r="F53" s="51">
        <v>0</v>
      </c>
      <c r="G53" s="51">
        <v>-10.41</v>
      </c>
      <c r="H53" s="51" t="e">
        <f t="shared" si="2"/>
        <v>#DIV/0!</v>
      </c>
      <c r="I53" s="51" t="e">
        <f t="shared" si="3"/>
        <v>#DIV/0!</v>
      </c>
      <c r="J53" s="51">
        <f t="shared" si="4"/>
        <v>-10.41</v>
      </c>
      <c r="K53" s="51" t="e">
        <f t="shared" si="5"/>
        <v>#DIV/0!</v>
      </c>
      <c r="L53" s="51">
        <v>8</v>
      </c>
      <c r="M53" s="51">
        <f t="shared" si="6"/>
        <v>0</v>
      </c>
      <c r="N53" s="51">
        <v>35</v>
      </c>
      <c r="O53" s="51">
        <f t="shared" ref="O53:P53" si="15">D53/7</f>
        <v>0</v>
      </c>
      <c r="P53" s="51">
        <f t="shared" si="15"/>
        <v>0</v>
      </c>
      <c r="Q53" s="51" t="e">
        <f t="shared" si="8"/>
        <v>#DIV/0!</v>
      </c>
      <c r="R53" s="55">
        <f ca="1">IFERROR(__xludf.DUMMYFUNCTION("IFERROR(VLOOKUP($B$2,IMPORTRANGE(""https://docs.google.com/spreadsheets/d/1iVgg6Mw12RULLujzHmfOFIY8Q_KaAD8anoZzgtVAQ74/edit#gid=1503384807"",""Second Star - Summary!A1:AD2000""),9,FALSE),"""")"),0)</f>
        <v>0</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9"/>
        <v>0</v>
      </c>
      <c r="W53" s="55">
        <f t="shared" si="10"/>
        <v>5.2050000000000001</v>
      </c>
      <c r="X53" s="55">
        <v>2</v>
      </c>
      <c r="Y53" s="55" t="s">
        <v>35</v>
      </c>
      <c r="Z53" s="56">
        <f t="shared" si="11"/>
        <v>-2.4</v>
      </c>
      <c r="AA53" s="55">
        <v>6.477430555555555E-2</v>
      </c>
      <c r="AB53" s="55">
        <f t="shared" si="12"/>
        <v>0</v>
      </c>
      <c r="AC53" s="55">
        <v>-5.42</v>
      </c>
      <c r="AD53" s="55">
        <v>-8.7391878787878792</v>
      </c>
      <c r="AE53" s="55">
        <v>0</v>
      </c>
      <c r="AF53" s="55">
        <v>2.1052631578947299E-2</v>
      </c>
    </row>
    <row r="54" spans="1:32" s="57" customFormat="1">
      <c r="A54" s="2" t="s">
        <v>40</v>
      </c>
      <c r="B54" s="2"/>
      <c r="C54" s="51">
        <f t="shared" si="1"/>
        <v>19.990000000000002</v>
      </c>
      <c r="D54" s="51">
        <v>7</v>
      </c>
      <c r="E54" s="51">
        <v>0</v>
      </c>
      <c r="F54" s="51">
        <v>139.93</v>
      </c>
      <c r="G54" s="51">
        <v>-11.489999999999998</v>
      </c>
      <c r="H54" s="51">
        <f t="shared" si="2"/>
        <v>8.2112484813835471E-2</v>
      </c>
      <c r="I54" s="51">
        <f t="shared" si="3"/>
        <v>3.6243549263809439E-2</v>
      </c>
      <c r="J54" s="51">
        <f t="shared" si="4"/>
        <v>5.0715598484848554</v>
      </c>
      <c r="K54" s="51">
        <f t="shared" si="5"/>
        <v>0.72450854978355073</v>
      </c>
      <c r="L54" s="51">
        <v>10</v>
      </c>
      <c r="M54" s="51">
        <f t="shared" si="6"/>
        <v>0.7</v>
      </c>
      <c r="N54" s="51">
        <v>26</v>
      </c>
      <c r="O54" s="51">
        <f t="shared" ref="O54:P54" si="16">D54/7</f>
        <v>1</v>
      </c>
      <c r="P54" s="51">
        <f t="shared" si="16"/>
        <v>0</v>
      </c>
      <c r="Q54" s="51">
        <f t="shared" si="8"/>
        <v>26</v>
      </c>
      <c r="R54" s="55">
        <f ca="1">IFERROR(__xludf.DUMMYFUNCTION("IFERROR(VLOOKUP($B$2,IMPORTRANGE(""https://docs.google.com/spreadsheets/d/1iVgg6Mw12RULLujzHmfOFIY8Q_KaAD8anoZzgtVAQ74/edit#gid=1503384807"",""Second Star - Summary!A1:AD2000""),9,FALSE),"""")"),0)</f>
        <v>0</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9"/>
        <v>0</v>
      </c>
      <c r="W54" s="55">
        <f t="shared" si="10"/>
        <v>5.7449999999999992</v>
      </c>
      <c r="X54" s="55">
        <v>2</v>
      </c>
      <c r="Y54" s="55" t="s">
        <v>35</v>
      </c>
      <c r="Z54" s="56">
        <f t="shared" si="11"/>
        <v>-2.4</v>
      </c>
      <c r="AA54" s="55">
        <v>6.477430555555555E-2</v>
      </c>
      <c r="AB54" s="55">
        <f t="shared" si="12"/>
        <v>-3.2646249999999997</v>
      </c>
      <c r="AC54" s="55">
        <v>-5.42</v>
      </c>
      <c r="AD54" s="55">
        <v>-8.7391878787878792</v>
      </c>
      <c r="AE54" s="55">
        <v>0</v>
      </c>
      <c r="AF54" s="55">
        <v>0.162162162162162</v>
      </c>
    </row>
    <row r="55" spans="1:32" s="57" customFormat="1" ht="15.75" customHeight="1">
      <c r="A55" s="2" t="s">
        <v>32</v>
      </c>
      <c r="B55" s="2" t="s">
        <v>872</v>
      </c>
      <c r="C55" s="51">
        <f t="shared" si="1"/>
        <v>19.989999999999998</v>
      </c>
      <c r="D55" s="51">
        <v>4</v>
      </c>
      <c r="E55" s="51">
        <v>0</v>
      </c>
      <c r="F55" s="51">
        <v>79.959999999999994</v>
      </c>
      <c r="G55" s="51">
        <v>-13.129999999999999</v>
      </c>
      <c r="H55" s="51">
        <f t="shared" si="2"/>
        <v>0.1642071035517759</v>
      </c>
      <c r="I55" s="51">
        <f t="shared" si="3"/>
        <v>-5.8357322600694324E-2</v>
      </c>
      <c r="J55" s="51">
        <f t="shared" si="4"/>
        <v>-4.6662515151515178</v>
      </c>
      <c r="K55" s="51">
        <f t="shared" si="5"/>
        <v>-1.1665628787878795</v>
      </c>
      <c r="L55" s="51">
        <v>8</v>
      </c>
      <c r="M55" s="51">
        <f t="shared" si="6"/>
        <v>0.5</v>
      </c>
      <c r="N55" s="51">
        <v>25</v>
      </c>
      <c r="O55" s="51">
        <f t="shared" ref="O55:P55" si="17">D55/7</f>
        <v>0.5714285714285714</v>
      </c>
      <c r="P55" s="51">
        <f t="shared" si="17"/>
        <v>0</v>
      </c>
      <c r="Q55" s="51">
        <f t="shared" si="8"/>
        <v>43</v>
      </c>
      <c r="R55" s="55">
        <v>0</v>
      </c>
      <c r="S55" s="53" t="s">
        <v>34</v>
      </c>
      <c r="T55" s="54" t="s">
        <v>34</v>
      </c>
      <c r="U55" s="55">
        <v>0</v>
      </c>
      <c r="V55" s="55">
        <f t="shared" si="9"/>
        <v>0</v>
      </c>
      <c r="W55" s="55">
        <f t="shared" si="10"/>
        <v>0</v>
      </c>
      <c r="X55" s="55">
        <v>0</v>
      </c>
      <c r="Y55" s="55" t="s">
        <v>35</v>
      </c>
      <c r="Z55" s="56">
        <f t="shared" si="11"/>
        <v>-2.4</v>
      </c>
      <c r="AA55" s="55">
        <v>6.477430555555555E-2</v>
      </c>
      <c r="AB55" s="55">
        <f t="shared" si="12"/>
        <v>-1.8654999999999997</v>
      </c>
      <c r="AC55" s="55">
        <v>-5.42</v>
      </c>
      <c r="AD55" s="55">
        <v>-8.7391878787878792</v>
      </c>
      <c r="AE55" s="55">
        <v>-1</v>
      </c>
      <c r="AF55" s="55">
        <v>0.609375</v>
      </c>
    </row>
    <row r="56" spans="1:32" s="57" customFormat="1" ht="15.75" customHeight="1">
      <c r="A56" s="2" t="s">
        <v>36</v>
      </c>
      <c r="B56" s="2"/>
      <c r="C56" s="51">
        <f t="shared" si="1"/>
        <v>19.989999999999998</v>
      </c>
      <c r="D56" s="51">
        <v>3</v>
      </c>
      <c r="E56" s="51">
        <v>0</v>
      </c>
      <c r="F56" s="51">
        <v>59.97</v>
      </c>
      <c r="G56" s="51">
        <v>-13.88</v>
      </c>
      <c r="H56" s="51">
        <f t="shared" si="2"/>
        <v>0.2314490578622645</v>
      </c>
      <c r="I56" s="51">
        <f t="shared" si="3"/>
        <v>-0.11309302378461959</v>
      </c>
      <c r="J56" s="51">
        <f t="shared" si="4"/>
        <v>-6.782188636363637</v>
      </c>
      <c r="K56" s="51">
        <f t="shared" si="5"/>
        <v>-2.2607295454545455</v>
      </c>
      <c r="L56" s="51">
        <v>16</v>
      </c>
      <c r="M56" s="51">
        <f t="shared" si="6"/>
        <v>0.1875</v>
      </c>
      <c r="N56" s="51">
        <v>19</v>
      </c>
      <c r="O56" s="51">
        <f t="shared" ref="O56:P56" si="18">D56/7</f>
        <v>0.42857142857142855</v>
      </c>
      <c r="P56" s="51">
        <f t="shared" si="18"/>
        <v>0</v>
      </c>
      <c r="Q56" s="51">
        <f t="shared" si="8"/>
        <v>44</v>
      </c>
      <c r="R56" s="55">
        <f ca="1">IFERROR(__xludf.DUMMYFUNCTION("IFERROR(VLOOKUP($B$2,IMPORTRANGE(""https://docs.google.com/spreadsheets/d/1iVgg6Mw12RULLujzHmfOFIY8Q_KaAD8anoZzgtVAQ74/edit#gid=1503384807"",""Second Star - Summary!A1:AD2000""),9,FALSE),"""")"),0)</f>
        <v>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9"/>
        <v>0</v>
      </c>
      <c r="W56" s="55">
        <f t="shared" si="10"/>
        <v>0</v>
      </c>
      <c r="X56" s="55">
        <v>0</v>
      </c>
      <c r="Y56" s="55" t="s">
        <v>35</v>
      </c>
      <c r="Z56" s="56">
        <f t="shared" si="11"/>
        <v>-2.4</v>
      </c>
      <c r="AA56" s="55">
        <v>6.477430555555555E-2</v>
      </c>
      <c r="AB56" s="55">
        <f t="shared" si="12"/>
        <v>-1.3991249999999997</v>
      </c>
      <c r="AC56" s="55">
        <v>-5.42</v>
      </c>
      <c r="AD56" s="55">
        <v>-8.7391878787878792</v>
      </c>
      <c r="AE56" s="55">
        <v>0</v>
      </c>
      <c r="AF56" s="55">
        <v>0.41739130434782601</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3"/>
    </row>
    <row r="222" spans="1:3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3"/>
    </row>
    <row r="223" spans="1:32"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3"/>
    </row>
    <row r="224" spans="1:32"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3"/>
    </row>
    <row r="225" spans="1:32"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3"/>
    </row>
    <row r="226" spans="1:32"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3"/>
    </row>
    <row r="227" spans="1:32"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3"/>
    </row>
    <row r="228" spans="1:32"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3"/>
    </row>
    <row r="229" spans="1:32"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3"/>
    </row>
    <row r="230" spans="1:32"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3"/>
    </row>
    <row r="231" spans="1:32"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3"/>
    </row>
    <row r="232" spans="1: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3"/>
    </row>
    <row r="233" spans="1:32"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3"/>
    </row>
    <row r="234" spans="1:32"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3"/>
    </row>
    <row r="235" spans="1:32"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3"/>
    </row>
    <row r="236" spans="1:32"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3"/>
    </row>
    <row r="237" spans="1:32"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3"/>
    </row>
    <row r="238" spans="1:32"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3"/>
    </row>
    <row r="239" spans="1:32"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row r="253" spans="1:32" ht="15.75" customHeight="1"/>
    <row r="254" spans="1:32" ht="15.75" customHeight="1"/>
    <row r="255" spans="1:32" ht="15.75" customHeight="1"/>
    <row r="256" spans="1:3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294" priority="1" operator="lessThan">
      <formula>100</formula>
    </cfRule>
  </conditionalFormatting>
  <conditionalFormatting sqref="Q1:Q3 Q57:Q1000">
    <cfRule type="cellIs" dxfId="293" priority="2" operator="lessThan">
      <formula>100</formula>
    </cfRule>
  </conditionalFormatting>
  <conditionalFormatting sqref="I1:I3 I57:I1000">
    <cfRule type="cellIs" dxfId="292" priority="3" operator="lessThan">
      <formula>0.05</formula>
    </cfRule>
  </conditionalFormatting>
  <conditionalFormatting sqref="I4:I17">
    <cfRule type="cellIs" dxfId="291" priority="4" operator="lessThan">
      <formula>0.05</formula>
    </cfRule>
  </conditionalFormatting>
  <conditionalFormatting sqref="I18:I56">
    <cfRule type="cellIs" dxfId="290" priority="5" operator="lessThan">
      <formula>0.05</formula>
    </cfRule>
  </conditionalFormatting>
  <conditionalFormatting sqref="Q4:Q56">
    <cfRule type="cellIs" dxfId="289" priority="6" operator="lessThan">
      <formula>100</formula>
    </cfRule>
  </conditionalFormatting>
  <conditionalFormatting sqref="Q4:Q56">
    <cfRule type="cellIs" dxfId="288" priority="7" operator="lessThan">
      <formula>100</formula>
    </cfRule>
  </conditionalFormatting>
  <pageMargins left="0.7" right="0.7" top="0.75" bottom="0.75" header="0" footer="0"/>
  <pageSetup orientation="portrait"/>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4.6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Info!B1:BJ5000""),4,FALSE),"""")"),"Heavy Duty Vinyl Zippered Waterproof Bed Bug Proof Mattress Protector - 12-Inch Depth - Twin XL")</f>
        <v>Heavy Duty Vinyl Zippered Waterproof Bed Bug Proof Mattress Protector - 12-Inch Depth - Twin XL</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Info!B1:BJ5000""),3,FALSE),"""")"),"B00IOVIL5I")</f>
        <v>B00IOVIL5I</v>
      </c>
      <c r="B2" s="4" t="s">
        <v>873</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16.291909625668445</v>
      </c>
      <c r="D3" s="8">
        <f>SUM(D4:D99819)</f>
        <v>5</v>
      </c>
      <c r="E3" s="8"/>
      <c r="F3" s="9">
        <f t="shared" ref="F3:G3" si="0">SUM(F4:F99819)</f>
        <v>114.91</v>
      </c>
      <c r="G3" s="9">
        <f t="shared" si="0"/>
        <v>-37.409999999999997</v>
      </c>
      <c r="H3" s="10">
        <f>G3/F3*-1</f>
        <v>0.32555913323470542</v>
      </c>
      <c r="I3" s="11">
        <f>J3/F3</f>
        <v>-0.18832993409862267</v>
      </c>
      <c r="J3" s="9">
        <f>SUM(J4:J99819)</f>
        <v>-21.640992727272732</v>
      </c>
      <c r="K3" s="9">
        <f>J3/D3</f>
        <v>-4.328198545454546</v>
      </c>
      <c r="L3" s="8"/>
      <c r="M3" s="12"/>
      <c r="N3" s="13"/>
      <c r="O3" s="8" t="str">
        <f ca="1">IFERROR(__xludf.DUMMYFUNCTION("IFERROR(VLOOKUP(B2,IMPORTRANGE(""https://docs.google.com/spreadsheets/d/1owCo6kL_VFQ5nPTdNogErmCBLjNiktT1m3SzTrxu3R0/edit#gid=2146806407"",""Second Star - Compiled!b1:g5000""),2,FALSE),"""")"),"0 - March
0 - April
0 - May
0 - Jun
0 - Jul
0 - Aug
0 - Sept
0 - Oct
0 - Nov
0 - Dec
0 - Jan
0 - Feb")</f>
        <v>0 - March
0 - April
0 - May
0 - Jun
0 - Jul
0 - Aug
0 - Sept
0 - Oct
0 - Nov
0 - Dec
0 - Jan
0 - Feb</v>
      </c>
      <c r="P3" s="8"/>
      <c r="Q3" s="14"/>
      <c r="R3" s="13"/>
      <c r="S3" s="13"/>
      <c r="T3" s="13"/>
      <c r="U3" s="8">
        <f>SUM(U4:U99819)</f>
        <v>2</v>
      </c>
      <c r="V3" s="10">
        <f>AVERAGE(V4:V99819)</f>
        <v>0.1875</v>
      </c>
      <c r="W3" s="9">
        <f>ROUND(AVERAGE(W4:W99819),2)</f>
        <v>1.04</v>
      </c>
      <c r="X3" s="8"/>
      <c r="Y3" s="8"/>
      <c r="Z3" s="8"/>
      <c r="AA3" s="8"/>
      <c r="AB3" s="8"/>
      <c r="AC3" s="15"/>
      <c r="AD3" s="9"/>
      <c r="AE3" s="9">
        <f>SUM(AE4:AE99819)</f>
        <v>-1.1000000000000001</v>
      </c>
      <c r="AF3" s="16"/>
    </row>
    <row r="4" spans="1:32" s="57" customFormat="1" hidden="1">
      <c r="A4" s="17" t="s">
        <v>48</v>
      </c>
      <c r="B4" s="17"/>
      <c r="C4" s="50"/>
      <c r="D4" s="51"/>
      <c r="E4" s="51"/>
      <c r="F4" s="51"/>
      <c r="G4" s="51"/>
      <c r="H4" s="51"/>
      <c r="I4" s="51"/>
      <c r="J4" s="51"/>
      <c r="K4" s="51"/>
      <c r="L4" s="51"/>
      <c r="M4" s="51"/>
      <c r="N4" s="51"/>
      <c r="O4" s="51"/>
      <c r="P4" s="51"/>
      <c r="Q4" s="51"/>
      <c r="R4" s="52"/>
      <c r="S4" s="53"/>
      <c r="T4" s="54"/>
      <c r="U4" s="52"/>
      <c r="V4" s="55"/>
      <c r="W4" s="55"/>
      <c r="X4" s="52"/>
      <c r="Y4" s="56"/>
      <c r="Z4" s="56"/>
      <c r="AA4" s="55"/>
      <c r="AB4" s="55"/>
      <c r="AC4" s="55"/>
      <c r="AD4" s="55"/>
      <c r="AE4" s="55"/>
      <c r="AF4" s="55"/>
    </row>
    <row r="5" spans="1:32" s="57" customFormat="1" ht="15.75" hidden="1" customHeight="1">
      <c r="A5" s="17" t="s">
        <v>49</v>
      </c>
      <c r="B5" s="2"/>
      <c r="C5" s="51"/>
      <c r="D5" s="51"/>
      <c r="E5" s="51"/>
      <c r="F5" s="51"/>
      <c r="G5" s="51"/>
      <c r="H5" s="51"/>
      <c r="I5" s="51"/>
      <c r="J5" s="51"/>
      <c r="K5" s="51"/>
      <c r="L5" s="51"/>
      <c r="M5" s="51"/>
      <c r="N5" s="51"/>
      <c r="O5" s="51"/>
      <c r="P5" s="51"/>
      <c r="Q5" s="51"/>
      <c r="R5" s="52"/>
      <c r="S5" s="53"/>
      <c r="T5" s="54"/>
      <c r="U5" s="52"/>
      <c r="V5" s="55"/>
      <c r="W5" s="55"/>
      <c r="X5" s="52"/>
      <c r="Y5" s="52"/>
      <c r="Z5" s="56"/>
      <c r="AA5" s="55"/>
      <c r="AB5" s="55"/>
      <c r="AC5" s="55"/>
      <c r="AD5" s="55"/>
      <c r="AE5" s="55"/>
      <c r="AF5" s="55"/>
    </row>
    <row r="6" spans="1:32" s="57" customFormat="1" ht="15.75" hidden="1" customHeight="1">
      <c r="A6" s="17" t="s">
        <v>51</v>
      </c>
      <c r="B6" s="2"/>
      <c r="C6" s="51"/>
      <c r="D6" s="51"/>
      <c r="E6" s="51"/>
      <c r="F6" s="51"/>
      <c r="G6" s="51"/>
      <c r="H6" s="51"/>
      <c r="I6" s="51"/>
      <c r="J6" s="51"/>
      <c r="K6" s="51"/>
      <c r="L6" s="51"/>
      <c r="M6" s="51"/>
      <c r="N6" s="51"/>
      <c r="O6" s="51"/>
      <c r="P6" s="51"/>
      <c r="Q6" s="51"/>
      <c r="R6" s="52"/>
      <c r="S6" s="53"/>
      <c r="T6" s="54"/>
      <c r="U6" s="52"/>
      <c r="V6" s="55"/>
      <c r="W6" s="55"/>
      <c r="X6" s="52"/>
      <c r="Y6" s="52"/>
      <c r="Z6" s="56"/>
      <c r="AA6" s="55"/>
      <c r="AB6" s="55"/>
      <c r="AC6" s="55"/>
      <c r="AD6" s="55"/>
      <c r="AE6" s="55"/>
      <c r="AF6" s="55"/>
    </row>
    <row r="7" spans="1:32" s="57" customFormat="1" ht="15.75" hidden="1" customHeight="1">
      <c r="A7" s="17" t="s">
        <v>53</v>
      </c>
      <c r="B7" s="2"/>
      <c r="C7" s="51"/>
      <c r="D7" s="51"/>
      <c r="E7" s="51"/>
      <c r="F7" s="51"/>
      <c r="G7" s="51"/>
      <c r="H7" s="51"/>
      <c r="I7" s="51"/>
      <c r="J7" s="51"/>
      <c r="K7" s="51"/>
      <c r="L7" s="51"/>
      <c r="M7" s="51"/>
      <c r="N7" s="51"/>
      <c r="O7" s="51"/>
      <c r="P7" s="51"/>
      <c r="Q7" s="51"/>
      <c r="R7" s="52"/>
      <c r="S7" s="53"/>
      <c r="T7" s="54"/>
      <c r="U7" s="52"/>
      <c r="V7" s="55"/>
      <c r="W7" s="55"/>
      <c r="X7" s="52"/>
      <c r="Y7" s="52"/>
      <c r="Z7" s="56"/>
      <c r="AA7" s="55"/>
      <c r="AB7" s="55"/>
      <c r="AC7" s="55"/>
      <c r="AD7" s="55"/>
      <c r="AE7" s="55"/>
      <c r="AF7" s="55"/>
    </row>
    <row r="8" spans="1:32" s="57" customFormat="1" ht="15.75" hidden="1" customHeight="1">
      <c r="A8" s="17" t="s">
        <v>54</v>
      </c>
      <c r="B8" s="2"/>
      <c r="C8" s="51"/>
      <c r="D8" s="51"/>
      <c r="E8" s="51"/>
      <c r="F8" s="51"/>
      <c r="G8" s="51"/>
      <c r="H8" s="51"/>
      <c r="I8" s="51"/>
      <c r="J8" s="51"/>
      <c r="K8" s="51"/>
      <c r="L8" s="51"/>
      <c r="M8" s="51"/>
      <c r="N8" s="51"/>
      <c r="O8" s="51"/>
      <c r="P8" s="51"/>
      <c r="Q8" s="51"/>
      <c r="R8" s="52"/>
      <c r="S8" s="53"/>
      <c r="T8" s="54"/>
      <c r="U8" s="52"/>
      <c r="V8" s="55"/>
      <c r="W8" s="55"/>
      <c r="X8" s="52"/>
      <c r="Y8" s="52"/>
      <c r="Z8" s="56"/>
      <c r="AA8" s="55"/>
      <c r="AB8" s="55"/>
      <c r="AC8" s="55"/>
      <c r="AD8" s="55"/>
      <c r="AE8" s="55"/>
      <c r="AF8" s="55"/>
    </row>
    <row r="9" spans="1:32" s="57" customFormat="1" ht="15.75" hidden="1" customHeight="1">
      <c r="A9" s="17" t="s">
        <v>56</v>
      </c>
      <c r="B9" s="2"/>
      <c r="C9" s="51"/>
      <c r="D9" s="51"/>
      <c r="E9" s="51"/>
      <c r="F9" s="51"/>
      <c r="G9" s="51"/>
      <c r="H9" s="51"/>
      <c r="I9" s="51"/>
      <c r="J9" s="51"/>
      <c r="K9" s="51"/>
      <c r="L9" s="51"/>
      <c r="M9" s="51"/>
      <c r="N9" s="51"/>
      <c r="O9" s="51"/>
      <c r="P9" s="51"/>
      <c r="Q9" s="51"/>
      <c r="R9" s="52"/>
      <c r="S9" s="53"/>
      <c r="T9" s="54"/>
      <c r="U9" s="52"/>
      <c r="V9" s="55"/>
      <c r="W9" s="55"/>
      <c r="X9" s="52"/>
      <c r="Y9" s="52"/>
      <c r="Z9" s="56"/>
      <c r="AA9" s="55"/>
      <c r="AB9" s="55"/>
      <c r="AC9" s="55"/>
      <c r="AD9" s="55"/>
      <c r="AE9" s="55"/>
      <c r="AF9" s="55"/>
    </row>
    <row r="10" spans="1:32" s="57" customFormat="1" ht="15.75" hidden="1" customHeight="1">
      <c r="A10" s="17" t="s">
        <v>58</v>
      </c>
      <c r="B10" s="2"/>
      <c r="C10" s="51"/>
      <c r="D10" s="51"/>
      <c r="E10" s="51"/>
      <c r="F10" s="51"/>
      <c r="G10" s="51"/>
      <c r="H10" s="51"/>
      <c r="I10" s="51"/>
      <c r="J10" s="51"/>
      <c r="K10" s="51"/>
      <c r="L10" s="51"/>
      <c r="M10" s="51"/>
      <c r="N10" s="51"/>
      <c r="O10" s="51"/>
      <c r="P10" s="51"/>
      <c r="Q10" s="51"/>
      <c r="R10" s="52"/>
      <c r="S10" s="53"/>
      <c r="T10" s="54"/>
      <c r="U10" s="52"/>
      <c r="V10" s="55"/>
      <c r="W10" s="55"/>
      <c r="X10" s="52"/>
      <c r="Y10" s="52"/>
      <c r="Z10" s="56"/>
      <c r="AA10" s="55"/>
      <c r="AB10" s="55"/>
      <c r="AC10" s="55"/>
      <c r="AD10" s="55"/>
      <c r="AE10" s="55"/>
      <c r="AF10" s="55"/>
    </row>
    <row r="11" spans="1:32" s="57" customFormat="1" ht="15.75" hidden="1" customHeight="1">
      <c r="A11" s="17" t="s">
        <v>60</v>
      </c>
      <c r="B11" s="17" t="s">
        <v>45</v>
      </c>
      <c r="C11" s="51"/>
      <c r="D11" s="51"/>
      <c r="E11" s="51"/>
      <c r="F11" s="51"/>
      <c r="G11" s="51"/>
      <c r="H11" s="51"/>
      <c r="I11" s="51"/>
      <c r="J11" s="51"/>
      <c r="K11" s="51"/>
      <c r="L11" s="51"/>
      <c r="M11" s="51"/>
      <c r="N11" s="51"/>
      <c r="O11" s="51"/>
      <c r="P11" s="51"/>
      <c r="Q11" s="51"/>
      <c r="R11" s="52"/>
      <c r="S11" s="53"/>
      <c r="T11" s="54"/>
      <c r="U11" s="52"/>
      <c r="V11" s="55"/>
      <c r="W11" s="55"/>
      <c r="X11" s="52"/>
      <c r="Y11" s="52"/>
      <c r="Z11" s="56"/>
      <c r="AA11" s="55"/>
      <c r="AB11" s="55"/>
      <c r="AC11" s="55"/>
      <c r="AD11" s="55"/>
      <c r="AE11" s="55"/>
      <c r="AF11" s="55"/>
    </row>
    <row r="12" spans="1:32" s="57" customFormat="1" ht="15.75" hidden="1" customHeight="1">
      <c r="A12" s="17" t="s">
        <v>62</v>
      </c>
      <c r="B12" s="2"/>
      <c r="C12" s="51"/>
      <c r="D12" s="51"/>
      <c r="E12" s="51"/>
      <c r="F12" s="51"/>
      <c r="G12" s="51"/>
      <c r="H12" s="51"/>
      <c r="I12" s="51"/>
      <c r="J12" s="51"/>
      <c r="K12" s="51"/>
      <c r="L12" s="51"/>
      <c r="M12" s="51"/>
      <c r="N12" s="51"/>
      <c r="O12" s="51"/>
      <c r="P12" s="51"/>
      <c r="Q12" s="51"/>
      <c r="R12" s="52"/>
      <c r="S12" s="53"/>
      <c r="T12" s="54"/>
      <c r="U12" s="52"/>
      <c r="V12" s="55"/>
      <c r="W12" s="55"/>
      <c r="X12" s="52"/>
      <c r="Y12" s="52"/>
      <c r="Z12" s="56"/>
      <c r="AA12" s="55"/>
      <c r="AB12" s="55"/>
      <c r="AC12" s="55"/>
      <c r="AD12" s="55"/>
      <c r="AE12" s="55"/>
      <c r="AF12" s="55"/>
    </row>
    <row r="13" spans="1:32" s="57" customFormat="1" ht="15.75" hidden="1" customHeight="1">
      <c r="A13" s="17" t="s">
        <v>63</v>
      </c>
      <c r="B13" s="2"/>
      <c r="C13" s="51"/>
      <c r="D13" s="51"/>
      <c r="E13" s="51"/>
      <c r="F13" s="51"/>
      <c r="G13" s="51"/>
      <c r="H13" s="51"/>
      <c r="I13" s="51"/>
      <c r="J13" s="51"/>
      <c r="K13" s="51"/>
      <c r="L13" s="51"/>
      <c r="M13" s="51"/>
      <c r="N13" s="51"/>
      <c r="O13" s="51"/>
      <c r="P13" s="51"/>
      <c r="Q13" s="51"/>
      <c r="R13" s="52"/>
      <c r="S13" s="53"/>
      <c r="T13" s="54"/>
      <c r="U13" s="52"/>
      <c r="V13" s="55"/>
      <c r="W13" s="55"/>
      <c r="X13" s="52"/>
      <c r="Y13" s="52"/>
      <c r="Z13" s="56"/>
      <c r="AA13" s="55"/>
      <c r="AB13" s="55"/>
      <c r="AC13" s="55"/>
      <c r="AD13" s="55"/>
      <c r="AE13" s="55"/>
      <c r="AF13" s="55"/>
    </row>
    <row r="14" spans="1:32" s="57" customFormat="1" ht="15.75" hidden="1" customHeight="1">
      <c r="A14" s="17" t="s">
        <v>64</v>
      </c>
      <c r="B14" s="2"/>
      <c r="C14" s="51"/>
      <c r="D14" s="51"/>
      <c r="E14" s="51"/>
      <c r="F14" s="51"/>
      <c r="G14" s="51"/>
      <c r="H14" s="51"/>
      <c r="I14" s="51"/>
      <c r="J14" s="51"/>
      <c r="K14" s="51"/>
      <c r="L14" s="51"/>
      <c r="M14" s="51"/>
      <c r="N14" s="51"/>
      <c r="O14" s="51"/>
      <c r="P14" s="51"/>
      <c r="Q14" s="51"/>
      <c r="R14" s="52"/>
      <c r="S14" s="53"/>
      <c r="T14" s="54"/>
      <c r="U14" s="52"/>
      <c r="V14" s="55"/>
      <c r="W14" s="55"/>
      <c r="X14" s="52"/>
      <c r="Y14" s="52"/>
      <c r="Z14" s="56"/>
      <c r="AA14" s="55"/>
      <c r="AB14" s="55"/>
      <c r="AC14" s="55"/>
      <c r="AD14" s="55"/>
      <c r="AE14" s="55"/>
      <c r="AF14" s="55"/>
    </row>
    <row r="15" spans="1:32" s="57" customFormat="1" ht="15.75" hidden="1" customHeight="1">
      <c r="A15" s="17" t="s">
        <v>65</v>
      </c>
      <c r="B15" s="2"/>
      <c r="C15" s="51"/>
      <c r="D15" s="51"/>
      <c r="E15" s="51"/>
      <c r="F15" s="51"/>
      <c r="G15" s="51"/>
      <c r="H15" s="51"/>
      <c r="I15" s="51"/>
      <c r="J15" s="51"/>
      <c r="K15" s="51"/>
      <c r="L15" s="51"/>
      <c r="M15" s="51"/>
      <c r="N15" s="51"/>
      <c r="O15" s="51"/>
      <c r="P15" s="51"/>
      <c r="Q15" s="51"/>
      <c r="R15" s="52"/>
      <c r="S15" s="53"/>
      <c r="T15" s="54"/>
      <c r="U15" s="52"/>
      <c r="V15" s="55"/>
      <c r="W15" s="55"/>
      <c r="X15" s="52"/>
      <c r="Y15" s="52"/>
      <c r="Z15" s="56"/>
      <c r="AA15" s="55"/>
      <c r="AB15" s="55"/>
      <c r="AC15" s="55"/>
      <c r="AD15" s="55"/>
      <c r="AE15" s="55"/>
      <c r="AF15" s="55"/>
    </row>
    <row r="16" spans="1:32" s="57" customFormat="1" ht="15.75" hidden="1" customHeight="1">
      <c r="A16" s="17" t="s">
        <v>66</v>
      </c>
      <c r="B16" s="2"/>
      <c r="C16" s="51"/>
      <c r="D16" s="51"/>
      <c r="E16" s="51"/>
      <c r="F16" s="51"/>
      <c r="G16" s="51"/>
      <c r="H16" s="51"/>
      <c r="I16" s="51"/>
      <c r="J16" s="51"/>
      <c r="K16" s="51"/>
      <c r="L16" s="51"/>
      <c r="M16" s="51"/>
      <c r="N16" s="51"/>
      <c r="O16" s="51"/>
      <c r="P16" s="51"/>
      <c r="Q16" s="51"/>
      <c r="R16" s="52"/>
      <c r="S16" s="53"/>
      <c r="T16" s="54"/>
      <c r="U16" s="52"/>
      <c r="V16" s="55"/>
      <c r="W16" s="55"/>
      <c r="X16" s="52"/>
      <c r="Y16" s="52"/>
      <c r="Z16" s="56"/>
      <c r="AA16" s="55"/>
      <c r="AB16" s="55"/>
      <c r="AC16" s="55"/>
      <c r="AD16" s="55"/>
      <c r="AE16" s="55"/>
      <c r="AF16" s="55"/>
    </row>
    <row r="17" spans="1:32" s="57" customFormat="1" ht="15.75" hidden="1" customHeight="1">
      <c r="A17" s="17" t="s">
        <v>67</v>
      </c>
      <c r="B17" s="2"/>
      <c r="C17" s="51"/>
      <c r="D17" s="51"/>
      <c r="E17" s="51"/>
      <c r="F17" s="51"/>
      <c r="G17" s="51"/>
      <c r="H17" s="51"/>
      <c r="I17" s="51"/>
      <c r="J17" s="51"/>
      <c r="K17" s="51"/>
      <c r="L17" s="51"/>
      <c r="M17" s="51"/>
      <c r="N17" s="51"/>
      <c r="O17" s="51"/>
      <c r="P17" s="51"/>
      <c r="Q17" s="51"/>
      <c r="R17" s="52"/>
      <c r="S17" s="53"/>
      <c r="T17" s="54"/>
      <c r="U17" s="52"/>
      <c r="V17" s="55"/>
      <c r="W17" s="55"/>
      <c r="X17" s="52"/>
      <c r="Y17" s="52"/>
      <c r="Z17" s="56"/>
      <c r="AA17" s="55"/>
      <c r="AB17" s="55"/>
      <c r="AC17" s="55"/>
      <c r="AD17" s="55"/>
      <c r="AE17" s="55"/>
      <c r="AF17" s="55"/>
    </row>
    <row r="18" spans="1:32" s="57" customFormat="1" ht="15.75" hidden="1" customHeight="1">
      <c r="A18" s="2" t="s">
        <v>69</v>
      </c>
      <c r="B18" s="2"/>
      <c r="C18" s="51"/>
      <c r="D18" s="51"/>
      <c r="E18" s="51"/>
      <c r="F18" s="51"/>
      <c r="G18" s="51"/>
      <c r="H18" s="51"/>
      <c r="I18" s="51"/>
      <c r="J18" s="51"/>
      <c r="K18" s="51"/>
      <c r="L18" s="51"/>
      <c r="M18" s="51"/>
      <c r="N18" s="51"/>
      <c r="O18" s="51"/>
      <c r="P18" s="51"/>
      <c r="Q18" s="51"/>
      <c r="R18" s="55"/>
      <c r="S18" s="53"/>
      <c r="T18" s="54"/>
      <c r="U18" s="55"/>
      <c r="V18" s="55"/>
      <c r="W18" s="55"/>
      <c r="X18" s="55"/>
      <c r="Y18" s="55"/>
      <c r="Z18" s="56"/>
      <c r="AA18" s="55"/>
      <c r="AB18" s="58"/>
      <c r="AC18" s="55"/>
      <c r="AD18" s="55"/>
      <c r="AE18" s="55"/>
      <c r="AF18" s="55"/>
    </row>
    <row r="19" spans="1:32" s="57" customFormat="1" ht="15.75" hidden="1" customHeight="1">
      <c r="A19" s="17" t="s">
        <v>71</v>
      </c>
      <c r="B19" s="2"/>
      <c r="C19" s="51"/>
      <c r="D19" s="51"/>
      <c r="E19" s="51"/>
      <c r="F19" s="51"/>
      <c r="G19" s="51"/>
      <c r="H19" s="51"/>
      <c r="I19" s="51"/>
      <c r="J19" s="51"/>
      <c r="K19" s="51"/>
      <c r="L19" s="51"/>
      <c r="M19" s="51"/>
      <c r="N19" s="51"/>
      <c r="O19" s="51"/>
      <c r="P19" s="51"/>
      <c r="Q19" s="51"/>
      <c r="R19" s="52"/>
      <c r="S19" s="53"/>
      <c r="T19" s="54"/>
      <c r="U19" s="55"/>
      <c r="V19" s="55"/>
      <c r="W19" s="55"/>
      <c r="X19" s="52"/>
      <c r="Y19" s="52"/>
      <c r="Z19" s="56"/>
      <c r="AA19" s="55"/>
      <c r="AB19" s="55"/>
      <c r="AC19" s="55"/>
      <c r="AD19" s="55"/>
      <c r="AE19" s="55"/>
      <c r="AF19" s="55"/>
    </row>
    <row r="20" spans="1:32" s="57" customFormat="1" ht="15.75" hidden="1" customHeight="1">
      <c r="A20" s="17" t="s">
        <v>73</v>
      </c>
      <c r="B20" s="2"/>
      <c r="C20" s="51"/>
      <c r="D20" s="51"/>
      <c r="E20" s="51"/>
      <c r="F20" s="51"/>
      <c r="G20" s="51"/>
      <c r="H20" s="51"/>
      <c r="I20" s="51"/>
      <c r="J20" s="51"/>
      <c r="K20" s="51"/>
      <c r="L20" s="51"/>
      <c r="M20" s="51"/>
      <c r="N20" s="51"/>
      <c r="O20" s="51"/>
      <c r="P20" s="51"/>
      <c r="Q20" s="51"/>
      <c r="R20" s="52"/>
      <c r="S20" s="53"/>
      <c r="T20" s="54"/>
      <c r="U20" s="52"/>
      <c r="V20" s="55"/>
      <c r="W20" s="55"/>
      <c r="X20" s="52"/>
      <c r="Y20" s="52"/>
      <c r="Z20" s="56"/>
      <c r="AA20" s="55"/>
      <c r="AB20" s="55"/>
      <c r="AC20" s="55"/>
      <c r="AD20" s="55"/>
      <c r="AE20" s="55"/>
      <c r="AF20" s="55"/>
    </row>
    <row r="21" spans="1:32" s="57" customFormat="1" ht="15.75" hidden="1" customHeight="1">
      <c r="A21" s="17" t="s">
        <v>75</v>
      </c>
      <c r="B21" s="2"/>
      <c r="C21" s="51"/>
      <c r="D21" s="51"/>
      <c r="E21" s="51"/>
      <c r="F21" s="51"/>
      <c r="G21" s="51"/>
      <c r="H21" s="51"/>
      <c r="I21" s="51"/>
      <c r="J21" s="51"/>
      <c r="K21" s="51"/>
      <c r="L21" s="51"/>
      <c r="M21" s="51"/>
      <c r="N21" s="51"/>
      <c r="O21" s="51"/>
      <c r="P21" s="51"/>
      <c r="Q21" s="51"/>
      <c r="R21" s="52"/>
      <c r="S21" s="53"/>
      <c r="T21" s="54"/>
      <c r="U21" s="52"/>
      <c r="V21" s="55"/>
      <c r="W21" s="55"/>
      <c r="X21" s="52"/>
      <c r="Y21" s="52"/>
      <c r="Z21" s="56"/>
      <c r="AA21" s="55"/>
      <c r="AB21" s="55"/>
      <c r="AC21" s="55"/>
      <c r="AD21" s="55"/>
      <c r="AE21" s="55"/>
      <c r="AF21" s="55"/>
    </row>
    <row r="22" spans="1:32" s="57" customFormat="1" ht="15.75" hidden="1" customHeight="1">
      <c r="A22" s="17" t="s">
        <v>77</v>
      </c>
      <c r="B22" s="2"/>
      <c r="C22" s="51"/>
      <c r="D22" s="51"/>
      <c r="E22" s="51"/>
      <c r="F22" s="51"/>
      <c r="G22" s="51"/>
      <c r="H22" s="51"/>
      <c r="I22" s="51"/>
      <c r="J22" s="51"/>
      <c r="K22" s="51"/>
      <c r="L22" s="51"/>
      <c r="M22" s="51"/>
      <c r="N22" s="51"/>
      <c r="O22" s="51"/>
      <c r="P22" s="51"/>
      <c r="Q22" s="51"/>
      <c r="R22" s="52"/>
      <c r="S22" s="53"/>
      <c r="T22" s="54"/>
      <c r="U22" s="52"/>
      <c r="V22" s="55"/>
      <c r="W22" s="55"/>
      <c r="X22" s="52"/>
      <c r="Y22" s="52"/>
      <c r="Z22" s="56"/>
      <c r="AA22" s="55"/>
      <c r="AB22" s="55"/>
      <c r="AC22" s="55"/>
      <c r="AD22" s="55"/>
      <c r="AE22" s="55"/>
      <c r="AF22" s="55"/>
    </row>
    <row r="23" spans="1:32" s="57" customFormat="1" ht="15.75" hidden="1" customHeight="1">
      <c r="A23" s="17" t="s">
        <v>79</v>
      </c>
      <c r="B23" s="2"/>
      <c r="C23" s="51"/>
      <c r="D23" s="51"/>
      <c r="E23" s="51"/>
      <c r="F23" s="51"/>
      <c r="G23" s="51"/>
      <c r="H23" s="51"/>
      <c r="I23" s="51"/>
      <c r="J23" s="51"/>
      <c r="K23" s="51"/>
      <c r="L23" s="51"/>
      <c r="M23" s="51"/>
      <c r="N23" s="51"/>
      <c r="O23" s="51"/>
      <c r="P23" s="51"/>
      <c r="Q23" s="51"/>
      <c r="R23" s="52"/>
      <c r="S23" s="53"/>
      <c r="T23" s="54"/>
      <c r="U23" s="52"/>
      <c r="V23" s="55"/>
      <c r="W23" s="55"/>
      <c r="X23" s="52"/>
      <c r="Y23" s="52"/>
      <c r="Z23" s="56"/>
      <c r="AA23" s="55"/>
      <c r="AB23" s="55"/>
      <c r="AC23" s="55"/>
      <c r="AD23" s="55"/>
      <c r="AE23" s="55"/>
      <c r="AF23" s="55"/>
    </row>
    <row r="24" spans="1:32" s="57" customFormat="1" ht="15.75" hidden="1" customHeight="1">
      <c r="A24" s="17" t="s">
        <v>80</v>
      </c>
      <c r="B24" s="2"/>
      <c r="C24" s="51"/>
      <c r="D24" s="51"/>
      <c r="E24" s="51"/>
      <c r="F24" s="51"/>
      <c r="G24" s="51"/>
      <c r="H24" s="51"/>
      <c r="I24" s="51"/>
      <c r="J24" s="51"/>
      <c r="K24" s="51"/>
      <c r="L24" s="51"/>
      <c r="M24" s="51"/>
      <c r="N24" s="51"/>
      <c r="O24" s="51"/>
      <c r="P24" s="51"/>
      <c r="Q24" s="51"/>
      <c r="R24" s="52"/>
      <c r="S24" s="53"/>
      <c r="T24" s="54"/>
      <c r="U24" s="52"/>
      <c r="V24" s="55"/>
      <c r="W24" s="55"/>
      <c r="X24" s="52"/>
      <c r="Y24" s="52"/>
      <c r="Z24" s="56"/>
      <c r="AA24" s="55"/>
      <c r="AB24" s="55"/>
      <c r="AC24" s="55"/>
      <c r="AD24" s="55"/>
      <c r="AE24" s="55"/>
      <c r="AF24" s="55"/>
    </row>
    <row r="25" spans="1:32" s="57" customFormat="1" ht="15.75" hidden="1" customHeight="1">
      <c r="A25" s="17" t="s">
        <v>81</v>
      </c>
      <c r="B25" s="2"/>
      <c r="C25" s="51"/>
      <c r="D25" s="51"/>
      <c r="E25" s="51"/>
      <c r="F25" s="51"/>
      <c r="G25" s="51"/>
      <c r="H25" s="51"/>
      <c r="I25" s="51"/>
      <c r="J25" s="51"/>
      <c r="K25" s="51"/>
      <c r="L25" s="51"/>
      <c r="M25" s="51"/>
      <c r="N25" s="51"/>
      <c r="O25" s="51"/>
      <c r="P25" s="51"/>
      <c r="Q25" s="51"/>
      <c r="R25" s="52"/>
      <c r="S25" s="53"/>
      <c r="T25" s="54"/>
      <c r="U25" s="52"/>
      <c r="V25" s="55"/>
      <c r="W25" s="55"/>
      <c r="X25" s="52"/>
      <c r="Y25" s="52"/>
      <c r="Z25" s="56"/>
      <c r="AA25" s="55"/>
      <c r="AB25" s="55"/>
      <c r="AC25" s="55"/>
      <c r="AD25" s="55"/>
      <c r="AE25" s="55"/>
      <c r="AF25" s="55"/>
    </row>
    <row r="26" spans="1:32" s="57" customFormat="1" ht="15.75" hidden="1" customHeight="1">
      <c r="A26" s="17" t="s">
        <v>83</v>
      </c>
      <c r="B26" s="2"/>
      <c r="C26" s="51"/>
      <c r="D26" s="51"/>
      <c r="E26" s="51"/>
      <c r="F26" s="51"/>
      <c r="G26" s="51"/>
      <c r="H26" s="51"/>
      <c r="I26" s="51"/>
      <c r="J26" s="51"/>
      <c r="K26" s="51"/>
      <c r="L26" s="51"/>
      <c r="M26" s="51"/>
      <c r="N26" s="51"/>
      <c r="O26" s="51"/>
      <c r="P26" s="51"/>
      <c r="Q26" s="51"/>
      <c r="R26" s="52"/>
      <c r="S26" s="53"/>
      <c r="T26" s="54"/>
      <c r="U26" s="52"/>
      <c r="V26" s="55"/>
      <c r="W26" s="55"/>
      <c r="X26" s="52"/>
      <c r="Y26" s="52"/>
      <c r="Z26" s="56"/>
      <c r="AA26" s="55"/>
      <c r="AB26" s="55"/>
      <c r="AC26" s="55"/>
      <c r="AD26" s="55"/>
      <c r="AE26" s="55"/>
      <c r="AF26" s="55"/>
    </row>
    <row r="27" spans="1:32" s="57" customFormat="1" ht="15.75" hidden="1" customHeight="1">
      <c r="A27" s="17" t="s">
        <v>84</v>
      </c>
      <c r="B27" s="2"/>
      <c r="C27" s="51"/>
      <c r="D27" s="51"/>
      <c r="E27" s="51"/>
      <c r="F27" s="51"/>
      <c r="G27" s="51"/>
      <c r="H27" s="51"/>
      <c r="I27" s="51"/>
      <c r="J27" s="51"/>
      <c r="K27" s="51"/>
      <c r="L27" s="51"/>
      <c r="M27" s="51"/>
      <c r="N27" s="51"/>
      <c r="O27" s="51"/>
      <c r="P27" s="51"/>
      <c r="Q27" s="51"/>
      <c r="R27" s="52"/>
      <c r="S27" s="53"/>
      <c r="T27" s="54"/>
      <c r="U27" s="52"/>
      <c r="V27" s="55"/>
      <c r="W27" s="55"/>
      <c r="X27" s="52"/>
      <c r="Y27" s="52"/>
      <c r="Z27" s="56"/>
      <c r="AA27" s="55"/>
      <c r="AB27" s="55"/>
      <c r="AC27" s="55"/>
      <c r="AD27" s="55"/>
      <c r="AE27" s="55"/>
      <c r="AF27" s="55"/>
    </row>
    <row r="28" spans="1:32" s="57" customFormat="1" ht="15.75" hidden="1" customHeight="1">
      <c r="A28" s="17" t="s">
        <v>86</v>
      </c>
      <c r="B28" s="2"/>
      <c r="C28" s="51"/>
      <c r="D28" s="51"/>
      <c r="E28" s="51"/>
      <c r="F28" s="51"/>
      <c r="G28" s="51"/>
      <c r="H28" s="51"/>
      <c r="I28" s="51"/>
      <c r="J28" s="51"/>
      <c r="K28" s="51"/>
      <c r="L28" s="51"/>
      <c r="M28" s="51"/>
      <c r="N28" s="51"/>
      <c r="O28" s="51"/>
      <c r="P28" s="51"/>
      <c r="Q28" s="51"/>
      <c r="R28" s="52"/>
      <c r="S28" s="53"/>
      <c r="T28" s="54"/>
      <c r="U28" s="52"/>
      <c r="V28" s="55"/>
      <c r="W28" s="55"/>
      <c r="X28" s="52"/>
      <c r="Y28" s="52"/>
      <c r="Z28" s="56"/>
      <c r="AA28" s="55"/>
      <c r="AB28" s="55"/>
      <c r="AC28" s="55"/>
      <c r="AD28" s="55"/>
      <c r="AE28" s="55"/>
      <c r="AF28" s="55"/>
    </row>
    <row r="29" spans="1:32" s="57" customFormat="1" ht="15.75" hidden="1" customHeight="1">
      <c r="A29" s="17" t="s">
        <v>87</v>
      </c>
      <c r="B29" s="2"/>
      <c r="C29" s="51"/>
      <c r="D29" s="51"/>
      <c r="E29" s="51"/>
      <c r="F29" s="51"/>
      <c r="G29" s="51"/>
      <c r="H29" s="51"/>
      <c r="I29" s="51"/>
      <c r="J29" s="51"/>
      <c r="K29" s="51"/>
      <c r="L29" s="51"/>
      <c r="M29" s="51"/>
      <c r="N29" s="51"/>
      <c r="O29" s="51"/>
      <c r="P29" s="51"/>
      <c r="Q29" s="51"/>
      <c r="R29" s="52"/>
      <c r="S29" s="53"/>
      <c r="T29" s="54"/>
      <c r="U29" s="52"/>
      <c r="V29" s="55"/>
      <c r="W29" s="55"/>
      <c r="X29" s="52"/>
      <c r="Y29" s="52"/>
      <c r="Z29" s="56"/>
      <c r="AA29" s="55"/>
      <c r="AB29" s="55"/>
      <c r="AC29" s="55"/>
      <c r="AD29" s="55"/>
      <c r="AE29" s="55"/>
      <c r="AF29" s="55"/>
    </row>
    <row r="30" spans="1:32" s="57" customFormat="1" ht="15.75" hidden="1" customHeight="1">
      <c r="A30" s="17" t="s">
        <v>89</v>
      </c>
      <c r="B30" s="2"/>
      <c r="C30" s="51"/>
      <c r="D30" s="51"/>
      <c r="E30" s="51"/>
      <c r="F30" s="51"/>
      <c r="G30" s="51"/>
      <c r="H30" s="51"/>
      <c r="I30" s="51"/>
      <c r="J30" s="51"/>
      <c r="K30" s="51"/>
      <c r="L30" s="51"/>
      <c r="M30" s="51"/>
      <c r="N30" s="51"/>
      <c r="O30" s="51"/>
      <c r="P30" s="51"/>
      <c r="Q30" s="51"/>
      <c r="R30" s="52"/>
      <c r="S30" s="53"/>
      <c r="T30" s="54"/>
      <c r="U30" s="52"/>
      <c r="V30" s="55"/>
      <c r="W30" s="55"/>
      <c r="X30" s="52"/>
      <c r="Y30" s="52"/>
      <c r="Z30" s="56"/>
      <c r="AA30" s="55"/>
      <c r="AB30" s="55"/>
      <c r="AC30" s="55"/>
      <c r="AD30" s="55"/>
      <c r="AE30" s="55"/>
      <c r="AF30" s="55"/>
    </row>
    <row r="31" spans="1:32" s="57" customFormat="1" ht="15.75" hidden="1" customHeight="1">
      <c r="A31" s="17" t="s">
        <v>90</v>
      </c>
      <c r="B31" s="2"/>
      <c r="C31" s="51"/>
      <c r="D31" s="51"/>
      <c r="E31" s="51"/>
      <c r="F31" s="51"/>
      <c r="G31" s="51"/>
      <c r="H31" s="51"/>
      <c r="I31" s="51"/>
      <c r="J31" s="51"/>
      <c r="K31" s="51"/>
      <c r="L31" s="51"/>
      <c r="M31" s="51"/>
      <c r="N31" s="51"/>
      <c r="O31" s="51"/>
      <c r="P31" s="51"/>
      <c r="Q31" s="51"/>
      <c r="R31" s="52"/>
      <c r="S31" s="53"/>
      <c r="T31" s="54"/>
      <c r="U31" s="52"/>
      <c r="V31" s="55"/>
      <c r="W31" s="55"/>
      <c r="X31" s="52"/>
      <c r="Y31" s="52"/>
      <c r="Z31" s="56"/>
      <c r="AA31" s="55"/>
      <c r="AB31" s="55"/>
      <c r="AC31" s="55"/>
      <c r="AD31" s="55"/>
      <c r="AE31" s="55"/>
      <c r="AF31" s="55"/>
    </row>
    <row r="32" spans="1:32" s="57" customFormat="1" ht="15.75" hidden="1" customHeight="1">
      <c r="A32" s="17" t="s">
        <v>92</v>
      </c>
      <c r="B32" s="2"/>
      <c r="C32" s="51"/>
      <c r="D32" s="51"/>
      <c r="E32" s="51"/>
      <c r="F32" s="51"/>
      <c r="G32" s="51"/>
      <c r="H32" s="51"/>
      <c r="I32" s="51"/>
      <c r="J32" s="51"/>
      <c r="K32" s="51"/>
      <c r="L32" s="51"/>
      <c r="M32" s="51"/>
      <c r="N32" s="51"/>
      <c r="O32" s="51"/>
      <c r="P32" s="51"/>
      <c r="Q32" s="51"/>
      <c r="R32" s="52"/>
      <c r="S32" s="53"/>
      <c r="T32" s="54"/>
      <c r="U32" s="52"/>
      <c r="V32" s="55"/>
      <c r="W32" s="55"/>
      <c r="X32" s="52"/>
      <c r="Y32" s="52"/>
      <c r="Z32" s="56"/>
      <c r="AA32" s="55"/>
      <c r="AB32" s="55"/>
      <c r="AC32" s="55"/>
      <c r="AD32" s="55"/>
      <c r="AE32" s="55"/>
      <c r="AF32" s="52"/>
    </row>
    <row r="33" spans="1:32" s="57" customFormat="1" ht="15.75" hidden="1" customHeight="1">
      <c r="A33" s="17" t="s">
        <v>94</v>
      </c>
      <c r="B33" s="2"/>
      <c r="C33" s="51"/>
      <c r="D33" s="51"/>
      <c r="E33" s="51"/>
      <c r="F33" s="51"/>
      <c r="G33" s="51"/>
      <c r="H33" s="51"/>
      <c r="I33" s="51"/>
      <c r="J33" s="51"/>
      <c r="K33" s="51"/>
      <c r="L33" s="51"/>
      <c r="M33" s="51"/>
      <c r="N33" s="51"/>
      <c r="O33" s="51"/>
      <c r="P33" s="51"/>
      <c r="Q33" s="51"/>
      <c r="R33" s="52"/>
      <c r="S33" s="53"/>
      <c r="T33" s="54"/>
      <c r="U33" s="52"/>
      <c r="V33" s="55"/>
      <c r="W33" s="55"/>
      <c r="X33" s="52"/>
      <c r="Y33" s="52"/>
      <c r="Z33" s="56"/>
      <c r="AA33" s="55"/>
      <c r="AB33" s="55"/>
      <c r="AC33" s="55"/>
      <c r="AD33" s="55"/>
      <c r="AE33" s="55"/>
      <c r="AF33" s="55"/>
    </row>
    <row r="34" spans="1:32" s="57" customFormat="1" ht="15.75" hidden="1" customHeight="1">
      <c r="A34" s="17" t="s">
        <v>95</v>
      </c>
      <c r="B34" s="2"/>
      <c r="C34" s="51"/>
      <c r="D34" s="51"/>
      <c r="E34" s="51"/>
      <c r="F34" s="51"/>
      <c r="G34" s="51"/>
      <c r="H34" s="51"/>
      <c r="I34" s="51"/>
      <c r="J34" s="51"/>
      <c r="K34" s="51"/>
      <c r="L34" s="51"/>
      <c r="M34" s="51"/>
      <c r="N34" s="51"/>
      <c r="O34" s="51"/>
      <c r="P34" s="51"/>
      <c r="Q34" s="51"/>
      <c r="R34" s="55"/>
      <c r="S34" s="53"/>
      <c r="T34" s="54"/>
      <c r="U34" s="52"/>
      <c r="V34" s="55"/>
      <c r="W34" s="55"/>
      <c r="X34" s="52"/>
      <c r="Y34" s="52"/>
      <c r="Z34" s="56"/>
      <c r="AA34" s="55"/>
      <c r="AB34" s="55"/>
      <c r="AC34" s="55"/>
      <c r="AD34" s="55"/>
      <c r="AE34" s="55"/>
      <c r="AF34" s="55"/>
    </row>
    <row r="35" spans="1:32" s="57" customFormat="1" ht="15.75" hidden="1" customHeight="1">
      <c r="A35" s="17" t="s">
        <v>96</v>
      </c>
      <c r="B35" s="2"/>
      <c r="C35" s="51"/>
      <c r="D35" s="51"/>
      <c r="E35" s="51"/>
      <c r="F35" s="51"/>
      <c r="G35" s="51"/>
      <c r="H35" s="51"/>
      <c r="I35" s="51"/>
      <c r="J35" s="51"/>
      <c r="K35" s="51"/>
      <c r="L35" s="51"/>
      <c r="M35" s="51"/>
      <c r="N35" s="51"/>
      <c r="O35" s="51"/>
      <c r="P35" s="51"/>
      <c r="Q35" s="51"/>
      <c r="R35" s="55"/>
      <c r="S35" s="53"/>
      <c r="T35" s="54"/>
      <c r="U35" s="52"/>
      <c r="V35" s="55"/>
      <c r="W35" s="55"/>
      <c r="X35" s="52"/>
      <c r="Y35" s="52"/>
      <c r="Z35" s="56"/>
      <c r="AA35" s="55"/>
      <c r="AB35" s="55"/>
      <c r="AC35" s="55"/>
      <c r="AD35" s="55"/>
      <c r="AE35" s="55"/>
      <c r="AF35" s="55"/>
    </row>
    <row r="36" spans="1:32" s="57" customFormat="1" ht="15.75" hidden="1" customHeight="1">
      <c r="A36" s="17" t="s">
        <v>98</v>
      </c>
      <c r="B36" s="2"/>
      <c r="C36" s="51"/>
      <c r="D36" s="51"/>
      <c r="E36" s="51"/>
      <c r="F36" s="51"/>
      <c r="G36" s="51"/>
      <c r="H36" s="51"/>
      <c r="I36" s="51"/>
      <c r="J36" s="51"/>
      <c r="K36" s="51"/>
      <c r="L36" s="51"/>
      <c r="M36" s="51"/>
      <c r="N36" s="51"/>
      <c r="O36" s="51"/>
      <c r="P36" s="51"/>
      <c r="Q36" s="51"/>
      <c r="R36" s="55"/>
      <c r="S36" s="53"/>
      <c r="T36" s="54"/>
      <c r="U36" s="55"/>
      <c r="V36" s="55"/>
      <c r="W36" s="55"/>
      <c r="X36" s="55"/>
      <c r="Y36" s="52"/>
      <c r="Z36" s="56"/>
      <c r="AA36" s="55"/>
      <c r="AB36" s="55"/>
      <c r="AC36" s="55"/>
      <c r="AD36" s="55"/>
      <c r="AE36" s="55"/>
      <c r="AF36" s="55"/>
    </row>
    <row r="37" spans="1:32" s="57" customFormat="1" ht="15.75" hidden="1" customHeight="1">
      <c r="A37" s="17" t="s">
        <v>99</v>
      </c>
      <c r="B37" s="2"/>
      <c r="C37" s="51"/>
      <c r="D37" s="51"/>
      <c r="E37" s="51"/>
      <c r="F37" s="51"/>
      <c r="G37" s="51"/>
      <c r="H37" s="51"/>
      <c r="I37" s="51"/>
      <c r="J37" s="51"/>
      <c r="K37" s="51"/>
      <c r="L37" s="51"/>
      <c r="M37" s="51"/>
      <c r="N37" s="51"/>
      <c r="O37" s="51"/>
      <c r="P37" s="51"/>
      <c r="Q37" s="51"/>
      <c r="R37" s="55"/>
      <c r="S37" s="53"/>
      <c r="T37" s="54"/>
      <c r="U37" s="52"/>
      <c r="V37" s="55"/>
      <c r="W37" s="55"/>
      <c r="X37" s="52"/>
      <c r="Y37" s="52"/>
      <c r="Z37" s="56"/>
      <c r="AA37" s="55"/>
      <c r="AB37" s="55"/>
      <c r="AC37" s="55"/>
      <c r="AD37" s="55"/>
      <c r="AE37" s="55"/>
      <c r="AF37" s="55"/>
    </row>
    <row r="38" spans="1:32" s="57" customFormat="1" ht="15.75" hidden="1" customHeight="1">
      <c r="A38" s="17" t="s">
        <v>100</v>
      </c>
      <c r="B38" s="2"/>
      <c r="C38" s="51"/>
      <c r="D38" s="51"/>
      <c r="E38" s="51"/>
      <c r="F38" s="51"/>
      <c r="G38" s="51"/>
      <c r="H38" s="51"/>
      <c r="I38" s="51"/>
      <c r="J38" s="51"/>
      <c r="K38" s="51"/>
      <c r="L38" s="51"/>
      <c r="M38" s="51"/>
      <c r="N38" s="51"/>
      <c r="O38" s="51"/>
      <c r="P38" s="51"/>
      <c r="Q38" s="51"/>
      <c r="R38" s="52"/>
      <c r="S38" s="53"/>
      <c r="T38" s="54"/>
      <c r="U38" s="52"/>
      <c r="V38" s="55"/>
      <c r="W38" s="55"/>
      <c r="X38" s="52"/>
      <c r="Y38" s="52"/>
      <c r="Z38" s="56"/>
      <c r="AA38" s="55"/>
      <c r="AB38" s="55"/>
      <c r="AC38" s="55"/>
      <c r="AD38" s="55"/>
      <c r="AE38" s="55"/>
      <c r="AF38" s="55"/>
    </row>
    <row r="39" spans="1:32" s="57" customFormat="1" ht="15.75" hidden="1" customHeight="1">
      <c r="A39" s="17" t="s">
        <v>101</v>
      </c>
      <c r="B39" s="2"/>
      <c r="C39" s="51"/>
      <c r="D39" s="51"/>
      <c r="E39" s="51"/>
      <c r="F39" s="51"/>
      <c r="G39" s="51"/>
      <c r="H39" s="51"/>
      <c r="I39" s="51"/>
      <c r="J39" s="51"/>
      <c r="K39" s="51"/>
      <c r="L39" s="51"/>
      <c r="M39" s="51"/>
      <c r="N39" s="51"/>
      <c r="O39" s="51"/>
      <c r="P39" s="51"/>
      <c r="Q39" s="51"/>
      <c r="R39" s="55"/>
      <c r="S39" s="53"/>
      <c r="T39" s="54"/>
      <c r="U39" s="52"/>
      <c r="V39" s="55"/>
      <c r="W39" s="55"/>
      <c r="X39" s="52"/>
      <c r="Y39" s="52"/>
      <c r="Z39" s="56"/>
      <c r="AA39" s="52"/>
      <c r="AB39" s="55"/>
      <c r="AC39" s="55"/>
      <c r="AD39" s="55"/>
      <c r="AE39" s="55"/>
      <c r="AF39" s="55"/>
    </row>
    <row r="40" spans="1:32" s="57" customFormat="1" ht="15.75" hidden="1" customHeight="1">
      <c r="A40" s="17" t="s">
        <v>102</v>
      </c>
      <c r="B40" s="2"/>
      <c r="C40" s="51"/>
      <c r="D40" s="51"/>
      <c r="E40" s="51"/>
      <c r="F40" s="51"/>
      <c r="G40" s="51"/>
      <c r="H40" s="51"/>
      <c r="I40" s="51"/>
      <c r="J40" s="51"/>
      <c r="K40" s="51"/>
      <c r="L40" s="51"/>
      <c r="M40" s="51"/>
      <c r="N40" s="51"/>
      <c r="O40" s="51"/>
      <c r="P40" s="51"/>
      <c r="Q40" s="51"/>
      <c r="R40" s="55"/>
      <c r="S40" s="53"/>
      <c r="T40" s="54"/>
      <c r="U40" s="52"/>
      <c r="V40" s="55"/>
      <c r="W40" s="55"/>
      <c r="X40" s="52"/>
      <c r="Y40" s="52"/>
      <c r="Z40" s="56"/>
      <c r="AA40" s="55"/>
      <c r="AB40" s="55"/>
      <c r="AC40" s="55"/>
      <c r="AD40" s="55"/>
      <c r="AE40" s="55"/>
      <c r="AF40" s="55"/>
    </row>
    <row r="41" spans="1:32" s="57" customFormat="1" ht="15.75" hidden="1" customHeight="1">
      <c r="A41" s="17" t="s">
        <v>105</v>
      </c>
      <c r="B41" s="2"/>
      <c r="C41" s="51"/>
      <c r="D41" s="51"/>
      <c r="E41" s="51"/>
      <c r="F41" s="51"/>
      <c r="G41" s="51"/>
      <c r="H41" s="51"/>
      <c r="I41" s="51"/>
      <c r="J41" s="51"/>
      <c r="K41" s="51"/>
      <c r="L41" s="51"/>
      <c r="M41" s="51"/>
      <c r="N41" s="51"/>
      <c r="O41" s="51"/>
      <c r="P41" s="51"/>
      <c r="Q41" s="51"/>
      <c r="R41" s="55"/>
      <c r="S41" s="53"/>
      <c r="T41" s="54"/>
      <c r="U41" s="52"/>
      <c r="V41" s="55"/>
      <c r="W41" s="55"/>
      <c r="X41" s="52"/>
      <c r="Y41" s="52"/>
      <c r="Z41" s="56"/>
      <c r="AA41" s="55"/>
      <c r="AB41" s="55"/>
      <c r="AC41" s="55"/>
      <c r="AD41" s="55"/>
      <c r="AE41" s="55"/>
      <c r="AF41" s="55"/>
    </row>
    <row r="42" spans="1:32" s="57" customFormat="1" ht="15.75" hidden="1" customHeight="1">
      <c r="A42" s="17" t="s">
        <v>106</v>
      </c>
      <c r="B42" s="2"/>
      <c r="C42" s="51"/>
      <c r="D42" s="51"/>
      <c r="E42" s="51"/>
      <c r="F42" s="51"/>
      <c r="G42" s="51"/>
      <c r="H42" s="51"/>
      <c r="I42" s="51"/>
      <c r="J42" s="51"/>
      <c r="K42" s="51"/>
      <c r="L42" s="51"/>
      <c r="M42" s="51"/>
      <c r="N42" s="51"/>
      <c r="O42" s="51"/>
      <c r="P42" s="51"/>
      <c r="Q42" s="51"/>
      <c r="R42" s="55"/>
      <c r="S42" s="53"/>
      <c r="T42" s="54"/>
      <c r="U42" s="52"/>
      <c r="V42" s="55"/>
      <c r="W42" s="55"/>
      <c r="X42" s="52"/>
      <c r="Y42" s="52"/>
      <c r="Z42" s="56"/>
      <c r="AA42" s="55"/>
      <c r="AB42" s="55"/>
      <c r="AC42" s="55"/>
      <c r="AD42" s="55"/>
      <c r="AE42" s="55"/>
      <c r="AF42" s="55"/>
    </row>
    <row r="43" spans="1:32" s="57" customFormat="1" ht="15.75" hidden="1" customHeight="1">
      <c r="A43" s="17" t="s">
        <v>107</v>
      </c>
      <c r="B43" s="2"/>
      <c r="C43" s="51"/>
      <c r="D43" s="51"/>
      <c r="E43" s="51"/>
      <c r="F43" s="51"/>
      <c r="G43" s="51"/>
      <c r="H43" s="51"/>
      <c r="I43" s="51"/>
      <c r="J43" s="51"/>
      <c r="K43" s="51"/>
      <c r="L43" s="51"/>
      <c r="M43" s="51"/>
      <c r="N43" s="51"/>
      <c r="O43" s="51"/>
      <c r="P43" s="51"/>
      <c r="Q43" s="51"/>
      <c r="R43" s="55"/>
      <c r="S43" s="53"/>
      <c r="T43" s="54"/>
      <c r="U43" s="52"/>
      <c r="V43" s="55"/>
      <c r="W43" s="55"/>
      <c r="X43" s="52"/>
      <c r="Y43" s="52"/>
      <c r="Z43" s="56"/>
      <c r="AA43" s="55"/>
      <c r="AB43" s="55"/>
      <c r="AC43" s="55"/>
      <c r="AD43" s="55"/>
      <c r="AE43" s="55"/>
      <c r="AF43" s="55"/>
    </row>
    <row r="44" spans="1:32" s="57" customFormat="1" ht="15.75" hidden="1" customHeight="1">
      <c r="A44" s="17" t="s">
        <v>108</v>
      </c>
      <c r="B44" s="2"/>
      <c r="C44" s="51"/>
      <c r="D44" s="51"/>
      <c r="E44" s="51"/>
      <c r="F44" s="51"/>
      <c r="G44" s="51"/>
      <c r="H44" s="51"/>
      <c r="I44" s="51"/>
      <c r="J44" s="51"/>
      <c r="K44" s="51"/>
      <c r="L44" s="51"/>
      <c r="M44" s="51"/>
      <c r="N44" s="51"/>
      <c r="O44" s="51"/>
      <c r="P44" s="51"/>
      <c r="Q44" s="51"/>
      <c r="R44" s="55"/>
      <c r="S44" s="53"/>
      <c r="T44" s="54"/>
      <c r="U44" s="52"/>
      <c r="V44" s="55"/>
      <c r="W44" s="55"/>
      <c r="X44" s="52"/>
      <c r="Y44" s="52"/>
      <c r="Z44" s="56"/>
      <c r="AA44" s="55"/>
      <c r="AB44" s="55"/>
      <c r="AC44" s="55"/>
      <c r="AD44" s="55"/>
      <c r="AE44" s="55"/>
      <c r="AF44" s="55"/>
    </row>
    <row r="45" spans="1:32" s="57" customFormat="1" ht="15.75" hidden="1" customHeight="1">
      <c r="A45" s="17" t="s">
        <v>109</v>
      </c>
      <c r="B45" s="2"/>
      <c r="C45" s="51"/>
      <c r="D45" s="51"/>
      <c r="E45" s="51"/>
      <c r="F45" s="51"/>
      <c r="G45" s="51"/>
      <c r="H45" s="51"/>
      <c r="I45" s="51"/>
      <c r="J45" s="51"/>
      <c r="K45" s="51"/>
      <c r="L45" s="51"/>
      <c r="M45" s="51"/>
      <c r="N45" s="51"/>
      <c r="O45" s="51"/>
      <c r="P45" s="51"/>
      <c r="Q45" s="51"/>
      <c r="R45" s="55"/>
      <c r="S45" s="53"/>
      <c r="T45" s="54"/>
      <c r="U45" s="52"/>
      <c r="V45" s="55"/>
      <c r="W45" s="55"/>
      <c r="X45" s="52"/>
      <c r="Y45" s="52"/>
      <c r="Z45" s="56"/>
      <c r="AA45" s="55"/>
      <c r="AB45" s="55"/>
      <c r="AC45" s="55"/>
      <c r="AD45" s="55"/>
      <c r="AE45" s="55"/>
      <c r="AF45" s="55"/>
    </row>
    <row r="46" spans="1:32" s="57" customFormat="1" ht="15.75" hidden="1" customHeight="1">
      <c r="A46" s="17" t="s">
        <v>111</v>
      </c>
      <c r="B46" s="2"/>
      <c r="C46" s="51"/>
      <c r="D46" s="51"/>
      <c r="E46" s="51"/>
      <c r="F46" s="51"/>
      <c r="G46" s="51"/>
      <c r="H46" s="51"/>
      <c r="I46" s="51"/>
      <c r="J46" s="51"/>
      <c r="K46" s="51"/>
      <c r="L46" s="51"/>
      <c r="M46" s="51"/>
      <c r="N46" s="51"/>
      <c r="O46" s="51"/>
      <c r="P46" s="51"/>
      <c r="Q46" s="51"/>
      <c r="R46" s="55"/>
      <c r="S46" s="53"/>
      <c r="T46" s="54"/>
      <c r="U46" s="52"/>
      <c r="V46" s="55"/>
      <c r="W46" s="55"/>
      <c r="X46" s="52"/>
      <c r="Y46" s="52"/>
      <c r="Z46" s="56"/>
      <c r="AA46" s="55"/>
      <c r="AB46" s="55"/>
      <c r="AC46" s="55"/>
      <c r="AD46" s="55"/>
      <c r="AE46" s="55"/>
      <c r="AF46" s="55"/>
    </row>
    <row r="47" spans="1:32" s="57" customFormat="1" ht="15.75" hidden="1" customHeight="1">
      <c r="A47" s="17" t="s">
        <v>113</v>
      </c>
      <c r="B47" s="2"/>
      <c r="C47" s="51"/>
      <c r="D47" s="51"/>
      <c r="E47" s="51"/>
      <c r="F47" s="51"/>
      <c r="G47" s="51"/>
      <c r="H47" s="51"/>
      <c r="I47" s="51"/>
      <c r="J47" s="51"/>
      <c r="K47" s="51"/>
      <c r="L47" s="51"/>
      <c r="M47" s="51"/>
      <c r="N47" s="51"/>
      <c r="O47" s="51"/>
      <c r="P47" s="51"/>
      <c r="Q47" s="51"/>
      <c r="R47" s="55"/>
      <c r="S47" s="53"/>
      <c r="T47" s="54"/>
      <c r="U47" s="52"/>
      <c r="V47" s="55"/>
      <c r="W47" s="55"/>
      <c r="X47" s="52"/>
      <c r="Y47" s="52"/>
      <c r="Z47" s="56"/>
      <c r="AA47" s="55"/>
      <c r="AB47" s="55"/>
      <c r="AC47" s="55"/>
      <c r="AD47" s="55"/>
      <c r="AE47" s="55"/>
      <c r="AF47" s="55"/>
    </row>
    <row r="48" spans="1:32" s="57" customFormat="1" ht="15.75" hidden="1" customHeight="1">
      <c r="A48" s="17" t="s">
        <v>115</v>
      </c>
      <c r="B48" s="2"/>
      <c r="C48" s="51"/>
      <c r="D48" s="51"/>
      <c r="E48" s="51"/>
      <c r="F48" s="51"/>
      <c r="G48" s="51"/>
      <c r="H48" s="51"/>
      <c r="I48" s="51"/>
      <c r="J48" s="51"/>
      <c r="K48" s="51"/>
      <c r="L48" s="51"/>
      <c r="M48" s="51"/>
      <c r="N48" s="51"/>
      <c r="O48" s="51"/>
      <c r="P48" s="51"/>
      <c r="Q48" s="51"/>
      <c r="R48" s="55"/>
      <c r="S48" s="53"/>
      <c r="T48" s="54"/>
      <c r="U48" s="52"/>
      <c r="V48" s="55"/>
      <c r="W48" s="55"/>
      <c r="X48" s="52"/>
      <c r="Y48" s="52"/>
      <c r="Z48" s="56"/>
      <c r="AA48" s="55"/>
      <c r="AB48" s="55"/>
      <c r="AC48" s="55"/>
      <c r="AD48" s="55"/>
      <c r="AE48" s="55"/>
      <c r="AF48" s="55"/>
    </row>
    <row r="49" spans="1:32" s="57" customFormat="1" ht="15.75" customHeight="1">
      <c r="A49" s="2" t="s">
        <v>117</v>
      </c>
      <c r="B49" s="2"/>
      <c r="C49" s="51">
        <f t="shared" ref="C49:C56" si="1">IFERROR(F49/D49," - ")</f>
        <v>26.95</v>
      </c>
      <c r="D49" s="51">
        <v>1</v>
      </c>
      <c r="E49" s="51">
        <v>0</v>
      </c>
      <c r="F49" s="51">
        <v>26.95</v>
      </c>
      <c r="G49" s="51">
        <v>0</v>
      </c>
      <c r="H49" s="51">
        <f t="shared" ref="H49:H56" si="2">G49/F49*-1</f>
        <v>0</v>
      </c>
      <c r="I49" s="51">
        <f t="shared" ref="I49:I56" si="3">J49/F49</f>
        <v>0.25155844155844154</v>
      </c>
      <c r="J49" s="51">
        <f t="shared" ref="J49:J56" si="4">F49*0.85+G49+AD49*D49+D49*AC49+AE49+AB49</f>
        <v>6.7794999999999996</v>
      </c>
      <c r="K49" s="51">
        <f t="shared" ref="K49:K56" si="5">J49/D49</f>
        <v>6.7794999999999996</v>
      </c>
      <c r="L49" s="51">
        <v>18</v>
      </c>
      <c r="M49" s="51">
        <f t="shared" ref="M49:M56" si="6">IFERROR(D49/L49,"-")</f>
        <v>5.5555555555555552E-2</v>
      </c>
      <c r="N49" s="51">
        <v>53</v>
      </c>
      <c r="O49" s="51">
        <f t="shared" ref="O49:P49" si="7">D49/7</f>
        <v>0.14285714285714285</v>
      </c>
      <c r="P49" s="51">
        <f t="shared" si="7"/>
        <v>0</v>
      </c>
      <c r="Q49" s="51">
        <f t="shared" ref="Q49:Q56" si="8">ROUNDDOWN(N49/(O49+P49),0)</f>
        <v>371</v>
      </c>
      <c r="R49" s="55">
        <f ca="1">IFERROR(__xludf.DUMMYFUNCTION("IFERROR(VLOOKUP($B$2,IMPORTRANGE(""https://docs.google.com/spreadsheets/d/1iVgg6Mw12RULLujzHmfOFIY8Q_KaAD8anoZzgtVAQ74/edit#gid=1503384807"",""Second Star - Summary!A1:AD2000""),9,FALSE),"""")"),0)</f>
        <v>0</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ref="V49:V56" si="9">IFERROR(U49/D49,0)</f>
        <v>0</v>
      </c>
      <c r="W49" s="55">
        <f t="shared" ref="W49:W56" si="10">IFERROR(G49/(U49+X49)*-1,0)</f>
        <v>0</v>
      </c>
      <c r="X49" s="55">
        <v>0</v>
      </c>
      <c r="Y49" s="55" t="s">
        <v>35</v>
      </c>
      <c r="Z49" s="56">
        <f t="shared" ref="Z49:Z56" si="11">IF(OR(Y49="UsLargeStandardSize",Y49="UsSmallStandardSize"),-2.4,-1.2)</f>
        <v>-2.4</v>
      </c>
      <c r="AA49" s="55">
        <v>0.20944444444444443</v>
      </c>
      <c r="AB49" s="55">
        <f t="shared" ref="AB49:AB56" si="12">IFERROR(Z49*AA49*D49*3,0)</f>
        <v>-1.5079999999999998</v>
      </c>
      <c r="AC49" s="55">
        <v>-5.42</v>
      </c>
      <c r="AD49" s="55">
        <v>-9.1999999999999993</v>
      </c>
      <c r="AE49" s="55">
        <v>0</v>
      </c>
      <c r="AF49" s="55">
        <v>1.8867924528301799E-2</v>
      </c>
    </row>
    <row r="50" spans="1:32" s="57" customFormat="1" ht="15.75" customHeight="1">
      <c r="A50" s="2" t="s">
        <v>119</v>
      </c>
      <c r="B50" s="2"/>
      <c r="C50" s="51" t="str">
        <f t="shared" si="1"/>
        <v xml:space="preserve"> - </v>
      </c>
      <c r="D50" s="51">
        <v>0</v>
      </c>
      <c r="E50" s="51">
        <v>0</v>
      </c>
      <c r="F50" s="51">
        <v>0</v>
      </c>
      <c r="G50" s="51">
        <v>0</v>
      </c>
      <c r="H50" s="51" t="e">
        <f t="shared" si="2"/>
        <v>#DIV/0!</v>
      </c>
      <c r="I50" s="51" t="e">
        <f t="shared" si="3"/>
        <v>#DIV/0!</v>
      </c>
      <c r="J50" s="51">
        <f t="shared" si="4"/>
        <v>0</v>
      </c>
      <c r="K50" s="51" t="e">
        <f t="shared" si="5"/>
        <v>#DIV/0!</v>
      </c>
      <c r="L50" s="51">
        <v>0</v>
      </c>
      <c r="M50" s="51" t="str">
        <f t="shared" si="6"/>
        <v>-</v>
      </c>
      <c r="N50" s="51">
        <v>47</v>
      </c>
      <c r="O50" s="51">
        <f t="shared" ref="O50:P50" si="13">D50/7</f>
        <v>0</v>
      </c>
      <c r="P50" s="51">
        <f t="shared" si="13"/>
        <v>0</v>
      </c>
      <c r="Q50" s="51" t="e">
        <f t="shared" si="8"/>
        <v>#DIV/0!</v>
      </c>
      <c r="R50" s="55">
        <f ca="1">IFERROR(__xludf.DUMMYFUNCTION("IFERROR(VLOOKUP($B$2,IMPORTRANGE(""https://docs.google.com/spreadsheets/d/1iVgg6Mw12RULLujzHmfOFIY8Q_KaAD8anoZzgtVAQ74/edit#gid=1503384807"",""Second Star - Summary!A1:AD2000""),9,FALSE),"""")"),0)</f>
        <v>0</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9"/>
        <v>0</v>
      </c>
      <c r="W50" s="55">
        <f t="shared" si="10"/>
        <v>0</v>
      </c>
      <c r="X50" s="55">
        <v>0</v>
      </c>
      <c r="Y50" s="55" t="s">
        <v>35</v>
      </c>
      <c r="Z50" s="56">
        <f t="shared" si="11"/>
        <v>-2.4</v>
      </c>
      <c r="AA50" s="55">
        <v>0.20944444444444443</v>
      </c>
      <c r="AB50" s="55">
        <f t="shared" si="12"/>
        <v>0</v>
      </c>
      <c r="AC50" s="55">
        <v>-5.42</v>
      </c>
      <c r="AD50" s="55">
        <v>-9.1999999999999993</v>
      </c>
      <c r="AE50" s="55">
        <v>0</v>
      </c>
      <c r="AF50" s="55">
        <v>3.7735849056603703E-2</v>
      </c>
    </row>
    <row r="51" spans="1:32" s="57" customFormat="1" ht="15.75" customHeight="1">
      <c r="A51" s="2" t="s">
        <v>121</v>
      </c>
      <c r="B51" s="26" t="s">
        <v>874</v>
      </c>
      <c r="C51" s="51" t="str">
        <f t="shared" si="1"/>
        <v xml:space="preserve"> - </v>
      </c>
      <c r="D51" s="51">
        <v>0</v>
      </c>
      <c r="E51" s="51">
        <v>0</v>
      </c>
      <c r="F51" s="51">
        <v>0</v>
      </c>
      <c r="G51" s="51">
        <v>0</v>
      </c>
      <c r="H51" s="51" t="e">
        <f t="shared" si="2"/>
        <v>#DIV/0!</v>
      </c>
      <c r="I51" s="51" t="e">
        <f t="shared" si="3"/>
        <v>#DIV/0!</v>
      </c>
      <c r="J51" s="51">
        <f t="shared" si="4"/>
        <v>0</v>
      </c>
      <c r="K51" s="51" t="e">
        <f t="shared" si="5"/>
        <v>#DIV/0!</v>
      </c>
      <c r="L51" s="51">
        <v>0</v>
      </c>
      <c r="M51" s="51" t="str">
        <f t="shared" si="6"/>
        <v>-</v>
      </c>
      <c r="N51" s="51">
        <v>53</v>
      </c>
      <c r="O51" s="51">
        <f t="shared" ref="O51:P51" si="14">D51/7</f>
        <v>0</v>
      </c>
      <c r="P51" s="51">
        <f t="shared" si="14"/>
        <v>0</v>
      </c>
      <c r="Q51" s="51" t="e">
        <f t="shared" si="8"/>
        <v>#DIV/0!</v>
      </c>
      <c r="R51" s="55">
        <f ca="1">IFERROR(__xludf.DUMMYFUNCTION("IFERROR(VLOOKUP($B$2,IMPORTRANGE(""https://docs.google.com/spreadsheets/d/1iVgg6Mw12RULLujzHmfOFIY8Q_KaAD8anoZzgtVAQ74/edit#gid=1503384807"",""Second Star - Summary!A1:AD2000""),9,FALSE),"""")"),0)</f>
        <v>0</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9"/>
        <v>0</v>
      </c>
      <c r="W51" s="55">
        <f t="shared" si="10"/>
        <v>0</v>
      </c>
      <c r="X51" s="55">
        <v>0</v>
      </c>
      <c r="Y51" s="55" t="s">
        <v>35</v>
      </c>
      <c r="Z51" s="56">
        <f t="shared" si="11"/>
        <v>-2.4</v>
      </c>
      <c r="AA51" s="55">
        <v>0.20944444444444443</v>
      </c>
      <c r="AB51" s="55">
        <f t="shared" si="12"/>
        <v>0</v>
      </c>
      <c r="AC51" s="55">
        <v>-5.42</v>
      </c>
      <c r="AD51" s="55">
        <v>-9.1999999999999993</v>
      </c>
      <c r="AE51" s="55">
        <v>0</v>
      </c>
      <c r="AF51" s="55">
        <v>3.7735849056603703E-2</v>
      </c>
    </row>
    <row r="52" spans="1:32" s="57" customFormat="1" ht="15.75" customHeight="1">
      <c r="A52" s="2" t="s">
        <v>123</v>
      </c>
      <c r="B52" s="2" t="s">
        <v>875</v>
      </c>
      <c r="C52" s="51" t="str">
        <f t="shared" si="1"/>
        <v xml:space="preserve"> - </v>
      </c>
      <c r="D52" s="51">
        <v>0</v>
      </c>
      <c r="E52" s="51">
        <v>0</v>
      </c>
      <c r="F52" s="51">
        <v>0</v>
      </c>
      <c r="G52" s="51">
        <v>0</v>
      </c>
      <c r="H52" s="51" t="e">
        <f t="shared" si="2"/>
        <v>#DIV/0!</v>
      </c>
      <c r="I52" s="51" t="e">
        <f t="shared" si="3"/>
        <v>#DIV/0!</v>
      </c>
      <c r="J52" s="51">
        <f t="shared" si="4"/>
        <v>0</v>
      </c>
      <c r="K52" s="51" t="e">
        <f t="shared" si="5"/>
        <v>#DIV/0!</v>
      </c>
      <c r="L52" s="51">
        <v>0</v>
      </c>
      <c r="M52" s="51" t="str">
        <f t="shared" si="6"/>
        <v>-</v>
      </c>
      <c r="N52" s="51">
        <v>53</v>
      </c>
      <c r="O52" s="51">
        <f t="shared" ref="O52:P52" si="15">D52/7</f>
        <v>0</v>
      </c>
      <c r="P52" s="51">
        <f t="shared" si="15"/>
        <v>0</v>
      </c>
      <c r="Q52" s="51" t="e">
        <f t="shared" si="8"/>
        <v>#DIV/0!</v>
      </c>
      <c r="R52" s="55">
        <f ca="1">IFERROR(__xludf.DUMMYFUNCTION("IFERROR(VLOOKUP($B$2,IMPORTRANGE(""https://docs.google.com/spreadsheets/d/1iVgg6Mw12RULLujzHmfOFIY8Q_KaAD8anoZzgtVAQ74/edit#gid=1503384807"",""Second Star - Summary!A1:AD2000""),9,FALSE),"""")"),0)</f>
        <v>0</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9"/>
        <v>0</v>
      </c>
      <c r="W52" s="55">
        <f t="shared" si="10"/>
        <v>0</v>
      </c>
      <c r="X52" s="55">
        <v>0</v>
      </c>
      <c r="Y52" s="55" t="s">
        <v>35</v>
      </c>
      <c r="Z52" s="56">
        <f t="shared" si="11"/>
        <v>-2.4</v>
      </c>
      <c r="AA52" s="55">
        <v>0.20944444444444443</v>
      </c>
      <c r="AB52" s="55">
        <f t="shared" si="12"/>
        <v>0</v>
      </c>
      <c r="AC52" s="55">
        <v>-5.42</v>
      </c>
      <c r="AD52" s="55">
        <v>-9.1999999999999993</v>
      </c>
      <c r="AE52" s="55">
        <v>0</v>
      </c>
      <c r="AF52" s="55">
        <v>3.7735849056603703E-2</v>
      </c>
    </row>
    <row r="53" spans="1:32" s="57" customFormat="1">
      <c r="A53" s="2" t="s">
        <v>38</v>
      </c>
      <c r="B53" s="2" t="s">
        <v>876</v>
      </c>
      <c r="C53" s="51" t="str">
        <f t="shared" si="1"/>
        <v xml:space="preserve"> - </v>
      </c>
      <c r="D53" s="51">
        <v>0</v>
      </c>
      <c r="E53" s="51">
        <v>0</v>
      </c>
      <c r="F53" s="51">
        <v>0</v>
      </c>
      <c r="G53" s="51">
        <v>-6.78</v>
      </c>
      <c r="H53" s="51" t="e">
        <f t="shared" si="2"/>
        <v>#DIV/0!</v>
      </c>
      <c r="I53" s="51" t="e">
        <f t="shared" si="3"/>
        <v>#DIV/0!</v>
      </c>
      <c r="J53" s="51">
        <f t="shared" si="4"/>
        <v>-6.78</v>
      </c>
      <c r="K53" s="51" t="e">
        <f t="shared" si="5"/>
        <v>#DIV/0!</v>
      </c>
      <c r="L53" s="51">
        <v>0</v>
      </c>
      <c r="M53" s="51" t="str">
        <f t="shared" si="6"/>
        <v>-</v>
      </c>
      <c r="N53" s="51">
        <v>53</v>
      </c>
      <c r="O53" s="51">
        <f t="shared" ref="O53:P53" si="16">D53/7</f>
        <v>0</v>
      </c>
      <c r="P53" s="51">
        <f t="shared" si="16"/>
        <v>0</v>
      </c>
      <c r="Q53" s="51" t="e">
        <f t="shared" si="8"/>
        <v>#DIV/0!</v>
      </c>
      <c r="R53" s="55">
        <f ca="1">IFERROR(__xludf.DUMMYFUNCTION("IFERROR(VLOOKUP($B$2,IMPORTRANGE(""https://docs.google.com/spreadsheets/d/1iVgg6Mw12RULLujzHmfOFIY8Q_KaAD8anoZzgtVAQ74/edit#gid=1503384807"",""Second Star - Summary!A1:AD2000""),9,FALSE),"""")"),0)</f>
        <v>0</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9"/>
        <v>0</v>
      </c>
      <c r="W53" s="55">
        <f t="shared" si="10"/>
        <v>0</v>
      </c>
      <c r="X53" s="55">
        <v>0</v>
      </c>
      <c r="Y53" s="55" t="s">
        <v>35</v>
      </c>
      <c r="Z53" s="56">
        <f t="shared" si="11"/>
        <v>-2.4</v>
      </c>
      <c r="AA53" s="55">
        <v>0.20944444444444443</v>
      </c>
      <c r="AB53" s="55">
        <f t="shared" si="12"/>
        <v>0</v>
      </c>
      <c r="AC53" s="55">
        <v>-5.42</v>
      </c>
      <c r="AD53" s="55">
        <v>-9.24112318181818</v>
      </c>
      <c r="AE53" s="55">
        <v>0</v>
      </c>
      <c r="AF53" s="55">
        <v>1.7699115044247701E-2</v>
      </c>
    </row>
    <row r="54" spans="1:32" s="57" customFormat="1">
      <c r="A54" s="2" t="s">
        <v>40</v>
      </c>
      <c r="B54" s="2"/>
      <c r="C54" s="51">
        <f t="shared" si="1"/>
        <v>21.99</v>
      </c>
      <c r="D54" s="51">
        <v>1</v>
      </c>
      <c r="E54" s="51">
        <v>0</v>
      </c>
      <c r="F54" s="51">
        <v>21.99</v>
      </c>
      <c r="G54" s="51">
        <v>-2.17</v>
      </c>
      <c r="H54" s="51">
        <f t="shared" si="2"/>
        <v>9.8681218735789E-2</v>
      </c>
      <c r="I54" s="51">
        <f t="shared" si="3"/>
        <v>-3.3998325685228911E-2</v>
      </c>
      <c r="J54" s="51">
        <f t="shared" si="4"/>
        <v>-0.74762318181818377</v>
      </c>
      <c r="K54" s="51">
        <f t="shared" si="5"/>
        <v>-0.74762318181818377</v>
      </c>
      <c r="L54" s="51">
        <v>22</v>
      </c>
      <c r="M54" s="51">
        <f t="shared" si="6"/>
        <v>4.5454545454545456E-2</v>
      </c>
      <c r="N54" s="51">
        <v>52</v>
      </c>
      <c r="O54" s="51">
        <f t="shared" ref="O54:P54" si="17">D54/7</f>
        <v>0.14285714285714285</v>
      </c>
      <c r="P54" s="51">
        <f t="shared" si="17"/>
        <v>0</v>
      </c>
      <c r="Q54" s="51">
        <f t="shared" si="8"/>
        <v>364</v>
      </c>
      <c r="R54" s="55">
        <f ca="1">IFERROR(__xludf.DUMMYFUNCTION("IFERROR(VLOOKUP($B$2,IMPORTRANGE(""https://docs.google.com/spreadsheets/d/1iVgg6Mw12RULLujzHmfOFIY8Q_KaAD8anoZzgtVAQ74/edit#gid=1503384807"",""Second Star - Summary!A1:AD2000""),9,FALSE),"""")"),0)</f>
        <v>0</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1</v>
      </c>
      <c r="V54" s="55">
        <f t="shared" si="9"/>
        <v>1</v>
      </c>
      <c r="W54" s="55">
        <f t="shared" si="10"/>
        <v>1.085</v>
      </c>
      <c r="X54" s="55">
        <v>1</v>
      </c>
      <c r="Y54" s="55" t="s">
        <v>35</v>
      </c>
      <c r="Z54" s="56">
        <f t="shared" si="11"/>
        <v>-2.4</v>
      </c>
      <c r="AA54" s="55">
        <v>0.20944444444444443</v>
      </c>
      <c r="AB54" s="55">
        <f t="shared" si="12"/>
        <v>-1.5079999999999998</v>
      </c>
      <c r="AC54" s="55">
        <v>-5.42</v>
      </c>
      <c r="AD54" s="55">
        <v>-9.24112318181818</v>
      </c>
      <c r="AE54" s="55">
        <v>-1.1000000000000001</v>
      </c>
      <c r="AF54" s="55">
        <v>2.83018867924528E-2</v>
      </c>
    </row>
    <row r="55" spans="1:32" s="57" customFormat="1" ht="15.75" customHeight="1">
      <c r="A55" s="2" t="s">
        <v>32</v>
      </c>
      <c r="B55" s="2" t="s">
        <v>877</v>
      </c>
      <c r="C55" s="51">
        <f t="shared" si="1"/>
        <v>21.99</v>
      </c>
      <c r="D55" s="51">
        <v>1</v>
      </c>
      <c r="E55" s="51">
        <v>0</v>
      </c>
      <c r="F55" s="51">
        <v>21.99</v>
      </c>
      <c r="G55" s="51">
        <v>-6.71</v>
      </c>
      <c r="H55" s="51">
        <f t="shared" si="2"/>
        <v>0.30513869940882221</v>
      </c>
      <c r="I55" s="51">
        <f t="shared" si="3"/>
        <v>-0.19043306875025845</v>
      </c>
      <c r="J55" s="51">
        <f t="shared" si="4"/>
        <v>-4.187623181818183</v>
      </c>
      <c r="K55" s="51">
        <f t="shared" si="5"/>
        <v>-4.187623181818183</v>
      </c>
      <c r="L55" s="51">
        <v>16</v>
      </c>
      <c r="M55" s="51">
        <f t="shared" si="6"/>
        <v>6.25E-2</v>
      </c>
      <c r="N55" s="51">
        <v>52</v>
      </c>
      <c r="O55" s="51">
        <f t="shared" ref="O55:P55" si="18">D55/7</f>
        <v>0.14285714285714285</v>
      </c>
      <c r="P55" s="51">
        <f t="shared" si="18"/>
        <v>0</v>
      </c>
      <c r="Q55" s="51">
        <f t="shared" si="8"/>
        <v>364</v>
      </c>
      <c r="R55" s="55">
        <v>0</v>
      </c>
      <c r="S55" s="53" t="s">
        <v>34</v>
      </c>
      <c r="T55" s="54" t="s">
        <v>34</v>
      </c>
      <c r="U55" s="55">
        <v>0</v>
      </c>
      <c r="V55" s="55">
        <f t="shared" si="9"/>
        <v>0</v>
      </c>
      <c r="W55" s="55">
        <f t="shared" si="10"/>
        <v>0</v>
      </c>
      <c r="X55" s="55">
        <v>0</v>
      </c>
      <c r="Y55" s="55" t="s">
        <v>35</v>
      </c>
      <c r="Z55" s="56">
        <f t="shared" si="11"/>
        <v>-2.4</v>
      </c>
      <c r="AA55" s="55">
        <v>0.20944444444444443</v>
      </c>
      <c r="AB55" s="55">
        <f t="shared" si="12"/>
        <v>-1.5079999999999998</v>
      </c>
      <c r="AC55" s="55">
        <v>-5.42</v>
      </c>
      <c r="AD55" s="55">
        <v>-9.24112318181818</v>
      </c>
      <c r="AE55" s="55">
        <v>0</v>
      </c>
      <c r="AF55" s="55">
        <v>8.6538461538461495E-2</v>
      </c>
    </row>
    <row r="56" spans="1:32" s="57" customFormat="1" ht="15.75" customHeight="1">
      <c r="A56" s="2" t="s">
        <v>36</v>
      </c>
      <c r="B56" s="2"/>
      <c r="C56" s="51">
        <f t="shared" si="1"/>
        <v>21.99</v>
      </c>
      <c r="D56" s="51">
        <v>2</v>
      </c>
      <c r="E56" s="51">
        <v>0</v>
      </c>
      <c r="F56" s="51">
        <v>43.98</v>
      </c>
      <c r="G56" s="51">
        <v>-21.75</v>
      </c>
      <c r="H56" s="51">
        <f t="shared" si="2"/>
        <v>0.4945429740791269</v>
      </c>
      <c r="I56" s="51">
        <f t="shared" si="3"/>
        <v>-0.37983734342056308</v>
      </c>
      <c r="J56" s="51">
        <f t="shared" si="4"/>
        <v>-16.705246363636363</v>
      </c>
      <c r="K56" s="51">
        <f t="shared" si="5"/>
        <v>-8.3526231818181813</v>
      </c>
      <c r="L56" s="51">
        <v>19</v>
      </c>
      <c r="M56" s="51">
        <f t="shared" si="6"/>
        <v>0.10526315789473684</v>
      </c>
      <c r="N56" s="51">
        <v>49</v>
      </c>
      <c r="O56" s="51">
        <f t="shared" ref="O56:P56" si="19">D56/7</f>
        <v>0.2857142857142857</v>
      </c>
      <c r="P56" s="51">
        <f t="shared" si="19"/>
        <v>0</v>
      </c>
      <c r="Q56" s="51">
        <f t="shared" si="8"/>
        <v>171</v>
      </c>
      <c r="R56" s="55">
        <f ca="1">IFERROR(__xludf.DUMMYFUNCTION("IFERROR(VLOOKUP($B$2,IMPORTRANGE(""https://docs.google.com/spreadsheets/d/1iVgg6Mw12RULLujzHmfOFIY8Q_KaAD8anoZzgtVAQ74/edit#gid=1503384807"",""Second Star - Summary!A1:AD2000""),9,FALSE),"""")"),0)</f>
        <v>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1</v>
      </c>
      <c r="V56" s="55">
        <f t="shared" si="9"/>
        <v>0.5</v>
      </c>
      <c r="W56" s="55">
        <f t="shared" si="10"/>
        <v>7.25</v>
      </c>
      <c r="X56" s="55">
        <v>2</v>
      </c>
      <c r="Y56" s="55" t="s">
        <v>35</v>
      </c>
      <c r="Z56" s="56">
        <f t="shared" si="11"/>
        <v>-2.4</v>
      </c>
      <c r="AA56" s="55">
        <v>0.20944444444444443</v>
      </c>
      <c r="AB56" s="55">
        <f t="shared" si="12"/>
        <v>-3.0159999999999996</v>
      </c>
      <c r="AC56" s="55">
        <v>-5.42</v>
      </c>
      <c r="AD56" s="55">
        <v>-9.24112318181818</v>
      </c>
      <c r="AE56" s="55">
        <v>0</v>
      </c>
      <c r="AF56" s="55">
        <v>7.3619631901840399E-2</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3"/>
    </row>
    <row r="222" spans="1:3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3"/>
    </row>
    <row r="223" spans="1:32"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3"/>
    </row>
    <row r="224" spans="1:32"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3"/>
    </row>
    <row r="225" spans="1:32"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3"/>
    </row>
    <row r="226" spans="1:32"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3"/>
    </row>
    <row r="227" spans="1:32"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3"/>
    </row>
    <row r="228" spans="1:32"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3"/>
    </row>
    <row r="229" spans="1:32"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3"/>
    </row>
    <row r="230" spans="1:32"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3"/>
    </row>
    <row r="231" spans="1:32"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3"/>
    </row>
    <row r="232" spans="1: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3"/>
    </row>
    <row r="233" spans="1:32"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3"/>
    </row>
    <row r="234" spans="1:32"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3"/>
    </row>
    <row r="235" spans="1:32"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3"/>
    </row>
    <row r="236" spans="1:32"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3"/>
    </row>
    <row r="237" spans="1:32"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3"/>
    </row>
    <row r="238" spans="1:32"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3"/>
    </row>
    <row r="239" spans="1:32"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row r="252" spans="1:32" ht="15.75" customHeight="1"/>
    <row r="253" spans="1:32" ht="15.75" customHeight="1"/>
    <row r="254" spans="1:32" ht="15.75" customHeight="1"/>
    <row r="255" spans="1:32" ht="15.75" customHeight="1"/>
    <row r="256" spans="1:3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287" priority="1" operator="lessThan">
      <formula>100</formula>
    </cfRule>
  </conditionalFormatting>
  <conditionalFormatting sqref="Q1:Q3 Q57:Q1000">
    <cfRule type="cellIs" dxfId="286" priority="2" operator="lessThan">
      <formula>100</formula>
    </cfRule>
  </conditionalFormatting>
  <conditionalFormatting sqref="I1:I3 I57:I1000">
    <cfRule type="cellIs" dxfId="285" priority="3" operator="lessThan">
      <formula>0.05</formula>
    </cfRule>
  </conditionalFormatting>
  <conditionalFormatting sqref="I4:I17">
    <cfRule type="cellIs" dxfId="284" priority="4" operator="lessThan">
      <formula>0.05</formula>
    </cfRule>
  </conditionalFormatting>
  <conditionalFormatting sqref="I18:I48">
    <cfRule type="cellIs" dxfId="283" priority="5" operator="lessThan">
      <formula>0.05</formula>
    </cfRule>
  </conditionalFormatting>
  <conditionalFormatting sqref="Q4:Q48">
    <cfRule type="cellIs" dxfId="282" priority="6" operator="lessThan">
      <formula>100</formula>
    </cfRule>
  </conditionalFormatting>
  <conditionalFormatting sqref="Q4:Q48">
    <cfRule type="cellIs" dxfId="281" priority="7" operator="lessThan">
      <formula>100</formula>
    </cfRule>
  </conditionalFormatting>
  <conditionalFormatting sqref="I49:I56">
    <cfRule type="cellIs" dxfId="280" priority="8" operator="lessThan">
      <formula>0.05</formula>
    </cfRule>
  </conditionalFormatting>
  <conditionalFormatting sqref="Q49:Q56">
    <cfRule type="cellIs" dxfId="279" priority="9" operator="lessThan">
      <formula>100</formula>
    </cfRule>
  </conditionalFormatting>
  <conditionalFormatting sqref="Q49:Q56">
    <cfRule type="cellIs" dxfId="278" priority="10" operator="lessThan">
      <formula>100</formula>
    </cfRule>
  </conditionalFormatting>
  <pageMargins left="0.7" right="0.7" top="0.75" bottom="0.75" header="0" footer="0"/>
  <pageSetup orientation="portrait"/>
  <legacy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4.6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Info!B1:BJ5000""),4,FALSE),"""")"),"Heavy Duty Vinyl Zippered Waterproof Bed Bug Proof Mattress Protector - 16-Inch Depth - Twin XL")</f>
        <v>Heavy Duty Vinyl Zippered Waterproof Bed Bug Proof Mattress Protector - 16-Inch Depth - Twin XL</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Info!B1:BJ5000""),3,FALSE),"""")"),"B00IOWBKK0")</f>
        <v>B00IOWBKK0</v>
      </c>
      <c r="B2" s="4" t="s">
        <v>878</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17.202956327985728</v>
      </c>
      <c r="D3" s="8">
        <f>SUM(D4:D99819)</f>
        <v>4</v>
      </c>
      <c r="E3" s="8"/>
      <c r="F3" s="9">
        <f t="shared" ref="F3:G3" si="0">SUM(F4:F99819)</f>
        <v>85.96</v>
      </c>
      <c r="G3" s="9">
        <f t="shared" si="0"/>
        <v>-1.68</v>
      </c>
      <c r="H3" s="10">
        <f>G3/F3*-1</f>
        <v>1.954397394136808E-2</v>
      </c>
      <c r="I3" s="11">
        <f>J3/F3</f>
        <v>4.9180415133184309E-2</v>
      </c>
      <c r="J3" s="9">
        <f>SUM(J4:J99819)</f>
        <v>4.2275484848485227</v>
      </c>
      <c r="K3" s="9">
        <f>J3/D3</f>
        <v>1.0568871212121307</v>
      </c>
      <c r="L3" s="8"/>
      <c r="M3" s="12"/>
      <c r="N3" s="13"/>
      <c r="O3" s="8" t="str">
        <f ca="1">IFERROR(__xludf.DUMMYFUNCTION("IFERROR(VLOOKUP(B2,IMPORTRANGE(""https://docs.google.com/spreadsheets/d/1owCo6kL_VFQ5nPTdNogErmCBLjNiktT1m3SzTrxu3R0/edit#gid=2146806407"",""Second Star - Compiled!b1:g5000""),2,FALSE),"""")"),"0 - March
0 - April
0 - May
0 - Jun
0 - Jul
0 - Aug
0 - Sept
0 - Oct
0 - Nov
0 - Dec
0 - Jan
0 - Feb")</f>
        <v>0 - March
0 - April
0 - May
0 - Jun
0 - Jul
0 - Aug
0 - Sept
0 - Oct
0 - Nov
0 - Dec
0 - Jan
0 - Feb</v>
      </c>
      <c r="P3" s="8"/>
      <c r="Q3" s="14"/>
      <c r="R3" s="13"/>
      <c r="S3" s="13"/>
      <c r="T3" s="13"/>
      <c r="U3" s="8">
        <f>SUM(U4:U99819)</f>
        <v>0</v>
      </c>
      <c r="V3" s="10">
        <f>AVERAGE(V4:V99819)</f>
        <v>0</v>
      </c>
      <c r="W3" s="9">
        <f>ROUND(AVERAGE(W4:W99819),2)</f>
        <v>0</v>
      </c>
      <c r="X3" s="8"/>
      <c r="Y3" s="8"/>
      <c r="Z3" s="8"/>
      <c r="AA3" s="8"/>
      <c r="AB3" s="8"/>
      <c r="AC3" s="15"/>
      <c r="AD3" s="9"/>
      <c r="AE3" s="9">
        <f>SUM(AE4:AE99819)</f>
        <v>0</v>
      </c>
      <c r="AF3" s="16"/>
    </row>
    <row r="4" spans="1:32" s="57" customFormat="1" hidden="1">
      <c r="A4" s="17"/>
      <c r="B4" s="17"/>
      <c r="C4" s="50"/>
      <c r="D4" s="51"/>
      <c r="E4" s="51"/>
      <c r="F4" s="51"/>
      <c r="G4" s="51"/>
      <c r="H4" s="51"/>
      <c r="I4" s="51"/>
      <c r="J4" s="51"/>
      <c r="K4" s="51"/>
      <c r="L4" s="51"/>
      <c r="M4" s="51"/>
      <c r="N4" s="51"/>
      <c r="O4" s="51"/>
      <c r="P4" s="51"/>
      <c r="Q4" s="51"/>
      <c r="R4" s="52"/>
      <c r="S4" s="53"/>
      <c r="T4" s="54"/>
      <c r="U4" s="52"/>
      <c r="V4" s="55"/>
      <c r="W4" s="55"/>
      <c r="X4" s="52"/>
      <c r="Y4" s="56"/>
      <c r="Z4" s="56"/>
      <c r="AA4" s="55"/>
      <c r="AB4" s="55"/>
      <c r="AC4" s="55"/>
      <c r="AD4" s="55"/>
      <c r="AE4" s="55"/>
      <c r="AF4" s="55"/>
    </row>
    <row r="5" spans="1:32" s="57" customFormat="1" ht="15.75" hidden="1" customHeight="1">
      <c r="A5" s="17"/>
      <c r="B5" s="2"/>
      <c r="C5" s="51"/>
      <c r="D5" s="51"/>
      <c r="E5" s="51"/>
      <c r="F5" s="51"/>
      <c r="G5" s="51"/>
      <c r="H5" s="51"/>
      <c r="I5" s="51"/>
      <c r="J5" s="51"/>
      <c r="K5" s="51"/>
      <c r="L5" s="51"/>
      <c r="M5" s="51"/>
      <c r="N5" s="51"/>
      <c r="O5" s="51"/>
      <c r="P5" s="51"/>
      <c r="Q5" s="51"/>
      <c r="R5" s="52"/>
      <c r="S5" s="53"/>
      <c r="T5" s="54"/>
      <c r="U5" s="52"/>
      <c r="V5" s="55"/>
      <c r="W5" s="55"/>
      <c r="X5" s="52"/>
      <c r="Y5" s="52"/>
      <c r="Z5" s="56"/>
      <c r="AA5" s="55"/>
      <c r="AB5" s="55"/>
      <c r="AC5" s="55"/>
      <c r="AD5" s="55"/>
      <c r="AE5" s="55"/>
      <c r="AF5" s="55"/>
    </row>
    <row r="6" spans="1:32" s="57" customFormat="1" ht="15.75" hidden="1" customHeight="1">
      <c r="A6" s="17"/>
      <c r="B6" s="2"/>
      <c r="C6" s="51"/>
      <c r="D6" s="51"/>
      <c r="E6" s="51"/>
      <c r="F6" s="51"/>
      <c r="G6" s="51"/>
      <c r="H6" s="51"/>
      <c r="I6" s="51"/>
      <c r="J6" s="51"/>
      <c r="K6" s="51"/>
      <c r="L6" s="51"/>
      <c r="M6" s="51"/>
      <c r="N6" s="51"/>
      <c r="O6" s="51"/>
      <c r="P6" s="51"/>
      <c r="Q6" s="51"/>
      <c r="R6" s="52"/>
      <c r="S6" s="53"/>
      <c r="T6" s="54"/>
      <c r="U6" s="52"/>
      <c r="V6" s="55"/>
      <c r="W6" s="55"/>
      <c r="X6" s="52"/>
      <c r="Y6" s="52"/>
      <c r="Z6" s="56"/>
      <c r="AA6" s="55"/>
      <c r="AB6" s="55"/>
      <c r="AC6" s="55"/>
      <c r="AD6" s="55"/>
      <c r="AE6" s="55"/>
      <c r="AF6" s="55"/>
    </row>
    <row r="7" spans="1:32" s="57" customFormat="1" ht="15.75" hidden="1" customHeight="1">
      <c r="A7" s="17"/>
      <c r="B7" s="2"/>
      <c r="C7" s="51"/>
      <c r="D7" s="51"/>
      <c r="E7" s="51"/>
      <c r="F7" s="51"/>
      <c r="G7" s="51"/>
      <c r="H7" s="51"/>
      <c r="I7" s="51"/>
      <c r="J7" s="51"/>
      <c r="K7" s="51"/>
      <c r="L7" s="51"/>
      <c r="M7" s="51"/>
      <c r="N7" s="51"/>
      <c r="O7" s="51"/>
      <c r="P7" s="51"/>
      <c r="Q7" s="51"/>
      <c r="R7" s="52"/>
      <c r="S7" s="53"/>
      <c r="T7" s="54"/>
      <c r="U7" s="52"/>
      <c r="V7" s="55"/>
      <c r="W7" s="55"/>
      <c r="X7" s="52"/>
      <c r="Y7" s="52"/>
      <c r="Z7" s="56"/>
      <c r="AA7" s="55"/>
      <c r="AB7" s="55"/>
      <c r="AC7" s="55"/>
      <c r="AD7" s="55"/>
      <c r="AE7" s="55"/>
      <c r="AF7" s="55"/>
    </row>
    <row r="8" spans="1:32" s="57" customFormat="1" ht="15.75" hidden="1" customHeight="1">
      <c r="A8" s="17"/>
      <c r="B8" s="2"/>
      <c r="C8" s="51"/>
      <c r="D8" s="51"/>
      <c r="E8" s="51"/>
      <c r="F8" s="51"/>
      <c r="G8" s="51"/>
      <c r="H8" s="51"/>
      <c r="I8" s="51"/>
      <c r="J8" s="51"/>
      <c r="K8" s="51"/>
      <c r="L8" s="51"/>
      <c r="M8" s="51"/>
      <c r="N8" s="51"/>
      <c r="O8" s="51"/>
      <c r="P8" s="51"/>
      <c r="Q8" s="51"/>
      <c r="R8" s="52"/>
      <c r="S8" s="53"/>
      <c r="T8" s="54"/>
      <c r="U8" s="52"/>
      <c r="V8" s="55"/>
      <c r="W8" s="55"/>
      <c r="X8" s="52"/>
      <c r="Y8" s="52"/>
      <c r="Z8" s="56"/>
      <c r="AA8" s="55"/>
      <c r="AB8" s="55"/>
      <c r="AC8" s="55"/>
      <c r="AD8" s="55"/>
      <c r="AE8" s="55"/>
      <c r="AF8" s="55"/>
    </row>
    <row r="9" spans="1:32" s="57" customFormat="1" ht="15.75" hidden="1" customHeight="1">
      <c r="A9" s="17"/>
      <c r="B9" s="2"/>
      <c r="C9" s="51"/>
      <c r="D9" s="51"/>
      <c r="E9" s="51"/>
      <c r="F9" s="51"/>
      <c r="G9" s="51"/>
      <c r="H9" s="51"/>
      <c r="I9" s="51"/>
      <c r="J9" s="51"/>
      <c r="K9" s="51"/>
      <c r="L9" s="51"/>
      <c r="M9" s="51"/>
      <c r="N9" s="51"/>
      <c r="O9" s="51"/>
      <c r="P9" s="51"/>
      <c r="Q9" s="51"/>
      <c r="R9" s="52"/>
      <c r="S9" s="53"/>
      <c r="T9" s="54"/>
      <c r="U9" s="52"/>
      <c r="V9" s="55"/>
      <c r="W9" s="55"/>
      <c r="X9" s="52"/>
      <c r="Y9" s="52"/>
      <c r="Z9" s="56"/>
      <c r="AA9" s="55"/>
      <c r="AB9" s="55"/>
      <c r="AC9" s="55"/>
      <c r="AD9" s="55"/>
      <c r="AE9" s="55"/>
      <c r="AF9" s="55"/>
    </row>
    <row r="10" spans="1:32" s="57" customFormat="1" ht="15.75" hidden="1" customHeight="1">
      <c r="A10" s="17"/>
      <c r="B10" s="2"/>
      <c r="C10" s="51"/>
      <c r="D10" s="51"/>
      <c r="E10" s="51"/>
      <c r="F10" s="51"/>
      <c r="G10" s="51"/>
      <c r="H10" s="51"/>
      <c r="I10" s="51"/>
      <c r="J10" s="51"/>
      <c r="K10" s="51"/>
      <c r="L10" s="51"/>
      <c r="M10" s="51"/>
      <c r="N10" s="51"/>
      <c r="O10" s="51"/>
      <c r="P10" s="51"/>
      <c r="Q10" s="51"/>
      <c r="R10" s="52"/>
      <c r="S10" s="53"/>
      <c r="T10" s="54"/>
      <c r="U10" s="52"/>
      <c r="V10" s="55"/>
      <c r="W10" s="55"/>
      <c r="X10" s="52"/>
      <c r="Y10" s="52"/>
      <c r="Z10" s="56"/>
      <c r="AA10" s="55"/>
      <c r="AB10" s="55"/>
      <c r="AC10" s="55"/>
      <c r="AD10" s="55"/>
      <c r="AE10" s="55"/>
      <c r="AF10" s="55"/>
    </row>
    <row r="11" spans="1:32" s="57" customFormat="1" ht="15.75" hidden="1" customHeight="1">
      <c r="A11" s="17"/>
      <c r="B11" s="17"/>
      <c r="C11" s="51"/>
      <c r="D11" s="51"/>
      <c r="E11" s="51"/>
      <c r="F11" s="51"/>
      <c r="G11" s="51"/>
      <c r="H11" s="51"/>
      <c r="I11" s="51"/>
      <c r="J11" s="51"/>
      <c r="K11" s="51"/>
      <c r="L11" s="51"/>
      <c r="M11" s="51"/>
      <c r="N11" s="51"/>
      <c r="O11" s="51"/>
      <c r="P11" s="51"/>
      <c r="Q11" s="51"/>
      <c r="R11" s="52"/>
      <c r="S11" s="53"/>
      <c r="T11" s="54"/>
      <c r="U11" s="52"/>
      <c r="V11" s="55"/>
      <c r="W11" s="55"/>
      <c r="X11" s="52"/>
      <c r="Y11" s="52"/>
      <c r="Z11" s="56"/>
      <c r="AA11" s="55"/>
      <c r="AB11" s="55"/>
      <c r="AC11" s="55"/>
      <c r="AD11" s="55"/>
      <c r="AE11" s="55"/>
      <c r="AF11" s="55"/>
    </row>
    <row r="12" spans="1:32" s="57" customFormat="1" ht="15.75" hidden="1" customHeight="1">
      <c r="A12" s="17"/>
      <c r="B12" s="2"/>
      <c r="C12" s="51"/>
      <c r="D12" s="51"/>
      <c r="E12" s="51"/>
      <c r="F12" s="51"/>
      <c r="G12" s="51"/>
      <c r="H12" s="51"/>
      <c r="I12" s="51"/>
      <c r="J12" s="51"/>
      <c r="K12" s="51"/>
      <c r="L12" s="51"/>
      <c r="M12" s="51"/>
      <c r="N12" s="51"/>
      <c r="O12" s="51"/>
      <c r="P12" s="51"/>
      <c r="Q12" s="51"/>
      <c r="R12" s="52"/>
      <c r="S12" s="53"/>
      <c r="T12" s="54"/>
      <c r="U12" s="52"/>
      <c r="V12" s="55"/>
      <c r="W12" s="55"/>
      <c r="X12" s="52"/>
      <c r="Y12" s="52"/>
      <c r="Z12" s="56"/>
      <c r="AA12" s="55"/>
      <c r="AB12" s="55"/>
      <c r="AC12" s="55"/>
      <c r="AD12" s="55"/>
      <c r="AE12" s="55"/>
      <c r="AF12" s="55"/>
    </row>
    <row r="13" spans="1:32" s="57" customFormat="1" ht="15.75" hidden="1" customHeight="1">
      <c r="A13" s="17"/>
      <c r="B13" s="2"/>
      <c r="C13" s="51"/>
      <c r="D13" s="51"/>
      <c r="E13" s="51"/>
      <c r="F13" s="51"/>
      <c r="G13" s="51"/>
      <c r="H13" s="51"/>
      <c r="I13" s="51"/>
      <c r="J13" s="51"/>
      <c r="K13" s="51"/>
      <c r="L13" s="51"/>
      <c r="M13" s="51"/>
      <c r="N13" s="51"/>
      <c r="O13" s="51"/>
      <c r="P13" s="51"/>
      <c r="Q13" s="51"/>
      <c r="R13" s="52"/>
      <c r="S13" s="53"/>
      <c r="T13" s="54"/>
      <c r="U13" s="52"/>
      <c r="V13" s="55"/>
      <c r="W13" s="55"/>
      <c r="X13" s="52"/>
      <c r="Y13" s="52"/>
      <c r="Z13" s="56"/>
      <c r="AA13" s="55"/>
      <c r="AB13" s="55"/>
      <c r="AC13" s="55"/>
      <c r="AD13" s="55"/>
      <c r="AE13" s="55"/>
      <c r="AF13" s="55"/>
    </row>
    <row r="14" spans="1:32" s="57" customFormat="1" ht="15.75" hidden="1" customHeight="1">
      <c r="A14" s="17"/>
      <c r="B14" s="2"/>
      <c r="C14" s="51"/>
      <c r="D14" s="51"/>
      <c r="E14" s="51"/>
      <c r="F14" s="51"/>
      <c r="G14" s="51"/>
      <c r="H14" s="51"/>
      <c r="I14" s="51"/>
      <c r="J14" s="51"/>
      <c r="K14" s="51"/>
      <c r="L14" s="51"/>
      <c r="M14" s="51"/>
      <c r="N14" s="51"/>
      <c r="O14" s="51"/>
      <c r="P14" s="51"/>
      <c r="Q14" s="51"/>
      <c r="R14" s="52"/>
      <c r="S14" s="53"/>
      <c r="T14" s="54"/>
      <c r="U14" s="52"/>
      <c r="V14" s="55"/>
      <c r="W14" s="55"/>
      <c r="X14" s="52"/>
      <c r="Y14" s="52"/>
      <c r="Z14" s="56"/>
      <c r="AA14" s="55"/>
      <c r="AB14" s="55"/>
      <c r="AC14" s="55"/>
      <c r="AD14" s="55"/>
      <c r="AE14" s="55"/>
      <c r="AF14" s="55"/>
    </row>
    <row r="15" spans="1:32" s="57" customFormat="1" ht="15.75" hidden="1" customHeight="1">
      <c r="A15" s="17"/>
      <c r="B15" s="2"/>
      <c r="C15" s="51"/>
      <c r="D15" s="51"/>
      <c r="E15" s="51"/>
      <c r="F15" s="51"/>
      <c r="G15" s="51"/>
      <c r="H15" s="51"/>
      <c r="I15" s="51"/>
      <c r="J15" s="51"/>
      <c r="K15" s="51"/>
      <c r="L15" s="51"/>
      <c r="M15" s="51"/>
      <c r="N15" s="51"/>
      <c r="O15" s="51"/>
      <c r="P15" s="51"/>
      <c r="Q15" s="51"/>
      <c r="R15" s="52"/>
      <c r="S15" s="53"/>
      <c r="T15" s="54"/>
      <c r="U15" s="52"/>
      <c r="V15" s="55"/>
      <c r="W15" s="55"/>
      <c r="X15" s="52"/>
      <c r="Y15" s="52"/>
      <c r="Z15" s="56"/>
      <c r="AA15" s="55"/>
      <c r="AB15" s="55"/>
      <c r="AC15" s="55"/>
      <c r="AD15" s="55"/>
      <c r="AE15" s="55"/>
      <c r="AF15" s="55"/>
    </row>
    <row r="16" spans="1:32" s="57" customFormat="1" ht="15.75" hidden="1" customHeight="1">
      <c r="A16" s="17"/>
      <c r="B16" s="2"/>
      <c r="C16" s="51"/>
      <c r="D16" s="51"/>
      <c r="E16" s="51"/>
      <c r="F16" s="51"/>
      <c r="G16" s="51"/>
      <c r="H16" s="51"/>
      <c r="I16" s="51"/>
      <c r="J16" s="51"/>
      <c r="K16" s="51"/>
      <c r="L16" s="51"/>
      <c r="M16" s="51"/>
      <c r="N16" s="51"/>
      <c r="O16" s="51"/>
      <c r="P16" s="51"/>
      <c r="Q16" s="51"/>
      <c r="R16" s="52"/>
      <c r="S16" s="53"/>
      <c r="T16" s="54"/>
      <c r="U16" s="52"/>
      <c r="V16" s="55"/>
      <c r="W16" s="55"/>
      <c r="X16" s="52"/>
      <c r="Y16" s="52"/>
      <c r="Z16" s="56"/>
      <c r="AA16" s="55"/>
      <c r="AB16" s="55"/>
      <c r="AC16" s="55"/>
      <c r="AD16" s="55"/>
      <c r="AE16" s="55"/>
      <c r="AF16" s="55"/>
    </row>
    <row r="17" spans="1:32" s="57" customFormat="1" ht="15.75" hidden="1" customHeight="1">
      <c r="A17" s="17"/>
      <c r="B17" s="2"/>
      <c r="C17" s="51"/>
      <c r="D17" s="51"/>
      <c r="E17" s="51"/>
      <c r="F17" s="51"/>
      <c r="G17" s="51"/>
      <c r="H17" s="51"/>
      <c r="I17" s="51"/>
      <c r="J17" s="51"/>
      <c r="K17" s="51"/>
      <c r="L17" s="51"/>
      <c r="M17" s="51"/>
      <c r="N17" s="51"/>
      <c r="O17" s="51"/>
      <c r="P17" s="51"/>
      <c r="Q17" s="51"/>
      <c r="R17" s="52"/>
      <c r="S17" s="53"/>
      <c r="T17" s="54"/>
      <c r="U17" s="52"/>
      <c r="V17" s="55"/>
      <c r="W17" s="55"/>
      <c r="X17" s="52"/>
      <c r="Y17" s="52"/>
      <c r="Z17" s="56"/>
      <c r="AA17" s="55"/>
      <c r="AB17" s="55"/>
      <c r="AC17" s="55"/>
      <c r="AD17" s="55"/>
      <c r="AE17" s="55"/>
      <c r="AF17" s="55"/>
    </row>
    <row r="18" spans="1:32" s="57" customFormat="1" ht="15.75" hidden="1" customHeight="1">
      <c r="A18" s="2"/>
      <c r="B18" s="2"/>
      <c r="C18" s="51"/>
      <c r="D18" s="51"/>
      <c r="E18" s="51"/>
      <c r="F18" s="51"/>
      <c r="G18" s="51"/>
      <c r="H18" s="51"/>
      <c r="I18" s="51"/>
      <c r="J18" s="51"/>
      <c r="K18" s="51"/>
      <c r="L18" s="51"/>
      <c r="M18" s="51"/>
      <c r="N18" s="51"/>
      <c r="O18" s="51"/>
      <c r="P18" s="51"/>
      <c r="Q18" s="51"/>
      <c r="R18" s="55"/>
      <c r="S18" s="53"/>
      <c r="T18" s="54"/>
      <c r="U18" s="55"/>
      <c r="V18" s="55"/>
      <c r="W18" s="55"/>
      <c r="X18" s="55"/>
      <c r="Y18" s="55"/>
      <c r="Z18" s="56"/>
      <c r="AA18" s="55"/>
      <c r="AB18" s="58"/>
      <c r="AC18" s="55"/>
      <c r="AD18" s="55"/>
      <c r="AE18" s="55"/>
      <c r="AF18" s="55"/>
    </row>
    <row r="19" spans="1:32" s="57" customFormat="1" ht="15.75" hidden="1" customHeight="1">
      <c r="A19" s="17"/>
      <c r="B19" s="2"/>
      <c r="C19" s="51"/>
      <c r="D19" s="51"/>
      <c r="E19" s="51"/>
      <c r="F19" s="51"/>
      <c r="G19" s="51"/>
      <c r="H19" s="51"/>
      <c r="I19" s="51"/>
      <c r="J19" s="51"/>
      <c r="K19" s="51"/>
      <c r="L19" s="51"/>
      <c r="M19" s="51"/>
      <c r="N19" s="51"/>
      <c r="O19" s="51"/>
      <c r="P19" s="51"/>
      <c r="Q19" s="51"/>
      <c r="R19" s="52"/>
      <c r="S19" s="53"/>
      <c r="T19" s="54"/>
      <c r="U19" s="55"/>
      <c r="V19" s="55"/>
      <c r="W19" s="55"/>
      <c r="X19" s="52"/>
      <c r="Y19" s="52"/>
      <c r="Z19" s="56"/>
      <c r="AA19" s="55"/>
      <c r="AB19" s="55"/>
      <c r="AC19" s="55"/>
      <c r="AD19" s="55"/>
      <c r="AE19" s="55"/>
      <c r="AF19" s="55"/>
    </row>
    <row r="20" spans="1:32" s="57" customFormat="1" ht="15.75" hidden="1" customHeight="1">
      <c r="A20" s="17"/>
      <c r="B20" s="2"/>
      <c r="C20" s="51"/>
      <c r="D20" s="51"/>
      <c r="E20" s="51"/>
      <c r="F20" s="51"/>
      <c r="G20" s="51"/>
      <c r="H20" s="51"/>
      <c r="I20" s="51"/>
      <c r="J20" s="51"/>
      <c r="K20" s="51"/>
      <c r="L20" s="51"/>
      <c r="M20" s="51"/>
      <c r="N20" s="51"/>
      <c r="O20" s="51"/>
      <c r="P20" s="51"/>
      <c r="Q20" s="51"/>
      <c r="R20" s="52"/>
      <c r="S20" s="53"/>
      <c r="T20" s="54"/>
      <c r="U20" s="52"/>
      <c r="V20" s="55"/>
      <c r="W20" s="55"/>
      <c r="X20" s="52"/>
      <c r="Y20" s="52"/>
      <c r="Z20" s="56"/>
      <c r="AA20" s="55"/>
      <c r="AB20" s="55"/>
      <c r="AC20" s="55"/>
      <c r="AD20" s="55"/>
      <c r="AE20" s="55"/>
      <c r="AF20" s="55"/>
    </row>
    <row r="21" spans="1:32" s="57" customFormat="1" ht="15.75" hidden="1" customHeight="1">
      <c r="A21" s="17"/>
      <c r="B21" s="2"/>
      <c r="C21" s="51"/>
      <c r="D21" s="51"/>
      <c r="E21" s="51"/>
      <c r="F21" s="51"/>
      <c r="G21" s="51"/>
      <c r="H21" s="51"/>
      <c r="I21" s="51"/>
      <c r="J21" s="51"/>
      <c r="K21" s="51"/>
      <c r="L21" s="51"/>
      <c r="M21" s="51"/>
      <c r="N21" s="51"/>
      <c r="O21" s="51"/>
      <c r="P21" s="51"/>
      <c r="Q21" s="51"/>
      <c r="R21" s="52"/>
      <c r="S21" s="53"/>
      <c r="T21" s="54"/>
      <c r="U21" s="52"/>
      <c r="V21" s="55"/>
      <c r="W21" s="55"/>
      <c r="X21" s="52"/>
      <c r="Y21" s="52"/>
      <c r="Z21" s="56"/>
      <c r="AA21" s="55"/>
      <c r="AB21" s="55"/>
      <c r="AC21" s="55"/>
      <c r="AD21" s="55"/>
      <c r="AE21" s="55"/>
      <c r="AF21" s="55"/>
    </row>
    <row r="22" spans="1:32" s="57" customFormat="1" ht="15.75" hidden="1" customHeight="1">
      <c r="A22" s="17"/>
      <c r="B22" s="2"/>
      <c r="C22" s="51"/>
      <c r="D22" s="51"/>
      <c r="E22" s="51"/>
      <c r="F22" s="51"/>
      <c r="G22" s="51"/>
      <c r="H22" s="51"/>
      <c r="I22" s="51"/>
      <c r="J22" s="51"/>
      <c r="K22" s="51"/>
      <c r="L22" s="51"/>
      <c r="M22" s="51"/>
      <c r="N22" s="51"/>
      <c r="O22" s="51"/>
      <c r="P22" s="51"/>
      <c r="Q22" s="51"/>
      <c r="R22" s="52"/>
      <c r="S22" s="53"/>
      <c r="T22" s="54"/>
      <c r="U22" s="52"/>
      <c r="V22" s="55"/>
      <c r="W22" s="55"/>
      <c r="X22" s="52"/>
      <c r="Y22" s="52"/>
      <c r="Z22" s="56"/>
      <c r="AA22" s="55"/>
      <c r="AB22" s="55"/>
      <c r="AC22" s="55"/>
      <c r="AD22" s="55"/>
      <c r="AE22" s="55"/>
      <c r="AF22" s="55"/>
    </row>
    <row r="23" spans="1:32" s="57" customFormat="1" ht="15.75" hidden="1" customHeight="1">
      <c r="A23" s="17"/>
      <c r="B23" s="2"/>
      <c r="C23" s="51"/>
      <c r="D23" s="51"/>
      <c r="E23" s="51"/>
      <c r="F23" s="51"/>
      <c r="G23" s="51"/>
      <c r="H23" s="51"/>
      <c r="I23" s="51"/>
      <c r="J23" s="51"/>
      <c r="K23" s="51"/>
      <c r="L23" s="51"/>
      <c r="M23" s="51"/>
      <c r="N23" s="51"/>
      <c r="O23" s="51"/>
      <c r="P23" s="51"/>
      <c r="Q23" s="51"/>
      <c r="R23" s="52"/>
      <c r="S23" s="53"/>
      <c r="T23" s="54"/>
      <c r="U23" s="52"/>
      <c r="V23" s="55"/>
      <c r="W23" s="55"/>
      <c r="X23" s="52"/>
      <c r="Y23" s="52"/>
      <c r="Z23" s="56"/>
      <c r="AA23" s="55"/>
      <c r="AB23" s="55"/>
      <c r="AC23" s="55"/>
      <c r="AD23" s="55"/>
      <c r="AE23" s="55"/>
      <c r="AF23" s="55"/>
    </row>
    <row r="24" spans="1:32" s="57" customFormat="1" ht="15.75" hidden="1" customHeight="1">
      <c r="A24" s="17"/>
      <c r="B24" s="2"/>
      <c r="C24" s="51"/>
      <c r="D24" s="51"/>
      <c r="E24" s="51"/>
      <c r="F24" s="51"/>
      <c r="G24" s="51"/>
      <c r="H24" s="51"/>
      <c r="I24" s="51"/>
      <c r="J24" s="51"/>
      <c r="K24" s="51"/>
      <c r="L24" s="51"/>
      <c r="M24" s="51"/>
      <c r="N24" s="51"/>
      <c r="O24" s="51"/>
      <c r="P24" s="51"/>
      <c r="Q24" s="51"/>
      <c r="R24" s="52"/>
      <c r="S24" s="53"/>
      <c r="T24" s="54"/>
      <c r="U24" s="52"/>
      <c r="V24" s="55"/>
      <c r="W24" s="55"/>
      <c r="X24" s="52"/>
      <c r="Y24" s="52"/>
      <c r="Z24" s="56"/>
      <c r="AA24" s="55"/>
      <c r="AB24" s="55"/>
      <c r="AC24" s="55"/>
      <c r="AD24" s="55"/>
      <c r="AE24" s="55"/>
      <c r="AF24" s="55"/>
    </row>
    <row r="25" spans="1:32" s="57" customFormat="1" ht="15.75" hidden="1" customHeight="1">
      <c r="A25" s="17"/>
      <c r="B25" s="2"/>
      <c r="C25" s="51"/>
      <c r="D25" s="51"/>
      <c r="E25" s="51"/>
      <c r="F25" s="51"/>
      <c r="G25" s="51"/>
      <c r="H25" s="51"/>
      <c r="I25" s="51"/>
      <c r="J25" s="51"/>
      <c r="K25" s="51"/>
      <c r="L25" s="51"/>
      <c r="M25" s="51"/>
      <c r="N25" s="51"/>
      <c r="O25" s="51"/>
      <c r="P25" s="51"/>
      <c r="Q25" s="51"/>
      <c r="R25" s="52"/>
      <c r="S25" s="53"/>
      <c r="T25" s="54"/>
      <c r="U25" s="52"/>
      <c r="V25" s="55"/>
      <c r="W25" s="55"/>
      <c r="X25" s="52"/>
      <c r="Y25" s="52"/>
      <c r="Z25" s="56"/>
      <c r="AA25" s="55"/>
      <c r="AB25" s="55"/>
      <c r="AC25" s="55"/>
      <c r="AD25" s="55"/>
      <c r="AE25" s="55"/>
      <c r="AF25" s="55"/>
    </row>
    <row r="26" spans="1:32" s="57" customFormat="1" ht="15.75" hidden="1" customHeight="1">
      <c r="A26" s="17"/>
      <c r="B26" s="2"/>
      <c r="C26" s="51"/>
      <c r="D26" s="51"/>
      <c r="E26" s="51"/>
      <c r="F26" s="51"/>
      <c r="G26" s="51"/>
      <c r="H26" s="51"/>
      <c r="I26" s="51"/>
      <c r="J26" s="51"/>
      <c r="K26" s="51"/>
      <c r="L26" s="51"/>
      <c r="M26" s="51"/>
      <c r="N26" s="51"/>
      <c r="O26" s="51"/>
      <c r="P26" s="51"/>
      <c r="Q26" s="51"/>
      <c r="R26" s="52"/>
      <c r="S26" s="53"/>
      <c r="T26" s="54"/>
      <c r="U26" s="52"/>
      <c r="V26" s="55"/>
      <c r="W26" s="55"/>
      <c r="X26" s="52"/>
      <c r="Y26" s="52"/>
      <c r="Z26" s="56"/>
      <c r="AA26" s="55"/>
      <c r="AB26" s="55"/>
      <c r="AC26" s="55"/>
      <c r="AD26" s="55"/>
      <c r="AE26" s="55"/>
      <c r="AF26" s="55"/>
    </row>
    <row r="27" spans="1:32" s="57" customFormat="1" ht="15.75" hidden="1" customHeight="1">
      <c r="A27" s="17"/>
      <c r="B27" s="2"/>
      <c r="C27" s="51"/>
      <c r="D27" s="51"/>
      <c r="E27" s="51"/>
      <c r="F27" s="51"/>
      <c r="G27" s="51"/>
      <c r="H27" s="51"/>
      <c r="I27" s="51"/>
      <c r="J27" s="51"/>
      <c r="K27" s="51"/>
      <c r="L27" s="51"/>
      <c r="M27" s="51"/>
      <c r="N27" s="51"/>
      <c r="O27" s="51"/>
      <c r="P27" s="51"/>
      <c r="Q27" s="51"/>
      <c r="R27" s="52"/>
      <c r="S27" s="53"/>
      <c r="T27" s="54"/>
      <c r="U27" s="52"/>
      <c r="V27" s="55"/>
      <c r="W27" s="55"/>
      <c r="X27" s="52"/>
      <c r="Y27" s="52"/>
      <c r="Z27" s="56"/>
      <c r="AA27" s="55"/>
      <c r="AB27" s="55"/>
      <c r="AC27" s="55"/>
      <c r="AD27" s="55"/>
      <c r="AE27" s="55"/>
      <c r="AF27" s="55"/>
    </row>
    <row r="28" spans="1:32" s="57" customFormat="1" ht="15.75" hidden="1" customHeight="1">
      <c r="A28" s="17"/>
      <c r="B28" s="2"/>
      <c r="C28" s="51"/>
      <c r="D28" s="51"/>
      <c r="E28" s="51"/>
      <c r="F28" s="51"/>
      <c r="G28" s="51"/>
      <c r="H28" s="51"/>
      <c r="I28" s="51"/>
      <c r="J28" s="51"/>
      <c r="K28" s="51"/>
      <c r="L28" s="51"/>
      <c r="M28" s="51"/>
      <c r="N28" s="51"/>
      <c r="O28" s="51"/>
      <c r="P28" s="51"/>
      <c r="Q28" s="51"/>
      <c r="R28" s="52"/>
      <c r="S28" s="53"/>
      <c r="T28" s="54"/>
      <c r="U28" s="52"/>
      <c r="V28" s="55"/>
      <c r="W28" s="55"/>
      <c r="X28" s="52"/>
      <c r="Y28" s="52"/>
      <c r="Z28" s="56"/>
      <c r="AA28" s="55"/>
      <c r="AB28" s="55"/>
      <c r="AC28" s="55"/>
      <c r="AD28" s="55"/>
      <c r="AE28" s="55"/>
      <c r="AF28" s="55"/>
    </row>
    <row r="29" spans="1:32" s="57" customFormat="1" ht="15.75" hidden="1" customHeight="1">
      <c r="A29" s="17"/>
      <c r="B29" s="2"/>
      <c r="C29" s="51"/>
      <c r="D29" s="51"/>
      <c r="E29" s="51"/>
      <c r="F29" s="51"/>
      <c r="G29" s="51"/>
      <c r="H29" s="51"/>
      <c r="I29" s="51"/>
      <c r="J29" s="51"/>
      <c r="K29" s="51"/>
      <c r="L29" s="51"/>
      <c r="M29" s="51"/>
      <c r="N29" s="51"/>
      <c r="O29" s="51"/>
      <c r="P29" s="51"/>
      <c r="Q29" s="51"/>
      <c r="R29" s="52"/>
      <c r="S29" s="53"/>
      <c r="T29" s="54"/>
      <c r="U29" s="52"/>
      <c r="V29" s="55"/>
      <c r="W29" s="55"/>
      <c r="X29" s="52"/>
      <c r="Y29" s="52"/>
      <c r="Z29" s="56"/>
      <c r="AA29" s="55"/>
      <c r="AB29" s="55"/>
      <c r="AC29" s="55"/>
      <c r="AD29" s="55"/>
      <c r="AE29" s="55"/>
      <c r="AF29" s="55"/>
    </row>
    <row r="30" spans="1:32" s="57" customFormat="1" ht="15.75" hidden="1" customHeight="1">
      <c r="A30" s="17"/>
      <c r="B30" s="2"/>
      <c r="C30" s="51"/>
      <c r="D30" s="51"/>
      <c r="E30" s="51"/>
      <c r="F30" s="51"/>
      <c r="G30" s="51"/>
      <c r="H30" s="51"/>
      <c r="I30" s="51"/>
      <c r="J30" s="51"/>
      <c r="K30" s="51"/>
      <c r="L30" s="51"/>
      <c r="M30" s="51"/>
      <c r="N30" s="51"/>
      <c r="O30" s="51"/>
      <c r="P30" s="51"/>
      <c r="Q30" s="51"/>
      <c r="R30" s="52"/>
      <c r="S30" s="53"/>
      <c r="T30" s="54"/>
      <c r="U30" s="52"/>
      <c r="V30" s="55"/>
      <c r="W30" s="55"/>
      <c r="X30" s="52"/>
      <c r="Y30" s="52"/>
      <c r="Z30" s="56"/>
      <c r="AA30" s="55"/>
      <c r="AB30" s="55"/>
      <c r="AC30" s="55"/>
      <c r="AD30" s="55"/>
      <c r="AE30" s="55"/>
      <c r="AF30" s="55"/>
    </row>
    <row r="31" spans="1:32" s="57" customFormat="1" ht="15.75" hidden="1" customHeight="1">
      <c r="A31" s="17"/>
      <c r="B31" s="2"/>
      <c r="C31" s="51"/>
      <c r="D31" s="51"/>
      <c r="E31" s="51"/>
      <c r="F31" s="51"/>
      <c r="G31" s="51"/>
      <c r="H31" s="51"/>
      <c r="I31" s="51"/>
      <c r="J31" s="51"/>
      <c r="K31" s="51"/>
      <c r="L31" s="51"/>
      <c r="M31" s="51"/>
      <c r="N31" s="51"/>
      <c r="O31" s="51"/>
      <c r="P31" s="51"/>
      <c r="Q31" s="51"/>
      <c r="R31" s="52"/>
      <c r="S31" s="53"/>
      <c r="T31" s="54"/>
      <c r="U31" s="52"/>
      <c r="V31" s="55"/>
      <c r="W31" s="55"/>
      <c r="X31" s="52"/>
      <c r="Y31" s="52"/>
      <c r="Z31" s="56"/>
      <c r="AA31" s="55"/>
      <c r="AB31" s="55"/>
      <c r="AC31" s="55"/>
      <c r="AD31" s="55"/>
      <c r="AE31" s="55"/>
      <c r="AF31" s="55"/>
    </row>
    <row r="32" spans="1:32" s="57" customFormat="1" ht="15.75" hidden="1" customHeight="1">
      <c r="A32" s="17"/>
      <c r="B32" s="2"/>
      <c r="C32" s="51"/>
      <c r="D32" s="51"/>
      <c r="E32" s="51"/>
      <c r="F32" s="51"/>
      <c r="G32" s="51"/>
      <c r="H32" s="51"/>
      <c r="I32" s="51"/>
      <c r="J32" s="51"/>
      <c r="K32" s="51"/>
      <c r="L32" s="51"/>
      <c r="M32" s="51"/>
      <c r="N32" s="51"/>
      <c r="O32" s="51"/>
      <c r="P32" s="51"/>
      <c r="Q32" s="51"/>
      <c r="R32" s="52"/>
      <c r="S32" s="53"/>
      <c r="T32" s="54"/>
      <c r="U32" s="52"/>
      <c r="V32" s="55"/>
      <c r="W32" s="55"/>
      <c r="X32" s="52"/>
      <c r="Y32" s="52"/>
      <c r="Z32" s="56"/>
      <c r="AA32" s="55"/>
      <c r="AB32" s="55"/>
      <c r="AC32" s="55"/>
      <c r="AD32" s="55"/>
      <c r="AE32" s="55"/>
      <c r="AF32" s="52"/>
    </row>
    <row r="33" spans="1:32" s="57" customFormat="1" ht="15.75" hidden="1" customHeight="1">
      <c r="A33" s="17"/>
      <c r="B33" s="2"/>
      <c r="C33" s="51"/>
      <c r="D33" s="51"/>
      <c r="E33" s="51"/>
      <c r="F33" s="51"/>
      <c r="G33" s="51"/>
      <c r="H33" s="51"/>
      <c r="I33" s="51"/>
      <c r="J33" s="51"/>
      <c r="K33" s="51"/>
      <c r="L33" s="51"/>
      <c r="M33" s="51"/>
      <c r="N33" s="51"/>
      <c r="O33" s="51"/>
      <c r="P33" s="51"/>
      <c r="Q33" s="51"/>
      <c r="R33" s="52"/>
      <c r="S33" s="53"/>
      <c r="T33" s="54"/>
      <c r="U33" s="52"/>
      <c r="V33" s="55"/>
      <c r="W33" s="55"/>
      <c r="X33" s="52"/>
      <c r="Y33" s="52"/>
      <c r="Z33" s="56"/>
      <c r="AA33" s="55"/>
      <c r="AB33" s="55"/>
      <c r="AC33" s="55"/>
      <c r="AD33" s="55"/>
      <c r="AE33" s="55"/>
      <c r="AF33" s="55"/>
    </row>
    <row r="34" spans="1:32" s="57" customFormat="1" ht="15.75" hidden="1" customHeight="1">
      <c r="A34" s="17"/>
      <c r="B34" s="2"/>
      <c r="C34" s="51"/>
      <c r="D34" s="51"/>
      <c r="E34" s="51"/>
      <c r="F34" s="51"/>
      <c r="G34" s="51"/>
      <c r="H34" s="51"/>
      <c r="I34" s="51"/>
      <c r="J34" s="51"/>
      <c r="K34" s="51"/>
      <c r="L34" s="51"/>
      <c r="M34" s="51"/>
      <c r="N34" s="51"/>
      <c r="O34" s="51"/>
      <c r="P34" s="51"/>
      <c r="Q34" s="51"/>
      <c r="R34" s="55"/>
      <c r="S34" s="53"/>
      <c r="T34" s="54"/>
      <c r="U34" s="52"/>
      <c r="V34" s="55"/>
      <c r="W34" s="55"/>
      <c r="X34" s="52"/>
      <c r="Y34" s="52"/>
      <c r="Z34" s="56"/>
      <c r="AA34" s="55"/>
      <c r="AB34" s="55"/>
      <c r="AC34" s="55"/>
      <c r="AD34" s="55"/>
      <c r="AE34" s="55"/>
      <c r="AF34" s="55"/>
    </row>
    <row r="35" spans="1:32" s="57" customFormat="1" ht="15.75" hidden="1" customHeight="1">
      <c r="A35" s="17"/>
      <c r="B35" s="2"/>
      <c r="C35" s="51"/>
      <c r="D35" s="51"/>
      <c r="E35" s="51"/>
      <c r="F35" s="51"/>
      <c r="G35" s="51"/>
      <c r="H35" s="51"/>
      <c r="I35" s="51"/>
      <c r="J35" s="51"/>
      <c r="K35" s="51"/>
      <c r="L35" s="51"/>
      <c r="M35" s="51"/>
      <c r="N35" s="51"/>
      <c r="O35" s="51"/>
      <c r="P35" s="51"/>
      <c r="Q35" s="51"/>
      <c r="R35" s="55"/>
      <c r="S35" s="53"/>
      <c r="T35" s="54"/>
      <c r="U35" s="52"/>
      <c r="V35" s="55"/>
      <c r="W35" s="55"/>
      <c r="X35" s="52"/>
      <c r="Y35" s="52"/>
      <c r="Z35" s="56"/>
      <c r="AA35" s="55"/>
      <c r="AB35" s="55"/>
      <c r="AC35" s="55"/>
      <c r="AD35" s="55"/>
      <c r="AE35" s="55"/>
      <c r="AF35" s="55"/>
    </row>
    <row r="36" spans="1:32" s="57" customFormat="1" ht="15.75" hidden="1" customHeight="1">
      <c r="A36" s="17"/>
      <c r="B36" s="2"/>
      <c r="C36" s="51"/>
      <c r="D36" s="51"/>
      <c r="E36" s="51"/>
      <c r="F36" s="51"/>
      <c r="G36" s="51"/>
      <c r="H36" s="51"/>
      <c r="I36" s="51"/>
      <c r="J36" s="51"/>
      <c r="K36" s="51"/>
      <c r="L36" s="51"/>
      <c r="M36" s="51"/>
      <c r="N36" s="51"/>
      <c r="O36" s="51"/>
      <c r="P36" s="51"/>
      <c r="Q36" s="51"/>
      <c r="R36" s="55"/>
      <c r="S36" s="53"/>
      <c r="T36" s="54"/>
      <c r="U36" s="55"/>
      <c r="V36" s="55"/>
      <c r="W36" s="55"/>
      <c r="X36" s="55"/>
      <c r="Y36" s="52"/>
      <c r="Z36" s="56"/>
      <c r="AA36" s="55"/>
      <c r="AB36" s="55"/>
      <c r="AC36" s="55"/>
      <c r="AD36" s="55"/>
      <c r="AE36" s="55"/>
      <c r="AF36" s="55"/>
    </row>
    <row r="37" spans="1:32" s="57" customFormat="1" ht="15.75" hidden="1" customHeight="1">
      <c r="A37" s="17"/>
      <c r="B37" s="2"/>
      <c r="C37" s="51"/>
      <c r="D37" s="51"/>
      <c r="E37" s="51"/>
      <c r="F37" s="51"/>
      <c r="G37" s="51"/>
      <c r="H37" s="51"/>
      <c r="I37" s="51"/>
      <c r="J37" s="51"/>
      <c r="K37" s="51"/>
      <c r="L37" s="51"/>
      <c r="M37" s="51"/>
      <c r="N37" s="51"/>
      <c r="O37" s="51"/>
      <c r="P37" s="51"/>
      <c r="Q37" s="51"/>
      <c r="R37" s="55"/>
      <c r="S37" s="53"/>
      <c r="T37" s="54"/>
      <c r="U37" s="52"/>
      <c r="V37" s="55"/>
      <c r="W37" s="55"/>
      <c r="X37" s="52"/>
      <c r="Y37" s="52"/>
      <c r="Z37" s="56"/>
      <c r="AA37" s="55"/>
      <c r="AB37" s="55"/>
      <c r="AC37" s="55"/>
      <c r="AD37" s="55"/>
      <c r="AE37" s="55"/>
      <c r="AF37" s="55"/>
    </row>
    <row r="38" spans="1:32" s="57" customFormat="1" ht="15.75" hidden="1" customHeight="1">
      <c r="A38" s="17"/>
      <c r="B38" s="2"/>
      <c r="C38" s="51"/>
      <c r="D38" s="51"/>
      <c r="E38" s="51"/>
      <c r="F38" s="51"/>
      <c r="G38" s="51"/>
      <c r="H38" s="51"/>
      <c r="I38" s="51"/>
      <c r="J38" s="51"/>
      <c r="K38" s="51"/>
      <c r="L38" s="51"/>
      <c r="M38" s="51"/>
      <c r="N38" s="51"/>
      <c r="O38" s="51"/>
      <c r="P38" s="51"/>
      <c r="Q38" s="51"/>
      <c r="R38" s="52"/>
      <c r="S38" s="53"/>
      <c r="T38" s="54"/>
      <c r="U38" s="52"/>
      <c r="V38" s="55"/>
      <c r="W38" s="55"/>
      <c r="X38" s="52"/>
      <c r="Y38" s="52"/>
      <c r="Z38" s="56"/>
      <c r="AA38" s="55"/>
      <c r="AB38" s="55"/>
      <c r="AC38" s="55"/>
      <c r="AD38" s="55"/>
      <c r="AE38" s="55"/>
      <c r="AF38" s="55"/>
    </row>
    <row r="39" spans="1:32" s="57" customFormat="1" ht="15.75" hidden="1" customHeight="1">
      <c r="A39" s="17"/>
      <c r="B39" s="2"/>
      <c r="C39" s="51"/>
      <c r="D39" s="51"/>
      <c r="E39" s="51"/>
      <c r="F39" s="51"/>
      <c r="G39" s="51"/>
      <c r="H39" s="51"/>
      <c r="I39" s="51"/>
      <c r="J39" s="51"/>
      <c r="K39" s="51"/>
      <c r="L39" s="51"/>
      <c r="M39" s="51"/>
      <c r="N39" s="51"/>
      <c r="O39" s="51"/>
      <c r="P39" s="51"/>
      <c r="Q39" s="51"/>
      <c r="R39" s="55"/>
      <c r="S39" s="53"/>
      <c r="T39" s="54"/>
      <c r="U39" s="52"/>
      <c r="V39" s="55"/>
      <c r="W39" s="55"/>
      <c r="X39" s="52"/>
      <c r="Y39" s="52"/>
      <c r="Z39" s="56"/>
      <c r="AA39" s="52"/>
      <c r="AB39" s="55"/>
      <c r="AC39" s="55"/>
      <c r="AD39" s="55"/>
      <c r="AE39" s="55"/>
      <c r="AF39" s="55"/>
    </row>
    <row r="40" spans="1:32" s="57" customFormat="1" ht="15.75" hidden="1" customHeight="1">
      <c r="A40" s="17"/>
      <c r="B40" s="2"/>
      <c r="C40" s="51"/>
      <c r="D40" s="51"/>
      <c r="E40" s="51"/>
      <c r="F40" s="51"/>
      <c r="G40" s="51"/>
      <c r="H40" s="51"/>
      <c r="I40" s="51"/>
      <c r="J40" s="51"/>
      <c r="K40" s="51"/>
      <c r="L40" s="51"/>
      <c r="M40" s="51"/>
      <c r="N40" s="51"/>
      <c r="O40" s="51"/>
      <c r="P40" s="51"/>
      <c r="Q40" s="51"/>
      <c r="R40" s="55"/>
      <c r="S40" s="53"/>
      <c r="T40" s="54"/>
      <c r="U40" s="52"/>
      <c r="V40" s="55"/>
      <c r="W40" s="55"/>
      <c r="X40" s="52"/>
      <c r="Y40" s="52"/>
      <c r="Z40" s="56"/>
      <c r="AA40" s="55"/>
      <c r="AB40" s="55"/>
      <c r="AC40" s="55"/>
      <c r="AD40" s="55"/>
      <c r="AE40" s="55"/>
      <c r="AF40" s="55"/>
    </row>
    <row r="41" spans="1:32" s="57" customFormat="1" ht="15.75" hidden="1" customHeight="1">
      <c r="A41" s="17"/>
      <c r="B41" s="2"/>
      <c r="C41" s="51"/>
      <c r="D41" s="51"/>
      <c r="E41" s="51"/>
      <c r="F41" s="51"/>
      <c r="G41" s="51"/>
      <c r="H41" s="51"/>
      <c r="I41" s="51"/>
      <c r="J41" s="51"/>
      <c r="K41" s="51"/>
      <c r="L41" s="51"/>
      <c r="M41" s="51"/>
      <c r="N41" s="51"/>
      <c r="O41" s="51"/>
      <c r="P41" s="51"/>
      <c r="Q41" s="51"/>
      <c r="R41" s="55"/>
      <c r="S41" s="53"/>
      <c r="T41" s="54"/>
      <c r="U41" s="52"/>
      <c r="V41" s="55"/>
      <c r="W41" s="55"/>
      <c r="X41" s="52"/>
      <c r="Y41" s="52"/>
      <c r="Z41" s="56"/>
      <c r="AA41" s="55"/>
      <c r="AB41" s="55"/>
      <c r="AC41" s="55"/>
      <c r="AD41" s="55"/>
      <c r="AE41" s="55"/>
      <c r="AF41" s="55"/>
    </row>
    <row r="42" spans="1:32" s="57" customFormat="1" ht="15.75" hidden="1" customHeight="1">
      <c r="A42" s="17"/>
      <c r="B42" s="2"/>
      <c r="C42" s="51"/>
      <c r="D42" s="51"/>
      <c r="E42" s="51"/>
      <c r="F42" s="51"/>
      <c r="G42" s="51"/>
      <c r="H42" s="51"/>
      <c r="I42" s="51"/>
      <c r="J42" s="51"/>
      <c r="K42" s="51"/>
      <c r="L42" s="51"/>
      <c r="M42" s="51"/>
      <c r="N42" s="51"/>
      <c r="O42" s="51"/>
      <c r="P42" s="51"/>
      <c r="Q42" s="51"/>
      <c r="R42" s="55"/>
      <c r="S42" s="53"/>
      <c r="T42" s="54"/>
      <c r="U42" s="52"/>
      <c r="V42" s="55"/>
      <c r="W42" s="55"/>
      <c r="X42" s="52"/>
      <c r="Y42" s="52"/>
      <c r="Z42" s="56"/>
      <c r="AA42" s="55"/>
      <c r="AB42" s="55"/>
      <c r="AC42" s="55"/>
      <c r="AD42" s="55"/>
      <c r="AE42" s="55"/>
      <c r="AF42" s="55"/>
    </row>
    <row r="43" spans="1:32" s="57" customFormat="1" ht="15.75" hidden="1" customHeight="1">
      <c r="A43" s="17"/>
      <c r="B43" s="2"/>
      <c r="C43" s="51"/>
      <c r="D43" s="51"/>
      <c r="E43" s="51"/>
      <c r="F43" s="51"/>
      <c r="G43" s="51"/>
      <c r="H43" s="51"/>
      <c r="I43" s="51"/>
      <c r="J43" s="51"/>
      <c r="K43" s="51"/>
      <c r="L43" s="51"/>
      <c r="M43" s="51"/>
      <c r="N43" s="51"/>
      <c r="O43" s="51"/>
      <c r="P43" s="51"/>
      <c r="Q43" s="51"/>
      <c r="R43" s="55"/>
      <c r="S43" s="53"/>
      <c r="T43" s="54"/>
      <c r="U43" s="52"/>
      <c r="V43" s="55"/>
      <c r="W43" s="55"/>
      <c r="X43" s="52"/>
      <c r="Y43" s="52"/>
      <c r="Z43" s="56"/>
      <c r="AA43" s="55"/>
      <c r="AB43" s="55"/>
      <c r="AC43" s="55"/>
      <c r="AD43" s="55"/>
      <c r="AE43" s="55"/>
      <c r="AF43" s="55"/>
    </row>
    <row r="44" spans="1:32" s="57" customFormat="1" ht="15.75" hidden="1" customHeight="1">
      <c r="A44" s="17"/>
      <c r="B44" s="2"/>
      <c r="C44" s="51"/>
      <c r="D44" s="51"/>
      <c r="E44" s="51"/>
      <c r="F44" s="51"/>
      <c r="G44" s="51"/>
      <c r="H44" s="51"/>
      <c r="I44" s="51"/>
      <c r="J44" s="51"/>
      <c r="K44" s="51"/>
      <c r="L44" s="51"/>
      <c r="M44" s="51"/>
      <c r="N44" s="51"/>
      <c r="O44" s="51"/>
      <c r="P44" s="51"/>
      <c r="Q44" s="51"/>
      <c r="R44" s="55"/>
      <c r="S44" s="53"/>
      <c r="T44" s="54"/>
      <c r="U44" s="52"/>
      <c r="V44" s="55"/>
      <c r="W44" s="55"/>
      <c r="X44" s="52"/>
      <c r="Y44" s="52"/>
      <c r="Z44" s="56"/>
      <c r="AA44" s="55"/>
      <c r="AB44" s="55"/>
      <c r="AC44" s="55"/>
      <c r="AD44" s="55"/>
      <c r="AE44" s="55"/>
      <c r="AF44" s="55"/>
    </row>
    <row r="45" spans="1:32" s="57" customFormat="1" ht="15.75" hidden="1" customHeight="1">
      <c r="A45" s="17"/>
      <c r="B45" s="2"/>
      <c r="C45" s="51"/>
      <c r="D45" s="51"/>
      <c r="E45" s="51"/>
      <c r="F45" s="51"/>
      <c r="G45" s="51"/>
      <c r="H45" s="51"/>
      <c r="I45" s="51"/>
      <c r="J45" s="51"/>
      <c r="K45" s="51"/>
      <c r="L45" s="51"/>
      <c r="M45" s="51"/>
      <c r="N45" s="51"/>
      <c r="O45" s="51"/>
      <c r="P45" s="51"/>
      <c r="Q45" s="51"/>
      <c r="R45" s="55"/>
      <c r="S45" s="53"/>
      <c r="T45" s="54"/>
      <c r="U45" s="52"/>
      <c r="V45" s="55"/>
      <c r="W45" s="55"/>
      <c r="X45" s="52"/>
      <c r="Y45" s="52"/>
      <c r="Z45" s="56"/>
      <c r="AA45" s="55"/>
      <c r="AB45" s="55"/>
      <c r="AC45" s="55"/>
      <c r="AD45" s="55"/>
      <c r="AE45" s="55"/>
      <c r="AF45" s="55"/>
    </row>
    <row r="46" spans="1:32" s="57" customFormat="1" ht="15.75" hidden="1" customHeight="1">
      <c r="A46" s="17"/>
      <c r="B46" s="2"/>
      <c r="C46" s="51"/>
      <c r="D46" s="51"/>
      <c r="E46" s="51"/>
      <c r="F46" s="51"/>
      <c r="G46" s="51"/>
      <c r="H46" s="51"/>
      <c r="I46" s="51"/>
      <c r="J46" s="51"/>
      <c r="K46" s="51"/>
      <c r="L46" s="51"/>
      <c r="M46" s="51"/>
      <c r="N46" s="51"/>
      <c r="O46" s="51"/>
      <c r="P46" s="51"/>
      <c r="Q46" s="51"/>
      <c r="R46" s="55"/>
      <c r="S46" s="53"/>
      <c r="T46" s="54"/>
      <c r="U46" s="52"/>
      <c r="V46" s="55"/>
      <c r="W46" s="55"/>
      <c r="X46" s="52"/>
      <c r="Y46" s="52"/>
      <c r="Z46" s="56"/>
      <c r="AA46" s="55"/>
      <c r="AB46" s="55"/>
      <c r="AC46" s="55"/>
      <c r="AD46" s="55"/>
      <c r="AE46" s="55"/>
      <c r="AF46" s="55"/>
    </row>
    <row r="47" spans="1:32" s="57" customFormat="1" ht="15.75" hidden="1" customHeight="1">
      <c r="A47" s="17"/>
      <c r="B47" s="2"/>
      <c r="C47" s="51"/>
      <c r="D47" s="51"/>
      <c r="E47" s="51"/>
      <c r="F47" s="51"/>
      <c r="G47" s="51"/>
      <c r="H47" s="51"/>
      <c r="I47" s="51"/>
      <c r="J47" s="51"/>
      <c r="K47" s="51"/>
      <c r="L47" s="51"/>
      <c r="M47" s="51"/>
      <c r="N47" s="51"/>
      <c r="O47" s="51"/>
      <c r="P47" s="51"/>
      <c r="Q47" s="51"/>
      <c r="R47" s="55"/>
      <c r="S47" s="53"/>
      <c r="T47" s="54"/>
      <c r="U47" s="52"/>
      <c r="V47" s="55"/>
      <c r="W47" s="55"/>
      <c r="X47" s="52"/>
      <c r="Y47" s="52"/>
      <c r="Z47" s="56"/>
      <c r="AA47" s="55"/>
      <c r="AB47" s="55"/>
      <c r="AC47" s="55"/>
      <c r="AD47" s="55"/>
      <c r="AE47" s="55"/>
      <c r="AF47" s="55"/>
    </row>
    <row r="48" spans="1:32" s="57" customFormat="1" ht="15.75" hidden="1" customHeight="1">
      <c r="A48" s="17"/>
      <c r="B48" s="2"/>
      <c r="C48" s="51"/>
      <c r="D48" s="51"/>
      <c r="E48" s="51"/>
      <c r="F48" s="51"/>
      <c r="G48" s="51"/>
      <c r="H48" s="51"/>
      <c r="I48" s="51"/>
      <c r="J48" s="51"/>
      <c r="K48" s="51"/>
      <c r="L48" s="51"/>
      <c r="M48" s="51"/>
      <c r="N48" s="51"/>
      <c r="O48" s="51"/>
      <c r="P48" s="51"/>
      <c r="Q48" s="51"/>
      <c r="R48" s="55"/>
      <c r="S48" s="53"/>
      <c r="T48" s="54"/>
      <c r="U48" s="52"/>
      <c r="V48" s="55"/>
      <c r="W48" s="55"/>
      <c r="X48" s="52"/>
      <c r="Y48" s="52"/>
      <c r="Z48" s="56"/>
      <c r="AA48" s="55"/>
      <c r="AB48" s="55"/>
      <c r="AC48" s="55"/>
      <c r="AD48" s="55"/>
      <c r="AE48" s="55"/>
      <c r="AF48" s="55"/>
    </row>
    <row r="49" spans="1:32" s="57" customFormat="1" ht="15.75" hidden="1" customHeight="1">
      <c r="A49" s="17"/>
      <c r="B49" s="2"/>
      <c r="C49" s="51"/>
      <c r="D49" s="51"/>
      <c r="E49" s="51"/>
      <c r="F49" s="51"/>
      <c r="G49" s="51"/>
      <c r="H49" s="51"/>
      <c r="I49" s="51"/>
      <c r="J49" s="51"/>
      <c r="K49" s="51"/>
      <c r="L49" s="51"/>
      <c r="M49" s="51"/>
      <c r="N49" s="51"/>
      <c r="O49" s="51"/>
      <c r="P49" s="51"/>
      <c r="Q49" s="51"/>
      <c r="R49" s="55"/>
      <c r="S49" s="53"/>
      <c r="T49" s="54"/>
      <c r="U49" s="52"/>
      <c r="V49" s="55"/>
      <c r="W49" s="55"/>
      <c r="X49" s="52"/>
      <c r="Y49" s="52"/>
      <c r="Z49" s="56"/>
      <c r="AA49" s="55"/>
      <c r="AB49" s="55"/>
      <c r="AC49" s="55"/>
      <c r="AD49" s="55"/>
      <c r="AE49" s="55"/>
      <c r="AF49" s="55"/>
    </row>
    <row r="50" spans="1:32" s="57" customFormat="1" ht="15.75" hidden="1" customHeight="1">
      <c r="A50" s="2"/>
      <c r="B50" s="2"/>
      <c r="C50" s="51"/>
      <c r="D50" s="51"/>
      <c r="E50" s="51"/>
      <c r="F50" s="51"/>
      <c r="G50" s="51"/>
      <c r="H50" s="51"/>
      <c r="I50" s="51"/>
      <c r="J50" s="51"/>
      <c r="K50" s="51"/>
      <c r="L50" s="51"/>
      <c r="M50" s="51"/>
      <c r="N50" s="51"/>
      <c r="O50" s="51"/>
      <c r="P50" s="51"/>
      <c r="Q50" s="51"/>
      <c r="R50" s="55"/>
      <c r="S50" s="53"/>
      <c r="T50" s="54"/>
      <c r="U50" s="55"/>
      <c r="V50" s="55"/>
      <c r="W50" s="55"/>
      <c r="X50" s="55"/>
      <c r="Y50" s="55"/>
      <c r="Z50" s="56"/>
      <c r="AA50" s="55"/>
      <c r="AB50" s="55"/>
      <c r="AC50" s="55"/>
      <c r="AD50" s="55"/>
      <c r="AE50" s="55"/>
      <c r="AF50" s="55"/>
    </row>
    <row r="51" spans="1:32" s="57" customFormat="1" ht="15.75" hidden="1" customHeight="1">
      <c r="A51" s="2"/>
      <c r="B51" s="2"/>
      <c r="C51" s="51"/>
      <c r="D51" s="51"/>
      <c r="E51" s="51"/>
      <c r="F51" s="51"/>
      <c r="G51" s="51"/>
      <c r="H51" s="51"/>
      <c r="I51" s="51"/>
      <c r="J51" s="51"/>
      <c r="K51" s="51"/>
      <c r="L51" s="51"/>
      <c r="M51" s="51"/>
      <c r="N51" s="51"/>
      <c r="O51" s="51"/>
      <c r="P51" s="51"/>
      <c r="Q51" s="51"/>
      <c r="R51" s="55"/>
      <c r="S51" s="53"/>
      <c r="T51" s="54"/>
      <c r="U51" s="55"/>
      <c r="V51" s="55"/>
      <c r="W51" s="55"/>
      <c r="X51" s="55"/>
      <c r="Y51" s="55"/>
      <c r="Z51" s="56"/>
      <c r="AA51" s="55"/>
      <c r="AB51" s="55"/>
      <c r="AC51" s="55"/>
      <c r="AD51" s="55"/>
      <c r="AE51" s="55"/>
      <c r="AF51" s="55"/>
    </row>
    <row r="52" spans="1:32" s="57" customFormat="1" ht="15.75" hidden="1" customHeight="1">
      <c r="A52" s="2"/>
      <c r="B52" s="2"/>
      <c r="C52" s="51"/>
      <c r="D52" s="51"/>
      <c r="E52" s="51"/>
      <c r="F52" s="51"/>
      <c r="G52" s="51"/>
      <c r="H52" s="51"/>
      <c r="I52" s="51"/>
      <c r="J52" s="51"/>
      <c r="K52" s="51"/>
      <c r="L52" s="51"/>
      <c r="M52" s="51"/>
      <c r="N52" s="51"/>
      <c r="O52" s="51"/>
      <c r="P52" s="51"/>
      <c r="Q52" s="51"/>
      <c r="R52" s="55"/>
      <c r="S52" s="53"/>
      <c r="T52" s="54"/>
      <c r="U52" s="55"/>
      <c r="V52" s="55"/>
      <c r="W52" s="55"/>
      <c r="X52" s="55"/>
      <c r="Y52" s="55"/>
      <c r="Z52" s="56"/>
      <c r="AA52" s="55"/>
      <c r="AB52" s="55"/>
      <c r="AC52" s="55"/>
      <c r="AD52" s="55"/>
      <c r="AE52" s="55"/>
      <c r="AF52" s="55"/>
    </row>
    <row r="53" spans="1:32" s="57" customFormat="1">
      <c r="A53" s="2" t="s">
        <v>38</v>
      </c>
      <c r="B53" s="2" t="s">
        <v>879</v>
      </c>
      <c r="C53" s="51">
        <f t="shared" ref="C53:C56" si="1">IFERROR(F53/D53," - ")</f>
        <v>19.989999999999998</v>
      </c>
      <c r="D53" s="51">
        <v>1</v>
      </c>
      <c r="E53" s="51">
        <v>0</v>
      </c>
      <c r="F53" s="51">
        <v>19.989999999999998</v>
      </c>
      <c r="G53" s="51">
        <v>0</v>
      </c>
      <c r="H53" s="51">
        <f t="shared" ref="H53:H56" si="2">G53/F53*-1</f>
        <v>0</v>
      </c>
      <c r="I53" s="51">
        <f t="shared" ref="I53:I56" si="3">J53/F53</f>
        <v>1.0099405763488179E-2</v>
      </c>
      <c r="J53" s="51">
        <f t="shared" ref="J53:J56" si="4">F53*0.85+G53+AD53*D53+D53*AC53+AE53+AB53</f>
        <v>0.20188712121212871</v>
      </c>
      <c r="K53" s="51">
        <f t="shared" ref="K53:K56" si="5">J53/D53</f>
        <v>0.20188712121212871</v>
      </c>
      <c r="L53" s="51">
        <v>2</v>
      </c>
      <c r="M53" s="51">
        <f t="shared" ref="M53:M56" si="6">IFERROR(D53/L53,"-")</f>
        <v>0.5</v>
      </c>
      <c r="N53" s="51">
        <v>53</v>
      </c>
      <c r="O53" s="51">
        <f t="shared" ref="O53:P53" si="7">D53/7</f>
        <v>0.14285714285714285</v>
      </c>
      <c r="P53" s="51">
        <f t="shared" si="7"/>
        <v>0</v>
      </c>
      <c r="Q53" s="51">
        <f t="shared" ref="Q53:Q56" si="8">ROUNDDOWN(N53/(O53+P53),0)</f>
        <v>371</v>
      </c>
      <c r="R53" s="55">
        <f ca="1">IFERROR(__xludf.DUMMYFUNCTION("IFERROR(VLOOKUP($B$2,IMPORTRANGE(""https://docs.google.com/spreadsheets/d/1iVgg6Mw12RULLujzHmfOFIY8Q_KaAD8anoZzgtVAQ74/edit#gid=1503384807"",""Second Star - Summary!A1:AD2000""),9,FALSE),"""")"),0)</f>
        <v>0</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ref="V53:V56" si="9">IFERROR(U53/D53,0)</f>
        <v>0</v>
      </c>
      <c r="W53" s="55">
        <f t="shared" ref="W53:W56" si="10">IFERROR(G53/(U53+X53)*-1,0)</f>
        <v>0</v>
      </c>
      <c r="X53" s="55">
        <v>0</v>
      </c>
      <c r="Y53" s="55" t="s">
        <v>35</v>
      </c>
      <c r="Z53" s="56">
        <f t="shared" ref="Z53:Z56" si="11">IF(OR(Y53="UsLargeStandardSize",Y53="UsSmallStandardSize"),-2.4,-1.2)</f>
        <v>-2.4</v>
      </c>
      <c r="AA53" s="55">
        <v>0.1801527777777778</v>
      </c>
      <c r="AB53" s="55">
        <f t="shared" ref="AB53:AB56" si="12">IFERROR(Z53*AA53*D53*3,0)</f>
        <v>-1.2971000000000001</v>
      </c>
      <c r="AC53" s="55">
        <v>-5.8</v>
      </c>
      <c r="AD53" s="55">
        <v>-9.6925128787878698</v>
      </c>
      <c r="AE53" s="55">
        <v>0</v>
      </c>
      <c r="AF53" s="55">
        <v>0</v>
      </c>
    </row>
    <row r="54" spans="1:32" s="57" customFormat="1">
      <c r="A54" s="2" t="s">
        <v>40</v>
      </c>
      <c r="B54" s="2"/>
      <c r="C54" s="51" t="str">
        <f t="shared" si="1"/>
        <v xml:space="preserve"> - </v>
      </c>
      <c r="D54" s="51">
        <v>0</v>
      </c>
      <c r="E54" s="51">
        <v>0</v>
      </c>
      <c r="F54" s="51">
        <v>0</v>
      </c>
      <c r="G54" s="51">
        <v>0</v>
      </c>
      <c r="H54" s="51" t="e">
        <f t="shared" si="2"/>
        <v>#DIV/0!</v>
      </c>
      <c r="I54" s="51" t="e">
        <f t="shared" si="3"/>
        <v>#DIV/0!</v>
      </c>
      <c r="J54" s="51">
        <f t="shared" si="4"/>
        <v>0</v>
      </c>
      <c r="K54" s="51" t="e">
        <f t="shared" si="5"/>
        <v>#DIV/0!</v>
      </c>
      <c r="L54" s="51">
        <v>0</v>
      </c>
      <c r="M54" s="51" t="str">
        <f t="shared" si="6"/>
        <v>-</v>
      </c>
      <c r="N54" s="51">
        <v>53</v>
      </c>
      <c r="O54" s="51">
        <f t="shared" ref="O54:P54" si="13">D54/7</f>
        <v>0</v>
      </c>
      <c r="P54" s="51">
        <f t="shared" si="13"/>
        <v>0</v>
      </c>
      <c r="Q54" s="51" t="e">
        <f t="shared" si="8"/>
        <v>#DIV/0!</v>
      </c>
      <c r="R54" s="55">
        <f ca="1">IFERROR(__xludf.DUMMYFUNCTION("IFERROR(VLOOKUP($B$2,IMPORTRANGE(""https://docs.google.com/spreadsheets/d/1iVgg6Mw12RULLujzHmfOFIY8Q_KaAD8anoZzgtVAQ74/edit#gid=1503384807"",""Second Star - Summary!A1:AD2000""),9,FALSE),"""")"),0)</f>
        <v>0</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9"/>
        <v>0</v>
      </c>
      <c r="W54" s="55">
        <f t="shared" si="10"/>
        <v>0</v>
      </c>
      <c r="X54" s="55">
        <v>0</v>
      </c>
      <c r="Y54" s="55" t="s">
        <v>35</v>
      </c>
      <c r="Z54" s="56">
        <f t="shared" si="11"/>
        <v>-2.4</v>
      </c>
      <c r="AA54" s="55">
        <v>0.1801527777777778</v>
      </c>
      <c r="AB54" s="55">
        <f t="shared" si="12"/>
        <v>0</v>
      </c>
      <c r="AC54" s="55">
        <v>-5.8</v>
      </c>
      <c r="AD54" s="55">
        <v>-9.6925128787878698</v>
      </c>
      <c r="AE54" s="55">
        <v>0</v>
      </c>
      <c r="AF54" s="55">
        <v>2.8037383177569999E-2</v>
      </c>
    </row>
    <row r="55" spans="1:32" s="57" customFormat="1" ht="15.75" customHeight="1">
      <c r="A55" s="2" t="s">
        <v>32</v>
      </c>
      <c r="B55" s="2" t="s">
        <v>880</v>
      </c>
      <c r="C55" s="51">
        <f t="shared" si="1"/>
        <v>21.99</v>
      </c>
      <c r="D55" s="51">
        <v>3</v>
      </c>
      <c r="E55" s="51">
        <v>0</v>
      </c>
      <c r="F55" s="51">
        <v>65.97</v>
      </c>
      <c r="G55" s="51">
        <v>-0.69</v>
      </c>
      <c r="H55" s="51">
        <f t="shared" si="2"/>
        <v>1.0459299681673487E-2</v>
      </c>
      <c r="I55" s="51">
        <f t="shared" si="3"/>
        <v>7.6029427976904568E-2</v>
      </c>
      <c r="J55" s="51">
        <f t="shared" si="4"/>
        <v>5.0156613636363945</v>
      </c>
      <c r="K55" s="51">
        <f t="shared" si="5"/>
        <v>1.6718871212121316</v>
      </c>
      <c r="L55" s="51">
        <v>3</v>
      </c>
      <c r="M55" s="51">
        <f t="shared" si="6"/>
        <v>1</v>
      </c>
      <c r="N55" s="51">
        <v>53</v>
      </c>
      <c r="O55" s="51">
        <f t="shared" ref="O55:P55" si="14">D55/7</f>
        <v>0.42857142857142855</v>
      </c>
      <c r="P55" s="51">
        <f t="shared" si="14"/>
        <v>0</v>
      </c>
      <c r="Q55" s="51">
        <f t="shared" si="8"/>
        <v>123</v>
      </c>
      <c r="R55" s="55">
        <v>0</v>
      </c>
      <c r="S55" s="53" t="s">
        <v>34</v>
      </c>
      <c r="T55" s="54" t="s">
        <v>34</v>
      </c>
      <c r="U55" s="55">
        <v>0</v>
      </c>
      <c r="V55" s="55">
        <f t="shared" si="9"/>
        <v>0</v>
      </c>
      <c r="W55" s="55">
        <f t="shared" si="10"/>
        <v>0</v>
      </c>
      <c r="X55" s="55">
        <v>0</v>
      </c>
      <c r="Y55" s="55" t="s">
        <v>35</v>
      </c>
      <c r="Z55" s="56">
        <f t="shared" si="11"/>
        <v>-2.4</v>
      </c>
      <c r="AA55" s="55">
        <v>0.1801527777777778</v>
      </c>
      <c r="AB55" s="55">
        <f t="shared" si="12"/>
        <v>-3.8913000000000002</v>
      </c>
      <c r="AC55" s="55">
        <v>-5.8</v>
      </c>
      <c r="AD55" s="55">
        <v>-9.6925128787878698</v>
      </c>
      <c r="AE55" s="55">
        <v>0</v>
      </c>
      <c r="AF55" s="55">
        <v>0.115384615384615</v>
      </c>
    </row>
    <row r="56" spans="1:32" s="57" customFormat="1" ht="15.75" customHeight="1">
      <c r="A56" s="2" t="s">
        <v>36</v>
      </c>
      <c r="B56" s="2"/>
      <c r="C56" s="51" t="str">
        <f t="shared" si="1"/>
        <v xml:space="preserve"> - </v>
      </c>
      <c r="D56" s="51">
        <v>0</v>
      </c>
      <c r="E56" s="51">
        <v>0</v>
      </c>
      <c r="F56" s="51">
        <v>0</v>
      </c>
      <c r="G56" s="51">
        <v>-0.99</v>
      </c>
      <c r="H56" s="51" t="e">
        <f t="shared" si="2"/>
        <v>#DIV/0!</v>
      </c>
      <c r="I56" s="51" t="e">
        <f t="shared" si="3"/>
        <v>#DIV/0!</v>
      </c>
      <c r="J56" s="51">
        <f t="shared" si="4"/>
        <v>-0.99</v>
      </c>
      <c r="K56" s="51" t="e">
        <f t="shared" si="5"/>
        <v>#DIV/0!</v>
      </c>
      <c r="L56" s="51">
        <v>0</v>
      </c>
      <c r="M56" s="51" t="str">
        <f t="shared" si="6"/>
        <v>-</v>
      </c>
      <c r="N56" s="51">
        <v>48</v>
      </c>
      <c r="O56" s="51">
        <f t="shared" ref="O56:P56" si="15">D56/7</f>
        <v>0</v>
      </c>
      <c r="P56" s="51">
        <f t="shared" si="15"/>
        <v>0</v>
      </c>
      <c r="Q56" s="51" t="e">
        <f t="shared" si="8"/>
        <v>#DIV/0!</v>
      </c>
      <c r="R56" s="55">
        <f ca="1">IFERROR(__xludf.DUMMYFUNCTION("IFERROR(VLOOKUP($B$2,IMPORTRANGE(""https://docs.google.com/spreadsheets/d/1iVgg6Mw12RULLujzHmfOFIY8Q_KaAD8anoZzgtVAQ74/edit#gid=1503384807"",""Second Star - Summary!A1:AD2000""),9,FALSE),"""")"),0)</f>
        <v>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9"/>
        <v>0</v>
      </c>
      <c r="W56" s="55">
        <f t="shared" si="10"/>
        <v>0</v>
      </c>
      <c r="X56" s="55">
        <v>0</v>
      </c>
      <c r="Y56" s="55" t="s">
        <v>35</v>
      </c>
      <c r="Z56" s="56">
        <f t="shared" si="11"/>
        <v>-2.4</v>
      </c>
      <c r="AA56" s="55">
        <v>0.1801527777777778</v>
      </c>
      <c r="AB56" s="55">
        <f t="shared" si="12"/>
        <v>0</v>
      </c>
      <c r="AC56" s="55">
        <v>-5.8</v>
      </c>
      <c r="AD56" s="55">
        <v>-9.6925128787878698</v>
      </c>
      <c r="AE56" s="55">
        <v>0</v>
      </c>
      <c r="AF56" s="55">
        <v>7.3170731707316999E-2</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3"/>
    </row>
    <row r="222" spans="1:3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3"/>
    </row>
    <row r="223" spans="1:32"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3"/>
    </row>
    <row r="224" spans="1:32"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3"/>
    </row>
    <row r="225" spans="1:32"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3"/>
    </row>
    <row r="226" spans="1:32"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3"/>
    </row>
    <row r="227" spans="1:32"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3"/>
    </row>
    <row r="228" spans="1:32"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3"/>
    </row>
    <row r="229" spans="1:32"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3"/>
    </row>
    <row r="230" spans="1:32"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3"/>
    </row>
    <row r="231" spans="1:32"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3"/>
    </row>
    <row r="232" spans="1: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3"/>
    </row>
    <row r="233" spans="1:32"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3"/>
    </row>
    <row r="234" spans="1:32"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3"/>
    </row>
    <row r="235" spans="1:32"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3"/>
    </row>
    <row r="236" spans="1:32"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3"/>
    </row>
    <row r="237" spans="1:32"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3"/>
    </row>
    <row r="238" spans="1:32"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3"/>
    </row>
    <row r="239" spans="1:32"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row r="255" spans="1:32" ht="15.75" customHeight="1"/>
    <row r="256" spans="1:3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277" priority="1" operator="lessThan">
      <formula>100</formula>
    </cfRule>
  </conditionalFormatting>
  <conditionalFormatting sqref="Q1:Q3 Q57:Q1000">
    <cfRule type="cellIs" dxfId="276" priority="2" operator="lessThan">
      <formula>100</formula>
    </cfRule>
  </conditionalFormatting>
  <conditionalFormatting sqref="I1:I3 I57:I1000">
    <cfRule type="cellIs" dxfId="275" priority="3" operator="lessThan">
      <formula>0.05</formula>
    </cfRule>
  </conditionalFormatting>
  <conditionalFormatting sqref="I4:I17">
    <cfRule type="cellIs" dxfId="274" priority="4" operator="lessThan">
      <formula>0.05</formula>
    </cfRule>
  </conditionalFormatting>
  <conditionalFormatting sqref="I18:I56">
    <cfRule type="cellIs" dxfId="273" priority="5" operator="lessThan">
      <formula>0.05</formula>
    </cfRule>
  </conditionalFormatting>
  <conditionalFormatting sqref="Q4:Q56">
    <cfRule type="cellIs" dxfId="272" priority="6" operator="lessThan">
      <formula>100</formula>
    </cfRule>
  </conditionalFormatting>
  <conditionalFormatting sqref="Q4:Q56">
    <cfRule type="cellIs" dxfId="271" priority="7" operator="lessThan">
      <formula>100</formula>
    </cfRule>
  </conditionalFormatting>
  <pageMargins left="0.7" right="0.7" top="0.75" bottom="0.75" header="0" footer="0"/>
  <pageSetup orientation="portrait"/>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4.6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Info!B1:BJ5000""),4,FALSE),"""")"),"6 Gauge Vinyl Zippered Waterproof Bed Bug Proof Mattress Protector - 9-Inch Depth - Twin XL")</f>
        <v>6 Gauge Vinyl Zippered Waterproof Bed Bug Proof Mattress Protector - 9-Inch Depth - Twin XL</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Info!B1:BJ5000""),3,FALSE),"""")"),"B00IOWBGXG")</f>
        <v>B00IOWBGXG</v>
      </c>
      <c r="B2" s="4" t="s">
        <v>881</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14.155044919786095</v>
      </c>
      <c r="D3" s="8">
        <f>SUM(D4:D99819)</f>
        <v>5</v>
      </c>
      <c r="E3" s="8"/>
      <c r="F3" s="9">
        <f t="shared" ref="F3:G3" si="0">SUM(F4:F99819)</f>
        <v>102.86999999999999</v>
      </c>
      <c r="G3" s="9">
        <f t="shared" si="0"/>
        <v>-53.54</v>
      </c>
      <c r="H3" s="10">
        <f>G3/F3*-1</f>
        <v>0.52046271993778559</v>
      </c>
      <c r="I3" s="11">
        <f>J3/F3</f>
        <v>-0.31260595161295079</v>
      </c>
      <c r="J3" s="9">
        <f>SUM(J4:J99819)</f>
        <v>-32.157774242424246</v>
      </c>
      <c r="K3" s="9">
        <f>J3/D3</f>
        <v>-6.4315548484848488</v>
      </c>
      <c r="L3" s="8"/>
      <c r="M3" s="12"/>
      <c r="N3" s="13"/>
      <c r="O3" s="8" t="str">
        <f ca="1">IFERROR(__xludf.DUMMYFUNCTION("IFERROR(VLOOKUP(B2,IMPORTRANGE(""https://docs.google.com/spreadsheets/d/1owCo6kL_VFQ5nPTdNogErmCBLjNiktT1m3SzTrxu3R0/edit#gid=2146806407"",""Second Star - Compiled!b1:g5000""),2,FALSE),"""")"),"0 - March
0 - April
0 - May
0 - Jun
0 - Jul
0 - Aug
0 - Sept
0 - Oct
0 - Nov
0 - Dec
0 - Jan
0 - Feb")</f>
        <v>0 - March
0 - April
0 - May
0 - Jun
0 - Jul
0 - Aug
0 - Sept
0 - Oct
0 - Nov
0 - Dec
0 - Jan
0 - Feb</v>
      </c>
      <c r="P3" s="8"/>
      <c r="Q3" s="14"/>
      <c r="R3" s="13"/>
      <c r="S3" s="13"/>
      <c r="T3" s="13"/>
      <c r="U3" s="8">
        <f>SUM(U4:U99819)</f>
        <v>0</v>
      </c>
      <c r="V3" s="10">
        <f>AVERAGE(V4:V99819)</f>
        <v>0</v>
      </c>
      <c r="W3" s="9">
        <f>ROUND(AVERAGE(W4:W99819),2)</f>
        <v>0</v>
      </c>
      <c r="X3" s="8"/>
      <c r="Y3" s="8"/>
      <c r="Z3" s="8"/>
      <c r="AA3" s="8"/>
      <c r="AB3" s="8"/>
      <c r="AC3" s="15"/>
      <c r="AD3" s="9"/>
      <c r="AE3" s="9">
        <f>SUM(AE4:AE99819)</f>
        <v>0</v>
      </c>
      <c r="AF3" s="16"/>
    </row>
    <row r="4" spans="1:32" s="57" customFormat="1" hidden="1">
      <c r="A4" s="17"/>
      <c r="B4" s="17"/>
      <c r="C4" s="50"/>
      <c r="D4" s="51"/>
      <c r="E4" s="51"/>
      <c r="F4" s="51"/>
      <c r="G4" s="51"/>
      <c r="H4" s="51"/>
      <c r="I4" s="51"/>
      <c r="J4" s="51"/>
      <c r="K4" s="51"/>
      <c r="L4" s="51"/>
      <c r="M4" s="51"/>
      <c r="N4" s="51"/>
      <c r="O4" s="51"/>
      <c r="P4" s="51"/>
      <c r="Q4" s="51"/>
      <c r="R4" s="52"/>
      <c r="S4" s="53"/>
      <c r="T4" s="54"/>
      <c r="U4" s="52"/>
      <c r="V4" s="55"/>
      <c r="W4" s="55"/>
      <c r="X4" s="52"/>
      <c r="Y4" s="56"/>
      <c r="Z4" s="56"/>
      <c r="AA4" s="55"/>
      <c r="AB4" s="55"/>
      <c r="AC4" s="55"/>
      <c r="AD4" s="55"/>
      <c r="AE4" s="55"/>
      <c r="AF4" s="55"/>
    </row>
    <row r="5" spans="1:32" s="57" customFormat="1" ht="15.75" hidden="1" customHeight="1">
      <c r="A5" s="17"/>
      <c r="B5" s="2"/>
      <c r="C5" s="51"/>
      <c r="D5" s="51"/>
      <c r="E5" s="51"/>
      <c r="F5" s="51"/>
      <c r="G5" s="51"/>
      <c r="H5" s="51"/>
      <c r="I5" s="51"/>
      <c r="J5" s="51"/>
      <c r="K5" s="51"/>
      <c r="L5" s="51"/>
      <c r="M5" s="51"/>
      <c r="N5" s="51"/>
      <c r="O5" s="51"/>
      <c r="P5" s="51"/>
      <c r="Q5" s="51"/>
      <c r="R5" s="52"/>
      <c r="S5" s="53"/>
      <c r="T5" s="54"/>
      <c r="U5" s="52"/>
      <c r="V5" s="55"/>
      <c r="W5" s="55"/>
      <c r="X5" s="52"/>
      <c r="Y5" s="52"/>
      <c r="Z5" s="56"/>
      <c r="AA5" s="55"/>
      <c r="AB5" s="55"/>
      <c r="AC5" s="55"/>
      <c r="AD5" s="55"/>
      <c r="AE5" s="55"/>
      <c r="AF5" s="55"/>
    </row>
    <row r="6" spans="1:32" s="57" customFormat="1" ht="15.75" hidden="1" customHeight="1">
      <c r="A6" s="17"/>
      <c r="B6" s="2"/>
      <c r="C6" s="51"/>
      <c r="D6" s="51"/>
      <c r="E6" s="51"/>
      <c r="F6" s="51"/>
      <c r="G6" s="51"/>
      <c r="H6" s="51"/>
      <c r="I6" s="51"/>
      <c r="J6" s="51"/>
      <c r="K6" s="51"/>
      <c r="L6" s="51"/>
      <c r="M6" s="51"/>
      <c r="N6" s="51"/>
      <c r="O6" s="51"/>
      <c r="P6" s="51"/>
      <c r="Q6" s="51"/>
      <c r="R6" s="52"/>
      <c r="S6" s="53"/>
      <c r="T6" s="54"/>
      <c r="U6" s="52"/>
      <c r="V6" s="55"/>
      <c r="W6" s="55"/>
      <c r="X6" s="52"/>
      <c r="Y6" s="52"/>
      <c r="Z6" s="56"/>
      <c r="AA6" s="55"/>
      <c r="AB6" s="55"/>
      <c r="AC6" s="55"/>
      <c r="AD6" s="55"/>
      <c r="AE6" s="55"/>
      <c r="AF6" s="55"/>
    </row>
    <row r="7" spans="1:32" s="57" customFormat="1" ht="15.75" hidden="1" customHeight="1">
      <c r="A7" s="17"/>
      <c r="B7" s="2"/>
      <c r="C7" s="51"/>
      <c r="D7" s="51"/>
      <c r="E7" s="51"/>
      <c r="F7" s="51"/>
      <c r="G7" s="51"/>
      <c r="H7" s="51"/>
      <c r="I7" s="51"/>
      <c r="J7" s="51"/>
      <c r="K7" s="51"/>
      <c r="L7" s="51"/>
      <c r="M7" s="51"/>
      <c r="N7" s="51"/>
      <c r="O7" s="51"/>
      <c r="P7" s="51"/>
      <c r="Q7" s="51"/>
      <c r="R7" s="52"/>
      <c r="S7" s="53"/>
      <c r="T7" s="54"/>
      <c r="U7" s="52"/>
      <c r="V7" s="55"/>
      <c r="W7" s="55"/>
      <c r="X7" s="52"/>
      <c r="Y7" s="52"/>
      <c r="Z7" s="56"/>
      <c r="AA7" s="55"/>
      <c r="AB7" s="55"/>
      <c r="AC7" s="55"/>
      <c r="AD7" s="55"/>
      <c r="AE7" s="55"/>
      <c r="AF7" s="55"/>
    </row>
    <row r="8" spans="1:32" s="57" customFormat="1" ht="15.75" hidden="1" customHeight="1">
      <c r="A8" s="17"/>
      <c r="B8" s="2"/>
      <c r="C8" s="51"/>
      <c r="D8" s="51"/>
      <c r="E8" s="51"/>
      <c r="F8" s="51"/>
      <c r="G8" s="51"/>
      <c r="H8" s="51"/>
      <c r="I8" s="51"/>
      <c r="J8" s="51"/>
      <c r="K8" s="51"/>
      <c r="L8" s="51"/>
      <c r="M8" s="51"/>
      <c r="N8" s="51"/>
      <c r="O8" s="51"/>
      <c r="P8" s="51"/>
      <c r="Q8" s="51"/>
      <c r="R8" s="52"/>
      <c r="S8" s="53"/>
      <c r="T8" s="54"/>
      <c r="U8" s="52"/>
      <c r="V8" s="55"/>
      <c r="W8" s="55"/>
      <c r="X8" s="52"/>
      <c r="Y8" s="52"/>
      <c r="Z8" s="56"/>
      <c r="AA8" s="55"/>
      <c r="AB8" s="55"/>
      <c r="AC8" s="55"/>
      <c r="AD8" s="55"/>
      <c r="AE8" s="55"/>
      <c r="AF8" s="55"/>
    </row>
    <row r="9" spans="1:32" s="57" customFormat="1" ht="15.75" hidden="1" customHeight="1">
      <c r="A9" s="17"/>
      <c r="B9" s="2"/>
      <c r="C9" s="51"/>
      <c r="D9" s="51"/>
      <c r="E9" s="51"/>
      <c r="F9" s="51"/>
      <c r="G9" s="51"/>
      <c r="H9" s="51"/>
      <c r="I9" s="51"/>
      <c r="J9" s="51"/>
      <c r="K9" s="51"/>
      <c r="L9" s="51"/>
      <c r="M9" s="51"/>
      <c r="N9" s="51"/>
      <c r="O9" s="51"/>
      <c r="P9" s="51"/>
      <c r="Q9" s="51"/>
      <c r="R9" s="52"/>
      <c r="S9" s="53"/>
      <c r="T9" s="54"/>
      <c r="U9" s="52"/>
      <c r="V9" s="55"/>
      <c r="W9" s="55"/>
      <c r="X9" s="52"/>
      <c r="Y9" s="52"/>
      <c r="Z9" s="56"/>
      <c r="AA9" s="55"/>
      <c r="AB9" s="55"/>
      <c r="AC9" s="55"/>
      <c r="AD9" s="55"/>
      <c r="AE9" s="55"/>
      <c r="AF9" s="55"/>
    </row>
    <row r="10" spans="1:32" s="57" customFormat="1" ht="15.75" hidden="1" customHeight="1">
      <c r="A10" s="17"/>
      <c r="B10" s="2"/>
      <c r="C10" s="51"/>
      <c r="D10" s="51"/>
      <c r="E10" s="51"/>
      <c r="F10" s="51"/>
      <c r="G10" s="51"/>
      <c r="H10" s="51"/>
      <c r="I10" s="51"/>
      <c r="J10" s="51"/>
      <c r="K10" s="51"/>
      <c r="L10" s="51"/>
      <c r="M10" s="51"/>
      <c r="N10" s="51"/>
      <c r="O10" s="51"/>
      <c r="P10" s="51"/>
      <c r="Q10" s="51"/>
      <c r="R10" s="52"/>
      <c r="S10" s="53"/>
      <c r="T10" s="54"/>
      <c r="U10" s="52"/>
      <c r="V10" s="55"/>
      <c r="W10" s="55"/>
      <c r="X10" s="52"/>
      <c r="Y10" s="52"/>
      <c r="Z10" s="56"/>
      <c r="AA10" s="55"/>
      <c r="AB10" s="55"/>
      <c r="AC10" s="55"/>
      <c r="AD10" s="55"/>
      <c r="AE10" s="55"/>
      <c r="AF10" s="55"/>
    </row>
    <row r="11" spans="1:32" s="57" customFormat="1" ht="15.75" hidden="1" customHeight="1">
      <c r="A11" s="17"/>
      <c r="B11" s="17"/>
      <c r="C11" s="51"/>
      <c r="D11" s="51"/>
      <c r="E11" s="51"/>
      <c r="F11" s="51"/>
      <c r="G11" s="51"/>
      <c r="H11" s="51"/>
      <c r="I11" s="51"/>
      <c r="J11" s="51"/>
      <c r="K11" s="51"/>
      <c r="L11" s="51"/>
      <c r="M11" s="51"/>
      <c r="N11" s="51"/>
      <c r="O11" s="51"/>
      <c r="P11" s="51"/>
      <c r="Q11" s="51"/>
      <c r="R11" s="52"/>
      <c r="S11" s="53"/>
      <c r="T11" s="54"/>
      <c r="U11" s="52"/>
      <c r="V11" s="55"/>
      <c r="W11" s="55"/>
      <c r="X11" s="52"/>
      <c r="Y11" s="52"/>
      <c r="Z11" s="56"/>
      <c r="AA11" s="55"/>
      <c r="AB11" s="55"/>
      <c r="AC11" s="55"/>
      <c r="AD11" s="55"/>
      <c r="AE11" s="55"/>
      <c r="AF11" s="55"/>
    </row>
    <row r="12" spans="1:32" s="57" customFormat="1" ht="15.75" hidden="1" customHeight="1">
      <c r="A12" s="17"/>
      <c r="B12" s="2"/>
      <c r="C12" s="51"/>
      <c r="D12" s="51"/>
      <c r="E12" s="51"/>
      <c r="F12" s="51"/>
      <c r="G12" s="51"/>
      <c r="H12" s="51"/>
      <c r="I12" s="51"/>
      <c r="J12" s="51"/>
      <c r="K12" s="51"/>
      <c r="L12" s="51"/>
      <c r="M12" s="51"/>
      <c r="N12" s="51"/>
      <c r="O12" s="51"/>
      <c r="P12" s="51"/>
      <c r="Q12" s="51"/>
      <c r="R12" s="52"/>
      <c r="S12" s="53"/>
      <c r="T12" s="54"/>
      <c r="U12" s="52"/>
      <c r="V12" s="55"/>
      <c r="W12" s="55"/>
      <c r="X12" s="52"/>
      <c r="Y12" s="52"/>
      <c r="Z12" s="56"/>
      <c r="AA12" s="55"/>
      <c r="AB12" s="55"/>
      <c r="AC12" s="55"/>
      <c r="AD12" s="55"/>
      <c r="AE12" s="55"/>
      <c r="AF12" s="55"/>
    </row>
    <row r="13" spans="1:32" s="57" customFormat="1" ht="15.75" hidden="1" customHeight="1">
      <c r="A13" s="17"/>
      <c r="B13" s="2"/>
      <c r="C13" s="51"/>
      <c r="D13" s="51"/>
      <c r="E13" s="51"/>
      <c r="F13" s="51"/>
      <c r="G13" s="51"/>
      <c r="H13" s="51"/>
      <c r="I13" s="51"/>
      <c r="J13" s="51"/>
      <c r="K13" s="51"/>
      <c r="L13" s="51"/>
      <c r="M13" s="51"/>
      <c r="N13" s="51"/>
      <c r="O13" s="51"/>
      <c r="P13" s="51"/>
      <c r="Q13" s="51"/>
      <c r="R13" s="52"/>
      <c r="S13" s="53"/>
      <c r="T13" s="54"/>
      <c r="U13" s="52"/>
      <c r="V13" s="55"/>
      <c r="W13" s="55"/>
      <c r="X13" s="52"/>
      <c r="Y13" s="52"/>
      <c r="Z13" s="56"/>
      <c r="AA13" s="55"/>
      <c r="AB13" s="55"/>
      <c r="AC13" s="55"/>
      <c r="AD13" s="55"/>
      <c r="AE13" s="55"/>
      <c r="AF13" s="55"/>
    </row>
    <row r="14" spans="1:32" s="57" customFormat="1" ht="15.75" hidden="1" customHeight="1">
      <c r="A14" s="17"/>
      <c r="B14" s="2"/>
      <c r="C14" s="51"/>
      <c r="D14" s="51"/>
      <c r="E14" s="51"/>
      <c r="F14" s="51"/>
      <c r="G14" s="51"/>
      <c r="H14" s="51"/>
      <c r="I14" s="51"/>
      <c r="J14" s="51"/>
      <c r="K14" s="51"/>
      <c r="L14" s="51"/>
      <c r="M14" s="51"/>
      <c r="N14" s="51"/>
      <c r="O14" s="51"/>
      <c r="P14" s="51"/>
      <c r="Q14" s="51"/>
      <c r="R14" s="52"/>
      <c r="S14" s="53"/>
      <c r="T14" s="54"/>
      <c r="U14" s="52"/>
      <c r="V14" s="55"/>
      <c r="W14" s="55"/>
      <c r="X14" s="52"/>
      <c r="Y14" s="52"/>
      <c r="Z14" s="56"/>
      <c r="AA14" s="55"/>
      <c r="AB14" s="55"/>
      <c r="AC14" s="55"/>
      <c r="AD14" s="55"/>
      <c r="AE14" s="55"/>
      <c r="AF14" s="55"/>
    </row>
    <row r="15" spans="1:32" s="57" customFormat="1" ht="15.75" hidden="1" customHeight="1">
      <c r="A15" s="17"/>
      <c r="B15" s="2"/>
      <c r="C15" s="51"/>
      <c r="D15" s="51"/>
      <c r="E15" s="51"/>
      <c r="F15" s="51"/>
      <c r="G15" s="51"/>
      <c r="H15" s="51"/>
      <c r="I15" s="51"/>
      <c r="J15" s="51"/>
      <c r="K15" s="51"/>
      <c r="L15" s="51"/>
      <c r="M15" s="51"/>
      <c r="N15" s="51"/>
      <c r="O15" s="51"/>
      <c r="P15" s="51"/>
      <c r="Q15" s="51"/>
      <c r="R15" s="52"/>
      <c r="S15" s="53"/>
      <c r="T15" s="54"/>
      <c r="U15" s="52"/>
      <c r="V15" s="55"/>
      <c r="W15" s="55"/>
      <c r="X15" s="52"/>
      <c r="Y15" s="52"/>
      <c r="Z15" s="56"/>
      <c r="AA15" s="55"/>
      <c r="AB15" s="55"/>
      <c r="AC15" s="55"/>
      <c r="AD15" s="55"/>
      <c r="AE15" s="55"/>
      <c r="AF15" s="55"/>
    </row>
    <row r="16" spans="1:32" s="57" customFormat="1" ht="15.75" hidden="1" customHeight="1">
      <c r="A16" s="17"/>
      <c r="B16" s="2"/>
      <c r="C16" s="51"/>
      <c r="D16" s="51"/>
      <c r="E16" s="51"/>
      <c r="F16" s="51"/>
      <c r="G16" s="51"/>
      <c r="H16" s="51"/>
      <c r="I16" s="51"/>
      <c r="J16" s="51"/>
      <c r="K16" s="51"/>
      <c r="L16" s="51"/>
      <c r="M16" s="51"/>
      <c r="N16" s="51"/>
      <c r="O16" s="51"/>
      <c r="P16" s="51"/>
      <c r="Q16" s="51"/>
      <c r="R16" s="52"/>
      <c r="S16" s="53"/>
      <c r="T16" s="54"/>
      <c r="U16" s="52"/>
      <c r="V16" s="55"/>
      <c r="W16" s="55"/>
      <c r="X16" s="52"/>
      <c r="Y16" s="52"/>
      <c r="Z16" s="56"/>
      <c r="AA16" s="55"/>
      <c r="AB16" s="55"/>
      <c r="AC16" s="55"/>
      <c r="AD16" s="55"/>
      <c r="AE16" s="55"/>
      <c r="AF16" s="55"/>
    </row>
    <row r="17" spans="1:32" s="57" customFormat="1" ht="15.75" hidden="1" customHeight="1">
      <c r="A17" s="17"/>
      <c r="B17" s="2"/>
      <c r="C17" s="51"/>
      <c r="D17" s="51"/>
      <c r="E17" s="51"/>
      <c r="F17" s="51"/>
      <c r="G17" s="51"/>
      <c r="H17" s="51"/>
      <c r="I17" s="51"/>
      <c r="J17" s="51"/>
      <c r="K17" s="51"/>
      <c r="L17" s="51"/>
      <c r="M17" s="51"/>
      <c r="N17" s="51"/>
      <c r="O17" s="51"/>
      <c r="P17" s="51"/>
      <c r="Q17" s="51"/>
      <c r="R17" s="52"/>
      <c r="S17" s="53"/>
      <c r="T17" s="54"/>
      <c r="U17" s="52"/>
      <c r="V17" s="55"/>
      <c r="W17" s="55"/>
      <c r="X17" s="52"/>
      <c r="Y17" s="52"/>
      <c r="Z17" s="56"/>
      <c r="AA17" s="55"/>
      <c r="AB17" s="55"/>
      <c r="AC17" s="55"/>
      <c r="AD17" s="55"/>
      <c r="AE17" s="55"/>
      <c r="AF17" s="55"/>
    </row>
    <row r="18" spans="1:32" s="57" customFormat="1" ht="15.75" hidden="1" customHeight="1">
      <c r="A18" s="2"/>
      <c r="B18" s="2"/>
      <c r="C18" s="51"/>
      <c r="D18" s="51"/>
      <c r="E18" s="51"/>
      <c r="F18" s="51"/>
      <c r="G18" s="51"/>
      <c r="H18" s="51"/>
      <c r="I18" s="51"/>
      <c r="J18" s="51"/>
      <c r="K18" s="51"/>
      <c r="L18" s="51"/>
      <c r="M18" s="51"/>
      <c r="N18" s="51"/>
      <c r="O18" s="51"/>
      <c r="P18" s="51"/>
      <c r="Q18" s="51"/>
      <c r="R18" s="55"/>
      <c r="S18" s="53"/>
      <c r="T18" s="54"/>
      <c r="U18" s="55"/>
      <c r="V18" s="55"/>
      <c r="W18" s="55"/>
      <c r="X18" s="55"/>
      <c r="Y18" s="55"/>
      <c r="Z18" s="56"/>
      <c r="AA18" s="55"/>
      <c r="AB18" s="58"/>
      <c r="AC18" s="55"/>
      <c r="AD18" s="55"/>
      <c r="AE18" s="55"/>
      <c r="AF18" s="55"/>
    </row>
    <row r="19" spans="1:32" s="57" customFormat="1" ht="15.75" hidden="1" customHeight="1">
      <c r="A19" s="17"/>
      <c r="B19" s="2"/>
      <c r="C19" s="51"/>
      <c r="D19" s="51"/>
      <c r="E19" s="51"/>
      <c r="F19" s="51"/>
      <c r="G19" s="51"/>
      <c r="H19" s="51"/>
      <c r="I19" s="51"/>
      <c r="J19" s="51"/>
      <c r="K19" s="51"/>
      <c r="L19" s="51"/>
      <c r="M19" s="51"/>
      <c r="N19" s="51"/>
      <c r="O19" s="51"/>
      <c r="P19" s="51"/>
      <c r="Q19" s="51"/>
      <c r="R19" s="52"/>
      <c r="S19" s="53"/>
      <c r="T19" s="54"/>
      <c r="U19" s="55"/>
      <c r="V19" s="55"/>
      <c r="W19" s="55"/>
      <c r="X19" s="52"/>
      <c r="Y19" s="52"/>
      <c r="Z19" s="56"/>
      <c r="AA19" s="55"/>
      <c r="AB19" s="55"/>
      <c r="AC19" s="55"/>
      <c r="AD19" s="55"/>
      <c r="AE19" s="55"/>
      <c r="AF19" s="55"/>
    </row>
    <row r="20" spans="1:32" s="57" customFormat="1" ht="15.75" hidden="1" customHeight="1">
      <c r="A20" s="17"/>
      <c r="B20" s="2"/>
      <c r="C20" s="51"/>
      <c r="D20" s="51"/>
      <c r="E20" s="51"/>
      <c r="F20" s="51"/>
      <c r="G20" s="51"/>
      <c r="H20" s="51"/>
      <c r="I20" s="51"/>
      <c r="J20" s="51"/>
      <c r="K20" s="51"/>
      <c r="L20" s="51"/>
      <c r="M20" s="51"/>
      <c r="N20" s="51"/>
      <c r="O20" s="51"/>
      <c r="P20" s="51"/>
      <c r="Q20" s="51"/>
      <c r="R20" s="52"/>
      <c r="S20" s="53"/>
      <c r="T20" s="54"/>
      <c r="U20" s="52"/>
      <c r="V20" s="55"/>
      <c r="W20" s="55"/>
      <c r="X20" s="52"/>
      <c r="Y20" s="52"/>
      <c r="Z20" s="56"/>
      <c r="AA20" s="55"/>
      <c r="AB20" s="55"/>
      <c r="AC20" s="55"/>
      <c r="AD20" s="55"/>
      <c r="AE20" s="55"/>
      <c r="AF20" s="55"/>
    </row>
    <row r="21" spans="1:32" s="57" customFormat="1" ht="15.75" hidden="1" customHeight="1">
      <c r="A21" s="17"/>
      <c r="B21" s="2"/>
      <c r="C21" s="51"/>
      <c r="D21" s="51"/>
      <c r="E21" s="51"/>
      <c r="F21" s="51"/>
      <c r="G21" s="51"/>
      <c r="H21" s="51"/>
      <c r="I21" s="51"/>
      <c r="J21" s="51"/>
      <c r="K21" s="51"/>
      <c r="L21" s="51"/>
      <c r="M21" s="51"/>
      <c r="N21" s="51"/>
      <c r="O21" s="51"/>
      <c r="P21" s="51"/>
      <c r="Q21" s="51"/>
      <c r="R21" s="52"/>
      <c r="S21" s="53"/>
      <c r="T21" s="54"/>
      <c r="U21" s="52"/>
      <c r="V21" s="55"/>
      <c r="W21" s="55"/>
      <c r="X21" s="52"/>
      <c r="Y21" s="52"/>
      <c r="Z21" s="56"/>
      <c r="AA21" s="55"/>
      <c r="AB21" s="55"/>
      <c r="AC21" s="55"/>
      <c r="AD21" s="55"/>
      <c r="AE21" s="55"/>
      <c r="AF21" s="55"/>
    </row>
    <row r="22" spans="1:32" s="57" customFormat="1" ht="15.75" hidden="1" customHeight="1">
      <c r="A22" s="17"/>
      <c r="B22" s="2"/>
      <c r="C22" s="51"/>
      <c r="D22" s="51"/>
      <c r="E22" s="51"/>
      <c r="F22" s="51"/>
      <c r="G22" s="51"/>
      <c r="H22" s="51"/>
      <c r="I22" s="51"/>
      <c r="J22" s="51"/>
      <c r="K22" s="51"/>
      <c r="L22" s="51"/>
      <c r="M22" s="51"/>
      <c r="N22" s="51"/>
      <c r="O22" s="51"/>
      <c r="P22" s="51"/>
      <c r="Q22" s="51"/>
      <c r="R22" s="52"/>
      <c r="S22" s="53"/>
      <c r="T22" s="54"/>
      <c r="U22" s="52"/>
      <c r="V22" s="55"/>
      <c r="W22" s="55"/>
      <c r="X22" s="52"/>
      <c r="Y22" s="52"/>
      <c r="Z22" s="56"/>
      <c r="AA22" s="55"/>
      <c r="AB22" s="55"/>
      <c r="AC22" s="55"/>
      <c r="AD22" s="55"/>
      <c r="AE22" s="55"/>
      <c r="AF22" s="55"/>
    </row>
    <row r="23" spans="1:32" s="57" customFormat="1" ht="15.75" hidden="1" customHeight="1">
      <c r="A23" s="17"/>
      <c r="B23" s="2"/>
      <c r="C23" s="51"/>
      <c r="D23" s="51"/>
      <c r="E23" s="51"/>
      <c r="F23" s="51"/>
      <c r="G23" s="51"/>
      <c r="H23" s="51"/>
      <c r="I23" s="51"/>
      <c r="J23" s="51"/>
      <c r="K23" s="51"/>
      <c r="L23" s="51"/>
      <c r="M23" s="51"/>
      <c r="N23" s="51"/>
      <c r="O23" s="51"/>
      <c r="P23" s="51"/>
      <c r="Q23" s="51"/>
      <c r="R23" s="52"/>
      <c r="S23" s="53"/>
      <c r="T23" s="54"/>
      <c r="U23" s="52"/>
      <c r="V23" s="55"/>
      <c r="W23" s="55"/>
      <c r="X23" s="52"/>
      <c r="Y23" s="52"/>
      <c r="Z23" s="56"/>
      <c r="AA23" s="55"/>
      <c r="AB23" s="55"/>
      <c r="AC23" s="55"/>
      <c r="AD23" s="55"/>
      <c r="AE23" s="55"/>
      <c r="AF23" s="55"/>
    </row>
    <row r="24" spans="1:32" s="57" customFormat="1" ht="15.75" hidden="1" customHeight="1">
      <c r="A24" s="17"/>
      <c r="B24" s="2"/>
      <c r="C24" s="51"/>
      <c r="D24" s="51"/>
      <c r="E24" s="51"/>
      <c r="F24" s="51"/>
      <c r="G24" s="51"/>
      <c r="H24" s="51"/>
      <c r="I24" s="51"/>
      <c r="J24" s="51"/>
      <c r="K24" s="51"/>
      <c r="L24" s="51"/>
      <c r="M24" s="51"/>
      <c r="N24" s="51"/>
      <c r="O24" s="51"/>
      <c r="P24" s="51"/>
      <c r="Q24" s="51"/>
      <c r="R24" s="52"/>
      <c r="S24" s="53"/>
      <c r="T24" s="54"/>
      <c r="U24" s="52"/>
      <c r="V24" s="55"/>
      <c r="W24" s="55"/>
      <c r="X24" s="52"/>
      <c r="Y24" s="52"/>
      <c r="Z24" s="56"/>
      <c r="AA24" s="55"/>
      <c r="AB24" s="55"/>
      <c r="AC24" s="55"/>
      <c r="AD24" s="55"/>
      <c r="AE24" s="55"/>
      <c r="AF24" s="55"/>
    </row>
    <row r="25" spans="1:32" s="57" customFormat="1" ht="15.75" hidden="1" customHeight="1">
      <c r="A25" s="17"/>
      <c r="B25" s="2"/>
      <c r="C25" s="51"/>
      <c r="D25" s="51"/>
      <c r="E25" s="51"/>
      <c r="F25" s="51"/>
      <c r="G25" s="51"/>
      <c r="H25" s="51"/>
      <c r="I25" s="51"/>
      <c r="J25" s="51"/>
      <c r="K25" s="51"/>
      <c r="L25" s="51"/>
      <c r="M25" s="51"/>
      <c r="N25" s="51"/>
      <c r="O25" s="51"/>
      <c r="P25" s="51"/>
      <c r="Q25" s="51"/>
      <c r="R25" s="52"/>
      <c r="S25" s="53"/>
      <c r="T25" s="54"/>
      <c r="U25" s="52"/>
      <c r="V25" s="55"/>
      <c r="W25" s="55"/>
      <c r="X25" s="52"/>
      <c r="Y25" s="52"/>
      <c r="Z25" s="56"/>
      <c r="AA25" s="55"/>
      <c r="AB25" s="55"/>
      <c r="AC25" s="55"/>
      <c r="AD25" s="55"/>
      <c r="AE25" s="55"/>
      <c r="AF25" s="55"/>
    </row>
    <row r="26" spans="1:32" s="57" customFormat="1" ht="15.75" hidden="1" customHeight="1">
      <c r="A26" s="17"/>
      <c r="B26" s="2"/>
      <c r="C26" s="51"/>
      <c r="D26" s="51"/>
      <c r="E26" s="51"/>
      <c r="F26" s="51"/>
      <c r="G26" s="51"/>
      <c r="H26" s="51"/>
      <c r="I26" s="51"/>
      <c r="J26" s="51"/>
      <c r="K26" s="51"/>
      <c r="L26" s="51"/>
      <c r="M26" s="51"/>
      <c r="N26" s="51"/>
      <c r="O26" s="51"/>
      <c r="P26" s="51"/>
      <c r="Q26" s="51"/>
      <c r="R26" s="52"/>
      <c r="S26" s="53"/>
      <c r="T26" s="54"/>
      <c r="U26" s="52"/>
      <c r="V26" s="55"/>
      <c r="W26" s="55"/>
      <c r="X26" s="52"/>
      <c r="Y26" s="52"/>
      <c r="Z26" s="56"/>
      <c r="AA26" s="55"/>
      <c r="AB26" s="55"/>
      <c r="AC26" s="55"/>
      <c r="AD26" s="55"/>
      <c r="AE26" s="55"/>
      <c r="AF26" s="55"/>
    </row>
    <row r="27" spans="1:32" s="57" customFormat="1" ht="15.75" hidden="1" customHeight="1">
      <c r="A27" s="17"/>
      <c r="B27" s="2"/>
      <c r="C27" s="51"/>
      <c r="D27" s="51"/>
      <c r="E27" s="51"/>
      <c r="F27" s="51"/>
      <c r="G27" s="51"/>
      <c r="H27" s="51"/>
      <c r="I27" s="51"/>
      <c r="J27" s="51"/>
      <c r="K27" s="51"/>
      <c r="L27" s="51"/>
      <c r="M27" s="51"/>
      <c r="N27" s="51"/>
      <c r="O27" s="51"/>
      <c r="P27" s="51"/>
      <c r="Q27" s="51"/>
      <c r="R27" s="52"/>
      <c r="S27" s="53"/>
      <c r="T27" s="54"/>
      <c r="U27" s="52"/>
      <c r="V27" s="55"/>
      <c r="W27" s="55"/>
      <c r="X27" s="52"/>
      <c r="Y27" s="52"/>
      <c r="Z27" s="56"/>
      <c r="AA27" s="55"/>
      <c r="AB27" s="55"/>
      <c r="AC27" s="55"/>
      <c r="AD27" s="55"/>
      <c r="AE27" s="55"/>
      <c r="AF27" s="55"/>
    </row>
    <row r="28" spans="1:32" s="57" customFormat="1" ht="15.75" hidden="1" customHeight="1">
      <c r="A28" s="17"/>
      <c r="B28" s="2"/>
      <c r="C28" s="51"/>
      <c r="D28" s="51"/>
      <c r="E28" s="51"/>
      <c r="F28" s="51"/>
      <c r="G28" s="51"/>
      <c r="H28" s="51"/>
      <c r="I28" s="51"/>
      <c r="J28" s="51"/>
      <c r="K28" s="51"/>
      <c r="L28" s="51"/>
      <c r="M28" s="51"/>
      <c r="N28" s="51"/>
      <c r="O28" s="51"/>
      <c r="P28" s="51"/>
      <c r="Q28" s="51"/>
      <c r="R28" s="52"/>
      <c r="S28" s="53"/>
      <c r="T28" s="54"/>
      <c r="U28" s="52"/>
      <c r="V28" s="55"/>
      <c r="W28" s="55"/>
      <c r="X28" s="52"/>
      <c r="Y28" s="52"/>
      <c r="Z28" s="56"/>
      <c r="AA28" s="55"/>
      <c r="AB28" s="55"/>
      <c r="AC28" s="55"/>
      <c r="AD28" s="55"/>
      <c r="AE28" s="55"/>
      <c r="AF28" s="55"/>
    </row>
    <row r="29" spans="1:32" s="57" customFormat="1" ht="15.75" hidden="1" customHeight="1">
      <c r="A29" s="17"/>
      <c r="B29" s="2"/>
      <c r="C29" s="51"/>
      <c r="D29" s="51"/>
      <c r="E29" s="51"/>
      <c r="F29" s="51"/>
      <c r="G29" s="51"/>
      <c r="H29" s="51"/>
      <c r="I29" s="51"/>
      <c r="J29" s="51"/>
      <c r="K29" s="51"/>
      <c r="L29" s="51"/>
      <c r="M29" s="51"/>
      <c r="N29" s="51"/>
      <c r="O29" s="51"/>
      <c r="P29" s="51"/>
      <c r="Q29" s="51"/>
      <c r="R29" s="52"/>
      <c r="S29" s="53"/>
      <c r="T29" s="54"/>
      <c r="U29" s="52"/>
      <c r="V29" s="55"/>
      <c r="W29" s="55"/>
      <c r="X29" s="52"/>
      <c r="Y29" s="52"/>
      <c r="Z29" s="56"/>
      <c r="AA29" s="55"/>
      <c r="AB29" s="55"/>
      <c r="AC29" s="55"/>
      <c r="AD29" s="55"/>
      <c r="AE29" s="55"/>
      <c r="AF29" s="55"/>
    </row>
    <row r="30" spans="1:32" s="57" customFormat="1" ht="15.75" hidden="1" customHeight="1">
      <c r="A30" s="17"/>
      <c r="B30" s="2"/>
      <c r="C30" s="51"/>
      <c r="D30" s="51"/>
      <c r="E30" s="51"/>
      <c r="F30" s="51"/>
      <c r="G30" s="51"/>
      <c r="H30" s="51"/>
      <c r="I30" s="51"/>
      <c r="J30" s="51"/>
      <c r="K30" s="51"/>
      <c r="L30" s="51"/>
      <c r="M30" s="51"/>
      <c r="N30" s="51"/>
      <c r="O30" s="51"/>
      <c r="P30" s="51"/>
      <c r="Q30" s="51"/>
      <c r="R30" s="52"/>
      <c r="S30" s="53"/>
      <c r="T30" s="54"/>
      <c r="U30" s="52"/>
      <c r="V30" s="55"/>
      <c r="W30" s="55"/>
      <c r="X30" s="52"/>
      <c r="Y30" s="52"/>
      <c r="Z30" s="56"/>
      <c r="AA30" s="55"/>
      <c r="AB30" s="55"/>
      <c r="AC30" s="55"/>
      <c r="AD30" s="55"/>
      <c r="AE30" s="55"/>
      <c r="AF30" s="55"/>
    </row>
    <row r="31" spans="1:32" s="57" customFormat="1" ht="15.75" hidden="1" customHeight="1">
      <c r="A31" s="17"/>
      <c r="B31" s="2"/>
      <c r="C31" s="51"/>
      <c r="D31" s="51"/>
      <c r="E31" s="51"/>
      <c r="F31" s="51"/>
      <c r="G31" s="51"/>
      <c r="H31" s="51"/>
      <c r="I31" s="51"/>
      <c r="J31" s="51"/>
      <c r="K31" s="51"/>
      <c r="L31" s="51"/>
      <c r="M31" s="51"/>
      <c r="N31" s="51"/>
      <c r="O31" s="51"/>
      <c r="P31" s="51"/>
      <c r="Q31" s="51"/>
      <c r="R31" s="52"/>
      <c r="S31" s="53"/>
      <c r="T31" s="54"/>
      <c r="U31" s="52"/>
      <c r="V31" s="55"/>
      <c r="W31" s="55"/>
      <c r="X31" s="52"/>
      <c r="Y31" s="52"/>
      <c r="Z31" s="56"/>
      <c r="AA31" s="55"/>
      <c r="AB31" s="55"/>
      <c r="AC31" s="55"/>
      <c r="AD31" s="55"/>
      <c r="AE31" s="55"/>
      <c r="AF31" s="55"/>
    </row>
    <row r="32" spans="1:32" s="57" customFormat="1" ht="15.75" hidden="1" customHeight="1">
      <c r="A32" s="17"/>
      <c r="B32" s="2"/>
      <c r="C32" s="51"/>
      <c r="D32" s="51"/>
      <c r="E32" s="51"/>
      <c r="F32" s="51"/>
      <c r="G32" s="51"/>
      <c r="H32" s="51"/>
      <c r="I32" s="51"/>
      <c r="J32" s="51"/>
      <c r="K32" s="51"/>
      <c r="L32" s="51"/>
      <c r="M32" s="51"/>
      <c r="N32" s="51"/>
      <c r="O32" s="51"/>
      <c r="P32" s="51"/>
      <c r="Q32" s="51"/>
      <c r="R32" s="52"/>
      <c r="S32" s="53"/>
      <c r="T32" s="54"/>
      <c r="U32" s="52"/>
      <c r="V32" s="55"/>
      <c r="W32" s="55"/>
      <c r="X32" s="52"/>
      <c r="Y32" s="52"/>
      <c r="Z32" s="56"/>
      <c r="AA32" s="55"/>
      <c r="AB32" s="55"/>
      <c r="AC32" s="55"/>
      <c r="AD32" s="55"/>
      <c r="AE32" s="55"/>
      <c r="AF32" s="52"/>
    </row>
    <row r="33" spans="1:32" s="57" customFormat="1" ht="15.75" hidden="1" customHeight="1">
      <c r="A33" s="17"/>
      <c r="B33" s="2"/>
      <c r="C33" s="51"/>
      <c r="D33" s="51"/>
      <c r="E33" s="51"/>
      <c r="F33" s="51"/>
      <c r="G33" s="51"/>
      <c r="H33" s="51"/>
      <c r="I33" s="51"/>
      <c r="J33" s="51"/>
      <c r="K33" s="51"/>
      <c r="L33" s="51"/>
      <c r="M33" s="51"/>
      <c r="N33" s="51"/>
      <c r="O33" s="51"/>
      <c r="P33" s="51"/>
      <c r="Q33" s="51"/>
      <c r="R33" s="52"/>
      <c r="S33" s="53"/>
      <c r="T33" s="54"/>
      <c r="U33" s="52"/>
      <c r="V33" s="55"/>
      <c r="W33" s="55"/>
      <c r="X33" s="52"/>
      <c r="Y33" s="52"/>
      <c r="Z33" s="56"/>
      <c r="AA33" s="55"/>
      <c r="AB33" s="55"/>
      <c r="AC33" s="55"/>
      <c r="AD33" s="55"/>
      <c r="AE33" s="55"/>
      <c r="AF33" s="55"/>
    </row>
    <row r="34" spans="1:32" s="57" customFormat="1" ht="15.75" hidden="1" customHeight="1">
      <c r="A34" s="17"/>
      <c r="B34" s="2"/>
      <c r="C34" s="51"/>
      <c r="D34" s="51"/>
      <c r="E34" s="51"/>
      <c r="F34" s="51"/>
      <c r="G34" s="51"/>
      <c r="H34" s="51"/>
      <c r="I34" s="51"/>
      <c r="J34" s="51"/>
      <c r="K34" s="51"/>
      <c r="L34" s="51"/>
      <c r="M34" s="51"/>
      <c r="N34" s="51"/>
      <c r="O34" s="51"/>
      <c r="P34" s="51"/>
      <c r="Q34" s="51"/>
      <c r="R34" s="55"/>
      <c r="S34" s="53"/>
      <c r="T34" s="54"/>
      <c r="U34" s="52"/>
      <c r="V34" s="55"/>
      <c r="W34" s="55"/>
      <c r="X34" s="52"/>
      <c r="Y34" s="52"/>
      <c r="Z34" s="56"/>
      <c r="AA34" s="55"/>
      <c r="AB34" s="55"/>
      <c r="AC34" s="55"/>
      <c r="AD34" s="55"/>
      <c r="AE34" s="55"/>
      <c r="AF34" s="55"/>
    </row>
    <row r="35" spans="1:32" s="57" customFormat="1" ht="15.75" hidden="1" customHeight="1">
      <c r="A35" s="17"/>
      <c r="B35" s="2"/>
      <c r="C35" s="51"/>
      <c r="D35" s="51"/>
      <c r="E35" s="51"/>
      <c r="F35" s="51"/>
      <c r="G35" s="51"/>
      <c r="H35" s="51"/>
      <c r="I35" s="51"/>
      <c r="J35" s="51"/>
      <c r="K35" s="51"/>
      <c r="L35" s="51"/>
      <c r="M35" s="51"/>
      <c r="N35" s="51"/>
      <c r="O35" s="51"/>
      <c r="P35" s="51"/>
      <c r="Q35" s="51"/>
      <c r="R35" s="55"/>
      <c r="S35" s="53"/>
      <c r="T35" s="54"/>
      <c r="U35" s="52"/>
      <c r="V35" s="55"/>
      <c r="W35" s="55"/>
      <c r="X35" s="52"/>
      <c r="Y35" s="52"/>
      <c r="Z35" s="56"/>
      <c r="AA35" s="55"/>
      <c r="AB35" s="55"/>
      <c r="AC35" s="55"/>
      <c r="AD35" s="55"/>
      <c r="AE35" s="55"/>
      <c r="AF35" s="55"/>
    </row>
    <row r="36" spans="1:32" s="57" customFormat="1" ht="15.75" hidden="1" customHeight="1">
      <c r="A36" s="17"/>
      <c r="B36" s="2"/>
      <c r="C36" s="51"/>
      <c r="D36" s="51"/>
      <c r="E36" s="51"/>
      <c r="F36" s="51"/>
      <c r="G36" s="51"/>
      <c r="H36" s="51"/>
      <c r="I36" s="51"/>
      <c r="J36" s="51"/>
      <c r="K36" s="51"/>
      <c r="L36" s="51"/>
      <c r="M36" s="51"/>
      <c r="N36" s="51"/>
      <c r="O36" s="51"/>
      <c r="P36" s="51"/>
      <c r="Q36" s="51"/>
      <c r="R36" s="55"/>
      <c r="S36" s="53"/>
      <c r="T36" s="54"/>
      <c r="U36" s="55"/>
      <c r="V36" s="55"/>
      <c r="W36" s="55"/>
      <c r="X36" s="55"/>
      <c r="Y36" s="52"/>
      <c r="Z36" s="56"/>
      <c r="AA36" s="55"/>
      <c r="AB36" s="55"/>
      <c r="AC36" s="55"/>
      <c r="AD36" s="55"/>
      <c r="AE36" s="55"/>
      <c r="AF36" s="55"/>
    </row>
    <row r="37" spans="1:32" s="57" customFormat="1" ht="15.75" hidden="1" customHeight="1">
      <c r="A37" s="17"/>
      <c r="B37" s="2"/>
      <c r="C37" s="51"/>
      <c r="D37" s="51"/>
      <c r="E37" s="51"/>
      <c r="F37" s="51"/>
      <c r="G37" s="51"/>
      <c r="H37" s="51"/>
      <c r="I37" s="51"/>
      <c r="J37" s="51"/>
      <c r="K37" s="51"/>
      <c r="L37" s="51"/>
      <c r="M37" s="51"/>
      <c r="N37" s="51"/>
      <c r="O37" s="51"/>
      <c r="P37" s="51"/>
      <c r="Q37" s="51"/>
      <c r="R37" s="55"/>
      <c r="S37" s="53"/>
      <c r="T37" s="54"/>
      <c r="U37" s="52"/>
      <c r="V37" s="55"/>
      <c r="W37" s="55"/>
      <c r="X37" s="52"/>
      <c r="Y37" s="52"/>
      <c r="Z37" s="56"/>
      <c r="AA37" s="55"/>
      <c r="AB37" s="55"/>
      <c r="AC37" s="55"/>
      <c r="AD37" s="55"/>
      <c r="AE37" s="55"/>
      <c r="AF37" s="55"/>
    </row>
    <row r="38" spans="1:32" s="57" customFormat="1" ht="15.75" hidden="1" customHeight="1">
      <c r="A38" s="17"/>
      <c r="B38" s="2"/>
      <c r="C38" s="51"/>
      <c r="D38" s="51"/>
      <c r="E38" s="51"/>
      <c r="F38" s="51"/>
      <c r="G38" s="51"/>
      <c r="H38" s="51"/>
      <c r="I38" s="51"/>
      <c r="J38" s="51"/>
      <c r="K38" s="51"/>
      <c r="L38" s="51"/>
      <c r="M38" s="51"/>
      <c r="N38" s="51"/>
      <c r="O38" s="51"/>
      <c r="P38" s="51"/>
      <c r="Q38" s="51"/>
      <c r="R38" s="52"/>
      <c r="S38" s="53"/>
      <c r="T38" s="54"/>
      <c r="U38" s="52"/>
      <c r="V38" s="55"/>
      <c r="W38" s="55"/>
      <c r="X38" s="52"/>
      <c r="Y38" s="52"/>
      <c r="Z38" s="56"/>
      <c r="AA38" s="55"/>
      <c r="AB38" s="55"/>
      <c r="AC38" s="55"/>
      <c r="AD38" s="55"/>
      <c r="AE38" s="55"/>
      <c r="AF38" s="55"/>
    </row>
    <row r="39" spans="1:32" s="57" customFormat="1" ht="15.75" hidden="1" customHeight="1">
      <c r="A39" s="17"/>
      <c r="B39" s="2"/>
      <c r="C39" s="51"/>
      <c r="D39" s="51"/>
      <c r="E39" s="51"/>
      <c r="F39" s="51"/>
      <c r="G39" s="51"/>
      <c r="H39" s="51"/>
      <c r="I39" s="51"/>
      <c r="J39" s="51"/>
      <c r="K39" s="51"/>
      <c r="L39" s="51"/>
      <c r="M39" s="51"/>
      <c r="N39" s="51"/>
      <c r="O39" s="51"/>
      <c r="P39" s="51"/>
      <c r="Q39" s="51"/>
      <c r="R39" s="55"/>
      <c r="S39" s="53"/>
      <c r="T39" s="54"/>
      <c r="U39" s="52"/>
      <c r="V39" s="55"/>
      <c r="W39" s="55"/>
      <c r="X39" s="52"/>
      <c r="Y39" s="52"/>
      <c r="Z39" s="56"/>
      <c r="AA39" s="52"/>
      <c r="AB39" s="55"/>
      <c r="AC39" s="55"/>
      <c r="AD39" s="55"/>
      <c r="AE39" s="55"/>
      <c r="AF39" s="55"/>
    </row>
    <row r="40" spans="1:32" s="57" customFormat="1" ht="15.75" hidden="1" customHeight="1">
      <c r="A40" s="17"/>
      <c r="B40" s="2"/>
      <c r="C40" s="51"/>
      <c r="D40" s="51"/>
      <c r="E40" s="51"/>
      <c r="F40" s="51"/>
      <c r="G40" s="51"/>
      <c r="H40" s="51"/>
      <c r="I40" s="51"/>
      <c r="J40" s="51"/>
      <c r="K40" s="51"/>
      <c r="L40" s="51"/>
      <c r="M40" s="51"/>
      <c r="N40" s="51"/>
      <c r="O40" s="51"/>
      <c r="P40" s="51"/>
      <c r="Q40" s="51"/>
      <c r="R40" s="55"/>
      <c r="S40" s="53"/>
      <c r="T40" s="54"/>
      <c r="U40" s="52"/>
      <c r="V40" s="55"/>
      <c r="W40" s="55"/>
      <c r="X40" s="52"/>
      <c r="Y40" s="52"/>
      <c r="Z40" s="56"/>
      <c r="AA40" s="55"/>
      <c r="AB40" s="55"/>
      <c r="AC40" s="55"/>
      <c r="AD40" s="55"/>
      <c r="AE40" s="55"/>
      <c r="AF40" s="55"/>
    </row>
    <row r="41" spans="1:32" s="57" customFormat="1" ht="15.75" hidden="1" customHeight="1">
      <c r="A41" s="17"/>
      <c r="B41" s="2"/>
      <c r="C41" s="51"/>
      <c r="D41" s="51"/>
      <c r="E41" s="51"/>
      <c r="F41" s="51"/>
      <c r="G41" s="51"/>
      <c r="H41" s="51"/>
      <c r="I41" s="51"/>
      <c r="J41" s="51"/>
      <c r="K41" s="51"/>
      <c r="L41" s="51"/>
      <c r="M41" s="51"/>
      <c r="N41" s="51"/>
      <c r="O41" s="51"/>
      <c r="P41" s="51"/>
      <c r="Q41" s="51"/>
      <c r="R41" s="55"/>
      <c r="S41" s="53"/>
      <c r="T41" s="54"/>
      <c r="U41" s="52"/>
      <c r="V41" s="55"/>
      <c r="W41" s="55"/>
      <c r="X41" s="52"/>
      <c r="Y41" s="52"/>
      <c r="Z41" s="56"/>
      <c r="AA41" s="55"/>
      <c r="AB41" s="55"/>
      <c r="AC41" s="55"/>
      <c r="AD41" s="55"/>
      <c r="AE41" s="55"/>
      <c r="AF41" s="55"/>
    </row>
    <row r="42" spans="1:32" s="57" customFormat="1" ht="15.75" hidden="1" customHeight="1">
      <c r="A42" s="17"/>
      <c r="B42" s="2"/>
      <c r="C42" s="51"/>
      <c r="D42" s="51"/>
      <c r="E42" s="51"/>
      <c r="F42" s="51"/>
      <c r="G42" s="51"/>
      <c r="H42" s="51"/>
      <c r="I42" s="51"/>
      <c r="J42" s="51"/>
      <c r="K42" s="51"/>
      <c r="L42" s="51"/>
      <c r="M42" s="51"/>
      <c r="N42" s="51"/>
      <c r="O42" s="51"/>
      <c r="P42" s="51"/>
      <c r="Q42" s="51"/>
      <c r="R42" s="55"/>
      <c r="S42" s="53"/>
      <c r="T42" s="54"/>
      <c r="U42" s="52"/>
      <c r="V42" s="55"/>
      <c r="W42" s="55"/>
      <c r="X42" s="52"/>
      <c r="Y42" s="52"/>
      <c r="Z42" s="56"/>
      <c r="AA42" s="55"/>
      <c r="AB42" s="55"/>
      <c r="AC42" s="55"/>
      <c r="AD42" s="55"/>
      <c r="AE42" s="55"/>
      <c r="AF42" s="55"/>
    </row>
    <row r="43" spans="1:32" s="57" customFormat="1" ht="15.75" hidden="1" customHeight="1">
      <c r="A43" s="17"/>
      <c r="B43" s="2"/>
      <c r="C43" s="51"/>
      <c r="D43" s="51"/>
      <c r="E43" s="51"/>
      <c r="F43" s="51"/>
      <c r="G43" s="51"/>
      <c r="H43" s="51"/>
      <c r="I43" s="51"/>
      <c r="J43" s="51"/>
      <c r="K43" s="51"/>
      <c r="L43" s="51"/>
      <c r="M43" s="51"/>
      <c r="N43" s="51"/>
      <c r="O43" s="51"/>
      <c r="P43" s="51"/>
      <c r="Q43" s="51"/>
      <c r="R43" s="55"/>
      <c r="S43" s="53"/>
      <c r="T43" s="54"/>
      <c r="U43" s="52"/>
      <c r="V43" s="55"/>
      <c r="W43" s="55"/>
      <c r="X43" s="52"/>
      <c r="Y43" s="52"/>
      <c r="Z43" s="56"/>
      <c r="AA43" s="55"/>
      <c r="AB43" s="55"/>
      <c r="AC43" s="55"/>
      <c r="AD43" s="55"/>
      <c r="AE43" s="55"/>
      <c r="AF43" s="55"/>
    </row>
    <row r="44" spans="1:32" s="57" customFormat="1" ht="15.75" hidden="1" customHeight="1">
      <c r="A44" s="17"/>
      <c r="B44" s="2"/>
      <c r="C44" s="51"/>
      <c r="D44" s="51"/>
      <c r="E44" s="51"/>
      <c r="F44" s="51"/>
      <c r="G44" s="51"/>
      <c r="H44" s="51"/>
      <c r="I44" s="51"/>
      <c r="J44" s="51"/>
      <c r="K44" s="51"/>
      <c r="L44" s="51"/>
      <c r="M44" s="51"/>
      <c r="N44" s="51"/>
      <c r="O44" s="51"/>
      <c r="P44" s="51"/>
      <c r="Q44" s="51"/>
      <c r="R44" s="55"/>
      <c r="S44" s="53"/>
      <c r="T44" s="54"/>
      <c r="U44" s="52"/>
      <c r="V44" s="55"/>
      <c r="W44" s="55"/>
      <c r="X44" s="52"/>
      <c r="Y44" s="52"/>
      <c r="Z44" s="56"/>
      <c r="AA44" s="55"/>
      <c r="AB44" s="55"/>
      <c r="AC44" s="55"/>
      <c r="AD44" s="55"/>
      <c r="AE44" s="55"/>
      <c r="AF44" s="55"/>
    </row>
    <row r="45" spans="1:32" s="57" customFormat="1" ht="15.75" hidden="1" customHeight="1">
      <c r="A45" s="17"/>
      <c r="B45" s="2"/>
      <c r="C45" s="51"/>
      <c r="D45" s="51"/>
      <c r="E45" s="51"/>
      <c r="F45" s="51"/>
      <c r="G45" s="51"/>
      <c r="H45" s="51"/>
      <c r="I45" s="51"/>
      <c r="J45" s="51"/>
      <c r="K45" s="51"/>
      <c r="L45" s="51"/>
      <c r="M45" s="51"/>
      <c r="N45" s="51"/>
      <c r="O45" s="51"/>
      <c r="P45" s="51"/>
      <c r="Q45" s="51"/>
      <c r="R45" s="55"/>
      <c r="S45" s="53"/>
      <c r="T45" s="54"/>
      <c r="U45" s="52"/>
      <c r="V45" s="55"/>
      <c r="W45" s="55"/>
      <c r="X45" s="52"/>
      <c r="Y45" s="52"/>
      <c r="Z45" s="56"/>
      <c r="AA45" s="55"/>
      <c r="AB45" s="55"/>
      <c r="AC45" s="55"/>
      <c r="AD45" s="55"/>
      <c r="AE45" s="55"/>
      <c r="AF45" s="55"/>
    </row>
    <row r="46" spans="1:32" s="57" customFormat="1" ht="15.75" hidden="1" customHeight="1">
      <c r="A46" s="17"/>
      <c r="B46" s="2"/>
      <c r="C46" s="51"/>
      <c r="D46" s="51"/>
      <c r="E46" s="51"/>
      <c r="F46" s="51"/>
      <c r="G46" s="51"/>
      <c r="H46" s="51"/>
      <c r="I46" s="51"/>
      <c r="J46" s="51"/>
      <c r="K46" s="51"/>
      <c r="L46" s="51"/>
      <c r="M46" s="51"/>
      <c r="N46" s="51"/>
      <c r="O46" s="51"/>
      <c r="P46" s="51"/>
      <c r="Q46" s="51"/>
      <c r="R46" s="55"/>
      <c r="S46" s="53"/>
      <c r="T46" s="54"/>
      <c r="U46" s="52"/>
      <c r="V46" s="55"/>
      <c r="W46" s="55"/>
      <c r="X46" s="52"/>
      <c r="Y46" s="52"/>
      <c r="Z46" s="56"/>
      <c r="AA46" s="55"/>
      <c r="AB46" s="55"/>
      <c r="AC46" s="55"/>
      <c r="AD46" s="55"/>
      <c r="AE46" s="55"/>
      <c r="AF46" s="55"/>
    </row>
    <row r="47" spans="1:32" s="57" customFormat="1" ht="15.75" hidden="1" customHeight="1">
      <c r="A47" s="17"/>
      <c r="B47" s="2"/>
      <c r="C47" s="51"/>
      <c r="D47" s="51"/>
      <c r="E47" s="51"/>
      <c r="F47" s="51"/>
      <c r="G47" s="51"/>
      <c r="H47" s="51"/>
      <c r="I47" s="51"/>
      <c r="J47" s="51"/>
      <c r="K47" s="51"/>
      <c r="L47" s="51"/>
      <c r="M47" s="51"/>
      <c r="N47" s="51"/>
      <c r="O47" s="51"/>
      <c r="P47" s="51"/>
      <c r="Q47" s="51"/>
      <c r="R47" s="55"/>
      <c r="S47" s="53"/>
      <c r="T47" s="54"/>
      <c r="U47" s="52"/>
      <c r="V47" s="55"/>
      <c r="W47" s="55"/>
      <c r="X47" s="52"/>
      <c r="Y47" s="52"/>
      <c r="Z47" s="56"/>
      <c r="AA47" s="55"/>
      <c r="AB47" s="55"/>
      <c r="AC47" s="55"/>
      <c r="AD47" s="55"/>
      <c r="AE47" s="55"/>
      <c r="AF47" s="55"/>
    </row>
    <row r="48" spans="1:32" s="57" customFormat="1" ht="15.75" hidden="1" customHeight="1">
      <c r="A48" s="17"/>
      <c r="B48" s="2"/>
      <c r="C48" s="51"/>
      <c r="D48" s="51"/>
      <c r="E48" s="51"/>
      <c r="F48" s="51"/>
      <c r="G48" s="51"/>
      <c r="H48" s="51"/>
      <c r="I48" s="51"/>
      <c r="J48" s="51"/>
      <c r="K48" s="51"/>
      <c r="L48" s="51"/>
      <c r="M48" s="51"/>
      <c r="N48" s="51"/>
      <c r="O48" s="51"/>
      <c r="P48" s="51"/>
      <c r="Q48" s="51"/>
      <c r="R48" s="55"/>
      <c r="S48" s="53"/>
      <c r="T48" s="54"/>
      <c r="U48" s="52"/>
      <c r="V48" s="55"/>
      <c r="W48" s="55"/>
      <c r="X48" s="52"/>
      <c r="Y48" s="52"/>
      <c r="Z48" s="56"/>
      <c r="AA48" s="55"/>
      <c r="AB48" s="55"/>
      <c r="AC48" s="55"/>
      <c r="AD48" s="55"/>
      <c r="AE48" s="55"/>
      <c r="AF48" s="55"/>
    </row>
    <row r="49" spans="1:32" s="57" customFormat="1" ht="15.75" hidden="1" customHeight="1">
      <c r="A49" s="17"/>
      <c r="B49" s="2"/>
      <c r="C49" s="51"/>
      <c r="D49" s="51"/>
      <c r="E49" s="51"/>
      <c r="F49" s="51"/>
      <c r="G49" s="51"/>
      <c r="H49" s="51"/>
      <c r="I49" s="51"/>
      <c r="J49" s="51"/>
      <c r="K49" s="51"/>
      <c r="L49" s="51"/>
      <c r="M49" s="51"/>
      <c r="N49" s="51"/>
      <c r="O49" s="51"/>
      <c r="P49" s="51"/>
      <c r="Q49" s="51"/>
      <c r="R49" s="55"/>
      <c r="S49" s="53"/>
      <c r="T49" s="54"/>
      <c r="U49" s="52"/>
      <c r="V49" s="55"/>
      <c r="W49" s="55"/>
      <c r="X49" s="52"/>
      <c r="Y49" s="52"/>
      <c r="Z49" s="56"/>
      <c r="AA49" s="55"/>
      <c r="AB49" s="55"/>
      <c r="AC49" s="55"/>
      <c r="AD49" s="55"/>
      <c r="AE49" s="55"/>
      <c r="AF49" s="55"/>
    </row>
    <row r="50" spans="1:32" s="57" customFormat="1" ht="15.75" customHeight="1">
      <c r="A50" s="2" t="s">
        <v>119</v>
      </c>
      <c r="B50" s="2" t="s">
        <v>882</v>
      </c>
      <c r="C50" s="51">
        <f t="shared" ref="C50:C56" si="1">IFERROR(F50/D50," - ")</f>
        <v>25.95</v>
      </c>
      <c r="D50" s="51">
        <v>1</v>
      </c>
      <c r="E50" s="51">
        <v>0</v>
      </c>
      <c r="F50" s="51">
        <v>25.95</v>
      </c>
      <c r="G50" s="51">
        <v>0</v>
      </c>
      <c r="H50" s="51">
        <f t="shared" ref="H50:H56" si="2">G50/F50*-1</f>
        <v>0</v>
      </c>
      <c r="I50" s="51">
        <f t="shared" ref="I50:I56" si="3">J50/F50</f>
        <v>0.34088805978863779</v>
      </c>
      <c r="J50" s="51">
        <f t="shared" ref="J50:J56" si="4">F50*0.85+G50+AD50*D50+D50*AC50+AE50+AB50</f>
        <v>8.8460451515151508</v>
      </c>
      <c r="K50" s="51">
        <f t="shared" ref="K50:K56" si="5">J50/D50</f>
        <v>8.8460451515151508</v>
      </c>
      <c r="L50" s="51">
        <v>7</v>
      </c>
      <c r="M50" s="51">
        <f t="shared" ref="M50:M56" si="6">IFERROR(D50/L50,"-")</f>
        <v>0.14285714285714285</v>
      </c>
      <c r="N50" s="51">
        <v>61</v>
      </c>
      <c r="O50" s="51">
        <f t="shared" ref="O50:P50" si="7">D50/7</f>
        <v>0.14285714285714285</v>
      </c>
      <c r="P50" s="51">
        <f t="shared" si="7"/>
        <v>0</v>
      </c>
      <c r="Q50" s="51">
        <f t="shared" ref="Q50:Q56" si="8">ROUNDDOWN(N50/(O50+P50),0)</f>
        <v>427</v>
      </c>
      <c r="R50" s="55">
        <f ca="1">IFERROR(__xludf.DUMMYFUNCTION("IFERROR(VLOOKUP($B$2,IMPORTRANGE(""https://docs.google.com/spreadsheets/d/1iVgg6Mw12RULLujzHmfOFIY8Q_KaAD8anoZzgtVAQ74/edit#gid=1503384807"",""Second Star - Summary!A1:AD2000""),9,FALSE),"""")"),0)</f>
        <v>0</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ref="V50:V56" si="9">IFERROR(U50/D50,0)</f>
        <v>0</v>
      </c>
      <c r="W50" s="55">
        <f t="shared" ref="W50:W56" si="10">IFERROR(G50/(U50+X50)*-1,0)</f>
        <v>0</v>
      </c>
      <c r="X50" s="55">
        <v>0</v>
      </c>
      <c r="Y50" s="55" t="s">
        <v>35</v>
      </c>
      <c r="Z50" s="56">
        <f t="shared" ref="Z50:Z56" si="11">IF(OR(Y50="UsLargeStandardSize",Y50="UsSmallStandardSize"),-2.4,-1.2)</f>
        <v>-2.4</v>
      </c>
      <c r="AA50" s="55">
        <v>5.0925925925925923E-2</v>
      </c>
      <c r="AB50" s="55">
        <f t="shared" ref="AB50:AB56" si="12">IFERROR(Z50*AA50*D50*3,0)</f>
        <v>-0.36666666666666659</v>
      </c>
      <c r="AC50" s="55">
        <v>-5.42</v>
      </c>
      <c r="AD50" s="55">
        <v>-7.4247881818181796</v>
      </c>
      <c r="AE50" s="55">
        <v>0</v>
      </c>
      <c r="AF50" s="55">
        <v>0</v>
      </c>
    </row>
    <row r="51" spans="1:32" s="57" customFormat="1" ht="15.75" customHeight="1">
      <c r="A51" s="2" t="s">
        <v>121</v>
      </c>
      <c r="B51" s="2" t="s">
        <v>883</v>
      </c>
      <c r="C51" s="51" t="str">
        <f t="shared" si="1"/>
        <v xml:space="preserve"> - </v>
      </c>
      <c r="D51" s="51">
        <v>0</v>
      </c>
      <c r="E51" s="51">
        <v>0</v>
      </c>
      <c r="F51" s="51">
        <v>0</v>
      </c>
      <c r="G51" s="51">
        <v>0</v>
      </c>
      <c r="H51" s="51" t="e">
        <f t="shared" si="2"/>
        <v>#DIV/0!</v>
      </c>
      <c r="I51" s="51" t="e">
        <f t="shared" si="3"/>
        <v>#DIV/0!</v>
      </c>
      <c r="J51" s="51">
        <f t="shared" si="4"/>
        <v>0</v>
      </c>
      <c r="K51" s="51" t="e">
        <f t="shared" si="5"/>
        <v>#DIV/0!</v>
      </c>
      <c r="L51" s="51">
        <v>0</v>
      </c>
      <c r="M51" s="51" t="str">
        <f t="shared" si="6"/>
        <v>-</v>
      </c>
      <c r="N51" s="51">
        <v>55</v>
      </c>
      <c r="O51" s="51">
        <f t="shared" ref="O51:P51" si="13">D51/7</f>
        <v>0</v>
      </c>
      <c r="P51" s="51">
        <f t="shared" si="13"/>
        <v>0</v>
      </c>
      <c r="Q51" s="51" t="e">
        <f t="shared" si="8"/>
        <v>#DIV/0!</v>
      </c>
      <c r="R51" s="55">
        <f ca="1">IFERROR(__xludf.DUMMYFUNCTION("IFERROR(VLOOKUP($B$2,IMPORTRANGE(""https://docs.google.com/spreadsheets/d/1iVgg6Mw12RULLujzHmfOFIY8Q_KaAD8anoZzgtVAQ74/edit#gid=1503384807"",""Second Star - Summary!A1:AD2000""),9,FALSE),"""")"),0)</f>
        <v>0</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9"/>
        <v>0</v>
      </c>
      <c r="W51" s="55">
        <f t="shared" si="10"/>
        <v>0</v>
      </c>
      <c r="X51" s="55">
        <v>0</v>
      </c>
      <c r="Y51" s="55" t="s">
        <v>35</v>
      </c>
      <c r="Z51" s="56">
        <f t="shared" si="11"/>
        <v>-2.4</v>
      </c>
      <c r="AA51" s="55">
        <v>5.0925925925925923E-2</v>
      </c>
      <c r="AB51" s="55">
        <f t="shared" si="12"/>
        <v>0</v>
      </c>
      <c r="AC51" s="55">
        <v>-5.42</v>
      </c>
      <c r="AD51" s="55">
        <v>-7.4247881818181796</v>
      </c>
      <c r="AE51" s="55">
        <v>0</v>
      </c>
      <c r="AF51" s="55">
        <v>3.6363636363636299E-2</v>
      </c>
    </row>
    <row r="52" spans="1:32" s="57" customFormat="1" ht="15.75" customHeight="1">
      <c r="A52" s="2" t="s">
        <v>123</v>
      </c>
      <c r="B52" s="2" t="s">
        <v>884</v>
      </c>
      <c r="C52" s="51">
        <f t="shared" si="1"/>
        <v>23.99</v>
      </c>
      <c r="D52" s="51">
        <v>1</v>
      </c>
      <c r="E52" s="51">
        <v>0</v>
      </c>
      <c r="F52" s="51">
        <v>23.99</v>
      </c>
      <c r="G52" s="51">
        <v>-31.96</v>
      </c>
      <c r="H52" s="51">
        <f t="shared" si="2"/>
        <v>1.3322217590662777</v>
      </c>
      <c r="I52" s="51">
        <f t="shared" si="3"/>
        <v>-1.0329285055641872</v>
      </c>
      <c r="J52" s="51">
        <f t="shared" si="4"/>
        <v>-24.779954848484849</v>
      </c>
      <c r="K52" s="51">
        <f t="shared" si="5"/>
        <v>-24.779954848484849</v>
      </c>
      <c r="L52" s="51">
        <v>26</v>
      </c>
      <c r="M52" s="51">
        <f t="shared" si="6"/>
        <v>3.8461538461538464E-2</v>
      </c>
      <c r="N52" s="51">
        <v>58</v>
      </c>
      <c r="O52" s="51">
        <f t="shared" ref="O52:P52" si="14">D52/7</f>
        <v>0.14285714285714285</v>
      </c>
      <c r="P52" s="51">
        <f t="shared" si="14"/>
        <v>0</v>
      </c>
      <c r="Q52" s="51">
        <f t="shared" si="8"/>
        <v>406</v>
      </c>
      <c r="R52" s="55">
        <f ca="1">IFERROR(__xludf.DUMMYFUNCTION("IFERROR(VLOOKUP($B$2,IMPORTRANGE(""https://docs.google.com/spreadsheets/d/1iVgg6Mw12RULLujzHmfOFIY8Q_KaAD8anoZzgtVAQ74/edit#gid=1503384807"",""Second Star - Summary!A1:AD2000""),9,FALSE),"""")"),0)</f>
        <v>0</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9"/>
        <v>0</v>
      </c>
      <c r="W52" s="55">
        <f t="shared" si="10"/>
        <v>0</v>
      </c>
      <c r="X52" s="55">
        <v>0</v>
      </c>
      <c r="Y52" s="55" t="s">
        <v>35</v>
      </c>
      <c r="Z52" s="56">
        <f t="shared" si="11"/>
        <v>-2.4</v>
      </c>
      <c r="AA52" s="55">
        <v>5.0925925925925923E-2</v>
      </c>
      <c r="AB52" s="55">
        <f t="shared" si="12"/>
        <v>-0.36666666666666659</v>
      </c>
      <c r="AC52" s="55">
        <v>-5.42</v>
      </c>
      <c r="AD52" s="55">
        <v>-7.4247881818181796</v>
      </c>
      <c r="AE52" s="55">
        <v>0</v>
      </c>
      <c r="AF52" s="55">
        <v>3.6363636363636299E-2</v>
      </c>
    </row>
    <row r="53" spans="1:32" s="57" customFormat="1">
      <c r="A53" s="2" t="s">
        <v>38</v>
      </c>
      <c r="B53" s="2" t="s">
        <v>885</v>
      </c>
      <c r="C53" s="51" t="str">
        <f t="shared" si="1"/>
        <v xml:space="preserve"> - </v>
      </c>
      <c r="D53" s="51">
        <v>0</v>
      </c>
      <c r="E53" s="51">
        <v>0</v>
      </c>
      <c r="F53" s="51">
        <v>0</v>
      </c>
      <c r="G53" s="51">
        <v>-21.58</v>
      </c>
      <c r="H53" s="51" t="e">
        <f t="shared" si="2"/>
        <v>#DIV/0!</v>
      </c>
      <c r="I53" s="51" t="e">
        <f t="shared" si="3"/>
        <v>#DIV/0!</v>
      </c>
      <c r="J53" s="51">
        <f t="shared" si="4"/>
        <v>-21.58</v>
      </c>
      <c r="K53" s="51" t="e">
        <f t="shared" si="5"/>
        <v>#DIV/0!</v>
      </c>
      <c r="L53" s="51">
        <v>0</v>
      </c>
      <c r="M53" s="51" t="str">
        <f t="shared" si="6"/>
        <v>-</v>
      </c>
      <c r="N53" s="51">
        <v>58</v>
      </c>
      <c r="O53" s="51">
        <f t="shared" ref="O53:P53" si="15">D53/7</f>
        <v>0</v>
      </c>
      <c r="P53" s="51">
        <f t="shared" si="15"/>
        <v>0</v>
      </c>
      <c r="Q53" s="51" t="e">
        <f t="shared" si="8"/>
        <v>#DIV/0!</v>
      </c>
      <c r="R53" s="55">
        <f ca="1">IFERROR(__xludf.DUMMYFUNCTION("IFERROR(VLOOKUP($B$2,IMPORTRANGE(""https://docs.google.com/spreadsheets/d/1iVgg6Mw12RULLujzHmfOFIY8Q_KaAD8anoZzgtVAQ74/edit#gid=1503384807"",""Second Star - Summary!A1:AD2000""),9,FALSE),"""")"),0)</f>
        <v>0</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9"/>
        <v>0</v>
      </c>
      <c r="W53" s="55">
        <f t="shared" si="10"/>
        <v>0</v>
      </c>
      <c r="X53" s="55">
        <v>0</v>
      </c>
      <c r="Y53" s="55" t="s">
        <v>35</v>
      </c>
      <c r="Z53" s="56">
        <f t="shared" si="11"/>
        <v>-2.4</v>
      </c>
      <c r="AA53" s="55">
        <v>5.0925925925925923E-2</v>
      </c>
      <c r="AB53" s="55">
        <f t="shared" si="12"/>
        <v>0</v>
      </c>
      <c r="AC53" s="55">
        <v>-5.42</v>
      </c>
      <c r="AD53" s="55">
        <v>-7.4247881818181796</v>
      </c>
      <c r="AE53" s="55">
        <v>0</v>
      </c>
      <c r="AF53" s="55">
        <v>3.03030303030303E-2</v>
      </c>
    </row>
    <row r="54" spans="1:32" s="57" customFormat="1">
      <c r="A54" s="2" t="s">
        <v>40</v>
      </c>
      <c r="B54" s="2"/>
      <c r="C54" s="51">
        <f t="shared" si="1"/>
        <v>16.989999999999998</v>
      </c>
      <c r="D54" s="51">
        <v>1</v>
      </c>
      <c r="E54" s="51">
        <v>0</v>
      </c>
      <c r="F54" s="51">
        <v>16.989999999999998</v>
      </c>
      <c r="G54" s="51">
        <v>0</v>
      </c>
      <c r="H54" s="51">
        <f t="shared" si="2"/>
        <v>0</v>
      </c>
      <c r="I54" s="51">
        <f t="shared" si="3"/>
        <v>7.2398184315194333E-2</v>
      </c>
      <c r="J54" s="51">
        <f t="shared" si="4"/>
        <v>1.2300451515151516</v>
      </c>
      <c r="K54" s="51">
        <f t="shared" si="5"/>
        <v>1.2300451515151516</v>
      </c>
      <c r="L54" s="51">
        <v>6</v>
      </c>
      <c r="M54" s="51">
        <f t="shared" si="6"/>
        <v>0.16666666666666666</v>
      </c>
      <c r="N54" s="51">
        <v>57</v>
      </c>
      <c r="O54" s="51">
        <f t="shared" ref="O54:P54" si="16">D54/7</f>
        <v>0.14285714285714285</v>
      </c>
      <c r="P54" s="51">
        <f t="shared" si="16"/>
        <v>0</v>
      </c>
      <c r="Q54" s="51">
        <f t="shared" si="8"/>
        <v>399</v>
      </c>
      <c r="R54" s="55">
        <f ca="1">IFERROR(__xludf.DUMMYFUNCTION("IFERROR(VLOOKUP($B$2,IMPORTRANGE(""https://docs.google.com/spreadsheets/d/1iVgg6Mw12RULLujzHmfOFIY8Q_KaAD8anoZzgtVAQ74/edit#gid=1503384807"",""Second Star - Summary!A1:AD2000""),9,FALSE),"""")"),0)</f>
        <v>0</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9"/>
        <v>0</v>
      </c>
      <c r="W54" s="55">
        <f t="shared" si="10"/>
        <v>0</v>
      </c>
      <c r="X54" s="55">
        <v>0</v>
      </c>
      <c r="Y54" s="55" t="s">
        <v>35</v>
      </c>
      <c r="Z54" s="56">
        <f t="shared" si="11"/>
        <v>-2.4</v>
      </c>
      <c r="AA54" s="55">
        <v>5.0925925925925923E-2</v>
      </c>
      <c r="AB54" s="55">
        <f t="shared" si="12"/>
        <v>-0.36666666666666659</v>
      </c>
      <c r="AC54" s="55">
        <v>-5.42</v>
      </c>
      <c r="AD54" s="55">
        <v>-7.4247881818181796</v>
      </c>
      <c r="AE54" s="55">
        <v>0</v>
      </c>
      <c r="AF54" s="55">
        <v>7.5630252100840303E-2</v>
      </c>
    </row>
    <row r="55" spans="1:32" s="57" customFormat="1" ht="15.75" customHeight="1">
      <c r="A55" s="2" t="s">
        <v>32</v>
      </c>
      <c r="B55" s="28" t="s">
        <v>886</v>
      </c>
      <c r="C55" s="51">
        <f t="shared" si="1"/>
        <v>17.97</v>
      </c>
      <c r="D55" s="51">
        <v>2</v>
      </c>
      <c r="E55" s="51">
        <v>0</v>
      </c>
      <c r="F55" s="51">
        <v>35.94</v>
      </c>
      <c r="G55" s="51">
        <v>0</v>
      </c>
      <c r="H55" s="51">
        <f t="shared" si="2"/>
        <v>0</v>
      </c>
      <c r="I55" s="51">
        <f t="shared" si="3"/>
        <v>0.11480496113050373</v>
      </c>
      <c r="J55" s="51">
        <f t="shared" si="4"/>
        <v>4.1260903030303036</v>
      </c>
      <c r="K55" s="51">
        <f t="shared" si="5"/>
        <v>2.0630451515151518</v>
      </c>
      <c r="L55" s="51">
        <v>4</v>
      </c>
      <c r="M55" s="51">
        <f t="shared" si="6"/>
        <v>0.5</v>
      </c>
      <c r="N55" s="51">
        <v>57</v>
      </c>
      <c r="O55" s="51">
        <f t="shared" ref="O55:P55" si="17">D55/7</f>
        <v>0.2857142857142857</v>
      </c>
      <c r="P55" s="51">
        <f t="shared" si="17"/>
        <v>0</v>
      </c>
      <c r="Q55" s="51">
        <f t="shared" si="8"/>
        <v>199</v>
      </c>
      <c r="R55" s="55">
        <v>0</v>
      </c>
      <c r="S55" s="53" t="s">
        <v>34</v>
      </c>
      <c r="T55" s="54" t="s">
        <v>34</v>
      </c>
      <c r="U55" s="55">
        <v>0</v>
      </c>
      <c r="V55" s="55">
        <f t="shared" si="9"/>
        <v>0</v>
      </c>
      <c r="W55" s="55">
        <f t="shared" si="10"/>
        <v>0</v>
      </c>
      <c r="X55" s="55">
        <v>0</v>
      </c>
      <c r="Y55" s="55" t="s">
        <v>35</v>
      </c>
      <c r="Z55" s="56">
        <f t="shared" si="11"/>
        <v>-2.4</v>
      </c>
      <c r="AA55" s="55">
        <v>5.0925925925925923E-2</v>
      </c>
      <c r="AB55" s="55">
        <f t="shared" si="12"/>
        <v>-0.73333333333333317</v>
      </c>
      <c r="AC55" s="55">
        <v>-5.42</v>
      </c>
      <c r="AD55" s="55">
        <v>-7.4247881818181796</v>
      </c>
      <c r="AE55" s="55">
        <v>0</v>
      </c>
      <c r="AF55" s="55">
        <v>0.108108108108108</v>
      </c>
    </row>
    <row r="56" spans="1:32" s="57" customFormat="1" ht="15.75" customHeight="1">
      <c r="A56" s="2" t="s">
        <v>36</v>
      </c>
      <c r="B56" s="2"/>
      <c r="C56" s="51" t="str">
        <f t="shared" si="1"/>
        <v xml:space="preserve"> - </v>
      </c>
      <c r="D56" s="51">
        <v>0</v>
      </c>
      <c r="E56" s="51">
        <v>0</v>
      </c>
      <c r="F56" s="51">
        <v>0</v>
      </c>
      <c r="G56" s="51">
        <v>0</v>
      </c>
      <c r="H56" s="51" t="e">
        <f t="shared" si="2"/>
        <v>#DIV/0!</v>
      </c>
      <c r="I56" s="51" t="e">
        <f t="shared" si="3"/>
        <v>#DIV/0!</v>
      </c>
      <c r="J56" s="51">
        <f t="shared" si="4"/>
        <v>0</v>
      </c>
      <c r="K56" s="51" t="e">
        <f t="shared" si="5"/>
        <v>#DIV/0!</v>
      </c>
      <c r="L56" s="51">
        <v>0</v>
      </c>
      <c r="M56" s="51" t="str">
        <f t="shared" si="6"/>
        <v>-</v>
      </c>
      <c r="N56" s="51">
        <v>52</v>
      </c>
      <c r="O56" s="51">
        <f t="shared" ref="O56:P56" si="18">D56/7</f>
        <v>0</v>
      </c>
      <c r="P56" s="51">
        <f t="shared" si="18"/>
        <v>0</v>
      </c>
      <c r="Q56" s="51" t="e">
        <f t="shared" si="8"/>
        <v>#DIV/0!</v>
      </c>
      <c r="R56" s="55">
        <f ca="1">IFERROR(__xludf.DUMMYFUNCTION("IFERROR(VLOOKUP($B$2,IMPORTRANGE(""https://docs.google.com/spreadsheets/d/1iVgg6Mw12RULLujzHmfOFIY8Q_KaAD8anoZzgtVAQ74/edit#gid=1503384807"",""Second Star - Summary!A1:AD2000""),9,FALSE),"""")"),0)</f>
        <v>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9"/>
        <v>0</v>
      </c>
      <c r="W56" s="55">
        <f t="shared" si="10"/>
        <v>0</v>
      </c>
      <c r="X56" s="55">
        <v>0</v>
      </c>
      <c r="Y56" s="55" t="s">
        <v>35</v>
      </c>
      <c r="Z56" s="56">
        <f t="shared" si="11"/>
        <v>-2.4</v>
      </c>
      <c r="AA56" s="55">
        <v>5.0925925925925923E-2</v>
      </c>
      <c r="AB56" s="55">
        <f t="shared" si="12"/>
        <v>0</v>
      </c>
      <c r="AC56" s="55">
        <v>-5.42</v>
      </c>
      <c r="AD56" s="55">
        <v>-7.4247881818181796</v>
      </c>
      <c r="AE56" s="55">
        <v>0</v>
      </c>
      <c r="AF56" s="55">
        <v>8.7209302325581398E-2</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3"/>
    </row>
    <row r="222" spans="1:3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3"/>
    </row>
    <row r="223" spans="1:32"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3"/>
    </row>
    <row r="224" spans="1:32"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3"/>
    </row>
    <row r="225" spans="1:32"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3"/>
    </row>
    <row r="226" spans="1:32"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3"/>
    </row>
    <row r="227" spans="1:32"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3"/>
    </row>
    <row r="228" spans="1:32"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3"/>
    </row>
    <row r="229" spans="1:32"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3"/>
    </row>
    <row r="230" spans="1:32"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3"/>
    </row>
    <row r="231" spans="1:32"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3"/>
    </row>
    <row r="232" spans="1: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3"/>
    </row>
    <row r="233" spans="1:32"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3"/>
    </row>
    <row r="234" spans="1:32"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3"/>
    </row>
    <row r="235" spans="1:32"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3"/>
    </row>
    <row r="236" spans="1:32"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3"/>
    </row>
    <row r="237" spans="1:32"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3"/>
    </row>
    <row r="238" spans="1:32"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3"/>
    </row>
    <row r="239" spans="1:32"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row r="253" spans="1:32" ht="15.75" customHeight="1"/>
    <row r="254" spans="1:32" ht="15.75" customHeight="1"/>
    <row r="255" spans="1:32" ht="15.75" customHeight="1"/>
    <row r="256" spans="1:3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270" priority="1" operator="lessThan">
      <formula>100</formula>
    </cfRule>
  </conditionalFormatting>
  <conditionalFormatting sqref="Q1:Q3 Q57:Q1000">
    <cfRule type="cellIs" dxfId="269" priority="2" operator="lessThan">
      <formula>100</formula>
    </cfRule>
  </conditionalFormatting>
  <conditionalFormatting sqref="I1:I3 I57:I1000">
    <cfRule type="cellIs" dxfId="268" priority="3" operator="lessThan">
      <formula>0.05</formula>
    </cfRule>
  </conditionalFormatting>
  <conditionalFormatting sqref="I4:I17">
    <cfRule type="cellIs" dxfId="267" priority="4" operator="lessThan">
      <formula>0.05</formula>
    </cfRule>
  </conditionalFormatting>
  <conditionalFormatting sqref="I18:I56">
    <cfRule type="cellIs" dxfId="266" priority="5" operator="lessThan">
      <formula>0.05</formula>
    </cfRule>
  </conditionalFormatting>
  <conditionalFormatting sqref="Q4:Q56">
    <cfRule type="cellIs" dxfId="265" priority="6" operator="lessThan">
      <formula>100</formula>
    </cfRule>
  </conditionalFormatting>
  <conditionalFormatting sqref="Q4:Q56">
    <cfRule type="cellIs" dxfId="264" priority="7" operator="lessThan">
      <formula>100</formula>
    </cfRule>
  </conditionalFormatting>
  <pageMargins left="0.7" right="0.7" top="0.75" bottom="0.75" header="0" footer="0"/>
  <pageSetup orientation="portrait"/>
  <legacy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4.6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Info!B1:BJ5000""),4,FALSE),"""")"),"Dry Defender Heavy Duty Zippered Vinyl Pillow Covers - Waterproof - Queen Pillow Size 2-Pack")</f>
        <v>Dry Defender Heavy Duty Zippered Vinyl Pillow Covers - Waterproof - Queen Pillow Size 2-Pack</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Info!B1:BJ5000""),3,FALSE),"""")"),"B00JG6KAAE")</f>
        <v>B00JG6KAAE</v>
      </c>
      <c r="B2" s="4" t="s">
        <v>887</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8.7882994058229293</v>
      </c>
      <c r="D3" s="8">
        <f>SUM(D4:D99819)</f>
        <v>8</v>
      </c>
      <c r="E3" s="8"/>
      <c r="F3" s="9">
        <f t="shared" ref="F3:G3" si="0">SUM(F4:F99819)</f>
        <v>103.92</v>
      </c>
      <c r="G3" s="9">
        <f t="shared" si="0"/>
        <v>-25.65</v>
      </c>
      <c r="H3" s="10">
        <f>G3/F3*-1</f>
        <v>0.24682448036951499</v>
      </c>
      <c r="I3" s="11">
        <f>J3/F3</f>
        <v>-4.9449922628906066E-2</v>
      </c>
      <c r="J3" s="9">
        <f>SUM(J4:J99819)</f>
        <v>-5.1388359595959185</v>
      </c>
      <c r="K3" s="9">
        <f>J3/D3</f>
        <v>-0.64235449494948982</v>
      </c>
      <c r="L3" s="8"/>
      <c r="M3" s="12"/>
      <c r="N3" s="13"/>
      <c r="O3" s="8" t="str">
        <f ca="1">IFERROR(__xludf.DUMMYFUNCTION("IFERROR(VLOOKUP(B2,IMPORTRANGE(""https://docs.google.com/spreadsheets/d/1owCo6kL_VFQ5nPTdNogErmCBLjNiktT1m3SzTrxu3R0/edit#gid=2146806407"",""Second Star - Compiled!b1:g5000""),2,FALSE),"""")"),"0 - March
0 - April
0 - May
0 - Jun
0 - Jul
0 - Aug
0 - Sept
0 - Oct
0 - Nov
0 - Dec
0 - Jan
0 - Feb")</f>
        <v>0 - March
0 - April
0 - May
0 - Jun
0 - Jul
0 - Aug
0 - Sept
0 - Oct
0 - Nov
0 - Dec
0 - Jan
0 - Feb</v>
      </c>
      <c r="P3" s="8"/>
      <c r="Q3" s="14"/>
      <c r="R3" s="13"/>
      <c r="S3" s="13"/>
      <c r="T3" s="13"/>
      <c r="U3" s="8">
        <f>SUM(U4:U99819)</f>
        <v>1</v>
      </c>
      <c r="V3" s="10">
        <f>AVERAGE(V4:V99819)</f>
        <v>0.14285714285714285</v>
      </c>
      <c r="W3" s="9">
        <f>ROUND(AVERAGE(W4:W99819),2)</f>
        <v>0.65</v>
      </c>
      <c r="X3" s="8"/>
      <c r="Y3" s="8"/>
      <c r="Z3" s="8"/>
      <c r="AA3" s="8"/>
      <c r="AB3" s="8"/>
      <c r="AC3" s="15"/>
      <c r="AD3" s="9"/>
      <c r="AE3" s="9">
        <f>SUM(AE4:AE99819)</f>
        <v>0</v>
      </c>
      <c r="AF3" s="16"/>
    </row>
    <row r="4" spans="1:32" s="57" customFormat="1" hidden="1">
      <c r="A4" s="17"/>
      <c r="B4" s="17"/>
      <c r="C4" s="50"/>
      <c r="D4" s="51"/>
      <c r="E4" s="51"/>
      <c r="F4" s="51"/>
      <c r="G4" s="51"/>
      <c r="H4" s="51"/>
      <c r="I4" s="51"/>
      <c r="J4" s="51"/>
      <c r="K4" s="51"/>
      <c r="L4" s="51"/>
      <c r="M4" s="51"/>
      <c r="N4" s="51"/>
      <c r="O4" s="51"/>
      <c r="P4" s="51"/>
      <c r="Q4" s="51"/>
      <c r="R4" s="52"/>
      <c r="S4" s="53"/>
      <c r="T4" s="54"/>
      <c r="U4" s="52"/>
      <c r="V4" s="55"/>
      <c r="W4" s="55"/>
      <c r="X4" s="52"/>
      <c r="Y4" s="56"/>
      <c r="Z4" s="56"/>
      <c r="AA4" s="55"/>
      <c r="AB4" s="55"/>
      <c r="AC4" s="55"/>
      <c r="AD4" s="55"/>
      <c r="AE4" s="55"/>
      <c r="AF4" s="55"/>
    </row>
    <row r="5" spans="1:32" s="57" customFormat="1" ht="15.75" hidden="1" customHeight="1">
      <c r="A5" s="17"/>
      <c r="B5" s="2"/>
      <c r="C5" s="51"/>
      <c r="D5" s="51"/>
      <c r="E5" s="51"/>
      <c r="F5" s="51"/>
      <c r="G5" s="51"/>
      <c r="H5" s="51"/>
      <c r="I5" s="51"/>
      <c r="J5" s="51"/>
      <c r="K5" s="51"/>
      <c r="L5" s="51"/>
      <c r="M5" s="51"/>
      <c r="N5" s="51"/>
      <c r="O5" s="51"/>
      <c r="P5" s="51"/>
      <c r="Q5" s="51"/>
      <c r="R5" s="52"/>
      <c r="S5" s="53"/>
      <c r="T5" s="54"/>
      <c r="U5" s="52"/>
      <c r="V5" s="55"/>
      <c r="W5" s="55"/>
      <c r="X5" s="52"/>
      <c r="Y5" s="52"/>
      <c r="Z5" s="56"/>
      <c r="AA5" s="55"/>
      <c r="AB5" s="55"/>
      <c r="AC5" s="55"/>
      <c r="AD5" s="55"/>
      <c r="AE5" s="55"/>
      <c r="AF5" s="55"/>
    </row>
    <row r="6" spans="1:32" s="57" customFormat="1" ht="15.75" hidden="1" customHeight="1">
      <c r="A6" s="17"/>
      <c r="B6" s="2"/>
      <c r="C6" s="51"/>
      <c r="D6" s="51"/>
      <c r="E6" s="51"/>
      <c r="F6" s="51"/>
      <c r="G6" s="51"/>
      <c r="H6" s="51"/>
      <c r="I6" s="51"/>
      <c r="J6" s="51"/>
      <c r="K6" s="51"/>
      <c r="L6" s="51"/>
      <c r="M6" s="51"/>
      <c r="N6" s="51"/>
      <c r="O6" s="51"/>
      <c r="P6" s="51"/>
      <c r="Q6" s="51"/>
      <c r="R6" s="52"/>
      <c r="S6" s="53"/>
      <c r="T6" s="54"/>
      <c r="U6" s="52"/>
      <c r="V6" s="55"/>
      <c r="W6" s="55"/>
      <c r="X6" s="52"/>
      <c r="Y6" s="52"/>
      <c r="Z6" s="56"/>
      <c r="AA6" s="55"/>
      <c r="AB6" s="55"/>
      <c r="AC6" s="55"/>
      <c r="AD6" s="55"/>
      <c r="AE6" s="55"/>
      <c r="AF6" s="55"/>
    </row>
    <row r="7" spans="1:32" s="57" customFormat="1" ht="15.75" hidden="1" customHeight="1">
      <c r="A7" s="17"/>
      <c r="B7" s="2"/>
      <c r="C7" s="51"/>
      <c r="D7" s="51"/>
      <c r="E7" s="51"/>
      <c r="F7" s="51"/>
      <c r="G7" s="51"/>
      <c r="H7" s="51"/>
      <c r="I7" s="51"/>
      <c r="J7" s="51"/>
      <c r="K7" s="51"/>
      <c r="L7" s="51"/>
      <c r="M7" s="51"/>
      <c r="N7" s="51"/>
      <c r="O7" s="51"/>
      <c r="P7" s="51"/>
      <c r="Q7" s="51"/>
      <c r="R7" s="52"/>
      <c r="S7" s="53"/>
      <c r="T7" s="54"/>
      <c r="U7" s="52"/>
      <c r="V7" s="55"/>
      <c r="W7" s="55"/>
      <c r="X7" s="52"/>
      <c r="Y7" s="52"/>
      <c r="Z7" s="56"/>
      <c r="AA7" s="55"/>
      <c r="AB7" s="55"/>
      <c r="AC7" s="55"/>
      <c r="AD7" s="55"/>
      <c r="AE7" s="55"/>
      <c r="AF7" s="55"/>
    </row>
    <row r="8" spans="1:32" s="57" customFormat="1" ht="15.75" hidden="1" customHeight="1">
      <c r="A8" s="17"/>
      <c r="B8" s="2"/>
      <c r="C8" s="51"/>
      <c r="D8" s="51"/>
      <c r="E8" s="51"/>
      <c r="F8" s="51"/>
      <c r="G8" s="51"/>
      <c r="H8" s="51"/>
      <c r="I8" s="51"/>
      <c r="J8" s="51"/>
      <c r="K8" s="51"/>
      <c r="L8" s="51"/>
      <c r="M8" s="51"/>
      <c r="N8" s="51"/>
      <c r="O8" s="51"/>
      <c r="P8" s="51"/>
      <c r="Q8" s="51"/>
      <c r="R8" s="52"/>
      <c r="S8" s="53"/>
      <c r="T8" s="54"/>
      <c r="U8" s="52"/>
      <c r="V8" s="55"/>
      <c r="W8" s="55"/>
      <c r="X8" s="52"/>
      <c r="Y8" s="52"/>
      <c r="Z8" s="56"/>
      <c r="AA8" s="55"/>
      <c r="AB8" s="55"/>
      <c r="AC8" s="55"/>
      <c r="AD8" s="55"/>
      <c r="AE8" s="55"/>
      <c r="AF8" s="55"/>
    </row>
    <row r="9" spans="1:32" s="57" customFormat="1" ht="15.75" hidden="1" customHeight="1">
      <c r="A9" s="17"/>
      <c r="B9" s="2"/>
      <c r="C9" s="51"/>
      <c r="D9" s="51"/>
      <c r="E9" s="51"/>
      <c r="F9" s="51"/>
      <c r="G9" s="51"/>
      <c r="H9" s="51"/>
      <c r="I9" s="51"/>
      <c r="J9" s="51"/>
      <c r="K9" s="51"/>
      <c r="L9" s="51"/>
      <c r="M9" s="51"/>
      <c r="N9" s="51"/>
      <c r="O9" s="51"/>
      <c r="P9" s="51"/>
      <c r="Q9" s="51"/>
      <c r="R9" s="52"/>
      <c r="S9" s="53"/>
      <c r="T9" s="54"/>
      <c r="U9" s="52"/>
      <c r="V9" s="55"/>
      <c r="W9" s="55"/>
      <c r="X9" s="52"/>
      <c r="Y9" s="52"/>
      <c r="Z9" s="56"/>
      <c r="AA9" s="55"/>
      <c r="AB9" s="55"/>
      <c r="AC9" s="55"/>
      <c r="AD9" s="55"/>
      <c r="AE9" s="55"/>
      <c r="AF9" s="55"/>
    </row>
    <row r="10" spans="1:32" s="57" customFormat="1" ht="15.75" hidden="1" customHeight="1">
      <c r="A10" s="17"/>
      <c r="B10" s="2"/>
      <c r="C10" s="51"/>
      <c r="D10" s="51"/>
      <c r="E10" s="51"/>
      <c r="F10" s="51"/>
      <c r="G10" s="51"/>
      <c r="H10" s="51"/>
      <c r="I10" s="51"/>
      <c r="J10" s="51"/>
      <c r="K10" s="51"/>
      <c r="L10" s="51"/>
      <c r="M10" s="51"/>
      <c r="N10" s="51"/>
      <c r="O10" s="51"/>
      <c r="P10" s="51"/>
      <c r="Q10" s="51"/>
      <c r="R10" s="52"/>
      <c r="S10" s="53"/>
      <c r="T10" s="54"/>
      <c r="U10" s="52"/>
      <c r="V10" s="55"/>
      <c r="W10" s="55"/>
      <c r="X10" s="52"/>
      <c r="Y10" s="52"/>
      <c r="Z10" s="56"/>
      <c r="AA10" s="55"/>
      <c r="AB10" s="55"/>
      <c r="AC10" s="55"/>
      <c r="AD10" s="55"/>
      <c r="AE10" s="55"/>
      <c r="AF10" s="55"/>
    </row>
    <row r="11" spans="1:32" s="57" customFormat="1" ht="15.75" hidden="1" customHeight="1">
      <c r="A11" s="17"/>
      <c r="B11" s="17"/>
      <c r="C11" s="51"/>
      <c r="D11" s="51"/>
      <c r="E11" s="51"/>
      <c r="F11" s="51"/>
      <c r="G11" s="51"/>
      <c r="H11" s="51"/>
      <c r="I11" s="51"/>
      <c r="J11" s="51"/>
      <c r="K11" s="51"/>
      <c r="L11" s="51"/>
      <c r="M11" s="51"/>
      <c r="N11" s="51"/>
      <c r="O11" s="51"/>
      <c r="P11" s="51"/>
      <c r="Q11" s="51"/>
      <c r="R11" s="52"/>
      <c r="S11" s="53"/>
      <c r="T11" s="54"/>
      <c r="U11" s="52"/>
      <c r="V11" s="55"/>
      <c r="W11" s="55"/>
      <c r="X11" s="52"/>
      <c r="Y11" s="52"/>
      <c r="Z11" s="56"/>
      <c r="AA11" s="55"/>
      <c r="AB11" s="55"/>
      <c r="AC11" s="55"/>
      <c r="AD11" s="55"/>
      <c r="AE11" s="55"/>
      <c r="AF11" s="55"/>
    </row>
    <row r="12" spans="1:32" s="57" customFormat="1" ht="15.75" hidden="1" customHeight="1">
      <c r="A12" s="17"/>
      <c r="B12" s="2"/>
      <c r="C12" s="51"/>
      <c r="D12" s="51"/>
      <c r="E12" s="51"/>
      <c r="F12" s="51"/>
      <c r="G12" s="51"/>
      <c r="H12" s="51"/>
      <c r="I12" s="51"/>
      <c r="J12" s="51"/>
      <c r="K12" s="51"/>
      <c r="L12" s="51"/>
      <c r="M12" s="51"/>
      <c r="N12" s="51"/>
      <c r="O12" s="51"/>
      <c r="P12" s="51"/>
      <c r="Q12" s="51"/>
      <c r="R12" s="52"/>
      <c r="S12" s="53"/>
      <c r="T12" s="54"/>
      <c r="U12" s="52"/>
      <c r="V12" s="55"/>
      <c r="W12" s="55"/>
      <c r="X12" s="52"/>
      <c r="Y12" s="52"/>
      <c r="Z12" s="56"/>
      <c r="AA12" s="55"/>
      <c r="AB12" s="55"/>
      <c r="AC12" s="55"/>
      <c r="AD12" s="55"/>
      <c r="AE12" s="55"/>
      <c r="AF12" s="55"/>
    </row>
    <row r="13" spans="1:32" s="57" customFormat="1" ht="15.75" hidden="1" customHeight="1">
      <c r="A13" s="17"/>
      <c r="B13" s="2"/>
      <c r="C13" s="51"/>
      <c r="D13" s="51"/>
      <c r="E13" s="51"/>
      <c r="F13" s="51"/>
      <c r="G13" s="51"/>
      <c r="H13" s="51"/>
      <c r="I13" s="51"/>
      <c r="J13" s="51"/>
      <c r="K13" s="51"/>
      <c r="L13" s="51"/>
      <c r="M13" s="51"/>
      <c r="N13" s="51"/>
      <c r="O13" s="51"/>
      <c r="P13" s="51"/>
      <c r="Q13" s="51"/>
      <c r="R13" s="52"/>
      <c r="S13" s="53"/>
      <c r="T13" s="54"/>
      <c r="U13" s="52"/>
      <c r="V13" s="55"/>
      <c r="W13" s="55"/>
      <c r="X13" s="52"/>
      <c r="Y13" s="52"/>
      <c r="Z13" s="56"/>
      <c r="AA13" s="55"/>
      <c r="AB13" s="55"/>
      <c r="AC13" s="55"/>
      <c r="AD13" s="55"/>
      <c r="AE13" s="55"/>
      <c r="AF13" s="55"/>
    </row>
    <row r="14" spans="1:32" s="57" customFormat="1" ht="15.75" hidden="1" customHeight="1">
      <c r="A14" s="17"/>
      <c r="B14" s="2"/>
      <c r="C14" s="51"/>
      <c r="D14" s="51"/>
      <c r="E14" s="51"/>
      <c r="F14" s="51"/>
      <c r="G14" s="51"/>
      <c r="H14" s="51"/>
      <c r="I14" s="51"/>
      <c r="J14" s="51"/>
      <c r="K14" s="51"/>
      <c r="L14" s="51"/>
      <c r="M14" s="51"/>
      <c r="N14" s="51"/>
      <c r="O14" s="51"/>
      <c r="P14" s="51"/>
      <c r="Q14" s="51"/>
      <c r="R14" s="52"/>
      <c r="S14" s="53"/>
      <c r="T14" s="54"/>
      <c r="U14" s="52"/>
      <c r="V14" s="55"/>
      <c r="W14" s="55"/>
      <c r="X14" s="52"/>
      <c r="Y14" s="52"/>
      <c r="Z14" s="56"/>
      <c r="AA14" s="55"/>
      <c r="AB14" s="55"/>
      <c r="AC14" s="55"/>
      <c r="AD14" s="55"/>
      <c r="AE14" s="55"/>
      <c r="AF14" s="55"/>
    </row>
    <row r="15" spans="1:32" s="57" customFormat="1" ht="15.75" hidden="1" customHeight="1">
      <c r="A15" s="17"/>
      <c r="B15" s="2"/>
      <c r="C15" s="51"/>
      <c r="D15" s="51"/>
      <c r="E15" s="51"/>
      <c r="F15" s="51"/>
      <c r="G15" s="51"/>
      <c r="H15" s="51"/>
      <c r="I15" s="51"/>
      <c r="J15" s="51"/>
      <c r="K15" s="51"/>
      <c r="L15" s="51"/>
      <c r="M15" s="51"/>
      <c r="N15" s="51"/>
      <c r="O15" s="51"/>
      <c r="P15" s="51"/>
      <c r="Q15" s="51"/>
      <c r="R15" s="52"/>
      <c r="S15" s="53"/>
      <c r="T15" s="54"/>
      <c r="U15" s="52"/>
      <c r="V15" s="55"/>
      <c r="W15" s="55"/>
      <c r="X15" s="52"/>
      <c r="Y15" s="52"/>
      <c r="Z15" s="56"/>
      <c r="AA15" s="55"/>
      <c r="AB15" s="55"/>
      <c r="AC15" s="55"/>
      <c r="AD15" s="55"/>
      <c r="AE15" s="55"/>
      <c r="AF15" s="55"/>
    </row>
    <row r="16" spans="1:32" s="57" customFormat="1" ht="15.75" hidden="1" customHeight="1">
      <c r="A16" s="17"/>
      <c r="B16" s="2"/>
      <c r="C16" s="51"/>
      <c r="D16" s="51"/>
      <c r="E16" s="51"/>
      <c r="F16" s="51"/>
      <c r="G16" s="51"/>
      <c r="H16" s="51"/>
      <c r="I16" s="51"/>
      <c r="J16" s="51"/>
      <c r="K16" s="51"/>
      <c r="L16" s="51"/>
      <c r="M16" s="51"/>
      <c r="N16" s="51"/>
      <c r="O16" s="51"/>
      <c r="P16" s="51"/>
      <c r="Q16" s="51"/>
      <c r="R16" s="52"/>
      <c r="S16" s="53"/>
      <c r="T16" s="54"/>
      <c r="U16" s="52"/>
      <c r="V16" s="55"/>
      <c r="W16" s="55"/>
      <c r="X16" s="52"/>
      <c r="Y16" s="52"/>
      <c r="Z16" s="56"/>
      <c r="AA16" s="55"/>
      <c r="AB16" s="55"/>
      <c r="AC16" s="55"/>
      <c r="AD16" s="55"/>
      <c r="AE16" s="55"/>
      <c r="AF16" s="55"/>
    </row>
    <row r="17" spans="1:32" s="57" customFormat="1" ht="15.75" hidden="1" customHeight="1">
      <c r="A17" s="17"/>
      <c r="B17" s="2"/>
      <c r="C17" s="51"/>
      <c r="D17" s="51"/>
      <c r="E17" s="51"/>
      <c r="F17" s="51"/>
      <c r="G17" s="51"/>
      <c r="H17" s="51"/>
      <c r="I17" s="51"/>
      <c r="J17" s="51"/>
      <c r="K17" s="51"/>
      <c r="L17" s="51"/>
      <c r="M17" s="51"/>
      <c r="N17" s="51"/>
      <c r="O17" s="51"/>
      <c r="P17" s="51"/>
      <c r="Q17" s="51"/>
      <c r="R17" s="52"/>
      <c r="S17" s="53"/>
      <c r="T17" s="54"/>
      <c r="U17" s="52"/>
      <c r="V17" s="55"/>
      <c r="W17" s="55"/>
      <c r="X17" s="52"/>
      <c r="Y17" s="52"/>
      <c r="Z17" s="56"/>
      <c r="AA17" s="55"/>
      <c r="AB17" s="55"/>
      <c r="AC17" s="55"/>
      <c r="AD17" s="55"/>
      <c r="AE17" s="55"/>
      <c r="AF17" s="55"/>
    </row>
    <row r="18" spans="1:32" s="57" customFormat="1" ht="15.75" hidden="1" customHeight="1">
      <c r="A18" s="2"/>
      <c r="B18" s="2"/>
      <c r="C18" s="51"/>
      <c r="D18" s="51"/>
      <c r="E18" s="51"/>
      <c r="F18" s="51"/>
      <c r="G18" s="51"/>
      <c r="H18" s="51"/>
      <c r="I18" s="51"/>
      <c r="J18" s="51"/>
      <c r="K18" s="51"/>
      <c r="L18" s="51"/>
      <c r="M18" s="51"/>
      <c r="N18" s="51"/>
      <c r="O18" s="51"/>
      <c r="P18" s="51"/>
      <c r="Q18" s="51"/>
      <c r="R18" s="55"/>
      <c r="S18" s="53"/>
      <c r="T18" s="54"/>
      <c r="U18" s="55"/>
      <c r="V18" s="55"/>
      <c r="W18" s="55"/>
      <c r="X18" s="55"/>
      <c r="Y18" s="55"/>
      <c r="Z18" s="56"/>
      <c r="AA18" s="55"/>
      <c r="AB18" s="58"/>
      <c r="AC18" s="55"/>
      <c r="AD18" s="55"/>
      <c r="AE18" s="55"/>
      <c r="AF18" s="55"/>
    </row>
    <row r="19" spans="1:32" s="57" customFormat="1" ht="15.75" hidden="1" customHeight="1">
      <c r="A19" s="17"/>
      <c r="B19" s="2"/>
      <c r="C19" s="51"/>
      <c r="D19" s="51"/>
      <c r="E19" s="51"/>
      <c r="F19" s="51"/>
      <c r="G19" s="51"/>
      <c r="H19" s="51"/>
      <c r="I19" s="51"/>
      <c r="J19" s="51"/>
      <c r="K19" s="51"/>
      <c r="L19" s="51"/>
      <c r="M19" s="51"/>
      <c r="N19" s="51"/>
      <c r="O19" s="51"/>
      <c r="P19" s="51"/>
      <c r="Q19" s="51"/>
      <c r="R19" s="52"/>
      <c r="S19" s="53"/>
      <c r="T19" s="54"/>
      <c r="U19" s="55"/>
      <c r="V19" s="55"/>
      <c r="W19" s="55"/>
      <c r="X19" s="52"/>
      <c r="Y19" s="52"/>
      <c r="Z19" s="56"/>
      <c r="AA19" s="55"/>
      <c r="AB19" s="55"/>
      <c r="AC19" s="55"/>
      <c r="AD19" s="55"/>
      <c r="AE19" s="55"/>
      <c r="AF19" s="55"/>
    </row>
    <row r="20" spans="1:32" s="57" customFormat="1" ht="15.75" hidden="1" customHeight="1">
      <c r="A20" s="17"/>
      <c r="B20" s="2"/>
      <c r="C20" s="51"/>
      <c r="D20" s="51"/>
      <c r="E20" s="51"/>
      <c r="F20" s="51"/>
      <c r="G20" s="51"/>
      <c r="H20" s="51"/>
      <c r="I20" s="51"/>
      <c r="J20" s="51"/>
      <c r="K20" s="51"/>
      <c r="L20" s="51"/>
      <c r="M20" s="51"/>
      <c r="N20" s="51"/>
      <c r="O20" s="51"/>
      <c r="P20" s="51"/>
      <c r="Q20" s="51"/>
      <c r="R20" s="52"/>
      <c r="S20" s="53"/>
      <c r="T20" s="54"/>
      <c r="U20" s="52"/>
      <c r="V20" s="55"/>
      <c r="W20" s="55"/>
      <c r="X20" s="52"/>
      <c r="Y20" s="52"/>
      <c r="Z20" s="56"/>
      <c r="AA20" s="55"/>
      <c r="AB20" s="55"/>
      <c r="AC20" s="55"/>
      <c r="AD20" s="55"/>
      <c r="AE20" s="55"/>
      <c r="AF20" s="55"/>
    </row>
    <row r="21" spans="1:32" s="57" customFormat="1" ht="15.75" hidden="1" customHeight="1">
      <c r="A21" s="17"/>
      <c r="B21" s="2"/>
      <c r="C21" s="51"/>
      <c r="D21" s="51"/>
      <c r="E21" s="51"/>
      <c r="F21" s="51"/>
      <c r="G21" s="51"/>
      <c r="H21" s="51"/>
      <c r="I21" s="51"/>
      <c r="J21" s="51"/>
      <c r="K21" s="51"/>
      <c r="L21" s="51"/>
      <c r="M21" s="51"/>
      <c r="N21" s="51"/>
      <c r="O21" s="51"/>
      <c r="P21" s="51"/>
      <c r="Q21" s="51"/>
      <c r="R21" s="52"/>
      <c r="S21" s="53"/>
      <c r="T21" s="54"/>
      <c r="U21" s="52"/>
      <c r="V21" s="55"/>
      <c r="W21" s="55"/>
      <c r="X21" s="52"/>
      <c r="Y21" s="52"/>
      <c r="Z21" s="56"/>
      <c r="AA21" s="55"/>
      <c r="AB21" s="55"/>
      <c r="AC21" s="55"/>
      <c r="AD21" s="55"/>
      <c r="AE21" s="55"/>
      <c r="AF21" s="55"/>
    </row>
    <row r="22" spans="1:32" s="57" customFormat="1" ht="15.75" hidden="1" customHeight="1">
      <c r="A22" s="17"/>
      <c r="B22" s="2"/>
      <c r="C22" s="51"/>
      <c r="D22" s="51"/>
      <c r="E22" s="51"/>
      <c r="F22" s="51"/>
      <c r="G22" s="51"/>
      <c r="H22" s="51"/>
      <c r="I22" s="51"/>
      <c r="J22" s="51"/>
      <c r="K22" s="51"/>
      <c r="L22" s="51"/>
      <c r="M22" s="51"/>
      <c r="N22" s="51"/>
      <c r="O22" s="51"/>
      <c r="P22" s="51"/>
      <c r="Q22" s="51"/>
      <c r="R22" s="52"/>
      <c r="S22" s="53"/>
      <c r="T22" s="54"/>
      <c r="U22" s="52"/>
      <c r="V22" s="55"/>
      <c r="W22" s="55"/>
      <c r="X22" s="52"/>
      <c r="Y22" s="52"/>
      <c r="Z22" s="56"/>
      <c r="AA22" s="55"/>
      <c r="AB22" s="55"/>
      <c r="AC22" s="55"/>
      <c r="AD22" s="55"/>
      <c r="AE22" s="55"/>
      <c r="AF22" s="55"/>
    </row>
    <row r="23" spans="1:32" s="57" customFormat="1" ht="15.75" hidden="1" customHeight="1">
      <c r="A23" s="17"/>
      <c r="B23" s="2"/>
      <c r="C23" s="51"/>
      <c r="D23" s="51"/>
      <c r="E23" s="51"/>
      <c r="F23" s="51"/>
      <c r="G23" s="51"/>
      <c r="H23" s="51"/>
      <c r="I23" s="51"/>
      <c r="J23" s="51"/>
      <c r="K23" s="51"/>
      <c r="L23" s="51"/>
      <c r="M23" s="51"/>
      <c r="N23" s="51"/>
      <c r="O23" s="51"/>
      <c r="P23" s="51"/>
      <c r="Q23" s="51"/>
      <c r="R23" s="52"/>
      <c r="S23" s="53"/>
      <c r="T23" s="54"/>
      <c r="U23" s="52"/>
      <c r="V23" s="55"/>
      <c r="W23" s="55"/>
      <c r="X23" s="52"/>
      <c r="Y23" s="52"/>
      <c r="Z23" s="56"/>
      <c r="AA23" s="55"/>
      <c r="AB23" s="55"/>
      <c r="AC23" s="55"/>
      <c r="AD23" s="55"/>
      <c r="AE23" s="55"/>
      <c r="AF23" s="55"/>
    </row>
    <row r="24" spans="1:32" s="57" customFormat="1" ht="15.75" hidden="1" customHeight="1">
      <c r="A24" s="17"/>
      <c r="B24" s="2"/>
      <c r="C24" s="51"/>
      <c r="D24" s="51"/>
      <c r="E24" s="51"/>
      <c r="F24" s="51"/>
      <c r="G24" s="51"/>
      <c r="H24" s="51"/>
      <c r="I24" s="51"/>
      <c r="J24" s="51"/>
      <c r="K24" s="51"/>
      <c r="L24" s="51"/>
      <c r="M24" s="51"/>
      <c r="N24" s="51"/>
      <c r="O24" s="51"/>
      <c r="P24" s="51"/>
      <c r="Q24" s="51"/>
      <c r="R24" s="52"/>
      <c r="S24" s="53"/>
      <c r="T24" s="54"/>
      <c r="U24" s="52"/>
      <c r="V24" s="55"/>
      <c r="W24" s="55"/>
      <c r="X24" s="52"/>
      <c r="Y24" s="52"/>
      <c r="Z24" s="56"/>
      <c r="AA24" s="55"/>
      <c r="AB24" s="55"/>
      <c r="AC24" s="55"/>
      <c r="AD24" s="55"/>
      <c r="AE24" s="55"/>
      <c r="AF24" s="55"/>
    </row>
    <row r="25" spans="1:32" s="57" customFormat="1" ht="15.75" hidden="1" customHeight="1">
      <c r="A25" s="17"/>
      <c r="B25" s="2"/>
      <c r="C25" s="51"/>
      <c r="D25" s="51"/>
      <c r="E25" s="51"/>
      <c r="F25" s="51"/>
      <c r="G25" s="51"/>
      <c r="H25" s="51"/>
      <c r="I25" s="51"/>
      <c r="J25" s="51"/>
      <c r="K25" s="51"/>
      <c r="L25" s="51"/>
      <c r="M25" s="51"/>
      <c r="N25" s="51"/>
      <c r="O25" s="51"/>
      <c r="P25" s="51"/>
      <c r="Q25" s="51"/>
      <c r="R25" s="52"/>
      <c r="S25" s="53"/>
      <c r="T25" s="54"/>
      <c r="U25" s="52"/>
      <c r="V25" s="55"/>
      <c r="W25" s="55"/>
      <c r="X25" s="52"/>
      <c r="Y25" s="52"/>
      <c r="Z25" s="56"/>
      <c r="AA25" s="55"/>
      <c r="AB25" s="55"/>
      <c r="AC25" s="55"/>
      <c r="AD25" s="55"/>
      <c r="AE25" s="55"/>
      <c r="AF25" s="55"/>
    </row>
    <row r="26" spans="1:32" s="57" customFormat="1" ht="15.75" hidden="1" customHeight="1">
      <c r="A26" s="17"/>
      <c r="B26" s="2"/>
      <c r="C26" s="51"/>
      <c r="D26" s="51"/>
      <c r="E26" s="51"/>
      <c r="F26" s="51"/>
      <c r="G26" s="51"/>
      <c r="H26" s="51"/>
      <c r="I26" s="51"/>
      <c r="J26" s="51"/>
      <c r="K26" s="51"/>
      <c r="L26" s="51"/>
      <c r="M26" s="51"/>
      <c r="N26" s="51"/>
      <c r="O26" s="51"/>
      <c r="P26" s="51"/>
      <c r="Q26" s="51"/>
      <c r="R26" s="52"/>
      <c r="S26" s="53"/>
      <c r="T26" s="54"/>
      <c r="U26" s="52"/>
      <c r="V26" s="55"/>
      <c r="W26" s="55"/>
      <c r="X26" s="52"/>
      <c r="Y26" s="52"/>
      <c r="Z26" s="56"/>
      <c r="AA26" s="55"/>
      <c r="AB26" s="55"/>
      <c r="AC26" s="55"/>
      <c r="AD26" s="55"/>
      <c r="AE26" s="55"/>
      <c r="AF26" s="55"/>
    </row>
    <row r="27" spans="1:32" s="57" customFormat="1" ht="15.75" hidden="1" customHeight="1">
      <c r="A27" s="17"/>
      <c r="B27" s="2"/>
      <c r="C27" s="51"/>
      <c r="D27" s="51"/>
      <c r="E27" s="51"/>
      <c r="F27" s="51"/>
      <c r="G27" s="51"/>
      <c r="H27" s="51"/>
      <c r="I27" s="51"/>
      <c r="J27" s="51"/>
      <c r="K27" s="51"/>
      <c r="L27" s="51"/>
      <c r="M27" s="51"/>
      <c r="N27" s="51"/>
      <c r="O27" s="51"/>
      <c r="P27" s="51"/>
      <c r="Q27" s="51"/>
      <c r="R27" s="52"/>
      <c r="S27" s="53"/>
      <c r="T27" s="54"/>
      <c r="U27" s="52"/>
      <c r="V27" s="55"/>
      <c r="W27" s="55"/>
      <c r="X27" s="52"/>
      <c r="Y27" s="52"/>
      <c r="Z27" s="56"/>
      <c r="AA27" s="55"/>
      <c r="AB27" s="55"/>
      <c r="AC27" s="55"/>
      <c r="AD27" s="55"/>
      <c r="AE27" s="55"/>
      <c r="AF27" s="55"/>
    </row>
    <row r="28" spans="1:32" s="57" customFormat="1" ht="15.75" hidden="1" customHeight="1">
      <c r="A28" s="17"/>
      <c r="B28" s="2"/>
      <c r="C28" s="51"/>
      <c r="D28" s="51"/>
      <c r="E28" s="51"/>
      <c r="F28" s="51"/>
      <c r="G28" s="51"/>
      <c r="H28" s="51"/>
      <c r="I28" s="51"/>
      <c r="J28" s="51"/>
      <c r="K28" s="51"/>
      <c r="L28" s="51"/>
      <c r="M28" s="51"/>
      <c r="N28" s="51"/>
      <c r="O28" s="51"/>
      <c r="P28" s="51"/>
      <c r="Q28" s="51"/>
      <c r="R28" s="52"/>
      <c r="S28" s="53"/>
      <c r="T28" s="54"/>
      <c r="U28" s="52"/>
      <c r="V28" s="55"/>
      <c r="W28" s="55"/>
      <c r="X28" s="52"/>
      <c r="Y28" s="52"/>
      <c r="Z28" s="56"/>
      <c r="AA28" s="55"/>
      <c r="AB28" s="55"/>
      <c r="AC28" s="55"/>
      <c r="AD28" s="55"/>
      <c r="AE28" s="55"/>
      <c r="AF28" s="55"/>
    </row>
    <row r="29" spans="1:32" s="57" customFormat="1" ht="15.75" hidden="1" customHeight="1">
      <c r="A29" s="17"/>
      <c r="B29" s="2"/>
      <c r="C29" s="51"/>
      <c r="D29" s="51"/>
      <c r="E29" s="51"/>
      <c r="F29" s="51"/>
      <c r="G29" s="51"/>
      <c r="H29" s="51"/>
      <c r="I29" s="51"/>
      <c r="J29" s="51"/>
      <c r="K29" s="51"/>
      <c r="L29" s="51"/>
      <c r="M29" s="51"/>
      <c r="N29" s="51"/>
      <c r="O29" s="51"/>
      <c r="P29" s="51"/>
      <c r="Q29" s="51"/>
      <c r="R29" s="52"/>
      <c r="S29" s="53"/>
      <c r="T29" s="54"/>
      <c r="U29" s="52"/>
      <c r="V29" s="55"/>
      <c r="W29" s="55"/>
      <c r="X29" s="52"/>
      <c r="Y29" s="52"/>
      <c r="Z29" s="56"/>
      <c r="AA29" s="55"/>
      <c r="AB29" s="55"/>
      <c r="AC29" s="55"/>
      <c r="AD29" s="55"/>
      <c r="AE29" s="55"/>
      <c r="AF29" s="55"/>
    </row>
    <row r="30" spans="1:32" s="57" customFormat="1" ht="15.75" hidden="1" customHeight="1">
      <c r="A30" s="17"/>
      <c r="B30" s="2"/>
      <c r="C30" s="51"/>
      <c r="D30" s="51"/>
      <c r="E30" s="51"/>
      <c r="F30" s="51"/>
      <c r="G30" s="51"/>
      <c r="H30" s="51"/>
      <c r="I30" s="51"/>
      <c r="J30" s="51"/>
      <c r="K30" s="51"/>
      <c r="L30" s="51"/>
      <c r="M30" s="51"/>
      <c r="N30" s="51"/>
      <c r="O30" s="51"/>
      <c r="P30" s="51"/>
      <c r="Q30" s="51"/>
      <c r="R30" s="52"/>
      <c r="S30" s="53"/>
      <c r="T30" s="54"/>
      <c r="U30" s="52"/>
      <c r="V30" s="55"/>
      <c r="W30" s="55"/>
      <c r="X30" s="52"/>
      <c r="Y30" s="52"/>
      <c r="Z30" s="56"/>
      <c r="AA30" s="55"/>
      <c r="AB30" s="55"/>
      <c r="AC30" s="55"/>
      <c r="AD30" s="55"/>
      <c r="AE30" s="55"/>
      <c r="AF30" s="55"/>
    </row>
    <row r="31" spans="1:32" s="57" customFormat="1" ht="15.75" hidden="1" customHeight="1">
      <c r="A31" s="17"/>
      <c r="B31" s="2"/>
      <c r="C31" s="51"/>
      <c r="D31" s="51"/>
      <c r="E31" s="51"/>
      <c r="F31" s="51"/>
      <c r="G31" s="51"/>
      <c r="H31" s="51"/>
      <c r="I31" s="51"/>
      <c r="J31" s="51"/>
      <c r="K31" s="51"/>
      <c r="L31" s="51"/>
      <c r="M31" s="51"/>
      <c r="N31" s="51"/>
      <c r="O31" s="51"/>
      <c r="P31" s="51"/>
      <c r="Q31" s="51"/>
      <c r="R31" s="52"/>
      <c r="S31" s="53"/>
      <c r="T31" s="54"/>
      <c r="U31" s="52"/>
      <c r="V31" s="55"/>
      <c r="W31" s="55"/>
      <c r="X31" s="52"/>
      <c r="Y31" s="52"/>
      <c r="Z31" s="56"/>
      <c r="AA31" s="55"/>
      <c r="AB31" s="55"/>
      <c r="AC31" s="55"/>
      <c r="AD31" s="55"/>
      <c r="AE31" s="55"/>
      <c r="AF31" s="55"/>
    </row>
    <row r="32" spans="1:32" s="57" customFormat="1" ht="15.75" hidden="1" customHeight="1">
      <c r="A32" s="17"/>
      <c r="B32" s="2"/>
      <c r="C32" s="51"/>
      <c r="D32" s="51"/>
      <c r="E32" s="51"/>
      <c r="F32" s="51"/>
      <c r="G32" s="51"/>
      <c r="H32" s="51"/>
      <c r="I32" s="51"/>
      <c r="J32" s="51"/>
      <c r="K32" s="51"/>
      <c r="L32" s="51"/>
      <c r="M32" s="51"/>
      <c r="N32" s="51"/>
      <c r="O32" s="51"/>
      <c r="P32" s="51"/>
      <c r="Q32" s="51"/>
      <c r="R32" s="52"/>
      <c r="S32" s="53"/>
      <c r="T32" s="54"/>
      <c r="U32" s="52"/>
      <c r="V32" s="55"/>
      <c r="W32" s="55"/>
      <c r="X32" s="52"/>
      <c r="Y32" s="52"/>
      <c r="Z32" s="56"/>
      <c r="AA32" s="55"/>
      <c r="AB32" s="55"/>
      <c r="AC32" s="55"/>
      <c r="AD32" s="55"/>
      <c r="AE32" s="55"/>
      <c r="AF32" s="52"/>
    </row>
    <row r="33" spans="1:32" s="57" customFormat="1" ht="15.75" hidden="1" customHeight="1">
      <c r="A33" s="17"/>
      <c r="B33" s="2"/>
      <c r="C33" s="51"/>
      <c r="D33" s="51"/>
      <c r="E33" s="51"/>
      <c r="F33" s="51"/>
      <c r="G33" s="51"/>
      <c r="H33" s="51"/>
      <c r="I33" s="51"/>
      <c r="J33" s="51"/>
      <c r="K33" s="51"/>
      <c r="L33" s="51"/>
      <c r="M33" s="51"/>
      <c r="N33" s="51"/>
      <c r="O33" s="51"/>
      <c r="P33" s="51"/>
      <c r="Q33" s="51"/>
      <c r="R33" s="52"/>
      <c r="S33" s="53"/>
      <c r="T33" s="54"/>
      <c r="U33" s="52"/>
      <c r="V33" s="55"/>
      <c r="W33" s="55"/>
      <c r="X33" s="52"/>
      <c r="Y33" s="52"/>
      <c r="Z33" s="56"/>
      <c r="AA33" s="55"/>
      <c r="AB33" s="55"/>
      <c r="AC33" s="55"/>
      <c r="AD33" s="55"/>
      <c r="AE33" s="55"/>
      <c r="AF33" s="55"/>
    </row>
    <row r="34" spans="1:32" s="57" customFormat="1" ht="15.75" hidden="1" customHeight="1">
      <c r="A34" s="17"/>
      <c r="B34" s="2"/>
      <c r="C34" s="51"/>
      <c r="D34" s="51"/>
      <c r="E34" s="51"/>
      <c r="F34" s="51"/>
      <c r="G34" s="51"/>
      <c r="H34" s="51"/>
      <c r="I34" s="51"/>
      <c r="J34" s="51"/>
      <c r="K34" s="51"/>
      <c r="L34" s="51"/>
      <c r="M34" s="51"/>
      <c r="N34" s="51"/>
      <c r="O34" s="51"/>
      <c r="P34" s="51"/>
      <c r="Q34" s="51"/>
      <c r="R34" s="55"/>
      <c r="S34" s="53"/>
      <c r="T34" s="54"/>
      <c r="U34" s="52"/>
      <c r="V34" s="55"/>
      <c r="W34" s="55"/>
      <c r="X34" s="52"/>
      <c r="Y34" s="52"/>
      <c r="Z34" s="56"/>
      <c r="AA34" s="55"/>
      <c r="AB34" s="55"/>
      <c r="AC34" s="55"/>
      <c r="AD34" s="55"/>
      <c r="AE34" s="55"/>
      <c r="AF34" s="55"/>
    </row>
    <row r="35" spans="1:32" s="57" customFormat="1" ht="15.75" hidden="1" customHeight="1">
      <c r="A35" s="17"/>
      <c r="B35" s="2"/>
      <c r="C35" s="51"/>
      <c r="D35" s="51"/>
      <c r="E35" s="51"/>
      <c r="F35" s="51"/>
      <c r="G35" s="51"/>
      <c r="H35" s="51"/>
      <c r="I35" s="51"/>
      <c r="J35" s="51"/>
      <c r="K35" s="51"/>
      <c r="L35" s="51"/>
      <c r="M35" s="51"/>
      <c r="N35" s="51"/>
      <c r="O35" s="51"/>
      <c r="P35" s="51"/>
      <c r="Q35" s="51"/>
      <c r="R35" s="55"/>
      <c r="S35" s="53"/>
      <c r="T35" s="54"/>
      <c r="U35" s="52"/>
      <c r="V35" s="55"/>
      <c r="W35" s="55"/>
      <c r="X35" s="52"/>
      <c r="Y35" s="52"/>
      <c r="Z35" s="56"/>
      <c r="AA35" s="55"/>
      <c r="AB35" s="55"/>
      <c r="AC35" s="55"/>
      <c r="AD35" s="55"/>
      <c r="AE35" s="55"/>
      <c r="AF35" s="55"/>
    </row>
    <row r="36" spans="1:32" s="57" customFormat="1" ht="15.75" hidden="1" customHeight="1">
      <c r="A36" s="17"/>
      <c r="B36" s="2"/>
      <c r="C36" s="51"/>
      <c r="D36" s="51"/>
      <c r="E36" s="51"/>
      <c r="F36" s="51"/>
      <c r="G36" s="51"/>
      <c r="H36" s="51"/>
      <c r="I36" s="51"/>
      <c r="J36" s="51"/>
      <c r="K36" s="51"/>
      <c r="L36" s="51"/>
      <c r="M36" s="51"/>
      <c r="N36" s="51"/>
      <c r="O36" s="51"/>
      <c r="P36" s="51"/>
      <c r="Q36" s="51"/>
      <c r="R36" s="55"/>
      <c r="S36" s="53"/>
      <c r="T36" s="54"/>
      <c r="U36" s="55"/>
      <c r="V36" s="55"/>
      <c r="W36" s="55"/>
      <c r="X36" s="55"/>
      <c r="Y36" s="52"/>
      <c r="Z36" s="56"/>
      <c r="AA36" s="55"/>
      <c r="AB36" s="55"/>
      <c r="AC36" s="55"/>
      <c r="AD36" s="55"/>
      <c r="AE36" s="55"/>
      <c r="AF36" s="55"/>
    </row>
    <row r="37" spans="1:32" s="57" customFormat="1" ht="15.75" hidden="1" customHeight="1">
      <c r="A37" s="17"/>
      <c r="B37" s="2"/>
      <c r="C37" s="51"/>
      <c r="D37" s="51"/>
      <c r="E37" s="51"/>
      <c r="F37" s="51"/>
      <c r="G37" s="51"/>
      <c r="H37" s="51"/>
      <c r="I37" s="51"/>
      <c r="J37" s="51"/>
      <c r="K37" s="51"/>
      <c r="L37" s="51"/>
      <c r="M37" s="51"/>
      <c r="N37" s="51"/>
      <c r="O37" s="51"/>
      <c r="P37" s="51"/>
      <c r="Q37" s="51"/>
      <c r="R37" s="55"/>
      <c r="S37" s="53"/>
      <c r="T37" s="54"/>
      <c r="U37" s="52"/>
      <c r="V37" s="55"/>
      <c r="W37" s="55"/>
      <c r="X37" s="52"/>
      <c r="Y37" s="52"/>
      <c r="Z37" s="56"/>
      <c r="AA37" s="55"/>
      <c r="AB37" s="55"/>
      <c r="AC37" s="55"/>
      <c r="AD37" s="55"/>
      <c r="AE37" s="55"/>
      <c r="AF37" s="55"/>
    </row>
    <row r="38" spans="1:32" s="57" customFormat="1" ht="15.75" hidden="1" customHeight="1">
      <c r="A38" s="17"/>
      <c r="B38" s="2"/>
      <c r="C38" s="51"/>
      <c r="D38" s="51"/>
      <c r="E38" s="51"/>
      <c r="F38" s="51"/>
      <c r="G38" s="51"/>
      <c r="H38" s="51"/>
      <c r="I38" s="51"/>
      <c r="J38" s="51"/>
      <c r="K38" s="51"/>
      <c r="L38" s="51"/>
      <c r="M38" s="51"/>
      <c r="N38" s="51"/>
      <c r="O38" s="51"/>
      <c r="P38" s="51"/>
      <c r="Q38" s="51"/>
      <c r="R38" s="52"/>
      <c r="S38" s="53"/>
      <c r="T38" s="54"/>
      <c r="U38" s="52"/>
      <c r="V38" s="55"/>
      <c r="W38" s="55"/>
      <c r="X38" s="52"/>
      <c r="Y38" s="52"/>
      <c r="Z38" s="56"/>
      <c r="AA38" s="55"/>
      <c r="AB38" s="55"/>
      <c r="AC38" s="55"/>
      <c r="AD38" s="55"/>
      <c r="AE38" s="55"/>
      <c r="AF38" s="55"/>
    </row>
    <row r="39" spans="1:32" s="57" customFormat="1" ht="15.75" hidden="1" customHeight="1">
      <c r="A39" s="17"/>
      <c r="B39" s="2"/>
      <c r="C39" s="51"/>
      <c r="D39" s="51"/>
      <c r="E39" s="51"/>
      <c r="F39" s="51"/>
      <c r="G39" s="51"/>
      <c r="H39" s="51"/>
      <c r="I39" s="51"/>
      <c r="J39" s="51"/>
      <c r="K39" s="51"/>
      <c r="L39" s="51"/>
      <c r="M39" s="51"/>
      <c r="N39" s="51"/>
      <c r="O39" s="51"/>
      <c r="P39" s="51"/>
      <c r="Q39" s="51"/>
      <c r="R39" s="55"/>
      <c r="S39" s="53"/>
      <c r="T39" s="54"/>
      <c r="U39" s="52"/>
      <c r="V39" s="55"/>
      <c r="W39" s="55"/>
      <c r="X39" s="52"/>
      <c r="Y39" s="52"/>
      <c r="Z39" s="56"/>
      <c r="AA39" s="52"/>
      <c r="AB39" s="55"/>
      <c r="AC39" s="55"/>
      <c r="AD39" s="55"/>
      <c r="AE39" s="55"/>
      <c r="AF39" s="55"/>
    </row>
    <row r="40" spans="1:32" s="57" customFormat="1" ht="15.75" hidden="1" customHeight="1">
      <c r="A40" s="17"/>
      <c r="B40" s="2"/>
      <c r="C40" s="51"/>
      <c r="D40" s="51"/>
      <c r="E40" s="51"/>
      <c r="F40" s="51"/>
      <c r="G40" s="51"/>
      <c r="H40" s="51"/>
      <c r="I40" s="51"/>
      <c r="J40" s="51"/>
      <c r="K40" s="51"/>
      <c r="L40" s="51"/>
      <c r="M40" s="51"/>
      <c r="N40" s="51"/>
      <c r="O40" s="51"/>
      <c r="P40" s="51"/>
      <c r="Q40" s="51"/>
      <c r="R40" s="55"/>
      <c r="S40" s="53"/>
      <c r="T40" s="54"/>
      <c r="U40" s="52"/>
      <c r="V40" s="55"/>
      <c r="W40" s="55"/>
      <c r="X40" s="52"/>
      <c r="Y40" s="52"/>
      <c r="Z40" s="56"/>
      <c r="AA40" s="55"/>
      <c r="AB40" s="55"/>
      <c r="AC40" s="55"/>
      <c r="AD40" s="55"/>
      <c r="AE40" s="55"/>
      <c r="AF40" s="55"/>
    </row>
    <row r="41" spans="1:32" s="57" customFormat="1" ht="15.75" hidden="1" customHeight="1">
      <c r="A41" s="17"/>
      <c r="B41" s="2"/>
      <c r="C41" s="51"/>
      <c r="D41" s="51"/>
      <c r="E41" s="51"/>
      <c r="F41" s="51"/>
      <c r="G41" s="51"/>
      <c r="H41" s="51"/>
      <c r="I41" s="51"/>
      <c r="J41" s="51"/>
      <c r="K41" s="51"/>
      <c r="L41" s="51"/>
      <c r="M41" s="51"/>
      <c r="N41" s="51"/>
      <c r="O41" s="51"/>
      <c r="P41" s="51"/>
      <c r="Q41" s="51"/>
      <c r="R41" s="55"/>
      <c r="S41" s="53"/>
      <c r="T41" s="54"/>
      <c r="U41" s="52"/>
      <c r="V41" s="55"/>
      <c r="W41" s="55"/>
      <c r="X41" s="52"/>
      <c r="Y41" s="52"/>
      <c r="Z41" s="56"/>
      <c r="AA41" s="55"/>
      <c r="AB41" s="55"/>
      <c r="AC41" s="55"/>
      <c r="AD41" s="55"/>
      <c r="AE41" s="55"/>
      <c r="AF41" s="55"/>
    </row>
    <row r="42" spans="1:32" s="57" customFormat="1" ht="15.75" hidden="1" customHeight="1">
      <c r="A42" s="17"/>
      <c r="B42" s="2"/>
      <c r="C42" s="51"/>
      <c r="D42" s="51"/>
      <c r="E42" s="51"/>
      <c r="F42" s="51"/>
      <c r="G42" s="51"/>
      <c r="H42" s="51"/>
      <c r="I42" s="51"/>
      <c r="J42" s="51"/>
      <c r="K42" s="51"/>
      <c r="L42" s="51"/>
      <c r="M42" s="51"/>
      <c r="N42" s="51"/>
      <c r="O42" s="51"/>
      <c r="P42" s="51"/>
      <c r="Q42" s="51"/>
      <c r="R42" s="55"/>
      <c r="S42" s="53"/>
      <c r="T42" s="54"/>
      <c r="U42" s="52"/>
      <c r="V42" s="55"/>
      <c r="W42" s="55"/>
      <c r="X42" s="52"/>
      <c r="Y42" s="52"/>
      <c r="Z42" s="56"/>
      <c r="AA42" s="55"/>
      <c r="AB42" s="55"/>
      <c r="AC42" s="55"/>
      <c r="AD42" s="55"/>
      <c r="AE42" s="55"/>
      <c r="AF42" s="55"/>
    </row>
    <row r="43" spans="1:32" s="57" customFormat="1" ht="15.75" hidden="1" customHeight="1">
      <c r="A43" s="17"/>
      <c r="B43" s="2"/>
      <c r="C43" s="51"/>
      <c r="D43" s="51"/>
      <c r="E43" s="51"/>
      <c r="F43" s="51"/>
      <c r="G43" s="51"/>
      <c r="H43" s="51"/>
      <c r="I43" s="51"/>
      <c r="J43" s="51"/>
      <c r="K43" s="51"/>
      <c r="L43" s="51"/>
      <c r="M43" s="51"/>
      <c r="N43" s="51"/>
      <c r="O43" s="51"/>
      <c r="P43" s="51"/>
      <c r="Q43" s="51"/>
      <c r="R43" s="55"/>
      <c r="S43" s="53"/>
      <c r="T43" s="54"/>
      <c r="U43" s="52"/>
      <c r="V43" s="55"/>
      <c r="W43" s="55"/>
      <c r="X43" s="52"/>
      <c r="Y43" s="52"/>
      <c r="Z43" s="56"/>
      <c r="AA43" s="55"/>
      <c r="AB43" s="55"/>
      <c r="AC43" s="55"/>
      <c r="AD43" s="55"/>
      <c r="AE43" s="55"/>
      <c r="AF43" s="55"/>
    </row>
    <row r="44" spans="1:32" s="57" customFormat="1" ht="15.75" hidden="1" customHeight="1">
      <c r="A44" s="17"/>
      <c r="B44" s="2"/>
      <c r="C44" s="51"/>
      <c r="D44" s="51"/>
      <c r="E44" s="51"/>
      <c r="F44" s="51"/>
      <c r="G44" s="51"/>
      <c r="H44" s="51"/>
      <c r="I44" s="51"/>
      <c r="J44" s="51"/>
      <c r="K44" s="51"/>
      <c r="L44" s="51"/>
      <c r="M44" s="51"/>
      <c r="N44" s="51"/>
      <c r="O44" s="51"/>
      <c r="P44" s="51"/>
      <c r="Q44" s="51"/>
      <c r="R44" s="55"/>
      <c r="S44" s="53"/>
      <c r="T44" s="54"/>
      <c r="U44" s="52"/>
      <c r="V44" s="55"/>
      <c r="W44" s="55"/>
      <c r="X44" s="52"/>
      <c r="Y44" s="52"/>
      <c r="Z44" s="56"/>
      <c r="AA44" s="55"/>
      <c r="AB44" s="55"/>
      <c r="AC44" s="55"/>
      <c r="AD44" s="55"/>
      <c r="AE44" s="55"/>
      <c r="AF44" s="55"/>
    </row>
    <row r="45" spans="1:32" s="57" customFormat="1" ht="15.75" hidden="1" customHeight="1">
      <c r="A45" s="17"/>
      <c r="B45" s="2"/>
      <c r="C45" s="51"/>
      <c r="D45" s="51"/>
      <c r="E45" s="51"/>
      <c r="F45" s="51"/>
      <c r="G45" s="51"/>
      <c r="H45" s="51"/>
      <c r="I45" s="51"/>
      <c r="J45" s="51"/>
      <c r="K45" s="51"/>
      <c r="L45" s="51"/>
      <c r="M45" s="51"/>
      <c r="N45" s="51"/>
      <c r="O45" s="51"/>
      <c r="P45" s="51"/>
      <c r="Q45" s="51"/>
      <c r="R45" s="55"/>
      <c r="S45" s="53"/>
      <c r="T45" s="54"/>
      <c r="U45" s="52"/>
      <c r="V45" s="55"/>
      <c r="W45" s="55"/>
      <c r="X45" s="52"/>
      <c r="Y45" s="52"/>
      <c r="Z45" s="56"/>
      <c r="AA45" s="55"/>
      <c r="AB45" s="55"/>
      <c r="AC45" s="55"/>
      <c r="AD45" s="55"/>
      <c r="AE45" s="55"/>
      <c r="AF45" s="55"/>
    </row>
    <row r="46" spans="1:32" s="57" customFormat="1" ht="15.75" hidden="1" customHeight="1">
      <c r="A46" s="17"/>
      <c r="B46" s="2"/>
      <c r="C46" s="51"/>
      <c r="D46" s="51"/>
      <c r="E46" s="51"/>
      <c r="F46" s="51"/>
      <c r="G46" s="51"/>
      <c r="H46" s="51"/>
      <c r="I46" s="51"/>
      <c r="J46" s="51"/>
      <c r="K46" s="51"/>
      <c r="L46" s="51"/>
      <c r="M46" s="51"/>
      <c r="N46" s="51"/>
      <c r="O46" s="51"/>
      <c r="P46" s="51"/>
      <c r="Q46" s="51"/>
      <c r="R46" s="55"/>
      <c r="S46" s="53"/>
      <c r="T46" s="54"/>
      <c r="U46" s="52"/>
      <c r="V46" s="55"/>
      <c r="W46" s="55"/>
      <c r="X46" s="52"/>
      <c r="Y46" s="52"/>
      <c r="Z46" s="56"/>
      <c r="AA46" s="55"/>
      <c r="AB46" s="55"/>
      <c r="AC46" s="55"/>
      <c r="AD46" s="55"/>
      <c r="AE46" s="55"/>
      <c r="AF46" s="55"/>
    </row>
    <row r="47" spans="1:32" s="57" customFormat="1" ht="15.75" hidden="1" customHeight="1">
      <c r="A47" s="17"/>
      <c r="B47" s="2"/>
      <c r="C47" s="51"/>
      <c r="D47" s="51"/>
      <c r="E47" s="51"/>
      <c r="F47" s="51"/>
      <c r="G47" s="51"/>
      <c r="H47" s="51"/>
      <c r="I47" s="51"/>
      <c r="J47" s="51"/>
      <c r="K47" s="51"/>
      <c r="L47" s="51"/>
      <c r="M47" s="51"/>
      <c r="N47" s="51"/>
      <c r="O47" s="51"/>
      <c r="P47" s="51"/>
      <c r="Q47" s="51"/>
      <c r="R47" s="55"/>
      <c r="S47" s="53"/>
      <c r="T47" s="54"/>
      <c r="U47" s="52"/>
      <c r="V47" s="55"/>
      <c r="W47" s="55"/>
      <c r="X47" s="52"/>
      <c r="Y47" s="52"/>
      <c r="Z47" s="56"/>
      <c r="AA47" s="55"/>
      <c r="AB47" s="55"/>
      <c r="AC47" s="55"/>
      <c r="AD47" s="55"/>
      <c r="AE47" s="55"/>
      <c r="AF47" s="55"/>
    </row>
    <row r="48" spans="1:32" s="57" customFormat="1" ht="15.75" hidden="1" customHeight="1">
      <c r="A48" s="17"/>
      <c r="B48" s="2"/>
      <c r="C48" s="51"/>
      <c r="D48" s="51"/>
      <c r="E48" s="51"/>
      <c r="F48" s="51"/>
      <c r="G48" s="51"/>
      <c r="H48" s="51"/>
      <c r="I48" s="51"/>
      <c r="J48" s="51"/>
      <c r="K48" s="51"/>
      <c r="L48" s="51"/>
      <c r="M48" s="51"/>
      <c r="N48" s="51"/>
      <c r="O48" s="51"/>
      <c r="P48" s="51"/>
      <c r="Q48" s="51"/>
      <c r="R48" s="55"/>
      <c r="S48" s="53"/>
      <c r="T48" s="54"/>
      <c r="U48" s="52"/>
      <c r="V48" s="55"/>
      <c r="W48" s="55"/>
      <c r="X48" s="52"/>
      <c r="Y48" s="52"/>
      <c r="Z48" s="56"/>
      <c r="AA48" s="55"/>
      <c r="AB48" s="55"/>
      <c r="AC48" s="55"/>
      <c r="AD48" s="55"/>
      <c r="AE48" s="55"/>
      <c r="AF48" s="55"/>
    </row>
    <row r="49" spans="1:32" s="57" customFormat="1" ht="15.75" hidden="1" customHeight="1">
      <c r="A49" s="17"/>
      <c r="B49" s="2"/>
      <c r="C49" s="51"/>
      <c r="D49" s="51"/>
      <c r="E49" s="51"/>
      <c r="F49" s="51"/>
      <c r="G49" s="51"/>
      <c r="H49" s="51"/>
      <c r="I49" s="51"/>
      <c r="J49" s="51"/>
      <c r="K49" s="51"/>
      <c r="L49" s="51"/>
      <c r="M49" s="51"/>
      <c r="N49" s="51"/>
      <c r="O49" s="51"/>
      <c r="P49" s="51"/>
      <c r="Q49" s="51"/>
      <c r="R49" s="55"/>
      <c r="S49" s="53"/>
      <c r="T49" s="54"/>
      <c r="U49" s="52"/>
      <c r="V49" s="55"/>
      <c r="W49" s="55"/>
      <c r="X49" s="52"/>
      <c r="Y49" s="52"/>
      <c r="Z49" s="56"/>
      <c r="AA49" s="55"/>
      <c r="AB49" s="55"/>
      <c r="AC49" s="55"/>
      <c r="AD49" s="55"/>
      <c r="AE49" s="55"/>
      <c r="AF49" s="55"/>
    </row>
    <row r="50" spans="1:32" s="57" customFormat="1" ht="15.75" customHeight="1">
      <c r="A50" s="2" t="s">
        <v>119</v>
      </c>
      <c r="B50" s="2" t="s">
        <v>850</v>
      </c>
      <c r="C50" s="51">
        <f t="shared" ref="C50:C56" si="1">IFERROR(F50/D50," - ")</f>
        <v>9.99</v>
      </c>
      <c r="D50" s="51">
        <v>2</v>
      </c>
      <c r="E50" s="51">
        <v>0</v>
      </c>
      <c r="F50" s="51">
        <v>19.98</v>
      </c>
      <c r="G50" s="51">
        <v>0</v>
      </c>
      <c r="H50" s="51">
        <f t="shared" ref="H50:H56" si="2">G50/F50*-1</f>
        <v>0</v>
      </c>
      <c r="I50" s="51">
        <f t="shared" ref="I50:I56" si="3">J50/F50</f>
        <v>1.3909414464975379E-3</v>
      </c>
      <c r="J50" s="51">
        <f t="shared" ref="J50:J56" si="4">F50*0.85+G50+AD50*D50+D50*AC50+AE50+AB50</f>
        <v>2.7791010101020808E-2</v>
      </c>
      <c r="K50" s="51">
        <f t="shared" ref="K50:K56" si="5">J50/D50</f>
        <v>1.3895505050510404E-2</v>
      </c>
      <c r="L50" s="51">
        <v>15</v>
      </c>
      <c r="M50" s="51">
        <f t="shared" ref="M50:M56" si="6">IFERROR(D50/L50,"-")</f>
        <v>0.13333333333333333</v>
      </c>
      <c r="N50" s="51">
        <v>36</v>
      </c>
      <c r="O50" s="51">
        <f t="shared" ref="O50:P50" si="7">D50/7</f>
        <v>0.2857142857142857</v>
      </c>
      <c r="P50" s="51">
        <f t="shared" si="7"/>
        <v>0</v>
      </c>
      <c r="Q50" s="51">
        <f t="shared" ref="Q50:Q56" si="8">ROUNDDOWN(N50/(O50+P50),0)</f>
        <v>126</v>
      </c>
      <c r="R50" s="55">
        <f ca="1">IFERROR(__xludf.DUMMYFUNCTION("IFERROR(VLOOKUP($B$2,IMPORTRANGE(""https://docs.google.com/spreadsheets/d/1iVgg6Mw12RULLujzHmfOFIY8Q_KaAD8anoZzgtVAQ74/edit#gid=1503384807"",""Second Star - Summary!A1:AD2000""),9,FALSE),"""")"),0)</f>
        <v>0</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ref="V50:V56" si="9">IFERROR(U50/D50,0)</f>
        <v>0</v>
      </c>
      <c r="W50" s="55">
        <f t="shared" ref="W50:W56" si="10">IFERROR(G50/(U50+X50)*-1,0)</f>
        <v>0</v>
      </c>
      <c r="X50" s="55">
        <v>0</v>
      </c>
      <c r="Y50" s="55" t="s">
        <v>35</v>
      </c>
      <c r="Z50" s="56">
        <f t="shared" ref="Z50:Z56" si="11">IF(OR(Y50="UsLargeStandardSize",Y50="UsSmallStandardSize"),-2.4,-1.2)</f>
        <v>-2.4</v>
      </c>
      <c r="AA50" s="55">
        <v>3.7854166666666661E-2</v>
      </c>
      <c r="AB50" s="55">
        <f t="shared" ref="AB50:AB56" si="12">IFERROR(Z50*AA50*D50*3,0)</f>
        <v>-0.54509999999999992</v>
      </c>
      <c r="AC50" s="55">
        <v>-4.9000000000000004</v>
      </c>
      <c r="AD50" s="55">
        <v>-3.30505449494949</v>
      </c>
      <c r="AE50" s="55">
        <v>0</v>
      </c>
      <c r="AF50" s="55">
        <v>0.11111111111111099</v>
      </c>
    </row>
    <row r="51" spans="1:32" s="57" customFormat="1" ht="15.75" customHeight="1">
      <c r="A51" s="2" t="s">
        <v>121</v>
      </c>
      <c r="B51" s="26" t="s">
        <v>888</v>
      </c>
      <c r="C51" s="51" t="str">
        <f t="shared" si="1"/>
        <v xml:space="preserve"> - </v>
      </c>
      <c r="D51" s="51">
        <v>0</v>
      </c>
      <c r="E51" s="51">
        <v>0</v>
      </c>
      <c r="F51" s="51">
        <v>0</v>
      </c>
      <c r="G51" s="51">
        <v>0</v>
      </c>
      <c r="H51" s="51" t="e">
        <f t="shared" si="2"/>
        <v>#DIV/0!</v>
      </c>
      <c r="I51" s="51" t="e">
        <f t="shared" si="3"/>
        <v>#DIV/0!</v>
      </c>
      <c r="J51" s="51">
        <f t="shared" si="4"/>
        <v>0</v>
      </c>
      <c r="K51" s="51" t="e">
        <f t="shared" si="5"/>
        <v>#DIV/0!</v>
      </c>
      <c r="L51" s="51">
        <v>0</v>
      </c>
      <c r="M51" s="51" t="str">
        <f t="shared" si="6"/>
        <v>-</v>
      </c>
      <c r="N51" s="51">
        <v>36</v>
      </c>
      <c r="O51" s="51">
        <f t="shared" ref="O51:P51" si="13">D51/7</f>
        <v>0</v>
      </c>
      <c r="P51" s="51">
        <f t="shared" si="13"/>
        <v>0</v>
      </c>
      <c r="Q51" s="51" t="e">
        <f t="shared" si="8"/>
        <v>#DIV/0!</v>
      </c>
      <c r="R51" s="55">
        <f ca="1">IFERROR(__xludf.DUMMYFUNCTION("IFERROR(VLOOKUP($B$2,IMPORTRANGE(""https://docs.google.com/spreadsheets/d/1iVgg6Mw12RULLujzHmfOFIY8Q_KaAD8anoZzgtVAQ74/edit#gid=1503384807"",""Second Star - Summary!A1:AD2000""),9,FALSE),"""")"),0)</f>
        <v>0</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9"/>
        <v>0</v>
      </c>
      <c r="W51" s="55">
        <f t="shared" si="10"/>
        <v>0</v>
      </c>
      <c r="X51" s="55">
        <v>0</v>
      </c>
      <c r="Y51" s="55" t="s">
        <v>35</v>
      </c>
      <c r="Z51" s="56">
        <f t="shared" si="11"/>
        <v>-2.4</v>
      </c>
      <c r="AA51" s="55">
        <v>3.7854166666666661E-2</v>
      </c>
      <c r="AB51" s="55">
        <f t="shared" si="12"/>
        <v>0</v>
      </c>
      <c r="AC51" s="55">
        <v>-4.9000000000000004</v>
      </c>
      <c r="AD51" s="55">
        <v>-3.30505449494949</v>
      </c>
      <c r="AE51" s="55">
        <v>0</v>
      </c>
      <c r="AF51" s="55">
        <v>0.11111111111111099</v>
      </c>
    </row>
    <row r="52" spans="1:32" s="57" customFormat="1" ht="15.75" customHeight="1">
      <c r="A52" s="2" t="s">
        <v>123</v>
      </c>
      <c r="B52" s="2" t="s">
        <v>889</v>
      </c>
      <c r="C52" s="51">
        <f t="shared" si="1"/>
        <v>13.99</v>
      </c>
      <c r="D52" s="51">
        <v>2</v>
      </c>
      <c r="E52" s="51">
        <v>0</v>
      </c>
      <c r="F52" s="51">
        <v>27.98</v>
      </c>
      <c r="G52" s="51">
        <v>-11.690000000000001</v>
      </c>
      <c r="H52" s="51">
        <f t="shared" si="2"/>
        <v>0.4177984274481773</v>
      </c>
      <c r="I52" s="51">
        <f t="shared" si="3"/>
        <v>-0.17377444567187206</v>
      </c>
      <c r="J52" s="51">
        <f t="shared" si="4"/>
        <v>-4.8622089898989804</v>
      </c>
      <c r="K52" s="51">
        <f t="shared" si="5"/>
        <v>-2.4311044949494902</v>
      </c>
      <c r="L52" s="51">
        <v>8</v>
      </c>
      <c r="M52" s="51">
        <f t="shared" si="6"/>
        <v>0.25</v>
      </c>
      <c r="N52" s="51">
        <v>34</v>
      </c>
      <c r="O52" s="51">
        <f t="shared" ref="O52:P52" si="14">D52/7</f>
        <v>0.2857142857142857</v>
      </c>
      <c r="P52" s="51">
        <f t="shared" si="14"/>
        <v>0</v>
      </c>
      <c r="Q52" s="51">
        <f t="shared" si="8"/>
        <v>119</v>
      </c>
      <c r="R52" s="55">
        <f ca="1">IFERROR(__xludf.DUMMYFUNCTION("IFERROR(VLOOKUP($B$2,IMPORTRANGE(""https://docs.google.com/spreadsheets/d/1iVgg6Mw12RULLujzHmfOFIY8Q_KaAD8anoZzgtVAQ74/edit#gid=1503384807"",""Second Star - Summary!A1:AD2000""),9,FALSE),"""")"),0)</f>
        <v>0</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9"/>
        <v>0</v>
      </c>
      <c r="W52" s="55">
        <f t="shared" si="10"/>
        <v>0</v>
      </c>
      <c r="X52" s="55">
        <v>0</v>
      </c>
      <c r="Y52" s="55" t="s">
        <v>35</v>
      </c>
      <c r="Z52" s="56">
        <f t="shared" si="11"/>
        <v>-2.4</v>
      </c>
      <c r="AA52" s="55">
        <v>3.7854166666666661E-2</v>
      </c>
      <c r="AB52" s="55">
        <f t="shared" si="12"/>
        <v>-0.54509999999999992</v>
      </c>
      <c r="AC52" s="55">
        <v>-4.9000000000000004</v>
      </c>
      <c r="AD52" s="55">
        <v>-3.30505449494949</v>
      </c>
      <c r="AE52" s="55">
        <v>0</v>
      </c>
      <c r="AF52" s="55">
        <v>0.17142857142857101</v>
      </c>
    </row>
    <row r="53" spans="1:32" s="57" customFormat="1">
      <c r="A53" s="2" t="s">
        <v>38</v>
      </c>
      <c r="B53" s="2" t="s">
        <v>890</v>
      </c>
      <c r="C53" s="51">
        <f t="shared" si="1"/>
        <v>13.99</v>
      </c>
      <c r="D53" s="51">
        <v>1</v>
      </c>
      <c r="E53" s="51">
        <v>0</v>
      </c>
      <c r="F53" s="51">
        <v>13.99</v>
      </c>
      <c r="G53" s="51">
        <v>-4.5200000000000005</v>
      </c>
      <c r="H53" s="51">
        <f t="shared" si="2"/>
        <v>0.32308791994281633</v>
      </c>
      <c r="I53" s="51">
        <f t="shared" si="3"/>
        <v>-7.9063938166511111E-2</v>
      </c>
      <c r="J53" s="51">
        <f t="shared" si="4"/>
        <v>-1.1061044949494905</v>
      </c>
      <c r="K53" s="51">
        <f t="shared" si="5"/>
        <v>-1.1061044949494905</v>
      </c>
      <c r="L53" s="51">
        <v>6</v>
      </c>
      <c r="M53" s="51">
        <f t="shared" si="6"/>
        <v>0.16666666666666666</v>
      </c>
      <c r="N53" s="51">
        <v>27</v>
      </c>
      <c r="O53" s="51">
        <f t="shared" ref="O53:P53" si="15">D53/7</f>
        <v>0.14285714285714285</v>
      </c>
      <c r="P53" s="51">
        <f t="shared" si="15"/>
        <v>0</v>
      </c>
      <c r="Q53" s="51">
        <f t="shared" si="8"/>
        <v>189</v>
      </c>
      <c r="R53" s="55">
        <f ca="1">IFERROR(__xludf.DUMMYFUNCTION("IFERROR(VLOOKUP($B$2,IMPORTRANGE(""https://docs.google.com/spreadsheets/d/1iVgg6Mw12RULLujzHmfOFIY8Q_KaAD8anoZzgtVAQ74/edit#gid=1503384807"",""Second Star - Summary!A1:AD2000""),9,FALSE),"""")"),0)</f>
        <v>0</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1</v>
      </c>
      <c r="V53" s="55">
        <f t="shared" si="9"/>
        <v>1</v>
      </c>
      <c r="W53" s="55">
        <f t="shared" si="10"/>
        <v>4.5200000000000005</v>
      </c>
      <c r="X53" s="55">
        <v>0</v>
      </c>
      <c r="Y53" s="55" t="s">
        <v>35</v>
      </c>
      <c r="Z53" s="56">
        <f t="shared" si="11"/>
        <v>-2.4</v>
      </c>
      <c r="AA53" s="55">
        <v>3.7854166666666661E-2</v>
      </c>
      <c r="AB53" s="55">
        <f t="shared" si="12"/>
        <v>-0.27254999999999996</v>
      </c>
      <c r="AC53" s="55">
        <v>-4.9000000000000004</v>
      </c>
      <c r="AD53" s="55">
        <v>-3.30505449494949</v>
      </c>
      <c r="AE53" s="55">
        <v>0</v>
      </c>
      <c r="AF53" s="55">
        <v>0.108108108108108</v>
      </c>
    </row>
    <row r="54" spans="1:32" s="57" customFormat="1">
      <c r="A54" s="2" t="s">
        <v>40</v>
      </c>
      <c r="B54" s="2"/>
      <c r="C54" s="51" t="str">
        <f t="shared" si="1"/>
        <v xml:space="preserve"> - </v>
      </c>
      <c r="D54" s="51">
        <v>0</v>
      </c>
      <c r="E54" s="51">
        <v>0</v>
      </c>
      <c r="F54" s="51">
        <v>0</v>
      </c>
      <c r="G54" s="51">
        <v>-3.06</v>
      </c>
      <c r="H54" s="51" t="e">
        <f t="shared" si="2"/>
        <v>#DIV/0!</v>
      </c>
      <c r="I54" s="51" t="e">
        <f t="shared" si="3"/>
        <v>#DIV/0!</v>
      </c>
      <c r="J54" s="51">
        <f t="shared" si="4"/>
        <v>-3.06</v>
      </c>
      <c r="K54" s="51" t="e">
        <f t="shared" si="5"/>
        <v>#DIV/0!</v>
      </c>
      <c r="L54" s="51">
        <v>0</v>
      </c>
      <c r="M54" s="51" t="str">
        <f t="shared" si="6"/>
        <v>-</v>
      </c>
      <c r="N54" s="51">
        <v>31</v>
      </c>
      <c r="O54" s="51">
        <f t="shared" ref="O54:P54" si="16">D54/7</f>
        <v>0</v>
      </c>
      <c r="P54" s="51">
        <f t="shared" si="16"/>
        <v>0</v>
      </c>
      <c r="Q54" s="51" t="e">
        <f t="shared" si="8"/>
        <v>#DIV/0!</v>
      </c>
      <c r="R54" s="55">
        <f ca="1">IFERROR(__xludf.DUMMYFUNCTION("IFERROR(VLOOKUP($B$2,IMPORTRANGE(""https://docs.google.com/spreadsheets/d/1iVgg6Mw12RULLujzHmfOFIY8Q_KaAD8anoZzgtVAQ74/edit#gid=1503384807"",""Second Star - Summary!A1:AD2000""),9,FALSE),"""")"),0)</f>
        <v>0</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9"/>
        <v>0</v>
      </c>
      <c r="W54" s="55">
        <f t="shared" si="10"/>
        <v>0</v>
      </c>
      <c r="X54" s="55">
        <v>0</v>
      </c>
      <c r="Y54" s="55" t="s">
        <v>35</v>
      </c>
      <c r="Z54" s="56">
        <f t="shared" si="11"/>
        <v>-2.4</v>
      </c>
      <c r="AA54" s="55">
        <v>3.7854166666666661E-2</v>
      </c>
      <c r="AB54" s="55">
        <f t="shared" si="12"/>
        <v>0</v>
      </c>
      <c r="AC54" s="55">
        <v>-4.9000000000000004</v>
      </c>
      <c r="AD54" s="55">
        <v>-3.30505449494949</v>
      </c>
      <c r="AE54" s="55">
        <v>0</v>
      </c>
      <c r="AF54" s="55">
        <v>0.217391304347826</v>
      </c>
    </row>
    <row r="55" spans="1:32" s="57" customFormat="1" ht="15.75" customHeight="1">
      <c r="A55" s="2" t="s">
        <v>32</v>
      </c>
      <c r="B55" s="2" t="s">
        <v>891</v>
      </c>
      <c r="C55" s="51">
        <f t="shared" si="1"/>
        <v>13.99</v>
      </c>
      <c r="D55" s="51">
        <v>2</v>
      </c>
      <c r="E55" s="51">
        <v>0</v>
      </c>
      <c r="F55" s="51">
        <v>27.98</v>
      </c>
      <c r="G55" s="51">
        <v>-5.2799999999999994</v>
      </c>
      <c r="H55" s="51">
        <f t="shared" si="2"/>
        <v>0.18870621872766258</v>
      </c>
      <c r="I55" s="51">
        <f t="shared" si="3"/>
        <v>5.5317763048642617E-2</v>
      </c>
      <c r="J55" s="51">
        <f t="shared" si="4"/>
        <v>1.5477910101010204</v>
      </c>
      <c r="K55" s="51">
        <f t="shared" si="5"/>
        <v>0.77389550505051019</v>
      </c>
      <c r="L55" s="51">
        <v>9</v>
      </c>
      <c r="M55" s="51">
        <f t="shared" si="6"/>
        <v>0.22222222222222221</v>
      </c>
      <c r="N55" s="51">
        <v>24</v>
      </c>
      <c r="O55" s="51">
        <f t="shared" ref="O55:P55" si="17">D55/7</f>
        <v>0.2857142857142857</v>
      </c>
      <c r="P55" s="51">
        <f t="shared" si="17"/>
        <v>0</v>
      </c>
      <c r="Q55" s="51">
        <f t="shared" si="8"/>
        <v>84</v>
      </c>
      <c r="R55" s="55">
        <v>0</v>
      </c>
      <c r="S55" s="53" t="s">
        <v>34</v>
      </c>
      <c r="T55" s="54" t="s">
        <v>34</v>
      </c>
      <c r="U55" s="55">
        <v>0</v>
      </c>
      <c r="V55" s="55">
        <f t="shared" si="9"/>
        <v>0</v>
      </c>
      <c r="W55" s="55">
        <f t="shared" si="10"/>
        <v>0</v>
      </c>
      <c r="X55" s="55">
        <v>0</v>
      </c>
      <c r="Y55" s="55" t="s">
        <v>35</v>
      </c>
      <c r="Z55" s="56">
        <f t="shared" si="11"/>
        <v>-2.4</v>
      </c>
      <c r="AA55" s="55">
        <v>3.7854166666666661E-2</v>
      </c>
      <c r="AB55" s="55">
        <f t="shared" si="12"/>
        <v>-0.54509999999999992</v>
      </c>
      <c r="AC55" s="55">
        <v>-4.9000000000000004</v>
      </c>
      <c r="AD55" s="55">
        <v>-3.30505449494949</v>
      </c>
      <c r="AE55" s="55">
        <v>0</v>
      </c>
      <c r="AF55" s="55">
        <v>0.25</v>
      </c>
    </row>
    <row r="56" spans="1:32" s="57" customFormat="1" ht="15.75" customHeight="1">
      <c r="A56" s="2" t="s">
        <v>36</v>
      </c>
      <c r="B56" s="2"/>
      <c r="C56" s="51">
        <f t="shared" si="1"/>
        <v>13.99</v>
      </c>
      <c r="D56" s="51">
        <v>1</v>
      </c>
      <c r="E56" s="51">
        <v>0</v>
      </c>
      <c r="F56" s="51">
        <v>13.99</v>
      </c>
      <c r="G56" s="51">
        <v>-1.1000000000000001</v>
      </c>
      <c r="H56" s="51">
        <f t="shared" si="2"/>
        <v>7.8627591136526093E-2</v>
      </c>
      <c r="I56" s="51">
        <f t="shared" si="3"/>
        <v>0.16539639063977921</v>
      </c>
      <c r="J56" s="51">
        <f t="shared" si="4"/>
        <v>2.3138955050505112</v>
      </c>
      <c r="K56" s="51">
        <f t="shared" si="5"/>
        <v>2.3138955050505112</v>
      </c>
      <c r="L56" s="51">
        <v>3</v>
      </c>
      <c r="M56" s="51">
        <f t="shared" si="6"/>
        <v>0.33333333333333331</v>
      </c>
      <c r="N56" s="51">
        <v>27</v>
      </c>
      <c r="O56" s="51">
        <f t="shared" ref="O56:P56" si="18">D56/7</f>
        <v>0.14285714285714285</v>
      </c>
      <c r="P56" s="51">
        <f t="shared" si="18"/>
        <v>0</v>
      </c>
      <c r="Q56" s="51">
        <f t="shared" si="8"/>
        <v>189</v>
      </c>
      <c r="R56" s="55">
        <f ca="1">IFERROR(__xludf.DUMMYFUNCTION("IFERROR(VLOOKUP($B$2,IMPORTRANGE(""https://docs.google.com/spreadsheets/d/1iVgg6Mw12RULLujzHmfOFIY8Q_KaAD8anoZzgtVAQ74/edit#gid=1503384807"",""Second Star - Summary!A1:AD2000""),9,FALSE),"""")"),0)</f>
        <v>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9"/>
        <v>0</v>
      </c>
      <c r="W56" s="55">
        <f t="shared" si="10"/>
        <v>0</v>
      </c>
      <c r="X56" s="55">
        <v>0</v>
      </c>
      <c r="Y56" s="55" t="s">
        <v>35</v>
      </c>
      <c r="Z56" s="56">
        <f t="shared" si="11"/>
        <v>-2.4</v>
      </c>
      <c r="AA56" s="55">
        <v>3.7854166666666661E-2</v>
      </c>
      <c r="AB56" s="55">
        <f t="shared" si="12"/>
        <v>-0.27254999999999996</v>
      </c>
      <c r="AC56" s="55">
        <v>-4.9000000000000004</v>
      </c>
      <c r="AD56" s="55">
        <v>-3.30505449494949</v>
      </c>
      <c r="AE56" s="55">
        <v>0</v>
      </c>
      <c r="AF56" s="55">
        <v>0.25263157894736799</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3"/>
    </row>
    <row r="222" spans="1:3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3"/>
    </row>
    <row r="223" spans="1:32"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3"/>
    </row>
    <row r="224" spans="1:32"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3"/>
    </row>
    <row r="225" spans="1:32"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3"/>
    </row>
    <row r="226" spans="1:32"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3"/>
    </row>
    <row r="227" spans="1:32"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3"/>
    </row>
    <row r="228" spans="1:32"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3"/>
    </row>
    <row r="229" spans="1:32"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3"/>
    </row>
    <row r="230" spans="1:32"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3"/>
    </row>
    <row r="231" spans="1:32"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3"/>
    </row>
    <row r="232" spans="1: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3"/>
    </row>
    <row r="233" spans="1:32"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3"/>
    </row>
    <row r="234" spans="1:32"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3"/>
    </row>
    <row r="235" spans="1:32"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3"/>
    </row>
    <row r="236" spans="1:32"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3"/>
    </row>
    <row r="237" spans="1:32"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3"/>
    </row>
    <row r="238" spans="1:32"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3"/>
    </row>
    <row r="239" spans="1:32"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row r="253" spans="1:32" ht="15.75" customHeight="1"/>
    <row r="254" spans="1:32" ht="15.75" customHeight="1"/>
    <row r="255" spans="1:32" ht="15.75" customHeight="1"/>
    <row r="256" spans="1:3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263" priority="1" operator="lessThan">
      <formula>100</formula>
    </cfRule>
  </conditionalFormatting>
  <conditionalFormatting sqref="Q1:Q3 Q57:Q1000">
    <cfRule type="cellIs" dxfId="262" priority="2" operator="lessThan">
      <formula>100</formula>
    </cfRule>
  </conditionalFormatting>
  <conditionalFormatting sqref="I1:I3 I57:I1000">
    <cfRule type="cellIs" dxfId="261" priority="3" operator="lessThan">
      <formula>0.05</formula>
    </cfRule>
  </conditionalFormatting>
  <conditionalFormatting sqref="I4:I17">
    <cfRule type="cellIs" dxfId="260" priority="4" operator="lessThan">
      <formula>0.05</formula>
    </cfRule>
  </conditionalFormatting>
  <conditionalFormatting sqref="I18:I56">
    <cfRule type="cellIs" dxfId="259" priority="5" operator="lessThan">
      <formula>0.05</formula>
    </cfRule>
  </conditionalFormatting>
  <conditionalFormatting sqref="Q4:Q56">
    <cfRule type="cellIs" dxfId="258" priority="6" operator="lessThan">
      <formula>100</formula>
    </cfRule>
  </conditionalFormatting>
  <conditionalFormatting sqref="Q4:Q56">
    <cfRule type="cellIs" dxfId="257" priority="7" operator="lessThan">
      <formula>100</formula>
    </cfRule>
  </conditionalFormatting>
  <pageMargins left="0.7" right="0.7" top="0.75" bottom="0.75" header="0" footer="0"/>
  <pageSetup orientation="portrait"/>
  <legacy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8.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Info!B1:BJ5000""),4,FALSE),"""")"),"HD Vinyl Mattress Protector -9"" - Twin (Fitted)")</f>
        <v>HD Vinyl Mattress Protector -9" - Twin (Fitted)</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Info!B1:BJ5000""),3,FALSE),"""")"),"B08GG7RSW7")</f>
        <v>B08GG7RSW7</v>
      </c>
      <c r="B2" s="29" t="s">
        <v>892</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
        <v>893</v>
      </c>
      <c r="C3" s="7">
        <f>((AC56+AD56/0.85)*-1)</f>
        <v>10.140649079025541</v>
      </c>
      <c r="D3" s="8">
        <f>SUM(D4:D99819)</f>
        <v>3</v>
      </c>
      <c r="E3" s="8"/>
      <c r="F3" s="9">
        <f t="shared" ref="F3:G3" si="0">SUM(F4:F99819)</f>
        <v>47.93</v>
      </c>
      <c r="G3" s="9">
        <f t="shared" si="0"/>
        <v>-54.709999999999994</v>
      </c>
      <c r="H3" s="10">
        <f>G3/F3*-1</f>
        <v>1.1414562904235341</v>
      </c>
      <c r="I3" s="11" t="e">
        <f>J3/F3</f>
        <v>#VALUE!</v>
      </c>
      <c r="J3" s="9" t="e">
        <f>SUM(J4:J99819)</f>
        <v>#VALUE!</v>
      </c>
      <c r="K3" s="9" t="e">
        <f>J3/D3</f>
        <v>#VALUE!</v>
      </c>
      <c r="L3" s="8"/>
      <c r="M3" s="12"/>
      <c r="N3" s="13"/>
      <c r="O3" s="8" t="str">
        <f ca="1">IFERROR(__xludf.DUMMYFUNCTION("IFERROR(VLOOKUP(B2,IMPORTRANGE(""https://docs.google.com/spreadsheets/d/1owCo6kL_VFQ5nPTdNogErmCBLjNiktT1m3SzTrxu3R0/edit#gid=2146806407"",""Second Star - Compiled!b1:g5000""),2,FALSE),"""")"),"0 - March
0 - April
0 - May
0 - Jun
0 - Jul
0 - Aug
0 - Sept
0 - Oct
0 - Nov
0 - Dec
0 - Jan
0 - Feb")</f>
        <v>0 - March
0 - April
0 - May
0 - Jun
0 - Jul
0 - Aug
0 - Sept
0 - Oct
0 - Nov
0 - Dec
0 - Jan
0 - Feb</v>
      </c>
      <c r="P3" s="8"/>
      <c r="Q3" s="14"/>
      <c r="R3" s="13"/>
      <c r="S3" s="13"/>
      <c r="T3" s="13"/>
      <c r="U3" s="8">
        <f>SUM(U4:U99819)</f>
        <v>0</v>
      </c>
      <c r="V3" s="10">
        <f>AVERAGE(V4:V99819)</f>
        <v>0</v>
      </c>
      <c r="W3" s="9">
        <f>ROUND(AVERAGE(W4:W99819),2)</f>
        <v>2.0499999999999998</v>
      </c>
      <c r="X3" s="8"/>
      <c r="Y3" s="8"/>
      <c r="Z3" s="8"/>
      <c r="AA3" s="8"/>
      <c r="AB3" s="8"/>
      <c r="AC3" s="15"/>
      <c r="AD3" s="9"/>
      <c r="AE3" s="9">
        <f>SUM(AE4:AE99819)</f>
        <v>0</v>
      </c>
      <c r="AF3" s="16"/>
    </row>
    <row r="4" spans="1:32" s="57" customFormat="1" hidden="1">
      <c r="A4" s="17" t="s">
        <v>48</v>
      </c>
      <c r="B4" s="2"/>
      <c r="C4" s="50"/>
      <c r="D4" s="51"/>
      <c r="E4" s="51"/>
      <c r="F4" s="51"/>
      <c r="G4" s="51"/>
      <c r="H4" s="51"/>
      <c r="I4" s="51"/>
      <c r="J4" s="51"/>
      <c r="K4" s="51"/>
      <c r="L4" s="51"/>
      <c r="M4" s="51"/>
      <c r="N4" s="51"/>
      <c r="O4" s="51"/>
      <c r="P4" s="51"/>
      <c r="Q4" s="51"/>
      <c r="R4" s="52"/>
      <c r="S4" s="53"/>
      <c r="T4" s="54"/>
      <c r="U4" s="52"/>
      <c r="V4" s="55"/>
      <c r="W4" s="55"/>
      <c r="X4" s="52"/>
      <c r="Y4" s="56"/>
      <c r="Z4" s="56"/>
      <c r="AA4" s="55"/>
      <c r="AB4" s="55"/>
      <c r="AC4" s="55"/>
      <c r="AD4" s="55"/>
      <c r="AE4" s="55"/>
      <c r="AF4" s="55"/>
    </row>
    <row r="5" spans="1:32" s="57" customFormat="1" ht="15.75" hidden="1" customHeight="1">
      <c r="A5" s="2" t="s">
        <v>49</v>
      </c>
      <c r="B5" s="2"/>
      <c r="C5" s="51"/>
      <c r="D5" s="51"/>
      <c r="E5" s="51"/>
      <c r="F5" s="51"/>
      <c r="G5" s="51"/>
      <c r="H5" s="51"/>
      <c r="I5" s="51"/>
      <c r="J5" s="51"/>
      <c r="K5" s="51"/>
      <c r="L5" s="51"/>
      <c r="M5" s="51"/>
      <c r="N5" s="51"/>
      <c r="O5" s="51"/>
      <c r="P5" s="51"/>
      <c r="Q5" s="51"/>
      <c r="R5" s="55"/>
      <c r="S5" s="53"/>
      <c r="T5" s="54"/>
      <c r="U5" s="55"/>
      <c r="V5" s="55"/>
      <c r="W5" s="55"/>
      <c r="X5" s="55"/>
      <c r="Y5" s="55"/>
      <c r="Z5" s="56"/>
      <c r="AA5" s="55"/>
      <c r="AB5" s="55"/>
      <c r="AC5" s="55"/>
      <c r="AD5" s="55"/>
      <c r="AE5" s="55"/>
      <c r="AF5" s="55"/>
    </row>
    <row r="6" spans="1:32" s="57" customFormat="1" ht="15.75" hidden="1" customHeight="1">
      <c r="A6" s="2" t="s">
        <v>51</v>
      </c>
      <c r="B6" s="2"/>
      <c r="C6" s="51"/>
      <c r="D6" s="51"/>
      <c r="E6" s="51"/>
      <c r="F6" s="51"/>
      <c r="G6" s="51"/>
      <c r="H6" s="51"/>
      <c r="I6" s="51"/>
      <c r="J6" s="51"/>
      <c r="K6" s="51"/>
      <c r="L6" s="51"/>
      <c r="M6" s="51"/>
      <c r="N6" s="51"/>
      <c r="O6" s="51"/>
      <c r="P6" s="51"/>
      <c r="Q6" s="51"/>
      <c r="R6" s="55"/>
      <c r="S6" s="53"/>
      <c r="T6" s="54"/>
      <c r="U6" s="55"/>
      <c r="V6" s="55"/>
      <c r="W6" s="55"/>
      <c r="X6" s="55"/>
      <c r="Y6" s="55"/>
      <c r="Z6" s="56"/>
      <c r="AA6" s="55"/>
      <c r="AB6" s="55"/>
      <c r="AC6" s="55"/>
      <c r="AD6" s="55"/>
      <c r="AE6" s="55"/>
      <c r="AF6" s="55"/>
    </row>
    <row r="7" spans="1:32" s="57" customFormat="1" ht="15.75" hidden="1" customHeight="1">
      <c r="A7" s="2" t="s">
        <v>53</v>
      </c>
      <c r="B7" s="4"/>
      <c r="C7" s="51"/>
      <c r="D7" s="51"/>
      <c r="E7" s="51"/>
      <c r="F7" s="51"/>
      <c r="G7" s="51"/>
      <c r="H7" s="51"/>
      <c r="I7" s="51"/>
      <c r="J7" s="51"/>
      <c r="K7" s="51"/>
      <c r="L7" s="51"/>
      <c r="M7" s="51"/>
      <c r="N7" s="51"/>
      <c r="O7" s="51"/>
      <c r="P7" s="51"/>
      <c r="Q7" s="51"/>
      <c r="R7" s="55"/>
      <c r="S7" s="53"/>
      <c r="T7" s="54"/>
      <c r="U7" s="55"/>
      <c r="V7" s="55"/>
      <c r="W7" s="55"/>
      <c r="X7" s="55"/>
      <c r="Y7" s="55"/>
      <c r="Z7" s="56"/>
      <c r="AA7" s="55"/>
      <c r="AB7" s="55"/>
      <c r="AC7" s="55"/>
      <c r="AD7" s="55"/>
      <c r="AE7" s="55"/>
      <c r="AF7" s="55"/>
    </row>
    <row r="8" spans="1:32" s="57" customFormat="1" ht="15.75" hidden="1" customHeight="1">
      <c r="A8" s="2" t="s">
        <v>54</v>
      </c>
      <c r="B8" s="2"/>
      <c r="C8" s="51"/>
      <c r="D8" s="51"/>
      <c r="E8" s="51"/>
      <c r="F8" s="51"/>
      <c r="G8" s="51"/>
      <c r="H8" s="51"/>
      <c r="I8" s="51"/>
      <c r="J8" s="51"/>
      <c r="K8" s="51"/>
      <c r="L8" s="51"/>
      <c r="M8" s="51"/>
      <c r="N8" s="51"/>
      <c r="O8" s="51"/>
      <c r="P8" s="51"/>
      <c r="Q8" s="51"/>
      <c r="R8" s="55"/>
      <c r="S8" s="53"/>
      <c r="T8" s="54"/>
      <c r="U8" s="55"/>
      <c r="V8" s="55"/>
      <c r="W8" s="55"/>
      <c r="X8" s="55"/>
      <c r="Y8" s="55"/>
      <c r="Z8" s="56"/>
      <c r="AA8" s="55"/>
      <c r="AB8" s="55"/>
      <c r="AC8" s="55"/>
      <c r="AD8" s="55"/>
      <c r="AE8" s="55"/>
      <c r="AF8" s="55"/>
    </row>
    <row r="9" spans="1:32" s="57" customFormat="1" ht="15.75" hidden="1" customHeight="1">
      <c r="A9" s="2" t="s">
        <v>56</v>
      </c>
      <c r="B9" s="2"/>
      <c r="C9" s="51"/>
      <c r="D9" s="51"/>
      <c r="E9" s="51"/>
      <c r="F9" s="51"/>
      <c r="G9" s="51"/>
      <c r="H9" s="51"/>
      <c r="I9" s="51"/>
      <c r="J9" s="51"/>
      <c r="K9" s="51"/>
      <c r="L9" s="51"/>
      <c r="M9" s="51"/>
      <c r="N9" s="51"/>
      <c r="O9" s="51"/>
      <c r="P9" s="51"/>
      <c r="Q9" s="51"/>
      <c r="R9" s="55"/>
      <c r="S9" s="53"/>
      <c r="T9" s="54"/>
      <c r="U9" s="55"/>
      <c r="V9" s="55"/>
      <c r="W9" s="55"/>
      <c r="X9" s="55"/>
      <c r="Y9" s="55"/>
      <c r="Z9" s="56"/>
      <c r="AA9" s="55"/>
      <c r="AB9" s="55"/>
      <c r="AC9" s="55"/>
      <c r="AD9" s="55"/>
      <c r="AE9" s="55"/>
      <c r="AF9" s="55"/>
    </row>
    <row r="10" spans="1:32" s="57" customFormat="1" ht="15.75" hidden="1" customHeight="1">
      <c r="A10" s="2" t="s">
        <v>58</v>
      </c>
      <c r="B10" s="2"/>
      <c r="C10" s="51"/>
      <c r="D10" s="51"/>
      <c r="E10" s="51"/>
      <c r="F10" s="51"/>
      <c r="G10" s="51"/>
      <c r="H10" s="51"/>
      <c r="I10" s="51"/>
      <c r="J10" s="51"/>
      <c r="K10" s="51"/>
      <c r="L10" s="51"/>
      <c r="M10" s="51"/>
      <c r="N10" s="51"/>
      <c r="O10" s="51"/>
      <c r="P10" s="51"/>
      <c r="Q10" s="51"/>
      <c r="R10" s="55"/>
      <c r="S10" s="53"/>
      <c r="T10" s="54"/>
      <c r="U10" s="55"/>
      <c r="V10" s="55"/>
      <c r="W10" s="55"/>
      <c r="X10" s="55"/>
      <c r="Y10" s="55"/>
      <c r="Z10" s="56"/>
      <c r="AA10" s="55"/>
      <c r="AB10" s="55"/>
      <c r="AC10" s="55"/>
      <c r="AD10" s="55"/>
      <c r="AE10" s="55"/>
      <c r="AF10" s="55"/>
    </row>
    <row r="11" spans="1:32" s="57" customFormat="1" ht="15.75" hidden="1" customHeight="1">
      <c r="A11" s="2" t="s">
        <v>60</v>
      </c>
      <c r="B11" s="2"/>
      <c r="C11" s="51"/>
      <c r="D11" s="51"/>
      <c r="E11" s="51"/>
      <c r="F11" s="51"/>
      <c r="G11" s="51"/>
      <c r="H11" s="51"/>
      <c r="I11" s="51"/>
      <c r="J11" s="51"/>
      <c r="K11" s="51"/>
      <c r="L11" s="51"/>
      <c r="M11" s="51"/>
      <c r="N11" s="51"/>
      <c r="O11" s="51"/>
      <c r="P11" s="51"/>
      <c r="Q11" s="51"/>
      <c r="R11" s="55"/>
      <c r="S11" s="53"/>
      <c r="T11" s="54"/>
      <c r="U11" s="55"/>
      <c r="V11" s="55"/>
      <c r="W11" s="55"/>
      <c r="X11" s="55"/>
      <c r="Y11" s="55"/>
      <c r="Z11" s="56"/>
      <c r="AA11" s="55"/>
      <c r="AB11" s="55"/>
      <c r="AC11" s="55"/>
      <c r="AD11" s="55"/>
      <c r="AE11" s="55"/>
      <c r="AF11" s="55"/>
    </row>
    <row r="12" spans="1:32" s="57" customFormat="1" ht="15.75" hidden="1" customHeight="1">
      <c r="A12" s="2" t="s">
        <v>62</v>
      </c>
      <c r="B12" s="2"/>
      <c r="C12" s="51"/>
      <c r="D12" s="51"/>
      <c r="E12" s="51"/>
      <c r="F12" s="51"/>
      <c r="G12" s="51"/>
      <c r="H12" s="51"/>
      <c r="I12" s="51"/>
      <c r="J12" s="51"/>
      <c r="K12" s="51"/>
      <c r="L12" s="51"/>
      <c r="M12" s="51"/>
      <c r="N12" s="51"/>
      <c r="O12" s="51"/>
      <c r="P12" s="51"/>
      <c r="Q12" s="51"/>
      <c r="R12" s="55"/>
      <c r="S12" s="53"/>
      <c r="T12" s="54"/>
      <c r="U12" s="55"/>
      <c r="V12" s="55"/>
      <c r="W12" s="55"/>
      <c r="X12" s="55"/>
      <c r="Y12" s="55"/>
      <c r="Z12" s="56"/>
      <c r="AA12" s="55"/>
      <c r="AB12" s="55"/>
      <c r="AC12" s="55"/>
      <c r="AD12" s="55"/>
      <c r="AE12" s="55"/>
      <c r="AF12" s="55"/>
    </row>
    <row r="13" spans="1:32" s="57" customFormat="1" ht="15.75" hidden="1" customHeight="1">
      <c r="A13" s="2" t="s">
        <v>63</v>
      </c>
      <c r="B13" s="2"/>
      <c r="C13" s="51"/>
      <c r="D13" s="51"/>
      <c r="E13" s="51"/>
      <c r="F13" s="51"/>
      <c r="G13" s="51"/>
      <c r="H13" s="51"/>
      <c r="I13" s="51"/>
      <c r="J13" s="51"/>
      <c r="K13" s="51"/>
      <c r="L13" s="51"/>
      <c r="M13" s="51"/>
      <c r="N13" s="51"/>
      <c r="O13" s="51"/>
      <c r="P13" s="51"/>
      <c r="Q13" s="51"/>
      <c r="R13" s="55"/>
      <c r="S13" s="53"/>
      <c r="T13" s="54"/>
      <c r="U13" s="55"/>
      <c r="V13" s="55"/>
      <c r="W13" s="55"/>
      <c r="X13" s="55"/>
      <c r="Y13" s="55"/>
      <c r="Z13" s="56"/>
      <c r="AA13" s="55"/>
      <c r="AB13" s="55"/>
      <c r="AC13" s="55"/>
      <c r="AD13" s="55"/>
      <c r="AE13" s="55"/>
      <c r="AF13" s="55"/>
    </row>
    <row r="14" spans="1:32" s="57" customFormat="1" ht="15.75" hidden="1" customHeight="1">
      <c r="A14" s="2" t="s">
        <v>64</v>
      </c>
      <c r="B14" s="2"/>
      <c r="C14" s="51"/>
      <c r="D14" s="51"/>
      <c r="E14" s="51"/>
      <c r="F14" s="51"/>
      <c r="G14" s="51"/>
      <c r="H14" s="51"/>
      <c r="I14" s="51"/>
      <c r="J14" s="51"/>
      <c r="K14" s="51"/>
      <c r="L14" s="51"/>
      <c r="M14" s="51"/>
      <c r="N14" s="51"/>
      <c r="O14" s="51"/>
      <c r="P14" s="51"/>
      <c r="Q14" s="51"/>
      <c r="R14" s="55"/>
      <c r="S14" s="53"/>
      <c r="T14" s="54"/>
      <c r="U14" s="55"/>
      <c r="V14" s="55"/>
      <c r="W14" s="55"/>
      <c r="X14" s="55"/>
      <c r="Y14" s="55"/>
      <c r="Z14" s="56"/>
      <c r="AA14" s="55"/>
      <c r="AB14" s="55"/>
      <c r="AC14" s="55"/>
      <c r="AD14" s="55"/>
      <c r="AE14" s="55"/>
      <c r="AF14" s="55"/>
    </row>
    <row r="15" spans="1:32" s="57" customFormat="1" ht="15.75" hidden="1" customHeight="1">
      <c r="A15" s="2" t="s">
        <v>65</v>
      </c>
      <c r="B15" s="2"/>
      <c r="C15" s="51"/>
      <c r="D15" s="51"/>
      <c r="E15" s="51"/>
      <c r="F15" s="51"/>
      <c r="G15" s="51"/>
      <c r="H15" s="51"/>
      <c r="I15" s="51"/>
      <c r="J15" s="51"/>
      <c r="K15" s="51"/>
      <c r="L15" s="51"/>
      <c r="M15" s="51"/>
      <c r="N15" s="51"/>
      <c r="O15" s="51"/>
      <c r="P15" s="51"/>
      <c r="Q15" s="51"/>
      <c r="R15" s="55"/>
      <c r="S15" s="53"/>
      <c r="T15" s="54"/>
      <c r="U15" s="55"/>
      <c r="V15" s="55"/>
      <c r="W15" s="55"/>
      <c r="X15" s="55"/>
      <c r="Y15" s="55"/>
      <c r="Z15" s="56"/>
      <c r="AA15" s="55"/>
      <c r="AB15" s="55"/>
      <c r="AC15" s="55"/>
      <c r="AD15" s="55"/>
      <c r="AE15" s="55"/>
      <c r="AF15" s="55"/>
    </row>
    <row r="16" spans="1:32" s="57" customFormat="1" ht="15.75" hidden="1" customHeight="1">
      <c r="A16" s="2" t="s">
        <v>66</v>
      </c>
      <c r="B16" s="2"/>
      <c r="C16" s="51"/>
      <c r="D16" s="51"/>
      <c r="E16" s="51"/>
      <c r="F16" s="51"/>
      <c r="G16" s="51"/>
      <c r="H16" s="51"/>
      <c r="I16" s="51"/>
      <c r="J16" s="51"/>
      <c r="K16" s="51"/>
      <c r="L16" s="51"/>
      <c r="M16" s="51"/>
      <c r="N16" s="51"/>
      <c r="O16" s="51"/>
      <c r="P16" s="51"/>
      <c r="Q16" s="51"/>
      <c r="R16" s="55"/>
      <c r="S16" s="53"/>
      <c r="T16" s="54"/>
      <c r="U16" s="55"/>
      <c r="V16" s="55"/>
      <c r="W16" s="55"/>
      <c r="X16" s="55"/>
      <c r="Y16" s="55"/>
      <c r="Z16" s="56"/>
      <c r="AA16" s="55"/>
      <c r="AB16" s="55"/>
      <c r="AC16" s="55"/>
      <c r="AD16" s="55"/>
      <c r="AE16" s="55"/>
      <c r="AF16" s="55"/>
    </row>
    <row r="17" spans="1:32" s="57" customFormat="1" ht="15.75" hidden="1" customHeight="1">
      <c r="A17" s="2" t="s">
        <v>67</v>
      </c>
      <c r="B17" s="2"/>
      <c r="C17" s="51"/>
      <c r="D17" s="51"/>
      <c r="E17" s="51"/>
      <c r="F17" s="51"/>
      <c r="G17" s="51"/>
      <c r="H17" s="51"/>
      <c r="I17" s="51"/>
      <c r="J17" s="51"/>
      <c r="K17" s="51"/>
      <c r="L17" s="51"/>
      <c r="M17" s="51"/>
      <c r="N17" s="51"/>
      <c r="O17" s="51"/>
      <c r="P17" s="51"/>
      <c r="Q17" s="51"/>
      <c r="R17" s="55"/>
      <c r="S17" s="53"/>
      <c r="T17" s="54"/>
      <c r="U17" s="55"/>
      <c r="V17" s="55"/>
      <c r="W17" s="55"/>
      <c r="X17" s="55"/>
      <c r="Y17" s="55"/>
      <c r="Z17" s="56"/>
      <c r="AA17" s="55"/>
      <c r="AB17" s="55"/>
      <c r="AC17" s="55"/>
      <c r="AD17" s="55"/>
      <c r="AE17" s="55"/>
      <c r="AF17" s="55"/>
    </row>
    <row r="18" spans="1:32" s="57" customFormat="1" ht="15.75" hidden="1" customHeight="1">
      <c r="A18" s="2" t="s">
        <v>69</v>
      </c>
      <c r="B18" s="2"/>
      <c r="C18" s="51"/>
      <c r="D18" s="51"/>
      <c r="E18" s="51"/>
      <c r="F18" s="51"/>
      <c r="G18" s="51"/>
      <c r="H18" s="51"/>
      <c r="I18" s="51"/>
      <c r="J18" s="51"/>
      <c r="K18" s="51"/>
      <c r="L18" s="51"/>
      <c r="M18" s="51"/>
      <c r="N18" s="51"/>
      <c r="O18" s="51"/>
      <c r="P18" s="51"/>
      <c r="Q18" s="51"/>
      <c r="R18" s="55"/>
      <c r="S18" s="53"/>
      <c r="T18" s="54"/>
      <c r="U18" s="55"/>
      <c r="V18" s="55"/>
      <c r="W18" s="55"/>
      <c r="X18" s="55"/>
      <c r="Y18" s="55"/>
      <c r="Z18" s="56"/>
      <c r="AA18" s="55"/>
      <c r="AB18" s="58"/>
      <c r="AC18" s="55"/>
      <c r="AD18" s="55"/>
      <c r="AE18" s="55"/>
      <c r="AF18" s="55"/>
    </row>
    <row r="19" spans="1:32" s="57" customFormat="1" ht="15.75" hidden="1" customHeight="1">
      <c r="A19" s="2" t="s">
        <v>71</v>
      </c>
      <c r="B19" s="2"/>
      <c r="C19" s="51"/>
      <c r="D19" s="51"/>
      <c r="E19" s="51"/>
      <c r="F19" s="51"/>
      <c r="G19" s="51"/>
      <c r="H19" s="51"/>
      <c r="I19" s="51"/>
      <c r="J19" s="51"/>
      <c r="K19" s="51"/>
      <c r="L19" s="51"/>
      <c r="M19" s="51"/>
      <c r="N19" s="51"/>
      <c r="O19" s="51"/>
      <c r="P19" s="51"/>
      <c r="Q19" s="51"/>
      <c r="R19" s="55"/>
      <c r="S19" s="53"/>
      <c r="T19" s="54"/>
      <c r="U19" s="55"/>
      <c r="V19" s="55"/>
      <c r="W19" s="55"/>
      <c r="X19" s="55"/>
      <c r="Y19" s="55"/>
      <c r="Z19" s="56"/>
      <c r="AA19" s="55"/>
      <c r="AB19" s="55"/>
      <c r="AC19" s="55"/>
      <c r="AD19" s="55"/>
      <c r="AE19" s="55"/>
      <c r="AF19" s="55"/>
    </row>
    <row r="20" spans="1:32" s="57" customFormat="1" ht="15.75" hidden="1" customHeight="1">
      <c r="A20" s="2" t="s">
        <v>73</v>
      </c>
      <c r="B20" s="2"/>
      <c r="C20" s="51"/>
      <c r="D20" s="51"/>
      <c r="E20" s="51"/>
      <c r="F20" s="51"/>
      <c r="G20" s="51"/>
      <c r="H20" s="51"/>
      <c r="I20" s="51"/>
      <c r="J20" s="51"/>
      <c r="K20" s="51"/>
      <c r="L20" s="51"/>
      <c r="M20" s="51"/>
      <c r="N20" s="51"/>
      <c r="O20" s="51"/>
      <c r="P20" s="51"/>
      <c r="Q20" s="51"/>
      <c r="R20" s="55"/>
      <c r="S20" s="53"/>
      <c r="T20" s="54"/>
      <c r="U20" s="55"/>
      <c r="V20" s="55"/>
      <c r="W20" s="55"/>
      <c r="X20" s="55"/>
      <c r="Y20" s="55"/>
      <c r="Z20" s="56"/>
      <c r="AA20" s="55"/>
      <c r="AB20" s="55"/>
      <c r="AC20" s="55"/>
      <c r="AD20" s="55"/>
      <c r="AE20" s="55"/>
      <c r="AF20" s="55"/>
    </row>
    <row r="21" spans="1:32" s="57" customFormat="1" ht="15.75" hidden="1" customHeight="1">
      <c r="A21" s="2" t="s">
        <v>75</v>
      </c>
      <c r="B21" s="2"/>
      <c r="C21" s="51"/>
      <c r="D21" s="51"/>
      <c r="E21" s="51"/>
      <c r="F21" s="51"/>
      <c r="G21" s="51"/>
      <c r="H21" s="51"/>
      <c r="I21" s="51"/>
      <c r="J21" s="51"/>
      <c r="K21" s="51"/>
      <c r="L21" s="51"/>
      <c r="M21" s="51"/>
      <c r="N21" s="51"/>
      <c r="O21" s="51"/>
      <c r="P21" s="51"/>
      <c r="Q21" s="51"/>
      <c r="R21" s="55"/>
      <c r="S21" s="53"/>
      <c r="T21" s="54"/>
      <c r="U21" s="55"/>
      <c r="V21" s="55"/>
      <c r="W21" s="55"/>
      <c r="X21" s="55"/>
      <c r="Y21" s="55"/>
      <c r="Z21" s="56"/>
      <c r="AA21" s="55"/>
      <c r="AB21" s="55"/>
      <c r="AC21" s="55"/>
      <c r="AD21" s="55"/>
      <c r="AE21" s="55"/>
      <c r="AF21" s="55"/>
    </row>
    <row r="22" spans="1:32" s="57" customFormat="1" ht="15.75" hidden="1" customHeight="1">
      <c r="A22" s="2" t="s">
        <v>77</v>
      </c>
      <c r="B22" s="2"/>
      <c r="C22" s="51"/>
      <c r="D22" s="51"/>
      <c r="E22" s="51"/>
      <c r="F22" s="51"/>
      <c r="G22" s="51"/>
      <c r="H22" s="51"/>
      <c r="I22" s="51"/>
      <c r="J22" s="51"/>
      <c r="K22" s="51"/>
      <c r="L22" s="51"/>
      <c r="M22" s="51"/>
      <c r="N22" s="51"/>
      <c r="O22" s="51"/>
      <c r="P22" s="51"/>
      <c r="Q22" s="51"/>
      <c r="R22" s="55"/>
      <c r="S22" s="53"/>
      <c r="T22" s="54"/>
      <c r="U22" s="55"/>
      <c r="V22" s="55"/>
      <c r="W22" s="55"/>
      <c r="X22" s="55"/>
      <c r="Y22" s="55"/>
      <c r="Z22" s="56"/>
      <c r="AA22" s="55"/>
      <c r="AB22" s="55"/>
      <c r="AC22" s="55"/>
      <c r="AD22" s="55"/>
      <c r="AE22" s="55"/>
      <c r="AF22" s="55"/>
    </row>
    <row r="23" spans="1:32" s="57" customFormat="1" ht="15.75" hidden="1" customHeight="1">
      <c r="A23" s="2" t="s">
        <v>79</v>
      </c>
      <c r="B23" s="2"/>
      <c r="C23" s="51"/>
      <c r="D23" s="51"/>
      <c r="E23" s="51"/>
      <c r="F23" s="51"/>
      <c r="G23" s="51"/>
      <c r="H23" s="51"/>
      <c r="I23" s="51"/>
      <c r="J23" s="51"/>
      <c r="K23" s="51"/>
      <c r="L23" s="51"/>
      <c r="M23" s="51"/>
      <c r="N23" s="51"/>
      <c r="O23" s="51"/>
      <c r="P23" s="51"/>
      <c r="Q23" s="51"/>
      <c r="R23" s="55"/>
      <c r="S23" s="53"/>
      <c r="T23" s="54"/>
      <c r="U23" s="55"/>
      <c r="V23" s="55"/>
      <c r="W23" s="55"/>
      <c r="X23" s="55"/>
      <c r="Y23" s="55"/>
      <c r="Z23" s="56"/>
      <c r="AA23" s="55"/>
      <c r="AB23" s="55"/>
      <c r="AC23" s="55"/>
      <c r="AD23" s="55"/>
      <c r="AE23" s="55"/>
      <c r="AF23" s="55"/>
    </row>
    <row r="24" spans="1:32" s="57" customFormat="1" ht="15.75" hidden="1" customHeight="1">
      <c r="A24" s="2" t="s">
        <v>80</v>
      </c>
      <c r="B24" s="2"/>
      <c r="C24" s="51"/>
      <c r="D24" s="51"/>
      <c r="E24" s="51"/>
      <c r="F24" s="51"/>
      <c r="G24" s="51"/>
      <c r="H24" s="51"/>
      <c r="I24" s="51"/>
      <c r="J24" s="51"/>
      <c r="K24" s="51"/>
      <c r="L24" s="51"/>
      <c r="M24" s="51"/>
      <c r="N24" s="51"/>
      <c r="O24" s="51"/>
      <c r="P24" s="51"/>
      <c r="Q24" s="51"/>
      <c r="R24" s="55"/>
      <c r="S24" s="53"/>
      <c r="T24" s="54"/>
      <c r="U24" s="55"/>
      <c r="V24" s="55"/>
      <c r="W24" s="55"/>
      <c r="X24" s="55"/>
      <c r="Y24" s="55"/>
      <c r="Z24" s="56"/>
      <c r="AA24" s="55"/>
      <c r="AB24" s="55"/>
      <c r="AC24" s="55"/>
      <c r="AD24" s="55"/>
      <c r="AE24" s="55"/>
      <c r="AF24" s="55"/>
    </row>
    <row r="25" spans="1:32" s="57" customFormat="1" ht="15.75" hidden="1" customHeight="1">
      <c r="A25" s="2" t="s">
        <v>81</v>
      </c>
      <c r="B25" s="2"/>
      <c r="C25" s="51"/>
      <c r="D25" s="51"/>
      <c r="E25" s="51"/>
      <c r="F25" s="51"/>
      <c r="G25" s="51"/>
      <c r="H25" s="51"/>
      <c r="I25" s="51"/>
      <c r="J25" s="51"/>
      <c r="K25" s="51"/>
      <c r="L25" s="51"/>
      <c r="M25" s="51"/>
      <c r="N25" s="51"/>
      <c r="O25" s="51"/>
      <c r="P25" s="51"/>
      <c r="Q25" s="51"/>
      <c r="R25" s="55"/>
      <c r="S25" s="53"/>
      <c r="T25" s="54"/>
      <c r="U25" s="55"/>
      <c r="V25" s="55"/>
      <c r="W25" s="55"/>
      <c r="X25" s="55"/>
      <c r="Y25" s="55"/>
      <c r="Z25" s="56"/>
      <c r="AA25" s="55"/>
      <c r="AB25" s="55"/>
      <c r="AC25" s="55"/>
      <c r="AD25" s="55"/>
      <c r="AE25" s="55"/>
      <c r="AF25" s="55"/>
    </row>
    <row r="26" spans="1:32" s="57" customFormat="1" ht="15.75" hidden="1" customHeight="1">
      <c r="A26" s="2" t="s">
        <v>83</v>
      </c>
      <c r="B26" s="2"/>
      <c r="C26" s="51"/>
      <c r="D26" s="51"/>
      <c r="E26" s="51"/>
      <c r="F26" s="51"/>
      <c r="G26" s="51"/>
      <c r="H26" s="51"/>
      <c r="I26" s="51"/>
      <c r="J26" s="51"/>
      <c r="K26" s="51"/>
      <c r="L26" s="51"/>
      <c r="M26" s="51"/>
      <c r="N26" s="51"/>
      <c r="O26" s="51"/>
      <c r="P26" s="51"/>
      <c r="Q26" s="51"/>
      <c r="R26" s="55"/>
      <c r="S26" s="53"/>
      <c r="T26" s="54"/>
      <c r="U26" s="55"/>
      <c r="V26" s="55"/>
      <c r="W26" s="55"/>
      <c r="X26" s="55"/>
      <c r="Y26" s="55"/>
      <c r="Z26" s="56"/>
      <c r="AA26" s="55"/>
      <c r="AB26" s="55"/>
      <c r="AC26" s="55"/>
      <c r="AD26" s="55"/>
      <c r="AE26" s="55"/>
      <c r="AF26" s="55"/>
    </row>
    <row r="27" spans="1:32" s="57" customFormat="1" ht="15.75" hidden="1" customHeight="1">
      <c r="A27" s="2" t="s">
        <v>84</v>
      </c>
      <c r="B27" s="2"/>
      <c r="C27" s="51"/>
      <c r="D27" s="51"/>
      <c r="E27" s="51"/>
      <c r="F27" s="51"/>
      <c r="G27" s="51"/>
      <c r="H27" s="51"/>
      <c r="I27" s="51"/>
      <c r="J27" s="51"/>
      <c r="K27" s="51"/>
      <c r="L27" s="51"/>
      <c r="M27" s="51"/>
      <c r="N27" s="51"/>
      <c r="O27" s="51"/>
      <c r="P27" s="51"/>
      <c r="Q27" s="51"/>
      <c r="R27" s="55"/>
      <c r="S27" s="53"/>
      <c r="T27" s="54"/>
      <c r="U27" s="55"/>
      <c r="V27" s="55"/>
      <c r="W27" s="55"/>
      <c r="X27" s="55"/>
      <c r="Y27" s="55"/>
      <c r="Z27" s="56"/>
      <c r="AA27" s="55"/>
      <c r="AB27" s="55"/>
      <c r="AC27" s="55"/>
      <c r="AD27" s="55"/>
      <c r="AE27" s="55"/>
      <c r="AF27" s="55"/>
    </row>
    <row r="28" spans="1:32" s="57" customFormat="1" ht="15.75" hidden="1" customHeight="1">
      <c r="A28" s="2" t="s">
        <v>86</v>
      </c>
      <c r="B28" s="2"/>
      <c r="C28" s="51"/>
      <c r="D28" s="51"/>
      <c r="E28" s="51"/>
      <c r="F28" s="51"/>
      <c r="G28" s="51"/>
      <c r="H28" s="51"/>
      <c r="I28" s="51"/>
      <c r="J28" s="51"/>
      <c r="K28" s="51"/>
      <c r="L28" s="51"/>
      <c r="M28" s="51"/>
      <c r="N28" s="51"/>
      <c r="O28" s="51"/>
      <c r="P28" s="51"/>
      <c r="Q28" s="51"/>
      <c r="R28" s="55"/>
      <c r="S28" s="53"/>
      <c r="T28" s="54"/>
      <c r="U28" s="55"/>
      <c r="V28" s="55"/>
      <c r="W28" s="55"/>
      <c r="X28" s="55"/>
      <c r="Y28" s="55"/>
      <c r="Z28" s="56"/>
      <c r="AA28" s="55"/>
      <c r="AB28" s="55"/>
      <c r="AC28" s="55"/>
      <c r="AD28" s="55"/>
      <c r="AE28" s="55"/>
      <c r="AF28" s="55"/>
    </row>
    <row r="29" spans="1:32" s="57" customFormat="1" ht="15.75" hidden="1" customHeight="1">
      <c r="A29" s="2" t="s">
        <v>87</v>
      </c>
      <c r="B29" s="2"/>
      <c r="C29" s="51"/>
      <c r="D29" s="51"/>
      <c r="E29" s="51"/>
      <c r="F29" s="51"/>
      <c r="G29" s="51"/>
      <c r="H29" s="51"/>
      <c r="I29" s="51"/>
      <c r="J29" s="51"/>
      <c r="K29" s="51"/>
      <c r="L29" s="51"/>
      <c r="M29" s="51"/>
      <c r="N29" s="51"/>
      <c r="O29" s="51"/>
      <c r="P29" s="51"/>
      <c r="Q29" s="51"/>
      <c r="R29" s="55"/>
      <c r="S29" s="53"/>
      <c r="T29" s="54"/>
      <c r="U29" s="55"/>
      <c r="V29" s="55"/>
      <c r="W29" s="55"/>
      <c r="X29" s="55"/>
      <c r="Y29" s="55"/>
      <c r="Z29" s="56"/>
      <c r="AA29" s="55"/>
      <c r="AB29" s="55"/>
      <c r="AC29" s="55"/>
      <c r="AD29" s="55"/>
      <c r="AE29" s="55"/>
      <c r="AF29" s="55"/>
    </row>
    <row r="30" spans="1:32" s="57" customFormat="1" ht="15.75" hidden="1" customHeight="1">
      <c r="A30" s="2" t="s">
        <v>89</v>
      </c>
      <c r="B30" s="2"/>
      <c r="C30" s="51"/>
      <c r="D30" s="51"/>
      <c r="E30" s="51"/>
      <c r="F30" s="51"/>
      <c r="G30" s="51"/>
      <c r="H30" s="51"/>
      <c r="I30" s="51"/>
      <c r="J30" s="51"/>
      <c r="K30" s="51"/>
      <c r="L30" s="51"/>
      <c r="M30" s="51"/>
      <c r="N30" s="51"/>
      <c r="O30" s="51"/>
      <c r="P30" s="51"/>
      <c r="Q30" s="51"/>
      <c r="R30" s="55"/>
      <c r="S30" s="53"/>
      <c r="T30" s="54"/>
      <c r="U30" s="55"/>
      <c r="V30" s="55"/>
      <c r="W30" s="55"/>
      <c r="X30" s="55"/>
      <c r="Y30" s="55"/>
      <c r="Z30" s="56"/>
      <c r="AA30" s="55"/>
      <c r="AB30" s="55"/>
      <c r="AC30" s="55"/>
      <c r="AD30" s="55"/>
      <c r="AE30" s="55"/>
      <c r="AF30" s="55"/>
    </row>
    <row r="31" spans="1:32" s="57" customFormat="1" ht="15.75" hidden="1" customHeight="1">
      <c r="A31" s="2" t="s">
        <v>90</v>
      </c>
      <c r="B31" s="2"/>
      <c r="C31" s="51"/>
      <c r="D31" s="51"/>
      <c r="E31" s="51"/>
      <c r="F31" s="51"/>
      <c r="G31" s="51"/>
      <c r="H31" s="51"/>
      <c r="I31" s="51"/>
      <c r="J31" s="51"/>
      <c r="K31" s="51"/>
      <c r="L31" s="51"/>
      <c r="M31" s="51"/>
      <c r="N31" s="51"/>
      <c r="O31" s="51"/>
      <c r="P31" s="51"/>
      <c r="Q31" s="51"/>
      <c r="R31" s="55"/>
      <c r="S31" s="53"/>
      <c r="T31" s="54"/>
      <c r="U31" s="55"/>
      <c r="V31" s="55"/>
      <c r="W31" s="55"/>
      <c r="X31" s="55"/>
      <c r="Y31" s="55"/>
      <c r="Z31" s="56"/>
      <c r="AA31" s="55"/>
      <c r="AB31" s="55"/>
      <c r="AC31" s="55"/>
      <c r="AD31" s="55"/>
      <c r="AE31" s="55"/>
      <c r="AF31" s="55"/>
    </row>
    <row r="32" spans="1:32" s="57" customFormat="1" ht="15.75" hidden="1" customHeight="1">
      <c r="A32" s="2" t="s">
        <v>92</v>
      </c>
      <c r="B32" s="2"/>
      <c r="C32" s="51"/>
      <c r="D32" s="51"/>
      <c r="E32" s="51"/>
      <c r="F32" s="51"/>
      <c r="G32" s="51"/>
      <c r="H32" s="51"/>
      <c r="I32" s="51"/>
      <c r="J32" s="51"/>
      <c r="K32" s="51"/>
      <c r="L32" s="51"/>
      <c r="M32" s="51"/>
      <c r="N32" s="51"/>
      <c r="O32" s="51"/>
      <c r="P32" s="51"/>
      <c r="Q32" s="51"/>
      <c r="R32" s="55"/>
      <c r="S32" s="53"/>
      <c r="T32" s="54"/>
      <c r="U32" s="55"/>
      <c r="V32" s="55"/>
      <c r="W32" s="55"/>
      <c r="X32" s="55"/>
      <c r="Y32" s="55"/>
      <c r="Z32" s="56"/>
      <c r="AA32" s="55"/>
      <c r="AB32" s="55"/>
      <c r="AC32" s="55"/>
      <c r="AD32" s="55"/>
      <c r="AE32" s="55"/>
      <c r="AF32" s="52"/>
    </row>
    <row r="33" spans="1:32" s="57" customFormat="1" ht="15.75" hidden="1" customHeight="1">
      <c r="A33" s="2" t="s">
        <v>94</v>
      </c>
      <c r="B33" s="2"/>
      <c r="C33" s="51"/>
      <c r="D33" s="51"/>
      <c r="E33" s="51"/>
      <c r="F33" s="51"/>
      <c r="G33" s="51"/>
      <c r="H33" s="51"/>
      <c r="I33" s="51"/>
      <c r="J33" s="51"/>
      <c r="K33" s="51"/>
      <c r="L33" s="51"/>
      <c r="M33" s="51"/>
      <c r="N33" s="51"/>
      <c r="O33" s="51"/>
      <c r="P33" s="51"/>
      <c r="Q33" s="51"/>
      <c r="R33" s="55"/>
      <c r="S33" s="53"/>
      <c r="T33" s="54"/>
      <c r="U33" s="55"/>
      <c r="V33" s="55"/>
      <c r="W33" s="55"/>
      <c r="X33" s="55"/>
      <c r="Y33" s="55"/>
      <c r="Z33" s="56"/>
      <c r="AA33" s="55"/>
      <c r="AB33" s="55"/>
      <c r="AC33" s="55"/>
      <c r="AD33" s="55"/>
      <c r="AE33" s="55"/>
      <c r="AF33" s="55"/>
    </row>
    <row r="34" spans="1:32" s="57" customFormat="1" ht="15.75" hidden="1" customHeight="1">
      <c r="A34" s="2" t="s">
        <v>95</v>
      </c>
      <c r="B34" s="2"/>
      <c r="C34" s="51"/>
      <c r="D34" s="51"/>
      <c r="E34" s="51"/>
      <c r="F34" s="51"/>
      <c r="G34" s="51"/>
      <c r="H34" s="51"/>
      <c r="I34" s="51"/>
      <c r="J34" s="51"/>
      <c r="K34" s="51"/>
      <c r="L34" s="51"/>
      <c r="M34" s="51"/>
      <c r="N34" s="51"/>
      <c r="O34" s="51"/>
      <c r="P34" s="51"/>
      <c r="Q34" s="51"/>
      <c r="R34" s="55"/>
      <c r="S34" s="53"/>
      <c r="T34" s="54"/>
      <c r="U34" s="55"/>
      <c r="V34" s="55"/>
      <c r="W34" s="55"/>
      <c r="X34" s="55"/>
      <c r="Y34" s="55"/>
      <c r="Z34" s="56"/>
      <c r="AA34" s="55"/>
      <c r="AB34" s="55"/>
      <c r="AC34" s="55"/>
      <c r="AD34" s="55"/>
      <c r="AE34" s="55"/>
      <c r="AF34" s="55"/>
    </row>
    <row r="35" spans="1:32" s="57" customFormat="1" ht="15.75" hidden="1" customHeight="1">
      <c r="A35" s="2" t="s">
        <v>96</v>
      </c>
      <c r="B35" s="2"/>
      <c r="C35" s="51"/>
      <c r="D35" s="51"/>
      <c r="E35" s="51"/>
      <c r="F35" s="51"/>
      <c r="G35" s="51"/>
      <c r="H35" s="51"/>
      <c r="I35" s="51"/>
      <c r="J35" s="51"/>
      <c r="K35" s="51"/>
      <c r="L35" s="51"/>
      <c r="M35" s="51"/>
      <c r="N35" s="51"/>
      <c r="O35" s="51"/>
      <c r="P35" s="51"/>
      <c r="Q35" s="51"/>
      <c r="R35" s="55"/>
      <c r="S35" s="53"/>
      <c r="T35" s="54"/>
      <c r="U35" s="55"/>
      <c r="V35" s="55"/>
      <c r="W35" s="55"/>
      <c r="X35" s="55"/>
      <c r="Y35" s="55"/>
      <c r="Z35" s="56"/>
      <c r="AA35" s="55"/>
      <c r="AB35" s="55"/>
      <c r="AC35" s="55"/>
      <c r="AD35" s="55"/>
      <c r="AE35" s="55"/>
      <c r="AF35" s="55"/>
    </row>
    <row r="36" spans="1:32" s="57" customFormat="1" ht="15.75" hidden="1" customHeight="1">
      <c r="A36" s="2" t="s">
        <v>98</v>
      </c>
      <c r="B36" s="2"/>
      <c r="C36" s="51"/>
      <c r="D36" s="51"/>
      <c r="E36" s="51"/>
      <c r="F36" s="51"/>
      <c r="G36" s="51"/>
      <c r="H36" s="51"/>
      <c r="I36" s="51"/>
      <c r="J36" s="51"/>
      <c r="K36" s="51"/>
      <c r="L36" s="51"/>
      <c r="M36" s="51"/>
      <c r="N36" s="51"/>
      <c r="O36" s="51"/>
      <c r="P36" s="51"/>
      <c r="Q36" s="51"/>
      <c r="R36" s="55"/>
      <c r="S36" s="53"/>
      <c r="T36" s="54"/>
      <c r="U36" s="55"/>
      <c r="V36" s="55"/>
      <c r="W36" s="55"/>
      <c r="X36" s="55"/>
      <c r="Y36" s="55"/>
      <c r="Z36" s="56"/>
      <c r="AA36" s="55"/>
      <c r="AB36" s="55"/>
      <c r="AC36" s="55"/>
      <c r="AD36" s="55"/>
      <c r="AE36" s="55"/>
      <c r="AF36" s="55"/>
    </row>
    <row r="37" spans="1:32" s="57" customFormat="1" ht="15.75" hidden="1" customHeight="1">
      <c r="A37" s="2" t="s">
        <v>99</v>
      </c>
      <c r="B37" s="2"/>
      <c r="C37" s="51"/>
      <c r="D37" s="51"/>
      <c r="E37" s="51"/>
      <c r="F37" s="51"/>
      <c r="G37" s="51"/>
      <c r="H37" s="51"/>
      <c r="I37" s="51"/>
      <c r="J37" s="51"/>
      <c r="K37" s="51"/>
      <c r="L37" s="51"/>
      <c r="M37" s="51"/>
      <c r="N37" s="51"/>
      <c r="O37" s="51"/>
      <c r="P37" s="51"/>
      <c r="Q37" s="51"/>
      <c r="R37" s="55"/>
      <c r="S37" s="53"/>
      <c r="T37" s="54"/>
      <c r="U37" s="55"/>
      <c r="V37" s="55"/>
      <c r="W37" s="55"/>
      <c r="X37" s="55"/>
      <c r="Y37" s="55"/>
      <c r="Z37" s="56"/>
      <c r="AA37" s="55"/>
      <c r="AB37" s="55"/>
      <c r="AC37" s="55"/>
      <c r="AD37" s="55"/>
      <c r="AE37" s="55"/>
      <c r="AF37" s="55"/>
    </row>
    <row r="38" spans="1:32" s="57" customFormat="1" ht="15.75" hidden="1" customHeight="1">
      <c r="A38" s="2" t="s">
        <v>100</v>
      </c>
      <c r="B38" s="2"/>
      <c r="C38" s="51"/>
      <c r="D38" s="51"/>
      <c r="E38" s="51"/>
      <c r="F38" s="51"/>
      <c r="G38" s="51"/>
      <c r="H38" s="51"/>
      <c r="I38" s="51"/>
      <c r="J38" s="51"/>
      <c r="K38" s="51"/>
      <c r="L38" s="51"/>
      <c r="M38" s="51"/>
      <c r="N38" s="51"/>
      <c r="O38" s="51"/>
      <c r="P38" s="51"/>
      <c r="Q38" s="51"/>
      <c r="R38" s="55"/>
      <c r="S38" s="53"/>
      <c r="T38" s="54"/>
      <c r="U38" s="55"/>
      <c r="V38" s="55"/>
      <c r="W38" s="55"/>
      <c r="X38" s="55"/>
      <c r="Y38" s="55"/>
      <c r="Z38" s="56"/>
      <c r="AA38" s="55"/>
      <c r="AB38" s="55"/>
      <c r="AC38" s="55"/>
      <c r="AD38" s="55"/>
      <c r="AE38" s="55"/>
      <c r="AF38" s="55"/>
    </row>
    <row r="39" spans="1:32" s="57" customFormat="1" ht="15.75" hidden="1" customHeight="1">
      <c r="A39" s="2" t="s">
        <v>101</v>
      </c>
      <c r="B39" s="2"/>
      <c r="C39" s="51"/>
      <c r="D39" s="51"/>
      <c r="E39" s="51"/>
      <c r="F39" s="51"/>
      <c r="G39" s="51"/>
      <c r="H39" s="51"/>
      <c r="I39" s="51"/>
      <c r="J39" s="51"/>
      <c r="K39" s="51"/>
      <c r="L39" s="51"/>
      <c r="M39" s="51"/>
      <c r="N39" s="51"/>
      <c r="O39" s="51"/>
      <c r="P39" s="51"/>
      <c r="Q39" s="51"/>
      <c r="R39" s="55"/>
      <c r="S39" s="53"/>
      <c r="T39" s="54"/>
      <c r="U39" s="55"/>
      <c r="V39" s="55"/>
      <c r="W39" s="55"/>
      <c r="X39" s="55"/>
      <c r="Y39" s="55"/>
      <c r="Z39" s="56"/>
      <c r="AA39" s="55"/>
      <c r="AB39" s="55"/>
      <c r="AC39" s="55"/>
      <c r="AD39" s="55"/>
      <c r="AE39" s="55"/>
      <c r="AF39" s="55"/>
    </row>
    <row r="40" spans="1:32" s="57" customFormat="1" ht="15.75" hidden="1" customHeight="1">
      <c r="A40" s="2" t="s">
        <v>102</v>
      </c>
      <c r="B40" s="2"/>
      <c r="C40" s="51"/>
      <c r="D40" s="51"/>
      <c r="E40" s="51"/>
      <c r="F40" s="51"/>
      <c r="G40" s="51"/>
      <c r="H40" s="51"/>
      <c r="I40" s="51"/>
      <c r="J40" s="51"/>
      <c r="K40" s="51"/>
      <c r="L40" s="51"/>
      <c r="M40" s="51"/>
      <c r="N40" s="51"/>
      <c r="O40" s="51"/>
      <c r="P40" s="51"/>
      <c r="Q40" s="51"/>
      <c r="R40" s="55"/>
      <c r="S40" s="53"/>
      <c r="T40" s="54"/>
      <c r="U40" s="55"/>
      <c r="V40" s="55"/>
      <c r="W40" s="55"/>
      <c r="X40" s="55"/>
      <c r="Y40" s="55"/>
      <c r="Z40" s="56"/>
      <c r="AA40" s="55"/>
      <c r="AB40" s="55"/>
      <c r="AC40" s="55"/>
      <c r="AD40" s="55"/>
      <c r="AE40" s="55"/>
      <c r="AF40" s="55"/>
    </row>
    <row r="41" spans="1:32" s="57" customFormat="1" ht="15.75" hidden="1" customHeight="1">
      <c r="A41" s="2" t="s">
        <v>105</v>
      </c>
      <c r="B41" s="2"/>
      <c r="C41" s="51"/>
      <c r="D41" s="51"/>
      <c r="E41" s="51"/>
      <c r="F41" s="51"/>
      <c r="G41" s="51"/>
      <c r="H41" s="51"/>
      <c r="I41" s="51"/>
      <c r="J41" s="51"/>
      <c r="K41" s="51"/>
      <c r="L41" s="51"/>
      <c r="M41" s="51"/>
      <c r="N41" s="51"/>
      <c r="O41" s="51"/>
      <c r="P41" s="51"/>
      <c r="Q41" s="51"/>
      <c r="R41" s="55"/>
      <c r="S41" s="53"/>
      <c r="T41" s="54"/>
      <c r="U41" s="55"/>
      <c r="V41" s="55"/>
      <c r="W41" s="55"/>
      <c r="X41" s="55"/>
      <c r="Y41" s="52"/>
      <c r="Z41" s="56"/>
      <c r="AA41" s="55"/>
      <c r="AB41" s="55"/>
      <c r="AC41" s="55"/>
      <c r="AD41" s="55"/>
      <c r="AE41" s="55"/>
      <c r="AF41" s="55"/>
    </row>
    <row r="42" spans="1:32" s="57" customFormat="1" ht="15.75" hidden="1" customHeight="1">
      <c r="A42" s="2" t="s">
        <v>106</v>
      </c>
      <c r="B42" s="2"/>
      <c r="C42" s="51"/>
      <c r="D42" s="51"/>
      <c r="E42" s="51"/>
      <c r="F42" s="51"/>
      <c r="G42" s="51"/>
      <c r="H42" s="51"/>
      <c r="I42" s="51"/>
      <c r="J42" s="51"/>
      <c r="K42" s="51"/>
      <c r="L42" s="51"/>
      <c r="M42" s="51"/>
      <c r="N42" s="51"/>
      <c r="O42" s="51"/>
      <c r="P42" s="51"/>
      <c r="Q42" s="51"/>
      <c r="R42" s="55"/>
      <c r="S42" s="53"/>
      <c r="T42" s="54"/>
      <c r="U42" s="55"/>
      <c r="V42" s="55"/>
      <c r="W42" s="55"/>
      <c r="X42" s="55"/>
      <c r="Y42" s="55"/>
      <c r="Z42" s="56"/>
      <c r="AA42" s="55"/>
      <c r="AB42" s="55"/>
      <c r="AC42" s="55"/>
      <c r="AD42" s="55"/>
      <c r="AE42" s="55"/>
      <c r="AF42" s="55"/>
    </row>
    <row r="43" spans="1:32" s="57" customFormat="1" ht="15.75" hidden="1" customHeight="1">
      <c r="A43" s="2" t="s">
        <v>107</v>
      </c>
      <c r="B43" s="2"/>
      <c r="C43" s="51"/>
      <c r="D43" s="51"/>
      <c r="E43" s="51"/>
      <c r="F43" s="51"/>
      <c r="G43" s="51"/>
      <c r="H43" s="51"/>
      <c r="I43" s="51"/>
      <c r="J43" s="51"/>
      <c r="K43" s="51"/>
      <c r="L43" s="51"/>
      <c r="M43" s="51"/>
      <c r="N43" s="51"/>
      <c r="O43" s="51"/>
      <c r="P43" s="51"/>
      <c r="Q43" s="51"/>
      <c r="R43" s="55"/>
      <c r="S43" s="53"/>
      <c r="T43" s="54"/>
      <c r="U43" s="55"/>
      <c r="V43" s="55"/>
      <c r="W43" s="55"/>
      <c r="X43" s="55"/>
      <c r="Y43" s="55"/>
      <c r="Z43" s="56"/>
      <c r="AA43" s="55"/>
      <c r="AB43" s="55"/>
      <c r="AC43" s="55"/>
      <c r="AD43" s="55"/>
      <c r="AE43" s="55"/>
      <c r="AF43" s="55"/>
    </row>
    <row r="44" spans="1:32" s="57" customFormat="1" ht="15.75" hidden="1" customHeight="1">
      <c r="A44" s="2" t="s">
        <v>108</v>
      </c>
      <c r="B44" s="2"/>
      <c r="C44" s="51"/>
      <c r="D44" s="51"/>
      <c r="E44" s="51"/>
      <c r="F44" s="51"/>
      <c r="G44" s="51"/>
      <c r="H44" s="51"/>
      <c r="I44" s="51"/>
      <c r="J44" s="51"/>
      <c r="K44" s="51"/>
      <c r="L44" s="51"/>
      <c r="M44" s="51"/>
      <c r="N44" s="51"/>
      <c r="O44" s="51"/>
      <c r="P44" s="51"/>
      <c r="Q44" s="51"/>
      <c r="R44" s="55"/>
      <c r="S44" s="53"/>
      <c r="T44" s="54"/>
      <c r="U44" s="55"/>
      <c r="V44" s="55"/>
      <c r="W44" s="55"/>
      <c r="X44" s="55"/>
      <c r="Y44" s="55"/>
      <c r="Z44" s="56"/>
      <c r="AA44" s="55"/>
      <c r="AB44" s="55"/>
      <c r="AC44" s="55"/>
      <c r="AD44" s="55"/>
      <c r="AE44" s="55"/>
      <c r="AF44" s="55"/>
    </row>
    <row r="45" spans="1:32" s="57" customFormat="1" ht="15.75" hidden="1" customHeight="1">
      <c r="A45" s="2" t="s">
        <v>109</v>
      </c>
      <c r="B45" s="2"/>
      <c r="C45" s="51"/>
      <c r="D45" s="51"/>
      <c r="E45" s="51"/>
      <c r="F45" s="51"/>
      <c r="G45" s="51"/>
      <c r="H45" s="51"/>
      <c r="I45" s="51"/>
      <c r="J45" s="51"/>
      <c r="K45" s="51"/>
      <c r="L45" s="51"/>
      <c r="M45" s="51"/>
      <c r="N45" s="51"/>
      <c r="O45" s="51"/>
      <c r="P45" s="51"/>
      <c r="Q45" s="51"/>
      <c r="R45" s="55"/>
      <c r="S45" s="53"/>
      <c r="T45" s="54"/>
      <c r="U45" s="55"/>
      <c r="V45" s="55"/>
      <c r="W45" s="55"/>
      <c r="X45" s="55"/>
      <c r="Y45" s="55"/>
      <c r="Z45" s="56"/>
      <c r="AA45" s="55"/>
      <c r="AB45" s="55"/>
      <c r="AC45" s="55"/>
      <c r="AD45" s="55"/>
      <c r="AE45" s="55"/>
      <c r="AF45" s="55"/>
    </row>
    <row r="46" spans="1:32" s="57" customFormat="1" ht="15.75" hidden="1" customHeight="1">
      <c r="A46" s="2" t="s">
        <v>111</v>
      </c>
      <c r="B46" s="2"/>
      <c r="C46" s="51"/>
      <c r="D46" s="51"/>
      <c r="E46" s="51"/>
      <c r="F46" s="51"/>
      <c r="G46" s="51"/>
      <c r="H46" s="51"/>
      <c r="I46" s="51"/>
      <c r="J46" s="51"/>
      <c r="K46" s="51"/>
      <c r="L46" s="51"/>
      <c r="M46" s="51"/>
      <c r="N46" s="51"/>
      <c r="O46" s="51"/>
      <c r="P46" s="51"/>
      <c r="Q46" s="51"/>
      <c r="R46" s="55"/>
      <c r="S46" s="53"/>
      <c r="T46" s="54"/>
      <c r="U46" s="55"/>
      <c r="V46" s="55"/>
      <c r="W46" s="55"/>
      <c r="X46" s="55"/>
      <c r="Y46" s="55"/>
      <c r="Z46" s="56"/>
      <c r="AA46" s="55"/>
      <c r="AB46" s="55"/>
      <c r="AC46" s="55"/>
      <c r="AD46" s="55"/>
      <c r="AE46" s="55"/>
      <c r="AF46" s="55"/>
    </row>
    <row r="47" spans="1:32" s="57" customFormat="1" ht="15.75" hidden="1" customHeight="1">
      <c r="A47" s="2"/>
      <c r="B47" s="2"/>
      <c r="C47" s="51"/>
      <c r="D47" s="51"/>
      <c r="E47" s="51"/>
      <c r="F47" s="51"/>
      <c r="G47" s="51"/>
      <c r="H47" s="51"/>
      <c r="I47" s="51"/>
      <c r="J47" s="51"/>
      <c r="K47" s="51"/>
      <c r="L47" s="51"/>
      <c r="M47" s="51"/>
      <c r="N47" s="51"/>
      <c r="O47" s="51"/>
      <c r="P47" s="51"/>
      <c r="Q47" s="51"/>
      <c r="R47" s="55"/>
      <c r="S47" s="53"/>
      <c r="T47" s="54"/>
      <c r="U47" s="55"/>
      <c r="V47" s="55"/>
      <c r="W47" s="55"/>
      <c r="X47" s="55"/>
      <c r="Y47" s="55"/>
      <c r="Z47" s="56"/>
      <c r="AA47" s="55"/>
      <c r="AB47" s="55"/>
      <c r="AC47" s="55"/>
      <c r="AD47" s="60"/>
      <c r="AE47" s="55"/>
      <c r="AF47" s="55"/>
    </row>
    <row r="48" spans="1:32" s="57" customFormat="1" ht="15.75" hidden="1" customHeight="1">
      <c r="A48" s="2"/>
      <c r="B48" s="2"/>
      <c r="C48" s="51"/>
      <c r="D48" s="51"/>
      <c r="E48" s="51"/>
      <c r="F48" s="51"/>
      <c r="G48" s="51"/>
      <c r="H48" s="51"/>
      <c r="I48" s="51"/>
      <c r="J48" s="51"/>
      <c r="K48" s="51"/>
      <c r="L48" s="51"/>
      <c r="M48" s="51"/>
      <c r="N48" s="51"/>
      <c r="O48" s="51"/>
      <c r="P48" s="51"/>
      <c r="Q48" s="51"/>
      <c r="R48" s="55"/>
      <c r="S48" s="53"/>
      <c r="T48" s="54"/>
      <c r="U48" s="55"/>
      <c r="V48" s="55"/>
      <c r="W48" s="55"/>
      <c r="X48" s="55"/>
      <c r="Y48" s="55"/>
      <c r="Z48" s="56"/>
      <c r="AA48" s="55"/>
      <c r="AB48" s="55"/>
      <c r="AC48" s="55"/>
      <c r="AD48" s="55"/>
      <c r="AE48" s="55"/>
      <c r="AF48" s="55"/>
    </row>
    <row r="49" spans="1:32" s="57" customFormat="1" ht="15.75" hidden="1" customHeight="1">
      <c r="A49" s="2"/>
      <c r="B49" s="2"/>
      <c r="C49" s="51"/>
      <c r="D49" s="51"/>
      <c r="E49" s="51"/>
      <c r="F49" s="51"/>
      <c r="G49" s="51"/>
      <c r="H49" s="51"/>
      <c r="I49" s="51"/>
      <c r="J49" s="51"/>
      <c r="K49" s="51"/>
      <c r="L49" s="51"/>
      <c r="M49" s="51"/>
      <c r="N49" s="51"/>
      <c r="O49" s="51"/>
      <c r="P49" s="51"/>
      <c r="Q49" s="51"/>
      <c r="R49" s="55"/>
      <c r="S49" s="53"/>
      <c r="T49" s="54"/>
      <c r="U49" s="55"/>
      <c r="V49" s="55"/>
      <c r="W49" s="55"/>
      <c r="X49" s="55"/>
      <c r="Y49" s="55"/>
      <c r="Z49" s="56"/>
      <c r="AA49" s="55"/>
      <c r="AB49" s="55"/>
      <c r="AC49" s="55"/>
      <c r="AD49" s="55"/>
      <c r="AE49" s="55"/>
      <c r="AF49" s="55"/>
    </row>
    <row r="50" spans="1:32" s="57" customFormat="1" ht="15.75" customHeight="1">
      <c r="A50" s="2" t="s">
        <v>119</v>
      </c>
      <c r="B50" s="2" t="s">
        <v>894</v>
      </c>
      <c r="C50" s="51">
        <f t="shared" ref="C50:C56" si="1">IFERROR(F50/D50," - ")</f>
        <v>17.95</v>
      </c>
      <c r="D50" s="51">
        <v>1</v>
      </c>
      <c r="E50" s="51">
        <v>0</v>
      </c>
      <c r="F50" s="51">
        <v>17.95</v>
      </c>
      <c r="G50" s="51">
        <v>0</v>
      </c>
      <c r="H50" s="51">
        <f t="shared" ref="H50:H56" si="2">G50/F50*-1</f>
        <v>0</v>
      </c>
      <c r="I50" s="51">
        <f t="shared" ref="I50:I56" si="3">J50/F50</f>
        <v>0.30800112674094693</v>
      </c>
      <c r="J50" s="51">
        <f t="shared" ref="J50:J56" si="4">F50*0.85+G50+AD50*D50+D50*AC50+AE50+AB50</f>
        <v>5.5286202249999974</v>
      </c>
      <c r="K50" s="51">
        <f t="shared" ref="K50:K56" si="5">J50/D50</f>
        <v>5.5286202249999974</v>
      </c>
      <c r="L50" s="51">
        <v>5</v>
      </c>
      <c r="M50" s="51">
        <f t="shared" ref="M50:M56" si="6">IFERROR(D50/L50,"-")</f>
        <v>0.2</v>
      </c>
      <c r="N50" s="51">
        <v>29</v>
      </c>
      <c r="O50" s="51">
        <f t="shared" ref="O50:P50" si="7">D50/7</f>
        <v>0.14285714285714285</v>
      </c>
      <c r="P50" s="51">
        <f t="shared" si="7"/>
        <v>0</v>
      </c>
      <c r="Q50" s="51">
        <f t="shared" ref="Q50:Q56" si="8">ROUNDDOWN(N50/(O50+P50),0)</f>
        <v>203</v>
      </c>
      <c r="R50" s="55">
        <f ca="1">IFERROR(__xludf.DUMMYFUNCTION("IFERROR(VLOOKUP($B$2,IMPORTRANGE(""https://docs.google.com/spreadsheets/d/1iVgg6Mw12RULLujzHmfOFIY8Q_KaAD8anoZzgtVAQ74/edit#gid=1503384807"",""Second Star - Summary!A1:AD2000""),9,FALSE),"""")"),0)</f>
        <v>0</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ref="V50:V56" si="9">IFERROR(U50/D50,0)</f>
        <v>0</v>
      </c>
      <c r="W50" s="55">
        <f t="shared" ref="W50:W56" si="10">IFERROR(G50/(U50+X50)*-1,0)</f>
        <v>0</v>
      </c>
      <c r="X50" s="55">
        <v>0</v>
      </c>
      <c r="Y50" s="55" t="s">
        <v>35</v>
      </c>
      <c r="Z50" s="56">
        <f t="shared" ref="Z50:Z56" si="11">IF(OR(Y50="UsLargeStandardSize",Y50="UsSmallStandardSize"),-2.4,-1.2)</f>
        <v>-2.4</v>
      </c>
      <c r="AA50" s="55">
        <v>5.2622190972222233E-2</v>
      </c>
      <c r="AB50" s="55">
        <f t="shared" ref="AB50:AB56" si="12">IFERROR(Z50*AA50*D50*3,0)</f>
        <v>-0.37887977500000003</v>
      </c>
      <c r="AC50" s="55">
        <v>-4.9000000000000004</v>
      </c>
      <c r="AD50" s="55">
        <v>-4.45</v>
      </c>
      <c r="AE50" s="55">
        <v>0</v>
      </c>
      <c r="AF50" s="55">
        <v>0</v>
      </c>
    </row>
    <row r="51" spans="1:32" s="57" customFormat="1" ht="15.75" customHeight="1">
      <c r="A51" s="2" t="s">
        <v>121</v>
      </c>
      <c r="B51" s="2" t="s">
        <v>895</v>
      </c>
      <c r="C51" s="51" t="str">
        <f t="shared" si="1"/>
        <v xml:space="preserve"> - </v>
      </c>
      <c r="D51" s="51">
        <v>0</v>
      </c>
      <c r="E51" s="51">
        <v>0</v>
      </c>
      <c r="F51" s="51">
        <v>0</v>
      </c>
      <c r="G51" s="51">
        <v>0</v>
      </c>
      <c r="H51" s="51" t="e">
        <f t="shared" si="2"/>
        <v>#DIV/0!</v>
      </c>
      <c r="I51" s="51" t="e">
        <f t="shared" si="3"/>
        <v>#DIV/0!</v>
      </c>
      <c r="J51" s="51">
        <f t="shared" si="4"/>
        <v>0</v>
      </c>
      <c r="K51" s="51" t="e">
        <f t="shared" si="5"/>
        <v>#DIV/0!</v>
      </c>
      <c r="L51" s="51">
        <v>0</v>
      </c>
      <c r="M51" s="51" t="str">
        <f t="shared" si="6"/>
        <v>-</v>
      </c>
      <c r="N51" s="51">
        <v>29</v>
      </c>
      <c r="O51" s="51">
        <f t="shared" ref="O51:P51" si="13">D51/7</f>
        <v>0</v>
      </c>
      <c r="P51" s="51">
        <f t="shared" si="13"/>
        <v>0</v>
      </c>
      <c r="Q51" s="51" t="e">
        <f t="shared" si="8"/>
        <v>#DIV/0!</v>
      </c>
      <c r="R51" s="55">
        <f ca="1">IFERROR(__xludf.DUMMYFUNCTION("IFERROR(VLOOKUP($B$2,IMPORTRANGE(""https://docs.google.com/spreadsheets/d/1iVgg6Mw12RULLujzHmfOFIY8Q_KaAD8anoZzgtVAQ74/edit#gid=1503384807"",""Second Star - Summary!A1:AD2000""),9,FALSE),"""")"),0)</f>
        <v>0</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9"/>
        <v>0</v>
      </c>
      <c r="W51" s="55">
        <f t="shared" si="10"/>
        <v>0</v>
      </c>
      <c r="X51" s="55">
        <v>0</v>
      </c>
      <c r="Y51" s="55" t="s">
        <v>35</v>
      </c>
      <c r="Z51" s="56">
        <f t="shared" si="11"/>
        <v>-2.4</v>
      </c>
      <c r="AA51" s="55">
        <v>5.2622190972222233E-2</v>
      </c>
      <c r="AB51" s="55">
        <f t="shared" si="12"/>
        <v>0</v>
      </c>
      <c r="AC51" s="55">
        <v>-4.9000000000000004</v>
      </c>
      <c r="AD51" s="55">
        <v>-4.45</v>
      </c>
      <c r="AE51" s="55">
        <v>0</v>
      </c>
      <c r="AF51" s="55">
        <v>6.8965517241379296E-2</v>
      </c>
    </row>
    <row r="52" spans="1:32" s="57" customFormat="1" ht="15.75" customHeight="1">
      <c r="A52" s="2" t="s">
        <v>123</v>
      </c>
      <c r="B52" s="2" t="s">
        <v>896</v>
      </c>
      <c r="C52" s="51" t="str">
        <f t="shared" si="1"/>
        <v xml:space="preserve"> - </v>
      </c>
      <c r="D52" s="51">
        <v>0</v>
      </c>
      <c r="E52" s="51">
        <v>0</v>
      </c>
      <c r="F52" s="51">
        <v>0</v>
      </c>
      <c r="G52" s="51">
        <v>0</v>
      </c>
      <c r="H52" s="51" t="e">
        <f t="shared" si="2"/>
        <v>#DIV/0!</v>
      </c>
      <c r="I52" s="51" t="e">
        <f t="shared" si="3"/>
        <v>#DIV/0!</v>
      </c>
      <c r="J52" s="51">
        <f t="shared" si="4"/>
        <v>0</v>
      </c>
      <c r="K52" s="51" t="e">
        <f t="shared" si="5"/>
        <v>#DIV/0!</v>
      </c>
      <c r="L52" s="51">
        <v>0</v>
      </c>
      <c r="M52" s="51" t="str">
        <f t="shared" si="6"/>
        <v>-</v>
      </c>
      <c r="N52" s="51">
        <v>29</v>
      </c>
      <c r="O52" s="51">
        <f t="shared" ref="O52:P52" si="14">D52/7</f>
        <v>0</v>
      </c>
      <c r="P52" s="51">
        <f t="shared" si="14"/>
        <v>0</v>
      </c>
      <c r="Q52" s="51" t="e">
        <f t="shared" si="8"/>
        <v>#DIV/0!</v>
      </c>
      <c r="R52" s="55">
        <f ca="1">IFERROR(__xludf.DUMMYFUNCTION("IFERROR(VLOOKUP($B$2,IMPORTRANGE(""https://docs.google.com/spreadsheets/d/1iVgg6Mw12RULLujzHmfOFIY8Q_KaAD8anoZzgtVAQ74/edit#gid=1503384807"",""Second Star - Summary!A1:AD2000""),9,FALSE),"""")"),0)</f>
        <v>0</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9"/>
        <v>0</v>
      </c>
      <c r="W52" s="55">
        <f t="shared" si="10"/>
        <v>0</v>
      </c>
      <c r="X52" s="55">
        <v>0</v>
      </c>
      <c r="Y52" s="55" t="s">
        <v>35</v>
      </c>
      <c r="Z52" s="56">
        <f t="shared" si="11"/>
        <v>-2.4</v>
      </c>
      <c r="AA52" s="55">
        <v>5.2622190972222233E-2</v>
      </c>
      <c r="AB52" s="55">
        <f t="shared" si="12"/>
        <v>0</v>
      </c>
      <c r="AC52" s="55">
        <v>-4.9000000000000004</v>
      </c>
      <c r="AD52" s="55">
        <v>-4.28</v>
      </c>
      <c r="AE52" s="55">
        <v>0</v>
      </c>
      <c r="AF52" s="55">
        <v>6.8965517241379296E-2</v>
      </c>
    </row>
    <row r="53" spans="1:32" s="57" customFormat="1">
      <c r="A53" s="2" t="s">
        <v>38</v>
      </c>
      <c r="B53" s="2" t="s">
        <v>897</v>
      </c>
      <c r="C53" s="51">
        <f t="shared" si="1"/>
        <v>14.99</v>
      </c>
      <c r="D53" s="51">
        <v>2</v>
      </c>
      <c r="E53" s="51">
        <v>0</v>
      </c>
      <c r="F53" s="51">
        <v>29.98</v>
      </c>
      <c r="G53" s="51">
        <v>-2.0700000000000003</v>
      </c>
      <c r="H53" s="51">
        <f t="shared" si="2"/>
        <v>6.9046030687124754E-2</v>
      </c>
      <c r="I53" s="51">
        <f t="shared" si="3"/>
        <v>0.14327019513008668</v>
      </c>
      <c r="J53" s="51">
        <f t="shared" si="4"/>
        <v>4.2952404499999988</v>
      </c>
      <c r="K53" s="51">
        <f t="shared" si="5"/>
        <v>2.1476202249999994</v>
      </c>
      <c r="L53" s="51">
        <v>3</v>
      </c>
      <c r="M53" s="51">
        <f t="shared" si="6"/>
        <v>0.66666666666666663</v>
      </c>
      <c r="N53" s="51">
        <v>27</v>
      </c>
      <c r="O53" s="51">
        <f t="shared" ref="O53:P53" si="15">D53/7</f>
        <v>0.2857142857142857</v>
      </c>
      <c r="P53" s="51">
        <f t="shared" si="15"/>
        <v>0</v>
      </c>
      <c r="Q53" s="51">
        <f t="shared" si="8"/>
        <v>94</v>
      </c>
      <c r="R53" s="55">
        <f ca="1">IFERROR(__xludf.DUMMYFUNCTION("IFERROR(VLOOKUP($B$2,IMPORTRANGE(""https://docs.google.com/spreadsheets/d/1iVgg6Mw12RULLujzHmfOFIY8Q_KaAD8anoZzgtVAQ74/edit#gid=1503384807"",""Second Star - Summary!A1:AD2000""),9,FALSE),"""")"),0)</f>
        <v>0</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9"/>
        <v>0</v>
      </c>
      <c r="W53" s="55">
        <f t="shared" si="10"/>
        <v>0</v>
      </c>
      <c r="X53" s="55">
        <v>0</v>
      </c>
      <c r="Y53" s="55" t="s">
        <v>35</v>
      </c>
      <c r="Z53" s="56">
        <f t="shared" si="11"/>
        <v>-2.4</v>
      </c>
      <c r="AA53" s="55">
        <v>5.2622190972222233E-2</v>
      </c>
      <c r="AB53" s="55">
        <f t="shared" si="12"/>
        <v>-0.75775955000000006</v>
      </c>
      <c r="AC53" s="55">
        <v>-4.9000000000000004</v>
      </c>
      <c r="AD53" s="55">
        <v>-4.28</v>
      </c>
      <c r="AE53" s="55">
        <v>0</v>
      </c>
      <c r="AF53" s="55">
        <v>3.38983050847457E-2</v>
      </c>
    </row>
    <row r="54" spans="1:32" s="57" customFormat="1">
      <c r="A54" s="2" t="s">
        <v>40</v>
      </c>
      <c r="B54" s="2"/>
      <c r="C54" s="51" t="str">
        <f t="shared" si="1"/>
        <v xml:space="preserve"> - </v>
      </c>
      <c r="D54" s="51">
        <v>0</v>
      </c>
      <c r="E54" s="51">
        <v>0</v>
      </c>
      <c r="F54" s="51">
        <v>0</v>
      </c>
      <c r="G54" s="51">
        <v>-18.8</v>
      </c>
      <c r="H54" s="51" t="e">
        <f t="shared" si="2"/>
        <v>#DIV/0!</v>
      </c>
      <c r="I54" s="51" t="e">
        <f t="shared" si="3"/>
        <v>#DIV/0!</v>
      </c>
      <c r="J54" s="51">
        <f t="shared" si="4"/>
        <v>-18.8</v>
      </c>
      <c r="K54" s="51" t="e">
        <f t="shared" si="5"/>
        <v>#DIV/0!</v>
      </c>
      <c r="L54" s="51">
        <v>0</v>
      </c>
      <c r="M54" s="51" t="str">
        <f t="shared" si="6"/>
        <v>-</v>
      </c>
      <c r="N54" s="51">
        <v>27</v>
      </c>
      <c r="O54" s="51">
        <f t="shared" ref="O54:P54" si="16">D54/7</f>
        <v>0</v>
      </c>
      <c r="P54" s="51">
        <f t="shared" si="16"/>
        <v>0</v>
      </c>
      <c r="Q54" s="51" t="e">
        <f t="shared" si="8"/>
        <v>#DIV/0!</v>
      </c>
      <c r="R54" s="55">
        <f ca="1">IFERROR(__xludf.DUMMYFUNCTION("IFERROR(VLOOKUP($B$2,IMPORTRANGE(""https://docs.google.com/spreadsheets/d/1iVgg6Mw12RULLujzHmfOFIY8Q_KaAD8anoZzgtVAQ74/edit#gid=1503384807"",""Second Star - Summary!A1:AD2000""),9,FALSE),"""")"),0)</f>
        <v>0</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9"/>
        <v>0</v>
      </c>
      <c r="W54" s="55">
        <f t="shared" si="10"/>
        <v>0</v>
      </c>
      <c r="X54" s="55">
        <v>0</v>
      </c>
      <c r="Y54" s="55" t="s">
        <v>35</v>
      </c>
      <c r="Z54" s="56">
        <f t="shared" si="11"/>
        <v>-2.4</v>
      </c>
      <c r="AA54" s="55">
        <v>5.2622190972222233E-2</v>
      </c>
      <c r="AB54" s="55">
        <f t="shared" si="12"/>
        <v>0</v>
      </c>
      <c r="AC54" s="55">
        <v>-4.9000000000000004</v>
      </c>
      <c r="AD54" s="55">
        <v>-4.28</v>
      </c>
      <c r="AE54" s="55">
        <v>0</v>
      </c>
      <c r="AF54" s="55">
        <v>0.157894736842105</v>
      </c>
    </row>
    <row r="55" spans="1:32" s="57" customFormat="1" ht="15.75" customHeight="1">
      <c r="A55" s="2" t="s">
        <v>32</v>
      </c>
      <c r="B55" s="2" t="s">
        <v>898</v>
      </c>
      <c r="C55" s="51" t="str">
        <f t="shared" si="1"/>
        <v xml:space="preserve"> - </v>
      </c>
      <c r="D55" s="51">
        <v>0</v>
      </c>
      <c r="E55" s="51">
        <v>0</v>
      </c>
      <c r="F55" s="51">
        <v>0</v>
      </c>
      <c r="G55" s="51">
        <v>-14.350000000000001</v>
      </c>
      <c r="H55" s="51" t="e">
        <f t="shared" si="2"/>
        <v>#DIV/0!</v>
      </c>
      <c r="I55" s="51" t="e">
        <f t="shared" si="3"/>
        <v>#VALUE!</v>
      </c>
      <c r="J55" s="51" t="e">
        <f t="shared" si="4"/>
        <v>#VALUE!</v>
      </c>
      <c r="K55" s="51" t="e">
        <f t="shared" si="5"/>
        <v>#VALUE!</v>
      </c>
      <c r="L55" s="51">
        <v>0</v>
      </c>
      <c r="M55" s="51" t="str">
        <f t="shared" si="6"/>
        <v>-</v>
      </c>
      <c r="N55" s="51">
        <v>27</v>
      </c>
      <c r="O55" s="51">
        <f t="shared" ref="O55:P55" si="17">D55/7</f>
        <v>0</v>
      </c>
      <c r="P55" s="51">
        <f t="shared" si="17"/>
        <v>0</v>
      </c>
      <c r="Q55" s="51" t="e">
        <f t="shared" si="8"/>
        <v>#DIV/0!</v>
      </c>
      <c r="R55" s="55">
        <v>0</v>
      </c>
      <c r="S55" s="53" t="s">
        <v>34</v>
      </c>
      <c r="T55" s="54" t="s">
        <v>34</v>
      </c>
      <c r="U55" s="55">
        <v>0</v>
      </c>
      <c r="V55" s="55">
        <f t="shared" si="9"/>
        <v>0</v>
      </c>
      <c r="W55" s="55">
        <f t="shared" si="10"/>
        <v>14.350000000000001</v>
      </c>
      <c r="X55" s="55">
        <v>1</v>
      </c>
      <c r="Y55" s="55" t="s">
        <v>35</v>
      </c>
      <c r="Z55" s="56">
        <f t="shared" si="11"/>
        <v>-2.4</v>
      </c>
      <c r="AA55" s="55">
        <v>5.2622190972222233E-2</v>
      </c>
      <c r="AB55" s="55">
        <f t="shared" si="12"/>
        <v>0</v>
      </c>
      <c r="AC55" s="55">
        <v>-4.9000000000000004</v>
      </c>
      <c r="AD55" s="55" t="e">
        <v>#VALUE!</v>
      </c>
      <c r="AE55" s="55">
        <v>0</v>
      </c>
      <c r="AF55" s="55">
        <v>0.160714285714285</v>
      </c>
    </row>
    <row r="56" spans="1:32" s="57" customFormat="1" ht="15.75" customHeight="1">
      <c r="A56" s="2" t="s">
        <v>36</v>
      </c>
      <c r="B56" s="2"/>
      <c r="C56" s="51" t="str">
        <f t="shared" si="1"/>
        <v xml:space="preserve"> - </v>
      </c>
      <c r="D56" s="51">
        <v>0</v>
      </c>
      <c r="E56" s="51">
        <v>0</v>
      </c>
      <c r="F56" s="51">
        <v>0</v>
      </c>
      <c r="G56" s="51">
        <v>-19.489999999999998</v>
      </c>
      <c r="H56" s="51" t="e">
        <f t="shared" si="2"/>
        <v>#DIV/0!</v>
      </c>
      <c r="I56" s="51" t="e">
        <f t="shared" si="3"/>
        <v>#DIV/0!</v>
      </c>
      <c r="J56" s="51">
        <f t="shared" si="4"/>
        <v>-19.489999999999998</v>
      </c>
      <c r="K56" s="51" t="e">
        <f t="shared" si="5"/>
        <v>#DIV/0!</v>
      </c>
      <c r="L56" s="51">
        <v>0</v>
      </c>
      <c r="M56" s="51" t="str">
        <f t="shared" si="6"/>
        <v>-</v>
      </c>
      <c r="N56" s="51">
        <v>26</v>
      </c>
      <c r="O56" s="51">
        <f t="shared" ref="O56:P56" si="18">D56/7</f>
        <v>0</v>
      </c>
      <c r="P56" s="51">
        <f t="shared" si="18"/>
        <v>0</v>
      </c>
      <c r="Q56" s="51" t="e">
        <f t="shared" si="8"/>
        <v>#DIV/0!</v>
      </c>
      <c r="R56" s="55">
        <f ca="1">IFERROR(__xludf.DUMMYFUNCTION("IFERROR(VLOOKUP($B$2,IMPORTRANGE(""https://docs.google.com/spreadsheets/d/1iVgg6Mw12RULLujzHmfOFIY8Q_KaAD8anoZzgtVAQ74/edit#gid=1503384807"",""Second Star - Summary!A1:AD2000""),9,FALSE),"""")"),0)</f>
        <v>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9"/>
        <v>0</v>
      </c>
      <c r="W56" s="55">
        <f t="shared" si="10"/>
        <v>0</v>
      </c>
      <c r="X56" s="55">
        <v>0</v>
      </c>
      <c r="Y56" s="55" t="s">
        <v>35</v>
      </c>
      <c r="Z56" s="56">
        <f t="shared" si="11"/>
        <v>-2.4</v>
      </c>
      <c r="AA56" s="55">
        <v>5.2622190972222233E-2</v>
      </c>
      <c r="AB56" s="55">
        <f t="shared" si="12"/>
        <v>0</v>
      </c>
      <c r="AC56" s="55">
        <v>-4.9000000000000004</v>
      </c>
      <c r="AD56" s="55">
        <v>-4.4545517171717099</v>
      </c>
      <c r="AE56" s="55">
        <v>0</v>
      </c>
      <c r="AF56" s="55">
        <v>0.14117647058823499</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3"/>
    </row>
    <row r="222" spans="1:3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3"/>
    </row>
    <row r="223" spans="1:32"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3"/>
    </row>
    <row r="224" spans="1:32"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3"/>
    </row>
    <row r="225" spans="1:32"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3"/>
    </row>
    <row r="226" spans="1:32"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3"/>
    </row>
    <row r="227" spans="1:32"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3"/>
    </row>
    <row r="228" spans="1:32"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3"/>
    </row>
    <row r="229" spans="1:32"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3"/>
    </row>
    <row r="230" spans="1:32"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3"/>
    </row>
    <row r="231" spans="1:32"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3"/>
    </row>
    <row r="232" spans="1: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3"/>
    </row>
    <row r="233" spans="1:32"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3"/>
    </row>
    <row r="234" spans="1:32"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3"/>
    </row>
    <row r="235" spans="1:32"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3"/>
    </row>
    <row r="236" spans="1:32"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3"/>
    </row>
    <row r="237" spans="1:32"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3"/>
    </row>
    <row r="238" spans="1:32"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3"/>
    </row>
    <row r="239" spans="1:32"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row r="253" spans="1:32" ht="15.75" customHeight="1"/>
    <row r="254" spans="1:32" ht="15.75" customHeight="1"/>
    <row r="255" spans="1:32" ht="15.75" customHeight="1"/>
    <row r="256" spans="1:3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256" priority="1" operator="lessThan">
      <formula>100</formula>
    </cfRule>
  </conditionalFormatting>
  <conditionalFormatting sqref="Q1:Q3 Q57:Q1000">
    <cfRule type="cellIs" dxfId="255" priority="2" operator="lessThan">
      <formula>100</formula>
    </cfRule>
  </conditionalFormatting>
  <conditionalFormatting sqref="I1:I3 I57:I1000">
    <cfRule type="cellIs" dxfId="254" priority="3" operator="lessThan">
      <formula>0.05</formula>
    </cfRule>
  </conditionalFormatting>
  <conditionalFormatting sqref="I4:I56">
    <cfRule type="cellIs" dxfId="253" priority="4" operator="lessThan">
      <formula>0.05</formula>
    </cfRule>
  </conditionalFormatting>
  <conditionalFormatting sqref="Q4:Q56">
    <cfRule type="cellIs" dxfId="252" priority="5" operator="lessThan">
      <formula>100</formula>
    </cfRule>
  </conditionalFormatting>
  <conditionalFormatting sqref="Q4:Q56">
    <cfRule type="cellIs" dxfId="251" priority="6" operator="lessThan">
      <formula>100</formula>
    </cfRule>
  </conditionalFormatting>
  <pageMargins left="0.7" right="0.7" top="0.75" bottom="0.75" header="0" footer="0"/>
  <pageSetup orientation="portrait"/>
  <legacy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5" customWidth="1"/>
    <col min="3"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Info!B1:BJ5000""),4,FALSE),"""")"),"Dry Defender Waterproof Saddle Pad with Tuck-in Tails- 34 x 36""")</f>
        <v>Dry Defender Waterproof Saddle Pad with Tuck-in Tails- 34 x 36"</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Info!B1:BJ5000""),3,FALSE),"""")"),"B001T4UNNU")</f>
        <v>B001T4UNNU</v>
      </c>
      <c r="B2" s="4" t="s">
        <v>899</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6.8552036199094948</v>
      </c>
      <c r="D3" s="8">
        <f>SUM(D4:D99819)</f>
        <v>19</v>
      </c>
      <c r="E3" s="8"/>
      <c r="F3" s="9">
        <f t="shared" ref="F3:G3" si="0">SUM(F4:F99819)</f>
        <v>308.13</v>
      </c>
      <c r="G3" s="9">
        <f t="shared" si="0"/>
        <v>-228.70000000000002</v>
      </c>
      <c r="H3" s="10">
        <f t="shared" ref="H3:H39" si="1">G3/F3*-1</f>
        <v>0.74221919319767637</v>
      </c>
      <c r="I3" s="11">
        <f t="shared" ref="I3:I39" si="2">J3/F3</f>
        <v>-0.66597675513179733</v>
      </c>
      <c r="J3" s="9">
        <f>SUM(J4:J99819)</f>
        <v>-205.20741755876071</v>
      </c>
      <c r="K3" s="9">
        <f t="shared" ref="K3:K39" si="3">J3/D3</f>
        <v>-10.800390397829512</v>
      </c>
      <c r="L3" s="8"/>
      <c r="M3" s="12"/>
      <c r="N3" s="13"/>
      <c r="O3" s="8" t="str">
        <f ca="1">IFERROR(__xludf.DUMMYFUNCTION("IFERROR(VLOOKUP(B2,IMPORTRANGE(""https://docs.google.com/spreadsheets/d/1owCo6kL_VFQ5nPTdNogErmCBLjNiktT1m3SzTrxu3R0/edit#gid=2146806407"",""Second Star - Compiled!b1:g5000""),2,FALSE),"""")"),"0 - March
0 - April
0 - May
0 - Jun
0 - Jul
0 - Aug
0 - Sept
0 - Oct
0 - Nov
0 - Dec
0 - Jan
0 - Feb")</f>
        <v>0 - March
0 - April
0 - May
0 - Jun
0 - Jul
0 - Aug
0 - Sept
0 - Oct
0 - Nov
0 - Dec
0 - Jan
0 - Feb</v>
      </c>
      <c r="P3" s="8"/>
      <c r="Q3" s="14"/>
      <c r="R3" s="13"/>
      <c r="S3" s="13"/>
      <c r="T3" s="13"/>
      <c r="U3" s="8">
        <f>SUM(U4:U99819)</f>
        <v>11</v>
      </c>
      <c r="V3" s="10">
        <f>AVERAGE(V4:V99819)</f>
        <v>0.11949685534591195</v>
      </c>
      <c r="W3" s="9">
        <f>ROUND(AVERAGE(W4:W99819),2)</f>
        <v>1.83</v>
      </c>
      <c r="X3" s="8"/>
      <c r="Y3" s="8"/>
      <c r="Z3" s="8"/>
      <c r="AA3" s="8"/>
      <c r="AB3" s="8"/>
      <c r="AC3" s="15"/>
      <c r="AD3" s="9"/>
      <c r="AE3" s="9">
        <f>SUM(AE4:AE99819)</f>
        <v>0</v>
      </c>
      <c r="AF3" s="16"/>
    </row>
    <row r="4" spans="1:32" s="57" customFormat="1">
      <c r="A4" s="17" t="s">
        <v>48</v>
      </c>
      <c r="B4" s="17"/>
      <c r="C4" s="50">
        <v>14.99</v>
      </c>
      <c r="D4" s="51">
        <v>0</v>
      </c>
      <c r="E4" s="51">
        <v>0</v>
      </c>
      <c r="F4" s="51">
        <v>0</v>
      </c>
      <c r="G4" s="51">
        <v>-30.21</v>
      </c>
      <c r="H4" s="51" t="e">
        <f t="shared" si="1"/>
        <v>#DIV/0!</v>
      </c>
      <c r="I4" s="51" t="e">
        <f t="shared" si="2"/>
        <v>#DIV/0!</v>
      </c>
      <c r="J4" s="51">
        <f t="shared" ref="J4:J38" si="4">F4*0.85+G4+AD4*D4+D4*AC4+AE4+AB4</f>
        <v>-30.624937569444445</v>
      </c>
      <c r="K4" s="51" t="e">
        <f t="shared" si="3"/>
        <v>#DIV/0!</v>
      </c>
      <c r="L4" s="51">
        <v>0</v>
      </c>
      <c r="M4" s="51" t="str">
        <f t="shared" ref="M4:M39" si="5">IFERROR(D4/L4,"-")</f>
        <v>-</v>
      </c>
      <c r="N4" s="51">
        <v>19</v>
      </c>
      <c r="O4" s="51">
        <f t="shared" ref="O4:P4" si="6">D4/7</f>
        <v>0</v>
      </c>
      <c r="P4" s="51">
        <f t="shared" si="6"/>
        <v>0</v>
      </c>
      <c r="Q4" s="51" t="e">
        <f t="shared" ref="Q4:Q39" si="7">ROUNDDOWN(N4/(O4+P4),0)</f>
        <v>#DIV/0!</v>
      </c>
      <c r="R4" s="52">
        <v>0</v>
      </c>
      <c r="S4" s="53" t="s">
        <v>34</v>
      </c>
      <c r="T4" s="54" t="s">
        <v>34</v>
      </c>
      <c r="U4" s="52">
        <v>1</v>
      </c>
      <c r="V4" s="55">
        <f t="shared" ref="V4:V39" si="8">IFERROR(U4/D4,0)</f>
        <v>0</v>
      </c>
      <c r="W4" s="55">
        <f t="shared" ref="W4:W39" si="9">IFERROR(G4/(U4+X4)*-1,0)</f>
        <v>30.21</v>
      </c>
      <c r="X4" s="52">
        <v>0</v>
      </c>
      <c r="Y4" s="56" t="s">
        <v>35</v>
      </c>
      <c r="Z4" s="56">
        <f t="shared" ref="Z4:Z10" si="10">IF(OR(Y4="UsLargeStandardSize",Y4="UsSmallStandardSize"),-0.69,-0.48)</f>
        <v>-0.69</v>
      </c>
      <c r="AA4" s="55">
        <v>0.12660185185185188</v>
      </c>
      <c r="AB4" s="55">
        <f t="shared" ref="AB4:AB17" si="11">IFERROR((Z4*AA4*N4)/4,0)</f>
        <v>-0.41493756944444454</v>
      </c>
      <c r="AC4" s="55">
        <v>-4.76</v>
      </c>
      <c r="AD4" s="55">
        <v>-5.8269230769230766</v>
      </c>
      <c r="AE4" s="55">
        <v>0</v>
      </c>
      <c r="AF4" s="55"/>
    </row>
    <row r="5" spans="1:32" s="57" customFormat="1" ht="15.75" customHeight="1">
      <c r="A5" s="17" t="s">
        <v>49</v>
      </c>
      <c r="B5"/>
      <c r="C5" s="50">
        <v>14.99</v>
      </c>
      <c r="D5" s="51">
        <v>1</v>
      </c>
      <c r="E5" s="51">
        <v>0</v>
      </c>
      <c r="F5" s="51">
        <v>14.99</v>
      </c>
      <c r="G5" s="51">
        <v>-24.030000000000005</v>
      </c>
      <c r="H5" s="51">
        <f t="shared" si="1"/>
        <v>1.6030687124749836</v>
      </c>
      <c r="I5" s="51">
        <f t="shared" si="2"/>
        <v>-1.4855584941242881</v>
      </c>
      <c r="J5" s="51">
        <f t="shared" si="4"/>
        <v>-22.268521826923077</v>
      </c>
      <c r="K5" s="51">
        <f t="shared" si="3"/>
        <v>-22.268521826923077</v>
      </c>
      <c r="L5" s="51">
        <v>124</v>
      </c>
      <c r="M5" s="51">
        <f t="shared" si="5"/>
        <v>8.0645161290322578E-3</v>
      </c>
      <c r="N5" s="51">
        <v>18</v>
      </c>
      <c r="O5" s="51">
        <f t="shared" ref="O5:P5" si="12">D5/7</f>
        <v>0.14285714285714285</v>
      </c>
      <c r="P5" s="51">
        <f t="shared" si="12"/>
        <v>0</v>
      </c>
      <c r="Q5" s="51">
        <f t="shared" si="7"/>
        <v>126</v>
      </c>
      <c r="R5" s="52">
        <v>0</v>
      </c>
      <c r="S5" s="53" t="s">
        <v>34</v>
      </c>
      <c r="T5" s="54" t="s">
        <v>34</v>
      </c>
      <c r="U5" s="52">
        <v>2</v>
      </c>
      <c r="V5" s="55">
        <f t="shared" si="8"/>
        <v>2</v>
      </c>
      <c r="W5" s="55">
        <f t="shared" si="9"/>
        <v>8.0100000000000016</v>
      </c>
      <c r="X5" s="52">
        <v>1</v>
      </c>
      <c r="Y5" s="52" t="s">
        <v>35</v>
      </c>
      <c r="Z5" s="56">
        <f t="shared" si="10"/>
        <v>-0.69</v>
      </c>
      <c r="AA5" s="55">
        <v>0.12660185185185188</v>
      </c>
      <c r="AB5" s="55">
        <f t="shared" si="11"/>
        <v>-0.39309875000000005</v>
      </c>
      <c r="AC5" s="55">
        <v>-4.76</v>
      </c>
      <c r="AD5" s="55">
        <v>-5.8269230769230766</v>
      </c>
      <c r="AE5" s="55">
        <v>0</v>
      </c>
      <c r="AF5" s="55"/>
    </row>
    <row r="6" spans="1:32" s="57" customFormat="1" ht="15.75" customHeight="1">
      <c r="A6" s="17" t="s">
        <v>51</v>
      </c>
      <c r="B6"/>
      <c r="C6" s="51">
        <v>15.99</v>
      </c>
      <c r="D6" s="51">
        <v>3</v>
      </c>
      <c r="E6" s="51">
        <v>0</v>
      </c>
      <c r="F6" s="51">
        <v>50.97</v>
      </c>
      <c r="G6" s="51">
        <v>-41.070000000000007</v>
      </c>
      <c r="H6" s="51">
        <f t="shared" si="1"/>
        <v>0.80576809888169532</v>
      </c>
      <c r="I6" s="51">
        <f t="shared" si="2"/>
        <v>-0.58532178776605648</v>
      </c>
      <c r="J6" s="51">
        <f t="shared" si="4"/>
        <v>-29.8338515224359</v>
      </c>
      <c r="K6" s="51">
        <f t="shared" si="3"/>
        <v>-9.9446171741453</v>
      </c>
      <c r="L6" s="51">
        <v>133</v>
      </c>
      <c r="M6" s="51">
        <f t="shared" si="5"/>
        <v>2.2556390977443608E-2</v>
      </c>
      <c r="N6" s="51">
        <v>15</v>
      </c>
      <c r="O6" s="51">
        <f t="shared" ref="O6:P6" si="13">D6/7</f>
        <v>0.42857142857142855</v>
      </c>
      <c r="P6" s="51">
        <f t="shared" si="13"/>
        <v>0</v>
      </c>
      <c r="Q6" s="51">
        <f t="shared" si="7"/>
        <v>35</v>
      </c>
      <c r="R6" s="52">
        <v>0</v>
      </c>
      <c r="S6" s="53" t="s">
        <v>34</v>
      </c>
      <c r="T6" s="54" t="s">
        <v>34</v>
      </c>
      <c r="U6" s="52">
        <v>2</v>
      </c>
      <c r="V6" s="55">
        <f t="shared" si="8"/>
        <v>0.66666666666666663</v>
      </c>
      <c r="W6" s="55">
        <f t="shared" si="9"/>
        <v>5.8671428571428583</v>
      </c>
      <c r="X6" s="52">
        <v>5</v>
      </c>
      <c r="Y6" s="52" t="s">
        <v>35</v>
      </c>
      <c r="Z6" s="56">
        <f t="shared" si="10"/>
        <v>-0.69</v>
      </c>
      <c r="AA6" s="55">
        <v>0.12660185185185188</v>
      </c>
      <c r="AB6" s="55">
        <f t="shared" si="11"/>
        <v>-0.32758229166666675</v>
      </c>
      <c r="AC6" s="55">
        <v>-4.76</v>
      </c>
      <c r="AD6" s="55">
        <v>-5.8269230769230766</v>
      </c>
      <c r="AE6" s="55">
        <v>0</v>
      </c>
      <c r="AF6" s="55"/>
    </row>
    <row r="7" spans="1:32" s="57" customFormat="1" ht="15.75" customHeight="1">
      <c r="A7" s="17" t="s">
        <v>53</v>
      </c>
      <c r="B7"/>
      <c r="C7" s="51">
        <v>15.99</v>
      </c>
      <c r="D7" s="51">
        <v>1</v>
      </c>
      <c r="E7" s="51">
        <v>0</v>
      </c>
      <c r="F7" s="51">
        <v>15.99</v>
      </c>
      <c r="G7" s="51">
        <v>-35.840000000000003</v>
      </c>
      <c r="H7" s="51">
        <f t="shared" si="1"/>
        <v>2.241400875547217</v>
      </c>
      <c r="I7" s="51">
        <f t="shared" si="2"/>
        <v>-2.2014488148308509</v>
      </c>
      <c r="J7" s="51">
        <f t="shared" si="4"/>
        <v>-35.201166549145306</v>
      </c>
      <c r="K7" s="51">
        <f t="shared" si="3"/>
        <v>-35.201166549145306</v>
      </c>
      <c r="L7" s="51">
        <v>83</v>
      </c>
      <c r="M7" s="51">
        <f t="shared" si="5"/>
        <v>1.2048192771084338E-2</v>
      </c>
      <c r="N7" s="51">
        <v>14</v>
      </c>
      <c r="O7" s="51">
        <f t="shared" ref="O7:P7" si="14">D7/7</f>
        <v>0.14285714285714285</v>
      </c>
      <c r="P7" s="51">
        <f t="shared" si="14"/>
        <v>0</v>
      </c>
      <c r="Q7" s="51">
        <f t="shared" si="7"/>
        <v>98</v>
      </c>
      <c r="R7" s="52">
        <v>0</v>
      </c>
      <c r="S7" s="53" t="s">
        <v>34</v>
      </c>
      <c r="T7" s="54" t="s">
        <v>34</v>
      </c>
      <c r="U7" s="52">
        <v>2</v>
      </c>
      <c r="V7" s="55">
        <f t="shared" si="8"/>
        <v>2</v>
      </c>
      <c r="W7" s="55">
        <f t="shared" si="9"/>
        <v>5.9733333333333336</v>
      </c>
      <c r="X7" s="52">
        <v>4</v>
      </c>
      <c r="Y7" s="52" t="s">
        <v>35</v>
      </c>
      <c r="Z7" s="56">
        <f t="shared" si="10"/>
        <v>-0.69</v>
      </c>
      <c r="AA7" s="55">
        <v>0.12660185185185188</v>
      </c>
      <c r="AB7" s="55">
        <f t="shared" si="11"/>
        <v>-0.30574347222222231</v>
      </c>
      <c r="AC7" s="55">
        <v>-4.76</v>
      </c>
      <c r="AD7" s="55">
        <v>-7.8869230769230763</v>
      </c>
      <c r="AE7" s="55">
        <v>0</v>
      </c>
      <c r="AF7" s="55"/>
    </row>
    <row r="8" spans="1:32" s="57" customFormat="1" ht="15.75" customHeight="1">
      <c r="A8" s="17" t="s">
        <v>54</v>
      </c>
      <c r="B8"/>
      <c r="C8" s="51">
        <v>15.99</v>
      </c>
      <c r="D8" s="51">
        <v>0</v>
      </c>
      <c r="E8" s="51">
        <v>0</v>
      </c>
      <c r="F8" s="51">
        <v>0</v>
      </c>
      <c r="G8" s="51">
        <v>-39.1</v>
      </c>
      <c r="H8" s="51" t="e">
        <f t="shared" si="1"/>
        <v>#DIV/0!</v>
      </c>
      <c r="I8" s="51" t="e">
        <f t="shared" si="2"/>
        <v>#DIV/0!</v>
      </c>
      <c r="J8" s="51">
        <f t="shared" si="4"/>
        <v>-39.340227013888892</v>
      </c>
      <c r="K8" s="51" t="e">
        <f t="shared" si="3"/>
        <v>#DIV/0!</v>
      </c>
      <c r="L8" s="51">
        <v>0</v>
      </c>
      <c r="M8" s="51" t="str">
        <f t="shared" si="5"/>
        <v>-</v>
      </c>
      <c r="N8" s="51">
        <v>11</v>
      </c>
      <c r="O8" s="51">
        <f t="shared" ref="O8:P8" si="15">D8/7</f>
        <v>0</v>
      </c>
      <c r="P8" s="51">
        <f t="shared" si="15"/>
        <v>0</v>
      </c>
      <c r="Q8" s="51" t="e">
        <f t="shared" si="7"/>
        <v>#DIV/0!</v>
      </c>
      <c r="R8" s="52">
        <v>0</v>
      </c>
      <c r="S8" s="53" t="s">
        <v>34</v>
      </c>
      <c r="T8" s="54" t="s">
        <v>34</v>
      </c>
      <c r="U8" s="52">
        <v>0</v>
      </c>
      <c r="V8" s="55">
        <f t="shared" si="8"/>
        <v>0</v>
      </c>
      <c r="W8" s="55">
        <f t="shared" si="9"/>
        <v>19.55</v>
      </c>
      <c r="X8" s="52">
        <v>2</v>
      </c>
      <c r="Y8" s="52" t="s">
        <v>35</v>
      </c>
      <c r="Z8" s="56">
        <f t="shared" si="10"/>
        <v>-0.69</v>
      </c>
      <c r="AA8" s="55">
        <v>0.12660185185185188</v>
      </c>
      <c r="AB8" s="55">
        <f t="shared" si="11"/>
        <v>-0.24022701388888895</v>
      </c>
      <c r="AC8" s="55">
        <v>-4.76</v>
      </c>
      <c r="AD8" s="55">
        <v>-7.8869230769230763</v>
      </c>
      <c r="AE8" s="55">
        <v>0</v>
      </c>
      <c r="AF8" s="55"/>
    </row>
    <row r="9" spans="1:32" s="57" customFormat="1" ht="15.75" customHeight="1">
      <c r="A9" s="17" t="s">
        <v>56</v>
      </c>
      <c r="B9"/>
      <c r="C9" s="51">
        <v>17.989999999999998</v>
      </c>
      <c r="D9" s="51">
        <v>3</v>
      </c>
      <c r="E9" s="51">
        <v>0</v>
      </c>
      <c r="F9" s="51">
        <v>50.97</v>
      </c>
      <c r="G9" s="51">
        <v>-41.57</v>
      </c>
      <c r="H9" s="51">
        <f t="shared" si="1"/>
        <v>0.81557779085736715</v>
      </c>
      <c r="I9" s="51">
        <f t="shared" si="2"/>
        <v>-0.7146654158261353</v>
      </c>
      <c r="J9" s="51">
        <f t="shared" si="4"/>
        <v>-36.426496244658118</v>
      </c>
      <c r="K9" s="51">
        <f t="shared" si="3"/>
        <v>-12.142165414886039</v>
      </c>
      <c r="L9" s="51">
        <v>56</v>
      </c>
      <c r="M9" s="51">
        <f t="shared" si="5"/>
        <v>5.3571428571428568E-2</v>
      </c>
      <c r="N9" s="51">
        <v>11</v>
      </c>
      <c r="O9" s="51">
        <f t="shared" ref="O9:P9" si="16">D9/7</f>
        <v>0.42857142857142855</v>
      </c>
      <c r="P9" s="51">
        <f t="shared" si="16"/>
        <v>0</v>
      </c>
      <c r="Q9" s="51">
        <f t="shared" si="7"/>
        <v>25</v>
      </c>
      <c r="R9" s="52">
        <v>0</v>
      </c>
      <c r="S9" s="53" t="s">
        <v>34</v>
      </c>
      <c r="T9" s="54" t="s">
        <v>34</v>
      </c>
      <c r="U9" s="52">
        <v>2</v>
      </c>
      <c r="V9" s="55">
        <f t="shared" si="8"/>
        <v>0.66666666666666663</v>
      </c>
      <c r="W9" s="55">
        <f t="shared" si="9"/>
        <v>10.3925</v>
      </c>
      <c r="X9" s="52">
        <v>2</v>
      </c>
      <c r="Y9" s="52" t="s">
        <v>35</v>
      </c>
      <c r="Z9" s="56">
        <f t="shared" si="10"/>
        <v>-0.69</v>
      </c>
      <c r="AA9" s="55">
        <v>0.12660185185185188</v>
      </c>
      <c r="AB9" s="55">
        <f t="shared" si="11"/>
        <v>-0.24022701388888895</v>
      </c>
      <c r="AC9" s="55">
        <v>-4.76</v>
      </c>
      <c r="AD9" s="55">
        <v>-7.8869230769230763</v>
      </c>
      <c r="AE9" s="55">
        <v>0</v>
      </c>
      <c r="AF9" s="55"/>
    </row>
    <row r="10" spans="1:32" s="57" customFormat="1" ht="15.75" customHeight="1">
      <c r="A10" s="17" t="s">
        <v>58</v>
      </c>
      <c r="B10"/>
      <c r="C10" s="51">
        <v>15.99</v>
      </c>
      <c r="D10" s="51">
        <v>0</v>
      </c>
      <c r="E10" s="51">
        <v>0</v>
      </c>
      <c r="F10" s="51">
        <v>0</v>
      </c>
      <c r="G10" s="51">
        <v>-16.86</v>
      </c>
      <c r="H10" s="51" t="e">
        <f t="shared" si="1"/>
        <v>#DIV/0!</v>
      </c>
      <c r="I10" s="51" t="e">
        <f t="shared" si="2"/>
        <v>#DIV/0!</v>
      </c>
      <c r="J10" s="51">
        <f t="shared" si="4"/>
        <v>-17.034710555555556</v>
      </c>
      <c r="K10" s="51" t="e">
        <f t="shared" si="3"/>
        <v>#DIV/0!</v>
      </c>
      <c r="L10" s="51">
        <v>0</v>
      </c>
      <c r="M10" s="51" t="str">
        <f t="shared" si="5"/>
        <v>-</v>
      </c>
      <c r="N10" s="51">
        <v>8</v>
      </c>
      <c r="O10" s="51">
        <f t="shared" ref="O10:P10" si="17">D10/7</f>
        <v>0</v>
      </c>
      <c r="P10" s="51">
        <f t="shared" si="17"/>
        <v>0</v>
      </c>
      <c r="Q10" s="51" t="e">
        <f t="shared" si="7"/>
        <v>#DIV/0!</v>
      </c>
      <c r="R10" s="52">
        <v>0</v>
      </c>
      <c r="S10" s="53" t="s">
        <v>34</v>
      </c>
      <c r="T10" s="54" t="s">
        <v>34</v>
      </c>
      <c r="U10" s="52">
        <v>1</v>
      </c>
      <c r="V10" s="55">
        <f t="shared" si="8"/>
        <v>0</v>
      </c>
      <c r="W10" s="55">
        <f t="shared" si="9"/>
        <v>16.86</v>
      </c>
      <c r="X10" s="52">
        <v>0</v>
      </c>
      <c r="Y10" s="52" t="s">
        <v>35</v>
      </c>
      <c r="Z10" s="56">
        <f t="shared" si="10"/>
        <v>-0.69</v>
      </c>
      <c r="AA10" s="55">
        <v>0.12660185185185188</v>
      </c>
      <c r="AB10" s="55">
        <f t="shared" si="11"/>
        <v>-0.17471055555555559</v>
      </c>
      <c r="AC10" s="55">
        <v>-4.76</v>
      </c>
      <c r="AD10" s="55">
        <v>-7.8869230769230763</v>
      </c>
      <c r="AE10" s="55">
        <v>0</v>
      </c>
      <c r="AF10" s="55"/>
    </row>
    <row r="11" spans="1:32" s="57" customFormat="1" ht="15.75" customHeight="1">
      <c r="A11" s="17" t="s">
        <v>60</v>
      </c>
      <c r="B11" s="26" t="s">
        <v>45</v>
      </c>
      <c r="C11" s="51">
        <v>16.989999999999998</v>
      </c>
      <c r="D11" s="51">
        <v>4</v>
      </c>
      <c r="E11" s="51">
        <v>0</v>
      </c>
      <c r="F11" s="51">
        <v>59.96</v>
      </c>
      <c r="G11" s="51">
        <v>0</v>
      </c>
      <c r="H11" s="51">
        <f t="shared" si="1"/>
        <v>0</v>
      </c>
      <c r="I11" s="51">
        <f t="shared" si="2"/>
        <v>-5.8014882963285681E-3</v>
      </c>
      <c r="J11" s="51">
        <f t="shared" si="4"/>
        <v>-0.34785723824786097</v>
      </c>
      <c r="K11" s="51">
        <f t="shared" si="3"/>
        <v>-8.6964309561965242E-2</v>
      </c>
      <c r="L11" s="51">
        <v>56</v>
      </c>
      <c r="M11" s="51">
        <f t="shared" si="5"/>
        <v>7.1428571428571425E-2</v>
      </c>
      <c r="N11" s="51">
        <v>7</v>
      </c>
      <c r="O11" s="51">
        <f t="shared" ref="O11:P11" si="18">D11/7</f>
        <v>0.5714285714285714</v>
      </c>
      <c r="P11" s="51">
        <f t="shared" si="18"/>
        <v>0</v>
      </c>
      <c r="Q11" s="51">
        <f t="shared" si="7"/>
        <v>12</v>
      </c>
      <c r="R11" s="52">
        <v>0</v>
      </c>
      <c r="S11" s="53" t="s">
        <v>34</v>
      </c>
      <c r="T11" s="54" t="s">
        <v>34</v>
      </c>
      <c r="U11" s="52">
        <v>0</v>
      </c>
      <c r="V11" s="55">
        <f t="shared" si="8"/>
        <v>0</v>
      </c>
      <c r="W11" s="55">
        <f t="shared" si="9"/>
        <v>0</v>
      </c>
      <c r="X11" s="52">
        <v>0</v>
      </c>
      <c r="Y11" s="52" t="s">
        <v>35</v>
      </c>
      <c r="Z11" s="56">
        <f t="shared" ref="Z11:Z39" si="19">IF(OR(Y11="UsLargeStandardSize",Y11="UsSmallStandardSize"),-0.75,-0.48)</f>
        <v>-0.75</v>
      </c>
      <c r="AA11" s="55">
        <v>0.12660185185185188</v>
      </c>
      <c r="AB11" s="55">
        <f t="shared" si="11"/>
        <v>-0.16616493055555559</v>
      </c>
      <c r="AC11" s="55">
        <v>-4.9000000000000004</v>
      </c>
      <c r="AD11" s="55">
        <v>-7.8869230769230763</v>
      </c>
      <c r="AE11" s="55">
        <v>0</v>
      </c>
      <c r="AF11" s="55"/>
    </row>
    <row r="12" spans="1:32" s="57" customFormat="1" ht="15.75" customHeight="1">
      <c r="A12" s="17" t="s">
        <v>62</v>
      </c>
      <c r="B12"/>
      <c r="C12" s="51">
        <v>19.989999999999998</v>
      </c>
      <c r="D12" s="51">
        <v>1</v>
      </c>
      <c r="E12" s="51">
        <v>0</v>
      </c>
      <c r="F12" s="51">
        <v>19.989999999999998</v>
      </c>
      <c r="G12" s="51">
        <v>0</v>
      </c>
      <c r="H12" s="51">
        <f t="shared" si="1"/>
        <v>0</v>
      </c>
      <c r="I12" s="51">
        <f t="shared" si="2"/>
        <v>0.20320909653544719</v>
      </c>
      <c r="J12" s="51">
        <f t="shared" si="4"/>
        <v>4.0621498397435891</v>
      </c>
      <c r="K12" s="51">
        <f t="shared" si="3"/>
        <v>4.0621498397435891</v>
      </c>
      <c r="L12" s="51">
        <v>77</v>
      </c>
      <c r="M12" s="51">
        <f t="shared" si="5"/>
        <v>1.2987012987012988E-2</v>
      </c>
      <c r="N12" s="51">
        <v>6</v>
      </c>
      <c r="O12" s="51">
        <f t="shared" ref="O12:P12" si="20">D12/7</f>
        <v>0.14285714285714285</v>
      </c>
      <c r="P12" s="51">
        <f t="shared" si="20"/>
        <v>0</v>
      </c>
      <c r="Q12" s="51">
        <f t="shared" si="7"/>
        <v>42</v>
      </c>
      <c r="R12" s="52">
        <v>0</v>
      </c>
      <c r="S12" s="53" t="s">
        <v>34</v>
      </c>
      <c r="T12" s="54" t="s">
        <v>34</v>
      </c>
      <c r="U12" s="52">
        <v>0</v>
      </c>
      <c r="V12" s="55">
        <f t="shared" si="8"/>
        <v>0</v>
      </c>
      <c r="W12" s="55">
        <f t="shared" si="9"/>
        <v>0</v>
      </c>
      <c r="X12" s="52">
        <v>0</v>
      </c>
      <c r="Y12" s="52" t="s">
        <v>35</v>
      </c>
      <c r="Z12" s="56">
        <f t="shared" si="19"/>
        <v>-0.75</v>
      </c>
      <c r="AA12" s="55">
        <v>0.12660185185185188</v>
      </c>
      <c r="AB12" s="55">
        <f t="shared" si="11"/>
        <v>-0.14242708333333337</v>
      </c>
      <c r="AC12" s="55">
        <v>-4.9000000000000004</v>
      </c>
      <c r="AD12" s="55">
        <v>-7.8869230769230763</v>
      </c>
      <c r="AE12" s="55">
        <v>0</v>
      </c>
      <c r="AF12" s="55"/>
    </row>
    <row r="13" spans="1:32" s="57" customFormat="1" ht="15.75" customHeight="1">
      <c r="A13" s="17" t="s">
        <v>63</v>
      </c>
      <c r="B13"/>
      <c r="C13" s="51">
        <v>17.989999999999998</v>
      </c>
      <c r="D13" s="51">
        <v>0</v>
      </c>
      <c r="E13" s="51">
        <v>0</v>
      </c>
      <c r="F13" s="51">
        <v>0</v>
      </c>
      <c r="G13" s="51">
        <v>0</v>
      </c>
      <c r="H13" s="51" t="e">
        <f t="shared" si="1"/>
        <v>#DIV/0!</v>
      </c>
      <c r="I13" s="51" t="e">
        <f t="shared" si="2"/>
        <v>#DIV/0!</v>
      </c>
      <c r="J13" s="51">
        <f t="shared" si="4"/>
        <v>-0.14242708333333337</v>
      </c>
      <c r="K13" s="51" t="e">
        <f t="shared" si="3"/>
        <v>#DIV/0!</v>
      </c>
      <c r="L13" s="51">
        <v>0</v>
      </c>
      <c r="M13" s="51" t="str">
        <f t="shared" si="5"/>
        <v>-</v>
      </c>
      <c r="N13" s="51">
        <v>6</v>
      </c>
      <c r="O13" s="51">
        <f t="shared" ref="O13:P13" si="21">D13/7</f>
        <v>0</v>
      </c>
      <c r="P13" s="51">
        <f t="shared" si="21"/>
        <v>0</v>
      </c>
      <c r="Q13" s="51" t="e">
        <f t="shared" si="7"/>
        <v>#DIV/0!</v>
      </c>
      <c r="R13" s="52">
        <v>0</v>
      </c>
      <c r="S13" s="53" t="s">
        <v>34</v>
      </c>
      <c r="T13" s="54" t="s">
        <v>34</v>
      </c>
      <c r="U13" s="52">
        <v>0</v>
      </c>
      <c r="V13" s="55">
        <f t="shared" si="8"/>
        <v>0</v>
      </c>
      <c r="W13" s="55">
        <f t="shared" si="9"/>
        <v>0</v>
      </c>
      <c r="X13" s="52">
        <v>0</v>
      </c>
      <c r="Y13" s="52" t="s">
        <v>35</v>
      </c>
      <c r="Z13" s="56">
        <f t="shared" si="19"/>
        <v>-0.75</v>
      </c>
      <c r="AA13" s="55">
        <v>0.12660185185185188</v>
      </c>
      <c r="AB13" s="55">
        <f t="shared" si="11"/>
        <v>-0.14242708333333337</v>
      </c>
      <c r="AC13" s="55">
        <v>-4.9000000000000004</v>
      </c>
      <c r="AD13" s="55">
        <v>-7.8869230769230763</v>
      </c>
      <c r="AE13" s="55">
        <v>0</v>
      </c>
      <c r="AF13" s="55"/>
    </row>
    <row r="14" spans="1:32" s="57" customFormat="1" ht="15.75" customHeight="1">
      <c r="A14" s="17" t="s">
        <v>64</v>
      </c>
      <c r="B14"/>
      <c r="C14" s="51">
        <v>17.989999999999998</v>
      </c>
      <c r="D14" s="51">
        <v>0</v>
      </c>
      <c r="E14" s="51">
        <v>0</v>
      </c>
      <c r="F14" s="51">
        <v>0</v>
      </c>
      <c r="G14" s="51">
        <v>0</v>
      </c>
      <c r="H14" s="51" t="e">
        <f t="shared" si="1"/>
        <v>#DIV/0!</v>
      </c>
      <c r="I14" s="51" t="e">
        <f t="shared" si="2"/>
        <v>#DIV/0!</v>
      </c>
      <c r="J14" s="51">
        <f t="shared" si="4"/>
        <v>-0.14242708333333337</v>
      </c>
      <c r="K14" s="51" t="e">
        <f t="shared" si="3"/>
        <v>#DIV/0!</v>
      </c>
      <c r="L14" s="51">
        <v>0</v>
      </c>
      <c r="M14" s="51" t="str">
        <f t="shared" si="5"/>
        <v>-</v>
      </c>
      <c r="N14" s="51">
        <v>6</v>
      </c>
      <c r="O14" s="51">
        <f t="shared" ref="O14:P14" si="22">D14/7</f>
        <v>0</v>
      </c>
      <c r="P14" s="51">
        <f t="shared" si="22"/>
        <v>0</v>
      </c>
      <c r="Q14" s="51" t="e">
        <f t="shared" si="7"/>
        <v>#DIV/0!</v>
      </c>
      <c r="R14" s="52">
        <v>0</v>
      </c>
      <c r="S14" s="53" t="s">
        <v>34</v>
      </c>
      <c r="T14" s="54" t="s">
        <v>34</v>
      </c>
      <c r="U14" s="52">
        <v>0</v>
      </c>
      <c r="V14" s="55">
        <f t="shared" si="8"/>
        <v>0</v>
      </c>
      <c r="W14" s="55">
        <f t="shared" si="9"/>
        <v>0</v>
      </c>
      <c r="X14" s="52">
        <v>0</v>
      </c>
      <c r="Y14" s="52" t="s">
        <v>35</v>
      </c>
      <c r="Z14" s="56">
        <f t="shared" si="19"/>
        <v>-0.75</v>
      </c>
      <c r="AA14" s="55">
        <v>0.12660185185185188</v>
      </c>
      <c r="AB14" s="55">
        <f t="shared" si="11"/>
        <v>-0.14242708333333337</v>
      </c>
      <c r="AC14" s="55">
        <v>-4.9000000000000004</v>
      </c>
      <c r="AD14" s="55">
        <v>-7.8869230769230763</v>
      </c>
      <c r="AE14" s="55">
        <v>0</v>
      </c>
      <c r="AF14" s="55"/>
    </row>
    <row r="15" spans="1:32" s="57" customFormat="1" ht="15.75" customHeight="1">
      <c r="A15" s="17" t="s">
        <v>65</v>
      </c>
      <c r="B15"/>
      <c r="C15" s="51">
        <v>18.989999999999998</v>
      </c>
      <c r="D15" s="51">
        <v>0</v>
      </c>
      <c r="E15" s="51">
        <v>0</v>
      </c>
      <c r="F15" s="51">
        <v>0</v>
      </c>
      <c r="G15" s="51">
        <v>0</v>
      </c>
      <c r="H15" s="51" t="e">
        <f t="shared" si="1"/>
        <v>#DIV/0!</v>
      </c>
      <c r="I15" s="51" t="e">
        <f t="shared" si="2"/>
        <v>#DIV/0!</v>
      </c>
      <c r="J15" s="51">
        <f t="shared" si="4"/>
        <v>-0.14242708333333337</v>
      </c>
      <c r="K15" s="51" t="e">
        <f t="shared" si="3"/>
        <v>#DIV/0!</v>
      </c>
      <c r="L15" s="51">
        <v>0</v>
      </c>
      <c r="M15" s="51" t="str">
        <f t="shared" si="5"/>
        <v>-</v>
      </c>
      <c r="N15" s="51">
        <v>6</v>
      </c>
      <c r="O15" s="51">
        <f t="shared" ref="O15:P15" si="23">D15/7</f>
        <v>0</v>
      </c>
      <c r="P15" s="51">
        <f t="shared" si="23"/>
        <v>0</v>
      </c>
      <c r="Q15" s="51" t="e">
        <f t="shared" si="7"/>
        <v>#DIV/0!</v>
      </c>
      <c r="R15" s="52">
        <v>0</v>
      </c>
      <c r="S15" s="53" t="s">
        <v>34</v>
      </c>
      <c r="T15" s="54" t="s">
        <v>34</v>
      </c>
      <c r="U15" s="52">
        <v>0</v>
      </c>
      <c r="V15" s="55">
        <f t="shared" si="8"/>
        <v>0</v>
      </c>
      <c r="W15" s="55">
        <f t="shared" si="9"/>
        <v>0</v>
      </c>
      <c r="X15" s="52">
        <v>0</v>
      </c>
      <c r="Y15" s="52" t="s">
        <v>35</v>
      </c>
      <c r="Z15" s="56">
        <f t="shared" si="19"/>
        <v>-0.75</v>
      </c>
      <c r="AA15" s="55">
        <v>0.12660185185185188</v>
      </c>
      <c r="AB15" s="55">
        <f t="shared" si="11"/>
        <v>-0.14242708333333337</v>
      </c>
      <c r="AC15" s="55">
        <v>-4.9000000000000004</v>
      </c>
      <c r="AD15" s="55">
        <v>-7.8869230769230763</v>
      </c>
      <c r="AE15" s="55">
        <v>0</v>
      </c>
      <c r="AF15" s="55"/>
    </row>
    <row r="16" spans="1:32" s="57" customFormat="1" ht="15.75" customHeight="1">
      <c r="A16" s="17" t="s">
        <v>66</v>
      </c>
      <c r="B16"/>
      <c r="C16" s="51">
        <v>17.989999999999998</v>
      </c>
      <c r="D16" s="51">
        <v>0</v>
      </c>
      <c r="E16" s="51">
        <v>0</v>
      </c>
      <c r="F16" s="51">
        <v>0</v>
      </c>
      <c r="G16" s="51">
        <v>0</v>
      </c>
      <c r="H16" s="51" t="e">
        <f t="shared" si="1"/>
        <v>#DIV/0!</v>
      </c>
      <c r="I16" s="51" t="e">
        <f t="shared" si="2"/>
        <v>#DIV/0!</v>
      </c>
      <c r="J16" s="51">
        <f t="shared" si="4"/>
        <v>-0.14242708333333337</v>
      </c>
      <c r="K16" s="51" t="e">
        <f t="shared" si="3"/>
        <v>#DIV/0!</v>
      </c>
      <c r="L16" s="51">
        <v>0</v>
      </c>
      <c r="M16" s="51" t="str">
        <f t="shared" si="5"/>
        <v>-</v>
      </c>
      <c r="N16" s="51">
        <v>6</v>
      </c>
      <c r="O16" s="51">
        <f t="shared" ref="O16:P16" si="24">D16/7</f>
        <v>0</v>
      </c>
      <c r="P16" s="51">
        <f t="shared" si="24"/>
        <v>0</v>
      </c>
      <c r="Q16" s="51" t="e">
        <f t="shared" si="7"/>
        <v>#DIV/0!</v>
      </c>
      <c r="R16" s="52">
        <v>0</v>
      </c>
      <c r="S16" s="53" t="s">
        <v>34</v>
      </c>
      <c r="T16" s="54" t="s">
        <v>34</v>
      </c>
      <c r="U16" s="52">
        <v>0</v>
      </c>
      <c r="V16" s="55">
        <f t="shared" si="8"/>
        <v>0</v>
      </c>
      <c r="W16" s="55">
        <f t="shared" si="9"/>
        <v>0</v>
      </c>
      <c r="X16" s="52">
        <v>0</v>
      </c>
      <c r="Y16" s="52" t="s">
        <v>35</v>
      </c>
      <c r="Z16" s="56">
        <f t="shared" si="19"/>
        <v>-0.75</v>
      </c>
      <c r="AA16" s="55">
        <v>0.12660185185185188</v>
      </c>
      <c r="AB16" s="55">
        <f t="shared" si="11"/>
        <v>-0.14242708333333337</v>
      </c>
      <c r="AC16" s="55">
        <v>-4.9000000000000004</v>
      </c>
      <c r="AD16" s="55">
        <v>-7.8869230769230763</v>
      </c>
      <c r="AE16" s="55">
        <v>0</v>
      </c>
      <c r="AF16" s="55"/>
    </row>
    <row r="17" spans="1:32" s="57" customFormat="1" ht="15.75" customHeight="1">
      <c r="A17" s="17" t="s">
        <v>67</v>
      </c>
      <c r="B17"/>
      <c r="C17" s="51">
        <v>17.989999999999998</v>
      </c>
      <c r="D17" s="51">
        <v>0</v>
      </c>
      <c r="E17" s="51">
        <v>0</v>
      </c>
      <c r="F17" s="51">
        <v>0</v>
      </c>
      <c r="G17" s="51">
        <v>0</v>
      </c>
      <c r="H17" s="51" t="e">
        <f t="shared" si="1"/>
        <v>#DIV/0!</v>
      </c>
      <c r="I17" s="51" t="e">
        <f t="shared" si="2"/>
        <v>#DIV/0!</v>
      </c>
      <c r="J17" s="51">
        <f t="shared" si="4"/>
        <v>-0.14242708333333337</v>
      </c>
      <c r="K17" s="51" t="e">
        <f t="shared" si="3"/>
        <v>#DIV/0!</v>
      </c>
      <c r="L17" s="51">
        <v>68</v>
      </c>
      <c r="M17" s="51">
        <f t="shared" si="5"/>
        <v>0</v>
      </c>
      <c r="N17" s="51">
        <v>6</v>
      </c>
      <c r="O17" s="51">
        <f t="shared" ref="O17:P17" si="25">D17/7</f>
        <v>0</v>
      </c>
      <c r="P17" s="51">
        <f t="shared" si="25"/>
        <v>0</v>
      </c>
      <c r="Q17" s="51" t="e">
        <f t="shared" si="7"/>
        <v>#DIV/0!</v>
      </c>
      <c r="R17" s="52">
        <v>0</v>
      </c>
      <c r="S17" s="53" t="s">
        <v>34</v>
      </c>
      <c r="T17" s="54" t="s">
        <v>34</v>
      </c>
      <c r="U17" s="52">
        <v>0</v>
      </c>
      <c r="V17" s="55">
        <f t="shared" si="8"/>
        <v>0</v>
      </c>
      <c r="W17" s="55">
        <f t="shared" si="9"/>
        <v>0</v>
      </c>
      <c r="X17" s="52">
        <v>0</v>
      </c>
      <c r="Y17" s="52" t="s">
        <v>35</v>
      </c>
      <c r="Z17" s="56">
        <f t="shared" si="19"/>
        <v>-0.75</v>
      </c>
      <c r="AA17" s="55">
        <v>0.12660185185185188</v>
      </c>
      <c r="AB17" s="55">
        <f t="shared" si="11"/>
        <v>-0.14242708333333337</v>
      </c>
      <c r="AC17" s="55">
        <v>-4.9000000000000004</v>
      </c>
      <c r="AD17" s="55">
        <v>-7.8869230769230763</v>
      </c>
      <c r="AE17" s="55">
        <v>0</v>
      </c>
      <c r="AF17" s="55"/>
    </row>
    <row r="18" spans="1:32" s="57" customFormat="1" ht="15.75" customHeight="1">
      <c r="A18" s="2" t="s">
        <v>69</v>
      </c>
      <c r="B18" s="2" t="s">
        <v>178</v>
      </c>
      <c r="C18" s="51">
        <v>15.99</v>
      </c>
      <c r="D18" s="51">
        <v>2</v>
      </c>
      <c r="E18" s="51">
        <v>0</v>
      </c>
      <c r="F18" s="51">
        <v>35.979999999999997</v>
      </c>
      <c r="G18" s="51">
        <v>0</v>
      </c>
      <c r="H18" s="51">
        <f t="shared" si="1"/>
        <v>0</v>
      </c>
      <c r="I18" s="51">
        <f t="shared" si="2"/>
        <v>0.12338647895554498</v>
      </c>
      <c r="J18" s="51">
        <f t="shared" si="4"/>
        <v>4.4394455128205079</v>
      </c>
      <c r="K18" s="51">
        <f t="shared" si="3"/>
        <v>2.219722756410254</v>
      </c>
      <c r="L18" s="51">
        <v>74</v>
      </c>
      <c r="M18" s="51">
        <f t="shared" si="5"/>
        <v>2.7027027027027029E-2</v>
      </c>
      <c r="N18" s="51">
        <v>4</v>
      </c>
      <c r="O18" s="51">
        <f t="shared" ref="O18:P18" si="26">D18/7</f>
        <v>0.2857142857142857</v>
      </c>
      <c r="P18" s="51">
        <f t="shared" si="26"/>
        <v>0</v>
      </c>
      <c r="Q18" s="51">
        <f t="shared" si="7"/>
        <v>14</v>
      </c>
      <c r="R18" s="55">
        <v>0</v>
      </c>
      <c r="S18" s="53" t="s">
        <v>34</v>
      </c>
      <c r="T18" s="54" t="s">
        <v>34</v>
      </c>
      <c r="U18" s="55">
        <v>0</v>
      </c>
      <c r="V18" s="55">
        <f t="shared" si="8"/>
        <v>0</v>
      </c>
      <c r="W18" s="55">
        <f t="shared" si="9"/>
        <v>0</v>
      </c>
      <c r="X18" s="55">
        <v>0</v>
      </c>
      <c r="Y18" s="55" t="s">
        <v>35</v>
      </c>
      <c r="Z18" s="56">
        <f t="shared" si="19"/>
        <v>-0.75</v>
      </c>
      <c r="AA18" s="55">
        <v>0.12660185185185188</v>
      </c>
      <c r="AB18" s="58">
        <f t="shared" ref="AB18:AB39" si="27">IFERROR(Z18*AA18*D18*3,0)</f>
        <v>-0.56970833333333348</v>
      </c>
      <c r="AC18" s="55">
        <v>-4.9000000000000004</v>
      </c>
      <c r="AD18" s="55">
        <v>-7.8869230769230763</v>
      </c>
      <c r="AE18" s="55">
        <v>0</v>
      </c>
      <c r="AF18" s="55"/>
    </row>
    <row r="19" spans="1:32" s="57" customFormat="1" ht="15.75" customHeight="1">
      <c r="A19" s="17" t="s">
        <v>71</v>
      </c>
      <c r="B19"/>
      <c r="C19" s="51">
        <v>14.99</v>
      </c>
      <c r="D19" s="51">
        <v>1</v>
      </c>
      <c r="E19" s="51">
        <v>0</v>
      </c>
      <c r="F19" s="51">
        <v>14.99</v>
      </c>
      <c r="G19" s="51">
        <v>0</v>
      </c>
      <c r="H19" s="51">
        <f t="shared" si="1"/>
        <v>0</v>
      </c>
      <c r="I19" s="51">
        <f t="shared" si="2"/>
        <v>-2.2033171687107611E-2</v>
      </c>
      <c r="J19" s="51">
        <f t="shared" si="4"/>
        <v>-0.33027724358974309</v>
      </c>
      <c r="K19" s="51">
        <f t="shared" si="3"/>
        <v>-0.33027724358974309</v>
      </c>
      <c r="L19" s="51">
        <v>80</v>
      </c>
      <c r="M19" s="51">
        <f t="shared" si="5"/>
        <v>1.2500000000000001E-2</v>
      </c>
      <c r="N19" s="51">
        <v>3</v>
      </c>
      <c r="O19" s="51">
        <f t="shared" ref="O19:P19" si="28">D19/7</f>
        <v>0.14285714285714285</v>
      </c>
      <c r="P19" s="51">
        <f t="shared" si="28"/>
        <v>0</v>
      </c>
      <c r="Q19" s="51">
        <f t="shared" si="7"/>
        <v>21</v>
      </c>
      <c r="R19" s="52">
        <v>0</v>
      </c>
      <c r="S19" s="53" t="s">
        <v>34</v>
      </c>
      <c r="T19" s="54" t="s">
        <v>34</v>
      </c>
      <c r="U19" s="55">
        <v>0</v>
      </c>
      <c r="V19" s="55">
        <f t="shared" si="8"/>
        <v>0</v>
      </c>
      <c r="W19" s="55">
        <f t="shared" si="9"/>
        <v>0</v>
      </c>
      <c r="X19" s="52">
        <v>0</v>
      </c>
      <c r="Y19" s="52" t="s">
        <v>35</v>
      </c>
      <c r="Z19" s="56">
        <f t="shared" si="19"/>
        <v>-0.75</v>
      </c>
      <c r="AA19" s="55">
        <v>0.12660185185185188</v>
      </c>
      <c r="AB19" s="55">
        <f t="shared" si="27"/>
        <v>-0.28485416666666674</v>
      </c>
      <c r="AC19" s="55">
        <v>-4.9000000000000004</v>
      </c>
      <c r="AD19" s="55">
        <v>-7.8869230769230763</v>
      </c>
      <c r="AE19" s="55">
        <v>0</v>
      </c>
      <c r="AF19" s="55"/>
    </row>
    <row r="20" spans="1:32" s="57" customFormat="1" ht="15.75" customHeight="1">
      <c r="A20" s="17" t="s">
        <v>73</v>
      </c>
      <c r="B20"/>
      <c r="C20" s="51">
        <v>13.54</v>
      </c>
      <c r="D20" s="51">
        <v>2</v>
      </c>
      <c r="E20" s="51">
        <v>0</v>
      </c>
      <c r="F20" s="51">
        <v>27.06</v>
      </c>
      <c r="G20" s="51">
        <v>0</v>
      </c>
      <c r="H20" s="51">
        <f t="shared" si="1"/>
        <v>0</v>
      </c>
      <c r="I20" s="51">
        <f t="shared" si="2"/>
        <v>-0.1161328339681999</v>
      </c>
      <c r="J20" s="51">
        <f t="shared" si="4"/>
        <v>-3.1425544871794893</v>
      </c>
      <c r="K20" s="51">
        <f t="shared" si="3"/>
        <v>-1.5712772435897446</v>
      </c>
      <c r="L20" s="51">
        <v>78</v>
      </c>
      <c r="M20" s="51">
        <f t="shared" si="5"/>
        <v>2.564102564102564E-2</v>
      </c>
      <c r="N20" s="51">
        <v>0</v>
      </c>
      <c r="O20" s="51">
        <f t="shared" ref="O20:P20" si="29">D20/7</f>
        <v>0.2857142857142857</v>
      </c>
      <c r="P20" s="51">
        <f t="shared" si="29"/>
        <v>0</v>
      </c>
      <c r="Q20" s="51">
        <f t="shared" si="7"/>
        <v>0</v>
      </c>
      <c r="R20" s="52">
        <v>0</v>
      </c>
      <c r="S20" s="53" t="s">
        <v>34</v>
      </c>
      <c r="T20" s="54" t="s">
        <v>34</v>
      </c>
      <c r="U20" s="52">
        <v>0</v>
      </c>
      <c r="V20" s="55">
        <f t="shared" si="8"/>
        <v>0</v>
      </c>
      <c r="W20" s="55">
        <f t="shared" si="9"/>
        <v>0</v>
      </c>
      <c r="X20" s="52">
        <v>0</v>
      </c>
      <c r="Y20" s="52" t="s">
        <v>35</v>
      </c>
      <c r="Z20" s="56">
        <f t="shared" si="19"/>
        <v>-0.75</v>
      </c>
      <c r="AA20" s="55">
        <v>0.12660185185185188</v>
      </c>
      <c r="AB20" s="55">
        <f t="shared" si="27"/>
        <v>-0.56970833333333348</v>
      </c>
      <c r="AC20" s="55">
        <v>-4.9000000000000004</v>
      </c>
      <c r="AD20" s="55">
        <v>-7.8869230769230763</v>
      </c>
      <c r="AE20" s="55">
        <v>0</v>
      </c>
      <c r="AF20" s="55"/>
    </row>
    <row r="21" spans="1:32" s="57" customFormat="1" ht="15.75" customHeight="1">
      <c r="A21" s="17" t="s">
        <v>75</v>
      </c>
      <c r="B21"/>
      <c r="C21" s="51">
        <v>17.23</v>
      </c>
      <c r="D21" s="51">
        <v>1</v>
      </c>
      <c r="E21" s="51">
        <v>0</v>
      </c>
      <c r="F21" s="51">
        <v>17.23</v>
      </c>
      <c r="G21" s="51">
        <v>-0.02</v>
      </c>
      <c r="H21" s="51">
        <f t="shared" si="1"/>
        <v>1.1607661056297156E-3</v>
      </c>
      <c r="I21" s="51">
        <f t="shared" si="2"/>
        <v>9.0175435659330075E-2</v>
      </c>
      <c r="J21" s="51">
        <f t="shared" si="4"/>
        <v>1.5537227564102571</v>
      </c>
      <c r="K21" s="51">
        <f t="shared" si="3"/>
        <v>1.5537227564102571</v>
      </c>
      <c r="L21" s="51">
        <v>135</v>
      </c>
      <c r="M21" s="51">
        <f t="shared" si="5"/>
        <v>7.4074074074074077E-3</v>
      </c>
      <c r="N21" s="51">
        <v>0</v>
      </c>
      <c r="O21" s="51">
        <f t="shared" ref="O21:P21" si="30">D21/7</f>
        <v>0.14285714285714285</v>
      </c>
      <c r="P21" s="51">
        <f t="shared" si="30"/>
        <v>0</v>
      </c>
      <c r="Q21" s="51">
        <f t="shared" si="7"/>
        <v>0</v>
      </c>
      <c r="R21" s="52">
        <v>0</v>
      </c>
      <c r="S21" s="53" t="s">
        <v>34</v>
      </c>
      <c r="T21" s="54" t="s">
        <v>34</v>
      </c>
      <c r="U21" s="52">
        <v>1</v>
      </c>
      <c r="V21" s="55">
        <f t="shared" si="8"/>
        <v>1</v>
      </c>
      <c r="W21" s="55">
        <f t="shared" si="9"/>
        <v>0.02</v>
      </c>
      <c r="X21" s="52">
        <v>0</v>
      </c>
      <c r="Y21" s="52" t="s">
        <v>35</v>
      </c>
      <c r="Z21" s="56">
        <f t="shared" si="19"/>
        <v>-0.75</v>
      </c>
      <c r="AA21" s="55">
        <v>0.12660185185185188</v>
      </c>
      <c r="AB21" s="55">
        <f t="shared" si="27"/>
        <v>-0.28485416666666674</v>
      </c>
      <c r="AC21" s="55">
        <v>-4.9000000000000004</v>
      </c>
      <c r="AD21" s="55">
        <v>-7.8869230769230763</v>
      </c>
      <c r="AE21" s="55">
        <v>0</v>
      </c>
      <c r="AF21" s="55"/>
    </row>
    <row r="22" spans="1:32" s="57" customFormat="1" ht="15.75" customHeight="1">
      <c r="A22" s="17" t="s">
        <v>77</v>
      </c>
      <c r="B22"/>
      <c r="C22" s="51" t="s">
        <v>397</v>
      </c>
      <c r="D22" s="51">
        <v>0</v>
      </c>
      <c r="E22" s="51">
        <v>0</v>
      </c>
      <c r="F22" s="51">
        <v>0</v>
      </c>
      <c r="G22" s="51">
        <v>0</v>
      </c>
      <c r="H22" s="51" t="e">
        <f t="shared" si="1"/>
        <v>#DIV/0!</v>
      </c>
      <c r="I22" s="51" t="e">
        <f t="shared" si="2"/>
        <v>#DIV/0!</v>
      </c>
      <c r="J22" s="51">
        <f t="shared" si="4"/>
        <v>0</v>
      </c>
      <c r="K22" s="51" t="e">
        <f t="shared" si="3"/>
        <v>#DIV/0!</v>
      </c>
      <c r="L22" s="51">
        <v>0</v>
      </c>
      <c r="M22" s="51" t="str">
        <f t="shared" si="5"/>
        <v>-</v>
      </c>
      <c r="N22" s="51">
        <v>0</v>
      </c>
      <c r="O22" s="51">
        <f t="shared" ref="O22:P22" si="31">D22/7</f>
        <v>0</v>
      </c>
      <c r="P22" s="51">
        <f t="shared" si="31"/>
        <v>0</v>
      </c>
      <c r="Q22" s="51" t="e">
        <f t="shared" si="7"/>
        <v>#DIV/0!</v>
      </c>
      <c r="R22" s="52">
        <v>0</v>
      </c>
      <c r="S22" s="53" t="s">
        <v>34</v>
      </c>
      <c r="T22" s="54" t="s">
        <v>34</v>
      </c>
      <c r="U22" s="52">
        <v>0</v>
      </c>
      <c r="V22" s="55">
        <f t="shared" si="8"/>
        <v>0</v>
      </c>
      <c r="W22" s="55">
        <f t="shared" si="9"/>
        <v>0</v>
      </c>
      <c r="X22" s="52">
        <v>0</v>
      </c>
      <c r="Y22" s="52" t="e">
        <v>#N/A</v>
      </c>
      <c r="Z22" s="56" t="e">
        <f t="shared" si="19"/>
        <v>#N/A</v>
      </c>
      <c r="AA22" s="55" t="e">
        <v>#N/A</v>
      </c>
      <c r="AB22" s="55">
        <f t="shared" si="27"/>
        <v>0</v>
      </c>
      <c r="AC22" s="55">
        <v>0</v>
      </c>
      <c r="AD22" s="55">
        <v>-7.8869230769230763</v>
      </c>
      <c r="AE22" s="55">
        <v>0</v>
      </c>
      <c r="AF22" s="55"/>
    </row>
    <row r="23" spans="1:32" s="57" customFormat="1" ht="15.75" customHeight="1">
      <c r="A23" s="17" t="s">
        <v>79</v>
      </c>
      <c r="B23"/>
      <c r="C23" s="51" t="s">
        <v>397</v>
      </c>
      <c r="D23" s="51">
        <v>0</v>
      </c>
      <c r="E23" s="51">
        <v>0</v>
      </c>
      <c r="F23" s="51">
        <v>0</v>
      </c>
      <c r="G23" s="51">
        <v>0</v>
      </c>
      <c r="H23" s="51" t="e">
        <f t="shared" si="1"/>
        <v>#DIV/0!</v>
      </c>
      <c r="I23" s="51" t="e">
        <f t="shared" si="2"/>
        <v>#DIV/0!</v>
      </c>
      <c r="J23" s="51">
        <f t="shared" si="4"/>
        <v>0</v>
      </c>
      <c r="K23" s="51" t="e">
        <f t="shared" si="3"/>
        <v>#DIV/0!</v>
      </c>
      <c r="L23" s="51">
        <v>0</v>
      </c>
      <c r="M23" s="51" t="str">
        <f t="shared" si="5"/>
        <v>-</v>
      </c>
      <c r="N23" s="51">
        <v>0</v>
      </c>
      <c r="O23" s="51">
        <f t="shared" ref="O23:P23" si="32">D23/7</f>
        <v>0</v>
      </c>
      <c r="P23" s="51">
        <f t="shared" si="32"/>
        <v>0</v>
      </c>
      <c r="Q23" s="51" t="e">
        <f t="shared" si="7"/>
        <v>#DIV/0!</v>
      </c>
      <c r="R23" s="52">
        <v>0</v>
      </c>
      <c r="S23" s="53" t="s">
        <v>34</v>
      </c>
      <c r="T23" s="54" t="s">
        <v>34</v>
      </c>
      <c r="U23" s="52">
        <v>0</v>
      </c>
      <c r="V23" s="55">
        <f t="shared" si="8"/>
        <v>0</v>
      </c>
      <c r="W23" s="55">
        <f t="shared" si="9"/>
        <v>0</v>
      </c>
      <c r="X23" s="52">
        <v>0</v>
      </c>
      <c r="Y23" s="52" t="e">
        <v>#N/A</v>
      </c>
      <c r="Z23" s="56" t="e">
        <f t="shared" si="19"/>
        <v>#N/A</v>
      </c>
      <c r="AA23" s="55" t="e">
        <v>#N/A</v>
      </c>
      <c r="AB23" s="55">
        <f t="shared" si="27"/>
        <v>0</v>
      </c>
      <c r="AC23" s="55">
        <v>0</v>
      </c>
      <c r="AD23" s="55">
        <v>-7.8869230769230763</v>
      </c>
      <c r="AE23" s="55">
        <v>0</v>
      </c>
      <c r="AF23" s="55"/>
    </row>
    <row r="24" spans="1:32" s="57" customFormat="1" ht="15.75" customHeight="1">
      <c r="A24" s="17" t="s">
        <v>80</v>
      </c>
      <c r="B24"/>
      <c r="C24" s="51"/>
      <c r="D24" s="51">
        <v>0</v>
      </c>
      <c r="E24" s="51">
        <v>0</v>
      </c>
      <c r="F24" s="51">
        <v>0</v>
      </c>
      <c r="G24" s="51">
        <v>0</v>
      </c>
      <c r="H24" s="51" t="e">
        <f t="shared" si="1"/>
        <v>#DIV/0!</v>
      </c>
      <c r="I24" s="51" t="e">
        <f t="shared" si="2"/>
        <v>#DIV/0!</v>
      </c>
      <c r="J24" s="51">
        <f t="shared" si="4"/>
        <v>0</v>
      </c>
      <c r="K24" s="51" t="e">
        <f t="shared" si="3"/>
        <v>#DIV/0!</v>
      </c>
      <c r="L24" s="51">
        <v>0</v>
      </c>
      <c r="M24" s="51" t="str">
        <f t="shared" si="5"/>
        <v>-</v>
      </c>
      <c r="N24" s="51">
        <v>0</v>
      </c>
      <c r="O24" s="51">
        <f t="shared" ref="O24:P24" si="33">D24/7</f>
        <v>0</v>
      </c>
      <c r="P24" s="51">
        <f t="shared" si="33"/>
        <v>0</v>
      </c>
      <c r="Q24" s="51" t="e">
        <f t="shared" si="7"/>
        <v>#DIV/0!</v>
      </c>
      <c r="R24" s="52">
        <v>0</v>
      </c>
      <c r="S24" s="53" t="s">
        <v>34</v>
      </c>
      <c r="T24" s="54" t="s">
        <v>34</v>
      </c>
      <c r="U24" s="52">
        <v>0</v>
      </c>
      <c r="V24" s="55">
        <f t="shared" si="8"/>
        <v>0</v>
      </c>
      <c r="W24" s="55">
        <f t="shared" si="9"/>
        <v>0</v>
      </c>
      <c r="X24" s="52">
        <v>0</v>
      </c>
      <c r="Y24" s="52" t="e">
        <v>#N/A</v>
      </c>
      <c r="Z24" s="56" t="e">
        <f t="shared" si="19"/>
        <v>#N/A</v>
      </c>
      <c r="AA24" s="55" t="e">
        <v>#N/A</v>
      </c>
      <c r="AB24" s="55">
        <f t="shared" si="27"/>
        <v>0</v>
      </c>
      <c r="AC24" s="55">
        <v>0</v>
      </c>
      <c r="AD24" s="55">
        <v>-7.8869230769230763</v>
      </c>
      <c r="AE24" s="55">
        <v>0</v>
      </c>
      <c r="AF24" s="55"/>
    </row>
    <row r="25" spans="1:32" s="57" customFormat="1" ht="15.75" customHeight="1">
      <c r="A25" s="17" t="s">
        <v>81</v>
      </c>
      <c r="B25"/>
      <c r="C25" s="51"/>
      <c r="D25" s="51">
        <v>0</v>
      </c>
      <c r="E25" s="51">
        <v>0</v>
      </c>
      <c r="F25" s="51">
        <v>0</v>
      </c>
      <c r="G25" s="51">
        <v>0</v>
      </c>
      <c r="H25" s="51" t="e">
        <f t="shared" si="1"/>
        <v>#DIV/0!</v>
      </c>
      <c r="I25" s="51" t="e">
        <f t="shared" si="2"/>
        <v>#DIV/0!</v>
      </c>
      <c r="J25" s="51">
        <f t="shared" si="4"/>
        <v>0</v>
      </c>
      <c r="K25" s="51" t="e">
        <f t="shared" si="3"/>
        <v>#DIV/0!</v>
      </c>
      <c r="L25" s="51">
        <v>0</v>
      </c>
      <c r="M25" s="51" t="str">
        <f t="shared" si="5"/>
        <v>-</v>
      </c>
      <c r="N25" s="51">
        <v>0</v>
      </c>
      <c r="O25" s="51">
        <f t="shared" ref="O25:P25" si="34">D25/7</f>
        <v>0</v>
      </c>
      <c r="P25" s="51">
        <f t="shared" si="34"/>
        <v>0</v>
      </c>
      <c r="Q25" s="51" t="e">
        <f t="shared" si="7"/>
        <v>#DIV/0!</v>
      </c>
      <c r="R25" s="52">
        <v>0</v>
      </c>
      <c r="S25" s="53" t="s">
        <v>34</v>
      </c>
      <c r="T25" s="54" t="s">
        <v>34</v>
      </c>
      <c r="U25" s="52">
        <v>0</v>
      </c>
      <c r="V25" s="55">
        <f t="shared" si="8"/>
        <v>0</v>
      </c>
      <c r="W25" s="55">
        <f t="shared" si="9"/>
        <v>0</v>
      </c>
      <c r="X25" s="52">
        <v>0</v>
      </c>
      <c r="Y25" s="52" t="e">
        <v>#N/A</v>
      </c>
      <c r="Z25" s="56" t="e">
        <f t="shared" si="19"/>
        <v>#N/A</v>
      </c>
      <c r="AA25" s="55" t="e">
        <v>#N/A</v>
      </c>
      <c r="AB25" s="55">
        <f t="shared" si="27"/>
        <v>0</v>
      </c>
      <c r="AC25" s="55">
        <v>0</v>
      </c>
      <c r="AD25" s="55">
        <v>-7.8869230769230763</v>
      </c>
      <c r="AE25" s="55">
        <v>0</v>
      </c>
      <c r="AF25" s="55"/>
    </row>
    <row r="26" spans="1:32" s="57" customFormat="1" ht="15.75" customHeight="1">
      <c r="A26" s="17" t="s">
        <v>83</v>
      </c>
      <c r="B26"/>
      <c r="C26" s="51" t="str">
        <f t="shared" ref="C26:C39" si="35">IFERROR(F26/D26," - ")</f>
        <v xml:space="preserve"> - </v>
      </c>
      <c r="D26" s="51">
        <v>0</v>
      </c>
      <c r="E26" s="51">
        <v>0</v>
      </c>
      <c r="F26" s="51">
        <v>0</v>
      </c>
      <c r="G26" s="51">
        <v>0</v>
      </c>
      <c r="H26" s="51" t="e">
        <f t="shared" si="1"/>
        <v>#DIV/0!</v>
      </c>
      <c r="I26" s="51" t="e">
        <f t="shared" si="2"/>
        <v>#DIV/0!</v>
      </c>
      <c r="J26" s="51">
        <f t="shared" si="4"/>
        <v>0</v>
      </c>
      <c r="K26" s="51" t="e">
        <f t="shared" si="3"/>
        <v>#DIV/0!</v>
      </c>
      <c r="L26" s="51">
        <v>0</v>
      </c>
      <c r="M26" s="51" t="str">
        <f t="shared" si="5"/>
        <v>-</v>
      </c>
      <c r="N26" s="51">
        <v>0</v>
      </c>
      <c r="O26" s="51">
        <f t="shared" ref="O26:P26" si="36">D26/7</f>
        <v>0</v>
      </c>
      <c r="P26" s="51">
        <f t="shared" si="36"/>
        <v>0</v>
      </c>
      <c r="Q26" s="51" t="e">
        <f t="shared" si="7"/>
        <v>#DIV/0!</v>
      </c>
      <c r="R26" s="52">
        <v>0</v>
      </c>
      <c r="S26" s="53" t="s">
        <v>34</v>
      </c>
      <c r="T26" s="54" t="s">
        <v>34</v>
      </c>
      <c r="U26" s="52">
        <v>0</v>
      </c>
      <c r="V26" s="55">
        <f t="shared" si="8"/>
        <v>0</v>
      </c>
      <c r="W26" s="55">
        <f t="shared" si="9"/>
        <v>0</v>
      </c>
      <c r="X26" s="52">
        <v>0</v>
      </c>
      <c r="Y26" s="52" t="e">
        <v>#N/A</v>
      </c>
      <c r="Z26" s="56" t="e">
        <f t="shared" si="19"/>
        <v>#N/A</v>
      </c>
      <c r="AA26" s="55" t="e">
        <v>#N/A</v>
      </c>
      <c r="AB26" s="55">
        <f t="shared" si="27"/>
        <v>0</v>
      </c>
      <c r="AC26" s="55">
        <v>0</v>
      </c>
      <c r="AD26" s="55">
        <v>-7.8869230769230763</v>
      </c>
      <c r="AE26" s="55">
        <v>0</v>
      </c>
      <c r="AF26" s="55"/>
    </row>
    <row r="27" spans="1:32" s="57" customFormat="1" ht="15.75" customHeight="1">
      <c r="A27" s="17" t="s">
        <v>84</v>
      </c>
      <c r="B27"/>
      <c r="C27" s="51" t="str">
        <f t="shared" si="35"/>
        <v xml:space="preserve"> - </v>
      </c>
      <c r="D27" s="51">
        <v>0</v>
      </c>
      <c r="E27" s="51">
        <v>0</v>
      </c>
      <c r="F27" s="51">
        <v>0</v>
      </c>
      <c r="G27" s="51">
        <v>0</v>
      </c>
      <c r="H27" s="51" t="e">
        <f t="shared" si="1"/>
        <v>#DIV/0!</v>
      </c>
      <c r="I27" s="51" t="e">
        <f t="shared" si="2"/>
        <v>#DIV/0!</v>
      </c>
      <c r="J27" s="51">
        <f t="shared" si="4"/>
        <v>0</v>
      </c>
      <c r="K27" s="51" t="e">
        <f t="shared" si="3"/>
        <v>#DIV/0!</v>
      </c>
      <c r="L27" s="51">
        <v>0</v>
      </c>
      <c r="M27" s="51" t="str">
        <f t="shared" si="5"/>
        <v>-</v>
      </c>
      <c r="N27" s="51">
        <v>0</v>
      </c>
      <c r="O27" s="51">
        <f t="shared" ref="O27:P27" si="37">D27/7</f>
        <v>0</v>
      </c>
      <c r="P27" s="51">
        <f t="shared" si="37"/>
        <v>0</v>
      </c>
      <c r="Q27" s="51" t="e">
        <f t="shared" si="7"/>
        <v>#DIV/0!</v>
      </c>
      <c r="R27" s="52">
        <v>0</v>
      </c>
      <c r="S27" s="53" t="s">
        <v>34</v>
      </c>
      <c r="T27" s="54" t="s">
        <v>34</v>
      </c>
      <c r="U27" s="52">
        <v>0</v>
      </c>
      <c r="V27" s="55">
        <f t="shared" si="8"/>
        <v>0</v>
      </c>
      <c r="W27" s="55">
        <f t="shared" si="9"/>
        <v>0</v>
      </c>
      <c r="X27" s="52">
        <v>0</v>
      </c>
      <c r="Y27" s="52" t="e">
        <v>#N/A</v>
      </c>
      <c r="Z27" s="56" t="e">
        <f t="shared" si="19"/>
        <v>#N/A</v>
      </c>
      <c r="AA27" s="55" t="e">
        <v>#N/A</v>
      </c>
      <c r="AB27" s="55">
        <f t="shared" si="27"/>
        <v>0</v>
      </c>
      <c r="AC27" s="55">
        <v>0</v>
      </c>
      <c r="AD27" s="55">
        <v>-7.8869230769230763</v>
      </c>
      <c r="AE27" s="55">
        <v>0</v>
      </c>
      <c r="AF27" s="55"/>
    </row>
    <row r="28" spans="1:32" s="57" customFormat="1" ht="15.75" customHeight="1">
      <c r="A28" s="17" t="s">
        <v>86</v>
      </c>
      <c r="B28"/>
      <c r="C28" s="51" t="str">
        <f t="shared" si="35"/>
        <v xml:space="preserve"> - </v>
      </c>
      <c r="D28" s="51">
        <v>0</v>
      </c>
      <c r="E28" s="51">
        <v>0</v>
      </c>
      <c r="F28" s="51">
        <v>0</v>
      </c>
      <c r="G28" s="51">
        <v>0</v>
      </c>
      <c r="H28" s="51" t="e">
        <f t="shared" si="1"/>
        <v>#DIV/0!</v>
      </c>
      <c r="I28" s="51" t="e">
        <f t="shared" si="2"/>
        <v>#DIV/0!</v>
      </c>
      <c r="J28" s="51">
        <f t="shared" si="4"/>
        <v>0</v>
      </c>
      <c r="K28" s="51" t="e">
        <f t="shared" si="3"/>
        <v>#DIV/0!</v>
      </c>
      <c r="L28" s="51">
        <v>0</v>
      </c>
      <c r="M28" s="51" t="str">
        <f t="shared" si="5"/>
        <v>-</v>
      </c>
      <c r="N28" s="51">
        <v>0</v>
      </c>
      <c r="O28" s="51">
        <f t="shared" ref="O28:P28" si="38">D28/7</f>
        <v>0</v>
      </c>
      <c r="P28" s="51">
        <f t="shared" si="38"/>
        <v>0</v>
      </c>
      <c r="Q28" s="51" t="e">
        <f t="shared" si="7"/>
        <v>#DIV/0!</v>
      </c>
      <c r="R28" s="52">
        <v>0</v>
      </c>
      <c r="S28" s="53" t="s">
        <v>34</v>
      </c>
      <c r="T28" s="54" t="s">
        <v>34</v>
      </c>
      <c r="U28" s="52">
        <v>0</v>
      </c>
      <c r="V28" s="55">
        <f t="shared" si="8"/>
        <v>0</v>
      </c>
      <c r="W28" s="55">
        <f t="shared" si="9"/>
        <v>0</v>
      </c>
      <c r="X28" s="52">
        <v>0</v>
      </c>
      <c r="Y28" s="52" t="e">
        <v>#N/A</v>
      </c>
      <c r="Z28" s="56" t="e">
        <f t="shared" si="19"/>
        <v>#N/A</v>
      </c>
      <c r="AA28" s="55" t="e">
        <v>#N/A</v>
      </c>
      <c r="AB28" s="55">
        <f t="shared" si="27"/>
        <v>0</v>
      </c>
      <c r="AC28" s="55">
        <v>0</v>
      </c>
      <c r="AD28" s="55">
        <v>-7.8869230769230763</v>
      </c>
      <c r="AE28" s="55">
        <v>0</v>
      </c>
      <c r="AF28" s="55"/>
    </row>
    <row r="29" spans="1:32" s="57" customFormat="1" ht="15.75" customHeight="1">
      <c r="A29" s="17" t="s">
        <v>87</v>
      </c>
      <c r="B29"/>
      <c r="C29" s="51" t="str">
        <f t="shared" si="35"/>
        <v xml:space="preserve"> - </v>
      </c>
      <c r="D29" s="51">
        <v>0</v>
      </c>
      <c r="E29" s="51">
        <v>0</v>
      </c>
      <c r="F29" s="51">
        <v>0</v>
      </c>
      <c r="G29" s="51">
        <v>0</v>
      </c>
      <c r="H29" s="51" t="e">
        <f t="shared" si="1"/>
        <v>#DIV/0!</v>
      </c>
      <c r="I29" s="51" t="e">
        <f t="shared" si="2"/>
        <v>#DIV/0!</v>
      </c>
      <c r="J29" s="51">
        <f t="shared" si="4"/>
        <v>0</v>
      </c>
      <c r="K29" s="51" t="e">
        <f t="shared" si="3"/>
        <v>#DIV/0!</v>
      </c>
      <c r="L29" s="51">
        <v>0</v>
      </c>
      <c r="M29" s="51" t="str">
        <f t="shared" si="5"/>
        <v>-</v>
      </c>
      <c r="N29" s="51">
        <v>0</v>
      </c>
      <c r="O29" s="51">
        <f t="shared" ref="O29:P29" si="39">D29/7</f>
        <v>0</v>
      </c>
      <c r="P29" s="51">
        <f t="shared" si="39"/>
        <v>0</v>
      </c>
      <c r="Q29" s="51" t="e">
        <f t="shared" si="7"/>
        <v>#DIV/0!</v>
      </c>
      <c r="R29" s="52">
        <v>0</v>
      </c>
      <c r="S29" s="53" t="s">
        <v>34</v>
      </c>
      <c r="T29" s="54" t="s">
        <v>34</v>
      </c>
      <c r="U29" s="52">
        <v>0</v>
      </c>
      <c r="V29" s="55">
        <f t="shared" si="8"/>
        <v>0</v>
      </c>
      <c r="W29" s="55">
        <f t="shared" si="9"/>
        <v>0</v>
      </c>
      <c r="X29" s="52">
        <v>0</v>
      </c>
      <c r="Y29" s="52" t="e">
        <v>#N/A</v>
      </c>
      <c r="Z29" s="56" t="e">
        <f t="shared" si="19"/>
        <v>#N/A</v>
      </c>
      <c r="AA29" s="55" t="e">
        <v>#N/A</v>
      </c>
      <c r="AB29" s="55">
        <f t="shared" si="27"/>
        <v>0</v>
      </c>
      <c r="AC29" s="55">
        <v>0</v>
      </c>
      <c r="AD29" s="55">
        <v>-7.8869230769230763</v>
      </c>
      <c r="AE29" s="55">
        <v>0</v>
      </c>
      <c r="AF29" s="55"/>
    </row>
    <row r="30" spans="1:32" s="57" customFormat="1" ht="15.75" customHeight="1">
      <c r="A30" s="17" t="s">
        <v>89</v>
      </c>
      <c r="B30"/>
      <c r="C30" s="51" t="str">
        <f t="shared" si="35"/>
        <v xml:space="preserve"> - </v>
      </c>
      <c r="D30" s="51">
        <v>0</v>
      </c>
      <c r="E30" s="51">
        <v>0</v>
      </c>
      <c r="F30" s="51">
        <v>0</v>
      </c>
      <c r="G30" s="51">
        <v>0</v>
      </c>
      <c r="H30" s="51" t="e">
        <f t="shared" si="1"/>
        <v>#DIV/0!</v>
      </c>
      <c r="I30" s="51" t="e">
        <f t="shared" si="2"/>
        <v>#DIV/0!</v>
      </c>
      <c r="J30" s="51">
        <f t="shared" si="4"/>
        <v>0</v>
      </c>
      <c r="K30" s="51" t="e">
        <f t="shared" si="3"/>
        <v>#DIV/0!</v>
      </c>
      <c r="L30" s="51">
        <v>0</v>
      </c>
      <c r="M30" s="51" t="str">
        <f t="shared" si="5"/>
        <v>-</v>
      </c>
      <c r="N30" s="51">
        <v>0</v>
      </c>
      <c r="O30" s="51">
        <f t="shared" ref="O30:P30" si="40">D30/7</f>
        <v>0</v>
      </c>
      <c r="P30" s="51">
        <f t="shared" si="40"/>
        <v>0</v>
      </c>
      <c r="Q30" s="51" t="e">
        <f t="shared" si="7"/>
        <v>#DIV/0!</v>
      </c>
      <c r="R30" s="52">
        <v>0</v>
      </c>
      <c r="S30" s="53" t="s">
        <v>34</v>
      </c>
      <c r="T30" s="54" t="s">
        <v>34</v>
      </c>
      <c r="U30" s="52">
        <v>0</v>
      </c>
      <c r="V30" s="55">
        <f t="shared" si="8"/>
        <v>0</v>
      </c>
      <c r="W30" s="55">
        <f t="shared" si="9"/>
        <v>0</v>
      </c>
      <c r="X30" s="52">
        <v>0</v>
      </c>
      <c r="Y30" s="52" t="e">
        <v>#N/A</v>
      </c>
      <c r="Z30" s="56" t="e">
        <f t="shared" si="19"/>
        <v>#N/A</v>
      </c>
      <c r="AA30" s="55" t="e">
        <v>#N/A</v>
      </c>
      <c r="AB30" s="55">
        <f t="shared" si="27"/>
        <v>0</v>
      </c>
      <c r="AC30" s="55">
        <v>0</v>
      </c>
      <c r="AD30" s="55">
        <v>-7.8869230769230763</v>
      </c>
      <c r="AE30" s="55">
        <v>0</v>
      </c>
      <c r="AF30" s="55"/>
    </row>
    <row r="31" spans="1:32" s="57" customFormat="1" ht="15.75" customHeight="1">
      <c r="A31" s="17" t="s">
        <v>90</v>
      </c>
      <c r="B31"/>
      <c r="C31" s="51" t="str">
        <f t="shared" si="35"/>
        <v xml:space="preserve"> - </v>
      </c>
      <c r="D31" s="51">
        <v>0</v>
      </c>
      <c r="E31" s="51">
        <v>0</v>
      </c>
      <c r="F31" s="51">
        <v>0</v>
      </c>
      <c r="G31" s="51">
        <v>0</v>
      </c>
      <c r="H31" s="51" t="e">
        <f t="shared" si="1"/>
        <v>#DIV/0!</v>
      </c>
      <c r="I31" s="51" t="e">
        <f t="shared" si="2"/>
        <v>#DIV/0!</v>
      </c>
      <c r="J31" s="51">
        <f t="shared" si="4"/>
        <v>0</v>
      </c>
      <c r="K31" s="51" t="e">
        <f t="shared" si="3"/>
        <v>#DIV/0!</v>
      </c>
      <c r="L31" s="51">
        <v>0</v>
      </c>
      <c r="M31" s="51" t="str">
        <f t="shared" si="5"/>
        <v>-</v>
      </c>
      <c r="N31" s="51">
        <v>0</v>
      </c>
      <c r="O31" s="51">
        <f t="shared" ref="O31:P31" si="41">D31/7</f>
        <v>0</v>
      </c>
      <c r="P31" s="51">
        <f t="shared" si="41"/>
        <v>0</v>
      </c>
      <c r="Q31" s="51" t="e">
        <f t="shared" si="7"/>
        <v>#DIV/0!</v>
      </c>
      <c r="R31" s="52">
        <v>0</v>
      </c>
      <c r="S31" s="53" t="s">
        <v>34</v>
      </c>
      <c r="T31" s="54" t="s">
        <v>34</v>
      </c>
      <c r="U31" s="52">
        <v>0</v>
      </c>
      <c r="V31" s="55">
        <f t="shared" si="8"/>
        <v>0</v>
      </c>
      <c r="W31" s="55">
        <f t="shared" si="9"/>
        <v>0</v>
      </c>
      <c r="X31" s="52">
        <v>0</v>
      </c>
      <c r="Y31" s="52" t="e">
        <v>#N/A</v>
      </c>
      <c r="Z31" s="56" t="e">
        <f t="shared" si="19"/>
        <v>#N/A</v>
      </c>
      <c r="AA31" s="55" t="e">
        <v>#N/A</v>
      </c>
      <c r="AB31" s="55">
        <f t="shared" si="27"/>
        <v>0</v>
      </c>
      <c r="AC31" s="55">
        <v>0</v>
      </c>
      <c r="AD31" s="55">
        <v>-7.8869230769230763</v>
      </c>
      <c r="AE31" s="55">
        <v>0</v>
      </c>
      <c r="AF31" s="55"/>
    </row>
    <row r="32" spans="1:32" s="57" customFormat="1" ht="15.75" customHeight="1">
      <c r="A32" s="17" t="s">
        <v>92</v>
      </c>
      <c r="B32"/>
      <c r="C32" s="51" t="str">
        <f t="shared" si="35"/>
        <v xml:space="preserve"> - </v>
      </c>
      <c r="D32" s="51">
        <v>0</v>
      </c>
      <c r="E32" s="51">
        <v>0</v>
      </c>
      <c r="F32" s="51">
        <v>0</v>
      </c>
      <c r="G32" s="51">
        <v>0</v>
      </c>
      <c r="H32" s="51" t="e">
        <f t="shared" si="1"/>
        <v>#DIV/0!</v>
      </c>
      <c r="I32" s="51" t="e">
        <f t="shared" si="2"/>
        <v>#DIV/0!</v>
      </c>
      <c r="J32" s="51">
        <f t="shared" si="4"/>
        <v>0</v>
      </c>
      <c r="K32" s="51" t="e">
        <f t="shared" si="3"/>
        <v>#DIV/0!</v>
      </c>
      <c r="L32" s="51">
        <v>0</v>
      </c>
      <c r="M32" s="51" t="str">
        <f t="shared" si="5"/>
        <v>-</v>
      </c>
      <c r="N32" s="51">
        <v>0</v>
      </c>
      <c r="O32" s="51">
        <f t="shared" ref="O32:P32" si="42">D32/7</f>
        <v>0</v>
      </c>
      <c r="P32" s="51">
        <f t="shared" si="42"/>
        <v>0</v>
      </c>
      <c r="Q32" s="51" t="e">
        <f t="shared" si="7"/>
        <v>#DIV/0!</v>
      </c>
      <c r="R32" s="52">
        <v>0</v>
      </c>
      <c r="S32" s="53" t="s">
        <v>34</v>
      </c>
      <c r="T32" s="54" t="s">
        <v>34</v>
      </c>
      <c r="U32" s="52">
        <v>0</v>
      </c>
      <c r="V32" s="55">
        <f t="shared" si="8"/>
        <v>0</v>
      </c>
      <c r="W32" s="55">
        <f t="shared" si="9"/>
        <v>0</v>
      </c>
      <c r="X32" s="52">
        <v>0</v>
      </c>
      <c r="Y32" s="52" t="e">
        <v>#N/A</v>
      </c>
      <c r="Z32" s="56" t="e">
        <f t="shared" si="19"/>
        <v>#N/A</v>
      </c>
      <c r="AA32" s="55" t="e">
        <v>#N/A</v>
      </c>
      <c r="AB32" s="55">
        <f t="shared" si="27"/>
        <v>0</v>
      </c>
      <c r="AC32" s="55">
        <v>0</v>
      </c>
      <c r="AD32" s="55">
        <v>-7.8869230769230763</v>
      </c>
      <c r="AE32" s="55">
        <v>0</v>
      </c>
      <c r="AF32" s="52" t="e">
        <v>#N/A</v>
      </c>
    </row>
    <row r="33" spans="1:32" s="57" customFormat="1" ht="15.75" customHeight="1">
      <c r="A33" s="17" t="s">
        <v>94</v>
      </c>
      <c r="B33"/>
      <c r="C33" s="51" t="str">
        <f t="shared" si="35"/>
        <v xml:space="preserve"> - </v>
      </c>
      <c r="D33" s="51">
        <v>0</v>
      </c>
      <c r="E33" s="51">
        <v>0</v>
      </c>
      <c r="F33" s="51">
        <v>0</v>
      </c>
      <c r="G33" s="51">
        <v>0</v>
      </c>
      <c r="H33" s="51" t="e">
        <f t="shared" si="1"/>
        <v>#DIV/0!</v>
      </c>
      <c r="I33" s="51" t="e">
        <f t="shared" si="2"/>
        <v>#DIV/0!</v>
      </c>
      <c r="J33" s="51">
        <f t="shared" si="4"/>
        <v>0</v>
      </c>
      <c r="K33" s="51" t="e">
        <f t="shared" si="3"/>
        <v>#DIV/0!</v>
      </c>
      <c r="L33" s="51">
        <v>0</v>
      </c>
      <c r="M33" s="51" t="str">
        <f t="shared" si="5"/>
        <v>-</v>
      </c>
      <c r="N33" s="51">
        <v>0</v>
      </c>
      <c r="O33" s="51">
        <f t="shared" ref="O33:P33" si="43">D33/7</f>
        <v>0</v>
      </c>
      <c r="P33" s="51">
        <f t="shared" si="43"/>
        <v>0</v>
      </c>
      <c r="Q33" s="51" t="e">
        <f t="shared" si="7"/>
        <v>#DIV/0!</v>
      </c>
      <c r="R33" s="52">
        <v>0</v>
      </c>
      <c r="S33" s="53" t="s">
        <v>34</v>
      </c>
      <c r="T33" s="54" t="s">
        <v>34</v>
      </c>
      <c r="U33" s="52">
        <v>0</v>
      </c>
      <c r="V33" s="55">
        <f t="shared" si="8"/>
        <v>0</v>
      </c>
      <c r="W33" s="55">
        <f t="shared" si="9"/>
        <v>0</v>
      </c>
      <c r="X33" s="52">
        <v>0</v>
      </c>
      <c r="Y33" s="52" t="e">
        <v>#N/A</v>
      </c>
      <c r="Z33" s="56" t="e">
        <f t="shared" si="19"/>
        <v>#N/A</v>
      </c>
      <c r="AA33" s="55" t="e">
        <v>#N/A</v>
      </c>
      <c r="AB33" s="55">
        <f t="shared" si="27"/>
        <v>0</v>
      </c>
      <c r="AC33" s="55">
        <v>0</v>
      </c>
      <c r="AD33" s="55">
        <v>-7.8869230769230763</v>
      </c>
      <c r="AE33" s="55">
        <v>0</v>
      </c>
      <c r="AF33" s="55" t="e">
        <v>#N/A</v>
      </c>
    </row>
    <row r="34" spans="1:32" s="57" customFormat="1" ht="15.75" customHeight="1">
      <c r="A34" s="17" t="s">
        <v>95</v>
      </c>
      <c r="B34"/>
      <c r="C34" s="51" t="str">
        <f t="shared" si="35"/>
        <v xml:space="preserve"> - </v>
      </c>
      <c r="D34" s="51">
        <v>0</v>
      </c>
      <c r="E34" s="51">
        <v>0</v>
      </c>
      <c r="F34" s="51">
        <v>0</v>
      </c>
      <c r="G34" s="51">
        <v>0</v>
      </c>
      <c r="H34" s="51" t="e">
        <f t="shared" si="1"/>
        <v>#DIV/0!</v>
      </c>
      <c r="I34" s="51" t="e">
        <f t="shared" si="2"/>
        <v>#DIV/0!</v>
      </c>
      <c r="J34" s="51">
        <f t="shared" si="4"/>
        <v>0</v>
      </c>
      <c r="K34" s="51" t="e">
        <f t="shared" si="3"/>
        <v>#DIV/0!</v>
      </c>
      <c r="L34" s="51">
        <v>0</v>
      </c>
      <c r="M34" s="51" t="str">
        <f t="shared" si="5"/>
        <v>-</v>
      </c>
      <c r="N34" s="51">
        <v>0</v>
      </c>
      <c r="O34" s="51">
        <f t="shared" ref="O34:P34" si="44">D34/7</f>
        <v>0</v>
      </c>
      <c r="P34" s="51">
        <f t="shared" si="44"/>
        <v>0</v>
      </c>
      <c r="Q34" s="51" t="e">
        <f t="shared" si="7"/>
        <v>#DIV/0!</v>
      </c>
      <c r="R34" s="55">
        <v>0</v>
      </c>
      <c r="S34" s="53" t="s">
        <v>34</v>
      </c>
      <c r="T34" s="54" t="s">
        <v>34</v>
      </c>
      <c r="U34" s="52">
        <v>0</v>
      </c>
      <c r="V34" s="55">
        <f t="shared" si="8"/>
        <v>0</v>
      </c>
      <c r="W34" s="55">
        <f t="shared" si="9"/>
        <v>0</v>
      </c>
      <c r="X34" s="52">
        <v>0</v>
      </c>
      <c r="Y34" s="52" t="e">
        <v>#N/A</v>
      </c>
      <c r="Z34" s="56" t="e">
        <f t="shared" si="19"/>
        <v>#N/A</v>
      </c>
      <c r="AA34" s="55" t="e">
        <v>#N/A</v>
      </c>
      <c r="AB34" s="55">
        <f t="shared" si="27"/>
        <v>0</v>
      </c>
      <c r="AC34" s="55">
        <v>0</v>
      </c>
      <c r="AD34" s="55">
        <v>-7.8869230769230763</v>
      </c>
      <c r="AE34" s="55">
        <v>0</v>
      </c>
      <c r="AF34" s="55" t="e">
        <v>#N/A</v>
      </c>
    </row>
    <row r="35" spans="1:32" s="57" customFormat="1" ht="15.75" customHeight="1">
      <c r="A35" s="17" t="s">
        <v>96</v>
      </c>
      <c r="B35"/>
      <c r="C35" s="51" t="str">
        <f t="shared" si="35"/>
        <v xml:space="preserve"> - </v>
      </c>
      <c r="D35" s="51">
        <v>0</v>
      </c>
      <c r="E35" s="51">
        <v>0</v>
      </c>
      <c r="F35" s="51">
        <v>0</v>
      </c>
      <c r="G35" s="51">
        <v>0</v>
      </c>
      <c r="H35" s="51" t="e">
        <f t="shared" si="1"/>
        <v>#DIV/0!</v>
      </c>
      <c r="I35" s="51" t="e">
        <f t="shared" si="2"/>
        <v>#DIV/0!</v>
      </c>
      <c r="J35" s="51">
        <f t="shared" si="4"/>
        <v>0</v>
      </c>
      <c r="K35" s="51" t="e">
        <f t="shared" si="3"/>
        <v>#DIV/0!</v>
      </c>
      <c r="L35" s="51">
        <v>0</v>
      </c>
      <c r="M35" s="51" t="str">
        <f t="shared" si="5"/>
        <v>-</v>
      </c>
      <c r="N35" s="51">
        <v>0</v>
      </c>
      <c r="O35" s="51">
        <f t="shared" ref="O35:P35" si="45">D35/7</f>
        <v>0</v>
      </c>
      <c r="P35" s="51">
        <f t="shared" si="45"/>
        <v>0</v>
      </c>
      <c r="Q35" s="51" t="e">
        <f t="shared" si="7"/>
        <v>#DIV/0!</v>
      </c>
      <c r="R35" s="55">
        <v>0</v>
      </c>
      <c r="S35" s="53" t="s">
        <v>34</v>
      </c>
      <c r="T35" s="54" t="s">
        <v>34</v>
      </c>
      <c r="U35" s="52">
        <v>0</v>
      </c>
      <c r="V35" s="55">
        <f t="shared" si="8"/>
        <v>0</v>
      </c>
      <c r="W35" s="55">
        <f t="shared" si="9"/>
        <v>0</v>
      </c>
      <c r="X35" s="52">
        <v>0</v>
      </c>
      <c r="Y35" s="52" t="e">
        <v>#N/A</v>
      </c>
      <c r="Z35" s="56" t="e">
        <f t="shared" si="19"/>
        <v>#N/A</v>
      </c>
      <c r="AA35" s="55" t="e">
        <v>#N/A</v>
      </c>
      <c r="AB35" s="55">
        <f t="shared" si="27"/>
        <v>0</v>
      </c>
      <c r="AC35" s="55">
        <v>0</v>
      </c>
      <c r="AD35" s="55">
        <v>-7.8869230769230763</v>
      </c>
      <c r="AE35" s="55">
        <v>0</v>
      </c>
      <c r="AF35" s="55" t="e">
        <v>#N/A</v>
      </c>
    </row>
    <row r="36" spans="1:32" s="57" customFormat="1" ht="15.75" customHeight="1">
      <c r="A36" s="17" t="s">
        <v>98</v>
      </c>
      <c r="B36"/>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v>0</v>
      </c>
      <c r="S36" s="53"/>
      <c r="T36" s="54" t="s">
        <v>34</v>
      </c>
      <c r="V36" s="55">
        <f t="shared" si="8"/>
        <v>0</v>
      </c>
      <c r="W36" s="55">
        <f t="shared" si="9"/>
        <v>0</v>
      </c>
      <c r="Y36" s="52" t="e">
        <v>#N/A</v>
      </c>
      <c r="Z36" s="56" t="e">
        <f t="shared" si="19"/>
        <v>#N/A</v>
      </c>
      <c r="AA36" s="55" t="e">
        <v>#N/A</v>
      </c>
      <c r="AB36" s="55">
        <f t="shared" si="27"/>
        <v>0</v>
      </c>
      <c r="AC36" s="55">
        <v>0</v>
      </c>
      <c r="AD36" s="55">
        <v>-7.8869230769230763</v>
      </c>
      <c r="AE36" s="55">
        <v>0</v>
      </c>
      <c r="AF36" s="55" t="e">
        <v>#N/A</v>
      </c>
    </row>
    <row r="37" spans="1:32" s="57" customFormat="1" ht="15.75" customHeight="1">
      <c r="A37" s="17" t="s">
        <v>99</v>
      </c>
      <c r="B37"/>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v>0</v>
      </c>
      <c r="S37" s="53" t="s">
        <v>34</v>
      </c>
      <c r="T37" s="54" t="s">
        <v>34</v>
      </c>
      <c r="U37" s="52">
        <v>0</v>
      </c>
      <c r="V37" s="55">
        <f t="shared" si="8"/>
        <v>0</v>
      </c>
      <c r="W37" s="55">
        <f t="shared" si="9"/>
        <v>0</v>
      </c>
      <c r="X37" s="52">
        <v>0</v>
      </c>
      <c r="Y37" s="52" t="e">
        <v>#N/A</v>
      </c>
      <c r="Z37" s="56" t="e">
        <f t="shared" si="19"/>
        <v>#N/A</v>
      </c>
      <c r="AA37" s="55" t="e">
        <v>#N/A</v>
      </c>
      <c r="AB37" s="55">
        <f t="shared" si="27"/>
        <v>0</v>
      </c>
      <c r="AC37" s="55">
        <v>0</v>
      </c>
      <c r="AD37" s="55">
        <v>-7.8869230769230763</v>
      </c>
      <c r="AE37" s="55">
        <v>0</v>
      </c>
      <c r="AF37" s="55" t="e">
        <v>#N/A</v>
      </c>
    </row>
    <row r="38" spans="1:32" s="57" customFormat="1" ht="15.75" customHeight="1">
      <c r="A38" s="17" t="s">
        <v>100</v>
      </c>
      <c r="B38"/>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2">
        <v>0</v>
      </c>
      <c r="S38" s="53"/>
      <c r="T38" s="54" t="s">
        <v>34</v>
      </c>
      <c r="U38" s="52">
        <v>0</v>
      </c>
      <c r="V38" s="55">
        <f t="shared" si="8"/>
        <v>0</v>
      </c>
      <c r="W38" s="55">
        <f t="shared" si="9"/>
        <v>0</v>
      </c>
      <c r="X38" s="52">
        <v>0</v>
      </c>
      <c r="Y38" s="52" t="e">
        <v>#N/A</v>
      </c>
      <c r="Z38" s="56" t="e">
        <f t="shared" si="19"/>
        <v>#N/A</v>
      </c>
      <c r="AA38" s="55" t="e">
        <v>#N/A</v>
      </c>
      <c r="AB38" s="55">
        <f t="shared" si="27"/>
        <v>0</v>
      </c>
      <c r="AC38" s="55">
        <v>0</v>
      </c>
      <c r="AD38" s="55">
        <v>-7.8869230769230763</v>
      </c>
      <c r="AE38" s="55">
        <v>0</v>
      </c>
      <c r="AF38" s="55" t="e">
        <v>#N/A</v>
      </c>
    </row>
    <row r="39" spans="1:32" s="57" customFormat="1" ht="15.75" customHeight="1">
      <c r="A39" s="17" t="s">
        <v>101</v>
      </c>
      <c r="B39"/>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0</v>
      </c>
      <c r="O39" s="51">
        <f t="shared" ref="O39:P39" si="49">D39/7</f>
        <v>0</v>
      </c>
      <c r="P39" s="51">
        <f t="shared" si="49"/>
        <v>0</v>
      </c>
      <c r="Q39" s="51" t="e">
        <f t="shared" si="7"/>
        <v>#DIV/0!</v>
      </c>
      <c r="R39" s="55">
        <v>0</v>
      </c>
      <c r="S39" s="53" t="s">
        <v>34</v>
      </c>
      <c r="T39" s="54" t="s">
        <v>34</v>
      </c>
      <c r="U39" s="52">
        <v>0</v>
      </c>
      <c r="V39" s="55">
        <f t="shared" si="8"/>
        <v>0</v>
      </c>
      <c r="W39" s="55">
        <f t="shared" si="9"/>
        <v>0</v>
      </c>
      <c r="X39" s="52">
        <v>0</v>
      </c>
      <c r="Y39" s="52" t="e">
        <v>#N/A</v>
      </c>
      <c r="Z39" s="56" t="e">
        <f t="shared" si="19"/>
        <v>#N/A</v>
      </c>
      <c r="AA39" s="52" t="e">
        <v>#N/A</v>
      </c>
      <c r="AB39" s="55">
        <f t="shared" si="27"/>
        <v>0</v>
      </c>
      <c r="AC39" s="55">
        <v>0</v>
      </c>
      <c r="AD39" s="55">
        <v>-7.88692307692307</v>
      </c>
      <c r="AE39" s="55">
        <v>0</v>
      </c>
      <c r="AF39" s="55" t="e">
        <v>#N/A</v>
      </c>
    </row>
    <row r="40" spans="1:32" s="57" customFormat="1" ht="15.75" customHeight="1">
      <c r="A40" s="17" t="s">
        <v>102</v>
      </c>
      <c r="B40"/>
      <c r="C40" s="51" t="s">
        <v>103</v>
      </c>
      <c r="D40" s="51">
        <v>0</v>
      </c>
      <c r="E40" s="51">
        <v>0</v>
      </c>
      <c r="F40" s="51">
        <v>0</v>
      </c>
      <c r="G40" s="51">
        <v>0</v>
      </c>
      <c r="H40" s="51" t="e">
        <v>#DIV/0!</v>
      </c>
      <c r="I40" s="51" t="e">
        <v>#DIV/0!</v>
      </c>
      <c r="J40" s="51">
        <v>0</v>
      </c>
      <c r="K40" s="51" t="e">
        <v>#DIV/0!</v>
      </c>
      <c r="L40" s="51">
        <v>0</v>
      </c>
      <c r="M40" s="51" t="s">
        <v>104</v>
      </c>
      <c r="N40" s="51">
        <v>0</v>
      </c>
      <c r="O40" s="51">
        <v>0</v>
      </c>
      <c r="P40" s="51">
        <v>0</v>
      </c>
      <c r="Q40" s="51" t="e">
        <v>#DIV/0!</v>
      </c>
      <c r="R40" s="55">
        <v>0</v>
      </c>
      <c r="S40" s="53" t="s">
        <v>34</v>
      </c>
      <c r="T40" s="54" t="s">
        <v>34</v>
      </c>
      <c r="U40" s="52">
        <v>0</v>
      </c>
      <c r="V40" s="55">
        <v>0</v>
      </c>
      <c r="W40" s="55">
        <v>0</v>
      </c>
      <c r="X40" s="52">
        <v>0</v>
      </c>
      <c r="Y40" s="52" t="e">
        <v>#N/A</v>
      </c>
      <c r="Z40" s="56" t="e">
        <v>#N/A</v>
      </c>
      <c r="AA40" s="55" t="e">
        <v>#N/A</v>
      </c>
      <c r="AB40" s="55">
        <v>0</v>
      </c>
      <c r="AC40" s="55">
        <v>0</v>
      </c>
      <c r="AD40" s="55">
        <v>-7.88692307692307</v>
      </c>
      <c r="AE40" s="55">
        <v>0</v>
      </c>
      <c r="AF40" s="55" t="e">
        <v>#N/A</v>
      </c>
    </row>
    <row r="41" spans="1:32" s="57" customFormat="1" ht="15.75" customHeight="1">
      <c r="A41" s="17" t="s">
        <v>105</v>
      </c>
      <c r="B41"/>
      <c r="C41" s="51" t="str">
        <f t="shared" ref="C41:C56" si="50">IFERROR(F41/D41," - ")</f>
        <v xml:space="preserve"> - </v>
      </c>
      <c r="D41" s="51">
        <v>0</v>
      </c>
      <c r="E41" s="51">
        <v>0</v>
      </c>
      <c r="F41" s="51">
        <v>0</v>
      </c>
      <c r="G41" s="51">
        <v>0</v>
      </c>
      <c r="H41" s="51" t="e">
        <f t="shared" ref="H41:H56" si="51">G41/F41*-1</f>
        <v>#DIV/0!</v>
      </c>
      <c r="I41" s="51" t="e">
        <f t="shared" ref="I41:I56" si="52">J41/F41</f>
        <v>#DIV/0!</v>
      </c>
      <c r="J41" s="51">
        <f t="shared" ref="J41:J48" si="53">F41*0.85+G41+AD41*D41+D41*AC41+AE42+AB41</f>
        <v>0</v>
      </c>
      <c r="K41" s="51" t="e">
        <f t="shared" ref="K41:K56" si="54">J41/D41</f>
        <v>#DIV/0!</v>
      </c>
      <c r="L41" s="51">
        <v>0</v>
      </c>
      <c r="M41" s="51" t="str">
        <f t="shared" ref="M41:M56" si="55">IFERROR(D41/L41,"-")</f>
        <v>-</v>
      </c>
      <c r="N41" s="51">
        <v>0</v>
      </c>
      <c r="O41" s="51">
        <f t="shared" ref="O41:P41" si="56">D41/7</f>
        <v>0</v>
      </c>
      <c r="P41" s="51">
        <f t="shared" si="56"/>
        <v>0</v>
      </c>
      <c r="Q41" s="51" t="e">
        <f t="shared" ref="Q41:Q56" si="57">ROUNDDOWN(N41/(O41+P41),0)</f>
        <v>#DIV/0!</v>
      </c>
      <c r="R41" s="55">
        <v>0</v>
      </c>
      <c r="S41" s="53" t="s">
        <v>34</v>
      </c>
      <c r="T41" s="54" t="s">
        <v>34</v>
      </c>
      <c r="U41" s="52">
        <v>0</v>
      </c>
      <c r="V41" s="55">
        <f t="shared" ref="V41:V56" si="58">IFERROR(U41/D41,0)</f>
        <v>0</v>
      </c>
      <c r="W41" s="55">
        <f t="shared" ref="W41:W56" si="59">IFERROR(G41/(U41+X41)*-1,0)</f>
        <v>0</v>
      </c>
      <c r="X41" s="52">
        <v>0</v>
      </c>
      <c r="Y41" s="52" t="e">
        <v>#N/A</v>
      </c>
      <c r="Z41" s="56" t="e">
        <f t="shared" ref="Z41:Z43" si="60">IF(OR(Y41="UsLargeStandardSize",Y41="UsSmallStandardSize"),-0.75,-0.48)</f>
        <v>#N/A</v>
      </c>
      <c r="AA41" s="55" t="e">
        <v>#N/A</v>
      </c>
      <c r="AB41" s="55">
        <f t="shared" ref="AB41:AB56" si="61">IFERROR(Z41*AA41*D41*3,0)</f>
        <v>0</v>
      </c>
      <c r="AC41" s="55">
        <v>0</v>
      </c>
      <c r="AD41" s="55">
        <v>-7.88692307692307</v>
      </c>
      <c r="AE41" s="55">
        <v>0</v>
      </c>
      <c r="AF41" s="55" t="e">
        <v>#N/A</v>
      </c>
    </row>
    <row r="42" spans="1:32" s="57" customFormat="1" ht="15.75" customHeight="1">
      <c r="A42" s="17" t="s">
        <v>106</v>
      </c>
      <c r="B42"/>
      <c r="C42" s="51" t="str">
        <f t="shared" si="50"/>
        <v xml:space="preserve"> - </v>
      </c>
      <c r="D42" s="51">
        <v>0</v>
      </c>
      <c r="E42" s="51">
        <v>0</v>
      </c>
      <c r="F42" s="51">
        <v>0</v>
      </c>
      <c r="G42" s="51">
        <v>0</v>
      </c>
      <c r="H42" s="51" t="e">
        <f t="shared" si="51"/>
        <v>#DIV/0!</v>
      </c>
      <c r="I42" s="51" t="e">
        <f t="shared" si="52"/>
        <v>#DIV/0!</v>
      </c>
      <c r="J42" s="51">
        <f t="shared" si="53"/>
        <v>0</v>
      </c>
      <c r="K42" s="51" t="e">
        <f t="shared" si="54"/>
        <v>#DIV/0!</v>
      </c>
      <c r="L42" s="51">
        <v>0</v>
      </c>
      <c r="M42" s="51" t="str">
        <f t="shared" si="55"/>
        <v>-</v>
      </c>
      <c r="N42" s="51">
        <v>0</v>
      </c>
      <c r="O42" s="51">
        <f t="shared" ref="O42:P42" si="62">D42/7</f>
        <v>0</v>
      </c>
      <c r="P42" s="51">
        <f t="shared" si="62"/>
        <v>0</v>
      </c>
      <c r="Q42" s="51" t="e">
        <f t="shared" si="57"/>
        <v>#DIV/0!</v>
      </c>
      <c r="R42" s="55">
        <f ca="1">IFERROR(__xludf.DUMMYFUNCTION("IFERROR(VLOOKUP($B$2,IMPORTRANGE(""https://docs.google.com/spreadsheets/d/1iVgg6Mw12RULLujzHmfOFIY8Q_KaAD8anoZzgtVAQ74/edit#gid=1503384807"",""Second Star - Summary!A1:AD2000""),9,FALSE),"""")"),0)</f>
        <v>0</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2">
        <v>0</v>
      </c>
      <c r="V42" s="55">
        <f t="shared" si="58"/>
        <v>0</v>
      </c>
      <c r="W42" s="55">
        <f t="shared" si="59"/>
        <v>0</v>
      </c>
      <c r="X42" s="52">
        <v>0</v>
      </c>
      <c r="Y42" s="52" t="e">
        <v>#N/A</v>
      </c>
      <c r="Z42" s="56" t="e">
        <f t="shared" si="60"/>
        <v>#N/A</v>
      </c>
      <c r="AA42" s="55" t="e">
        <v>#N/A</v>
      </c>
      <c r="AB42" s="55">
        <f t="shared" si="61"/>
        <v>0</v>
      </c>
      <c r="AC42" s="55">
        <v>0</v>
      </c>
      <c r="AD42" s="55">
        <v>-7.88692307692307</v>
      </c>
      <c r="AE42" s="55">
        <v>0</v>
      </c>
      <c r="AF42" s="55" t="e">
        <v>#N/A</v>
      </c>
    </row>
    <row r="43" spans="1:32" s="57" customFormat="1" ht="15.75" customHeight="1">
      <c r="A43" s="17" t="s">
        <v>107</v>
      </c>
      <c r="B43"/>
      <c r="C43" s="51" t="str">
        <f t="shared" si="50"/>
        <v xml:space="preserve"> - </v>
      </c>
      <c r="D43" s="51">
        <v>0</v>
      </c>
      <c r="E43" s="51">
        <v>0</v>
      </c>
      <c r="F43" s="51">
        <v>0</v>
      </c>
      <c r="G43" s="51">
        <v>0</v>
      </c>
      <c r="H43" s="51" t="e">
        <f t="shared" si="51"/>
        <v>#DIV/0!</v>
      </c>
      <c r="I43" s="51" t="e">
        <f t="shared" si="52"/>
        <v>#DIV/0!</v>
      </c>
      <c r="J43" s="51">
        <f t="shared" si="53"/>
        <v>0</v>
      </c>
      <c r="K43" s="51" t="e">
        <f t="shared" si="54"/>
        <v>#DIV/0!</v>
      </c>
      <c r="L43" s="51">
        <v>0</v>
      </c>
      <c r="M43" s="51" t="str">
        <f t="shared" si="55"/>
        <v>-</v>
      </c>
      <c r="N43" s="51">
        <v>0</v>
      </c>
      <c r="O43" s="51">
        <f t="shared" ref="O43:P43" si="63">D43/7</f>
        <v>0</v>
      </c>
      <c r="P43" s="51">
        <f t="shared" si="63"/>
        <v>0</v>
      </c>
      <c r="Q43" s="51" t="e">
        <f t="shared" si="57"/>
        <v>#DIV/0!</v>
      </c>
      <c r="R43" s="55">
        <v>0</v>
      </c>
      <c r="S43" s="53" t="s">
        <v>34</v>
      </c>
      <c r="T43" s="54" t="s">
        <v>34</v>
      </c>
      <c r="U43" s="52">
        <v>0</v>
      </c>
      <c r="V43" s="55">
        <f t="shared" si="58"/>
        <v>0</v>
      </c>
      <c r="W43" s="55">
        <f t="shared" si="59"/>
        <v>0</v>
      </c>
      <c r="X43" s="52">
        <v>0</v>
      </c>
      <c r="Y43" s="52" t="e">
        <v>#N/A</v>
      </c>
      <c r="Z43" s="56" t="e">
        <f t="shared" si="60"/>
        <v>#N/A</v>
      </c>
      <c r="AA43" s="55" t="e">
        <v>#N/A</v>
      </c>
      <c r="AB43" s="55">
        <f t="shared" si="61"/>
        <v>0</v>
      </c>
      <c r="AC43" s="55">
        <v>0</v>
      </c>
      <c r="AD43" s="55">
        <v>-7.88692307692307</v>
      </c>
      <c r="AE43" s="55">
        <v>0</v>
      </c>
      <c r="AF43" s="55" t="e">
        <v>#N/A</v>
      </c>
    </row>
    <row r="44" spans="1:32" s="57" customFormat="1" ht="15.75" customHeight="1">
      <c r="A44" s="17" t="s">
        <v>108</v>
      </c>
      <c r="B44"/>
      <c r="C44" s="51" t="str">
        <f t="shared" si="50"/>
        <v xml:space="preserve"> - </v>
      </c>
      <c r="D44" s="51">
        <v>0</v>
      </c>
      <c r="E44" s="51">
        <v>0</v>
      </c>
      <c r="F44" s="51">
        <v>0</v>
      </c>
      <c r="G44" s="51">
        <v>0</v>
      </c>
      <c r="H44" s="51" t="e">
        <f t="shared" si="51"/>
        <v>#DIV/0!</v>
      </c>
      <c r="I44" s="51" t="e">
        <f t="shared" si="52"/>
        <v>#DIV/0!</v>
      </c>
      <c r="J44" s="51">
        <f t="shared" si="53"/>
        <v>0</v>
      </c>
      <c r="K44" s="51" t="e">
        <f t="shared" si="54"/>
        <v>#DIV/0!</v>
      </c>
      <c r="L44" s="51">
        <v>0</v>
      </c>
      <c r="M44" s="51" t="str">
        <f t="shared" si="55"/>
        <v>-</v>
      </c>
      <c r="N44" s="51">
        <v>0</v>
      </c>
      <c r="O44" s="51">
        <f t="shared" ref="O44:P44" si="64">D44/7</f>
        <v>0</v>
      </c>
      <c r="P44" s="51">
        <f t="shared" si="64"/>
        <v>0</v>
      </c>
      <c r="Q44" s="51" t="e">
        <f t="shared" si="57"/>
        <v>#DIV/0!</v>
      </c>
      <c r="R44" s="55">
        <v>0</v>
      </c>
      <c r="S44" s="53" t="s">
        <v>34</v>
      </c>
      <c r="T44" s="54" t="s">
        <v>34</v>
      </c>
      <c r="U44" s="52">
        <v>0</v>
      </c>
      <c r="V44" s="55">
        <f t="shared" si="58"/>
        <v>0</v>
      </c>
      <c r="W44" s="55">
        <f t="shared" si="59"/>
        <v>0</v>
      </c>
      <c r="X44" s="52">
        <v>0</v>
      </c>
      <c r="Y44" s="52" t="e">
        <v>#N/A</v>
      </c>
      <c r="Z44" s="56" t="e">
        <f t="shared" ref="Z44:Z56" si="65">IF(OR(Y44="UsLargeStandardSize",Y44="UsSmallStandardSize"),-2.4,-1.2)</f>
        <v>#N/A</v>
      </c>
      <c r="AA44" s="55" t="e">
        <v>#N/A</v>
      </c>
      <c r="AB44" s="55">
        <f t="shared" si="61"/>
        <v>0</v>
      </c>
      <c r="AC44" s="55">
        <v>0</v>
      </c>
      <c r="AD44" s="55">
        <v>-7.88692307692307</v>
      </c>
      <c r="AE44" s="55">
        <v>0</v>
      </c>
      <c r="AF44" s="55" t="e">
        <v>#N/A</v>
      </c>
    </row>
    <row r="45" spans="1:32" s="57" customFormat="1" ht="15.75" customHeight="1">
      <c r="A45" s="17" t="s">
        <v>109</v>
      </c>
      <c r="B45"/>
      <c r="C45" s="51" t="str">
        <f t="shared" si="50"/>
        <v xml:space="preserve"> - </v>
      </c>
      <c r="D45" s="51">
        <v>0</v>
      </c>
      <c r="E45" s="51">
        <v>0</v>
      </c>
      <c r="F45" s="51">
        <v>0</v>
      </c>
      <c r="G45" s="51">
        <v>0</v>
      </c>
      <c r="H45" s="51" t="e">
        <f t="shared" si="51"/>
        <v>#DIV/0!</v>
      </c>
      <c r="I45" s="51" t="e">
        <f t="shared" si="52"/>
        <v>#DIV/0!</v>
      </c>
      <c r="J45" s="51">
        <f t="shared" si="53"/>
        <v>0</v>
      </c>
      <c r="K45" s="51" t="e">
        <f t="shared" si="54"/>
        <v>#DIV/0!</v>
      </c>
      <c r="L45" s="51">
        <v>0</v>
      </c>
      <c r="M45" s="51" t="str">
        <f t="shared" si="55"/>
        <v>-</v>
      </c>
      <c r="N45" s="51">
        <v>0</v>
      </c>
      <c r="O45" s="51">
        <f t="shared" ref="O45:P45" si="66">D45/7</f>
        <v>0</v>
      </c>
      <c r="P45" s="51">
        <f t="shared" si="66"/>
        <v>0</v>
      </c>
      <c r="Q45" s="51" t="e">
        <f t="shared" si="57"/>
        <v>#DIV/0!</v>
      </c>
      <c r="R45" s="55">
        <v>0</v>
      </c>
      <c r="S45" s="53" t="s">
        <v>34</v>
      </c>
      <c r="T45" s="54" t="s">
        <v>34</v>
      </c>
      <c r="U45" s="52">
        <v>0</v>
      </c>
      <c r="V45" s="55">
        <f t="shared" si="58"/>
        <v>0</v>
      </c>
      <c r="W45" s="55">
        <f t="shared" si="59"/>
        <v>0</v>
      </c>
      <c r="X45" s="52">
        <v>0</v>
      </c>
      <c r="Y45" s="52" t="e">
        <v>#N/A</v>
      </c>
      <c r="Z45" s="56" t="e">
        <f t="shared" si="65"/>
        <v>#N/A</v>
      </c>
      <c r="AA45" s="55" t="e">
        <v>#N/A</v>
      </c>
      <c r="AB45" s="55">
        <f t="shared" si="61"/>
        <v>0</v>
      </c>
      <c r="AC45" s="55">
        <v>0</v>
      </c>
      <c r="AD45" s="55">
        <v>-7.88692307692307</v>
      </c>
      <c r="AE45" s="55">
        <v>0</v>
      </c>
      <c r="AF45" s="55" t="e">
        <v>#N/A</v>
      </c>
    </row>
    <row r="46" spans="1:32" s="57" customFormat="1" ht="15.75" customHeight="1">
      <c r="A46" s="17" t="s">
        <v>111</v>
      </c>
      <c r="B46"/>
      <c r="C46" s="51" t="str">
        <f t="shared" si="50"/>
        <v xml:space="preserve"> - </v>
      </c>
      <c r="D46" s="51">
        <v>0</v>
      </c>
      <c r="E46" s="51">
        <v>0</v>
      </c>
      <c r="F46" s="51">
        <v>0</v>
      </c>
      <c r="G46" s="51">
        <v>0</v>
      </c>
      <c r="H46" s="51" t="e">
        <f t="shared" si="51"/>
        <v>#DIV/0!</v>
      </c>
      <c r="I46" s="51" t="e">
        <f t="shared" si="52"/>
        <v>#DIV/0!</v>
      </c>
      <c r="J46" s="51">
        <f t="shared" si="53"/>
        <v>0</v>
      </c>
      <c r="K46" s="51" t="e">
        <f t="shared" si="54"/>
        <v>#DIV/0!</v>
      </c>
      <c r="L46" s="51">
        <v>0</v>
      </c>
      <c r="M46" s="51" t="str">
        <f t="shared" si="55"/>
        <v>-</v>
      </c>
      <c r="N46" s="51">
        <v>0</v>
      </c>
      <c r="O46" s="51">
        <f t="shared" ref="O46:P46" si="67">D46/7</f>
        <v>0</v>
      </c>
      <c r="P46" s="51">
        <f t="shared" si="67"/>
        <v>0</v>
      </c>
      <c r="Q46" s="51" t="e">
        <f t="shared" si="57"/>
        <v>#DIV/0!</v>
      </c>
      <c r="R46" s="55">
        <v>0</v>
      </c>
      <c r="S46" s="53" t="s">
        <v>34</v>
      </c>
      <c r="T46" s="54" t="s">
        <v>34</v>
      </c>
      <c r="U46" s="52">
        <v>0</v>
      </c>
      <c r="V46" s="55">
        <f t="shared" si="58"/>
        <v>0</v>
      </c>
      <c r="W46" s="55">
        <f t="shared" si="59"/>
        <v>0</v>
      </c>
      <c r="X46" s="52">
        <v>0</v>
      </c>
      <c r="Y46" s="52" t="e">
        <v>#N/A</v>
      </c>
      <c r="Z46" s="56" t="e">
        <f t="shared" si="65"/>
        <v>#N/A</v>
      </c>
      <c r="AA46" s="55" t="e">
        <v>#N/A</v>
      </c>
      <c r="AB46" s="55">
        <f t="shared" si="61"/>
        <v>0</v>
      </c>
      <c r="AC46" s="55">
        <v>0</v>
      </c>
      <c r="AD46" s="55">
        <v>-7.88692307692307</v>
      </c>
      <c r="AE46" s="55">
        <v>0</v>
      </c>
      <c r="AF46" s="55" t="e">
        <v>#N/A</v>
      </c>
    </row>
    <row r="47" spans="1:32" s="57" customFormat="1" ht="15.75" customHeight="1">
      <c r="A47" s="17" t="s">
        <v>113</v>
      </c>
      <c r="B47"/>
      <c r="C47" s="51" t="str">
        <f t="shared" si="50"/>
        <v xml:space="preserve"> - </v>
      </c>
      <c r="D47" s="51">
        <v>0</v>
      </c>
      <c r="E47" s="51">
        <v>0</v>
      </c>
      <c r="F47" s="51">
        <v>0</v>
      </c>
      <c r="G47" s="51">
        <v>0</v>
      </c>
      <c r="H47" s="51" t="e">
        <f t="shared" si="51"/>
        <v>#DIV/0!</v>
      </c>
      <c r="I47" s="51" t="e">
        <f t="shared" si="52"/>
        <v>#DIV/0!</v>
      </c>
      <c r="J47" s="51">
        <f t="shared" si="53"/>
        <v>0</v>
      </c>
      <c r="K47" s="51" t="e">
        <f t="shared" si="54"/>
        <v>#DIV/0!</v>
      </c>
      <c r="L47" s="51">
        <v>0</v>
      </c>
      <c r="M47" s="51" t="str">
        <f t="shared" si="55"/>
        <v>-</v>
      </c>
      <c r="N47" s="51">
        <v>0</v>
      </c>
      <c r="O47" s="51">
        <f t="shared" ref="O47:P47" si="68">D47/7</f>
        <v>0</v>
      </c>
      <c r="P47" s="51">
        <f t="shared" si="68"/>
        <v>0</v>
      </c>
      <c r="Q47" s="51" t="e">
        <f t="shared" si="57"/>
        <v>#DIV/0!</v>
      </c>
      <c r="R47" s="55">
        <v>0</v>
      </c>
      <c r="S47" s="53" t="s">
        <v>34</v>
      </c>
      <c r="T47" s="54" t="s">
        <v>34</v>
      </c>
      <c r="U47" s="52">
        <v>0</v>
      </c>
      <c r="V47" s="55">
        <f t="shared" si="58"/>
        <v>0</v>
      </c>
      <c r="W47" s="55">
        <f t="shared" si="59"/>
        <v>0</v>
      </c>
      <c r="X47" s="52">
        <v>0</v>
      </c>
      <c r="Y47" s="52" t="e">
        <v>#N/A</v>
      </c>
      <c r="Z47" s="56" t="e">
        <f t="shared" si="65"/>
        <v>#N/A</v>
      </c>
      <c r="AA47" s="55" t="e">
        <v>#N/A</v>
      </c>
      <c r="AB47" s="55">
        <f t="shared" si="61"/>
        <v>0</v>
      </c>
      <c r="AC47" s="55">
        <v>0</v>
      </c>
      <c r="AD47" s="55">
        <v>-7.9142580769230699</v>
      </c>
      <c r="AE47" s="55">
        <v>0</v>
      </c>
      <c r="AF47" s="55" t="e">
        <v>#N/A</v>
      </c>
    </row>
    <row r="48" spans="1:32" s="57" customFormat="1" ht="15.75" customHeight="1">
      <c r="A48" s="17" t="s">
        <v>115</v>
      </c>
      <c r="B48"/>
      <c r="C48" s="51" t="str">
        <f t="shared" si="50"/>
        <v xml:space="preserve"> - </v>
      </c>
      <c r="D48" s="51">
        <v>0</v>
      </c>
      <c r="E48" s="51">
        <v>0</v>
      </c>
      <c r="F48" s="51">
        <v>0</v>
      </c>
      <c r="G48" s="51">
        <v>0</v>
      </c>
      <c r="H48" s="51" t="e">
        <f t="shared" si="51"/>
        <v>#DIV/0!</v>
      </c>
      <c r="I48" s="51" t="e">
        <f t="shared" si="52"/>
        <v>#DIV/0!</v>
      </c>
      <c r="J48" s="51">
        <f t="shared" si="53"/>
        <v>0</v>
      </c>
      <c r="K48" s="51" t="e">
        <f t="shared" si="54"/>
        <v>#DIV/0!</v>
      </c>
      <c r="L48" s="51">
        <v>0</v>
      </c>
      <c r="M48" s="51" t="str">
        <f t="shared" si="55"/>
        <v>-</v>
      </c>
      <c r="N48" s="51">
        <v>0</v>
      </c>
      <c r="O48" s="51">
        <f t="shared" ref="O48:P48" si="69">D48/7</f>
        <v>0</v>
      </c>
      <c r="P48" s="51">
        <f t="shared" si="69"/>
        <v>0</v>
      </c>
      <c r="Q48" s="51" t="e">
        <f t="shared" si="57"/>
        <v>#DIV/0!</v>
      </c>
      <c r="R48" s="55">
        <f ca="1">IFERROR(__xludf.DUMMYFUNCTION("IFERROR(VLOOKUP($B$2,IMPORTRANGE(""https://docs.google.com/spreadsheets/d/1iVgg6Mw12RULLujzHmfOFIY8Q_KaAD8anoZzgtVAQ74/edit#gid=1503384807"",""Second Star - Summary!A1:AD2000""),9,FALSE),"""")"),0)</f>
        <v>0</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2">
        <v>0</v>
      </c>
      <c r="V48" s="55">
        <f t="shared" si="58"/>
        <v>0</v>
      </c>
      <c r="W48" s="55">
        <f t="shared" si="59"/>
        <v>0</v>
      </c>
      <c r="X48" s="52">
        <v>0</v>
      </c>
      <c r="Y48" s="52" t="e">
        <v>#N/A</v>
      </c>
      <c r="Z48" s="56" t="e">
        <f t="shared" si="65"/>
        <v>#N/A</v>
      </c>
      <c r="AA48" s="55" t="e">
        <v>#N/A</v>
      </c>
      <c r="AB48" s="55">
        <f t="shared" si="61"/>
        <v>0</v>
      </c>
      <c r="AC48" s="55">
        <v>0</v>
      </c>
      <c r="AD48" s="55">
        <v>-7.9142580769230699</v>
      </c>
      <c r="AE48" s="55">
        <v>0</v>
      </c>
      <c r="AF48" s="55" t="e">
        <v>#N/A</v>
      </c>
    </row>
    <row r="49" spans="1:32" s="57" customFormat="1" ht="15.75" customHeight="1">
      <c r="A49" s="17" t="s">
        <v>117</v>
      </c>
      <c r="B49"/>
      <c r="C49" s="51" t="str">
        <f t="shared" si="50"/>
        <v xml:space="preserve"> - </v>
      </c>
      <c r="D49" s="51">
        <v>0</v>
      </c>
      <c r="E49" s="51">
        <v>0</v>
      </c>
      <c r="F49" s="51">
        <v>0</v>
      </c>
      <c r="G49" s="51">
        <v>0</v>
      </c>
      <c r="H49" s="51" t="e">
        <f t="shared" si="51"/>
        <v>#DIV/0!</v>
      </c>
      <c r="I49" s="51" t="e">
        <f t="shared" si="52"/>
        <v>#DIV/0!</v>
      </c>
      <c r="J49" s="51">
        <f t="shared" ref="J49:J56" si="70">F49*0.85+G49+AD49*D49+D49*AC49+AE49+AB49</f>
        <v>0</v>
      </c>
      <c r="K49" s="51" t="e">
        <f t="shared" si="54"/>
        <v>#DIV/0!</v>
      </c>
      <c r="L49" s="51">
        <v>0</v>
      </c>
      <c r="M49" s="51" t="str">
        <f t="shared" si="55"/>
        <v>-</v>
      </c>
      <c r="N49" s="51">
        <v>0</v>
      </c>
      <c r="O49" s="51">
        <f t="shared" ref="O49:P49" si="71">D49/7</f>
        <v>0</v>
      </c>
      <c r="P49" s="51">
        <f t="shared" si="71"/>
        <v>0</v>
      </c>
      <c r="Q49" s="51" t="e">
        <f t="shared" si="57"/>
        <v>#DIV/0!</v>
      </c>
      <c r="R49" s="55">
        <f ca="1">IFERROR(__xludf.DUMMYFUNCTION("IFERROR(VLOOKUP($B$2,IMPORTRANGE(""https://docs.google.com/spreadsheets/d/1iVgg6Mw12RULLujzHmfOFIY8Q_KaAD8anoZzgtVAQ74/edit#gid=1503384807"",""Second Star - Summary!A1:AD2000""),9,FALSE),"""")"),0)</f>
        <v>0</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2">
        <v>0</v>
      </c>
      <c r="V49" s="55">
        <f t="shared" si="58"/>
        <v>0</v>
      </c>
      <c r="W49" s="55">
        <f t="shared" si="59"/>
        <v>0</v>
      </c>
      <c r="X49" s="52">
        <v>0</v>
      </c>
      <c r="Y49" s="52" t="e">
        <v>#N/A</v>
      </c>
      <c r="Z49" s="56" t="e">
        <f t="shared" si="65"/>
        <v>#N/A</v>
      </c>
      <c r="AA49" s="55" t="e">
        <v>#N/A</v>
      </c>
      <c r="AB49" s="55">
        <f t="shared" si="61"/>
        <v>0</v>
      </c>
      <c r="AC49" s="55">
        <v>0</v>
      </c>
      <c r="AD49" s="55">
        <v>-7.9142580769230699</v>
      </c>
      <c r="AE49" s="55">
        <v>0</v>
      </c>
      <c r="AF49" s="55" t="e">
        <v>#N/A</v>
      </c>
    </row>
    <row r="50" spans="1:32" s="57" customFormat="1" ht="15.75" customHeight="1">
      <c r="A50" s="2" t="s">
        <v>119</v>
      </c>
      <c r="B50"/>
      <c r="C50" s="51" t="str">
        <f t="shared" si="50"/>
        <v xml:space="preserve"> - </v>
      </c>
      <c r="D50" s="51">
        <v>0</v>
      </c>
      <c r="E50" s="51">
        <v>0</v>
      </c>
      <c r="F50" s="51">
        <v>0</v>
      </c>
      <c r="G50" s="51">
        <v>0</v>
      </c>
      <c r="H50" s="51" t="e">
        <f t="shared" si="51"/>
        <v>#DIV/0!</v>
      </c>
      <c r="I50" s="51" t="e">
        <f t="shared" si="52"/>
        <v>#DIV/0!</v>
      </c>
      <c r="J50" s="51">
        <f t="shared" si="70"/>
        <v>0</v>
      </c>
      <c r="K50" s="51" t="e">
        <f t="shared" si="54"/>
        <v>#DIV/0!</v>
      </c>
      <c r="L50" s="51">
        <v>0</v>
      </c>
      <c r="M50" s="51" t="str">
        <f t="shared" si="55"/>
        <v>-</v>
      </c>
      <c r="N50" s="51">
        <v>0</v>
      </c>
      <c r="O50" s="51">
        <f t="shared" ref="O50:P50" si="72">D50/7</f>
        <v>0</v>
      </c>
      <c r="P50" s="51">
        <f t="shared" si="72"/>
        <v>0</v>
      </c>
      <c r="Q50" s="51" t="e">
        <f t="shared" si="57"/>
        <v>#DIV/0!</v>
      </c>
      <c r="R50" s="55">
        <f ca="1">IFERROR(__xludf.DUMMYFUNCTION("IFERROR(VLOOKUP($B$2,IMPORTRANGE(""https://docs.google.com/spreadsheets/d/1iVgg6Mw12RULLujzHmfOFIY8Q_KaAD8anoZzgtVAQ74/edit#gid=1503384807"",""Second Star - Summary!A1:AD2000""),9,FALSE),"""")"),0)</f>
        <v>0</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2">
        <v>0</v>
      </c>
      <c r="V50" s="55">
        <f t="shared" si="58"/>
        <v>0</v>
      </c>
      <c r="W50" s="55">
        <f t="shared" si="59"/>
        <v>0</v>
      </c>
      <c r="X50" s="52">
        <v>0</v>
      </c>
      <c r="Y50" s="52" t="e">
        <v>#N/A</v>
      </c>
      <c r="Z50" s="56" t="e">
        <f t="shared" si="65"/>
        <v>#N/A</v>
      </c>
      <c r="AA50" s="55" t="e">
        <v>#N/A</v>
      </c>
      <c r="AB50" s="55">
        <f t="shared" si="61"/>
        <v>0</v>
      </c>
      <c r="AC50" s="55">
        <v>0</v>
      </c>
      <c r="AD50" s="55">
        <v>-7.9142580769230699</v>
      </c>
      <c r="AE50" s="55">
        <v>0</v>
      </c>
      <c r="AF50" s="55" t="e">
        <v>#N/A</v>
      </c>
    </row>
    <row r="51" spans="1:32" s="57" customFormat="1" ht="15.75" customHeight="1">
      <c r="A51" s="2" t="s">
        <v>121</v>
      </c>
      <c r="B51"/>
      <c r="C51" s="51" t="str">
        <f t="shared" si="50"/>
        <v xml:space="preserve"> - </v>
      </c>
      <c r="D51" s="51">
        <v>0</v>
      </c>
      <c r="E51" s="51">
        <v>0</v>
      </c>
      <c r="F51" s="51">
        <v>0</v>
      </c>
      <c r="G51" s="51">
        <v>0</v>
      </c>
      <c r="H51" s="51" t="e">
        <f t="shared" si="51"/>
        <v>#DIV/0!</v>
      </c>
      <c r="I51" s="51" t="e">
        <f t="shared" si="52"/>
        <v>#DIV/0!</v>
      </c>
      <c r="J51" s="51">
        <f t="shared" si="70"/>
        <v>0</v>
      </c>
      <c r="K51" s="51" t="e">
        <f t="shared" si="54"/>
        <v>#DIV/0!</v>
      </c>
      <c r="L51" s="51">
        <v>0</v>
      </c>
      <c r="M51" s="51" t="str">
        <f t="shared" si="55"/>
        <v>-</v>
      </c>
      <c r="N51" s="51">
        <v>0</v>
      </c>
      <c r="O51" s="51">
        <f t="shared" ref="O51:P51" si="73">D51/7</f>
        <v>0</v>
      </c>
      <c r="P51" s="51">
        <f t="shared" si="73"/>
        <v>0</v>
      </c>
      <c r="Q51" s="51" t="e">
        <f t="shared" si="57"/>
        <v>#DIV/0!</v>
      </c>
      <c r="R51" s="55">
        <f ca="1">IFERROR(__xludf.DUMMYFUNCTION("IFERROR(VLOOKUP($B$2,IMPORTRANGE(""https://docs.google.com/spreadsheets/d/1iVgg6Mw12RULLujzHmfOFIY8Q_KaAD8anoZzgtVAQ74/edit#gid=1503384807"",""Second Star - Summary!A1:AD2000""),9,FALSE),"""")"),0)</f>
        <v>0</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2">
        <v>0</v>
      </c>
      <c r="V51" s="55">
        <f t="shared" si="58"/>
        <v>0</v>
      </c>
      <c r="W51" s="55">
        <f t="shared" si="59"/>
        <v>0</v>
      </c>
      <c r="X51" s="52">
        <v>0</v>
      </c>
      <c r="Y51" s="52" t="e">
        <v>#N/A</v>
      </c>
      <c r="Z51" s="56" t="e">
        <f t="shared" si="65"/>
        <v>#N/A</v>
      </c>
      <c r="AA51" s="55" t="e">
        <v>#N/A</v>
      </c>
      <c r="AB51" s="55">
        <f t="shared" si="61"/>
        <v>0</v>
      </c>
      <c r="AC51" s="55">
        <v>0</v>
      </c>
      <c r="AD51" s="55">
        <v>-7.9142580769230699</v>
      </c>
      <c r="AE51" s="55">
        <v>0</v>
      </c>
      <c r="AF51" s="55" t="e">
        <v>#N/A</v>
      </c>
    </row>
    <row r="52" spans="1:32" s="57" customFormat="1" ht="15.75" customHeight="1">
      <c r="A52" s="17" t="s">
        <v>123</v>
      </c>
      <c r="B52"/>
      <c r="C52" s="51" t="str">
        <f t="shared" si="50"/>
        <v xml:space="preserve"> - </v>
      </c>
      <c r="D52" s="51">
        <v>0</v>
      </c>
      <c r="E52" s="51">
        <v>0</v>
      </c>
      <c r="F52" s="51">
        <v>0</v>
      </c>
      <c r="G52" s="51">
        <v>0</v>
      </c>
      <c r="H52" s="51" t="e">
        <f t="shared" si="51"/>
        <v>#DIV/0!</v>
      </c>
      <c r="I52" s="51" t="e">
        <f t="shared" si="52"/>
        <v>#DIV/0!</v>
      </c>
      <c r="J52" s="51">
        <f t="shared" si="70"/>
        <v>0</v>
      </c>
      <c r="K52" s="51" t="e">
        <f t="shared" si="54"/>
        <v>#DIV/0!</v>
      </c>
      <c r="L52" s="51">
        <v>0</v>
      </c>
      <c r="M52" s="51" t="str">
        <f t="shared" si="55"/>
        <v>-</v>
      </c>
      <c r="N52" s="51">
        <v>0</v>
      </c>
      <c r="O52" s="51">
        <f t="shared" ref="O52:P52" si="74">D52/7</f>
        <v>0</v>
      </c>
      <c r="P52" s="51">
        <f t="shared" si="74"/>
        <v>0</v>
      </c>
      <c r="Q52" s="51" t="e">
        <f t="shared" si="57"/>
        <v>#DIV/0!</v>
      </c>
      <c r="R52" s="55">
        <f ca="1">IFERROR(__xludf.DUMMYFUNCTION("IFERROR(VLOOKUP($B$2,IMPORTRANGE(""https://docs.google.com/spreadsheets/d/1iVgg6Mw12RULLujzHmfOFIY8Q_KaAD8anoZzgtVAQ74/edit#gid=1503384807"",""Second Star - Summary!A1:AD2000""),9,FALSE),"""")"),0)</f>
        <v>0</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2">
        <v>0</v>
      </c>
      <c r="V52" s="55">
        <f t="shared" si="58"/>
        <v>0</v>
      </c>
      <c r="W52" s="55">
        <f t="shared" si="59"/>
        <v>0</v>
      </c>
      <c r="X52" s="52">
        <v>0</v>
      </c>
      <c r="Y52" s="52" t="e">
        <v>#N/A</v>
      </c>
      <c r="Z52" s="56" t="e">
        <f t="shared" si="65"/>
        <v>#N/A</v>
      </c>
      <c r="AA52" s="55" t="e">
        <v>#N/A</v>
      </c>
      <c r="AB52" s="55">
        <f t="shared" si="61"/>
        <v>0</v>
      </c>
      <c r="AC52" s="55">
        <v>0</v>
      </c>
      <c r="AD52" s="55">
        <v>-7.9142580769230699</v>
      </c>
      <c r="AE52" s="55">
        <v>0</v>
      </c>
      <c r="AF52" s="55">
        <v>0</v>
      </c>
    </row>
    <row r="53" spans="1:32" s="57" customFormat="1">
      <c r="A53" s="17" t="s">
        <v>38</v>
      </c>
      <c r="B53"/>
      <c r="C53" s="51" t="str">
        <f t="shared" si="50"/>
        <v xml:space="preserve"> - </v>
      </c>
      <c r="D53" s="51">
        <v>0</v>
      </c>
      <c r="E53" s="51">
        <v>0</v>
      </c>
      <c r="F53" s="51">
        <v>0</v>
      </c>
      <c r="G53" s="51">
        <v>0</v>
      </c>
      <c r="H53" s="51" t="e">
        <f t="shared" si="51"/>
        <v>#DIV/0!</v>
      </c>
      <c r="I53" s="51" t="e">
        <f t="shared" si="52"/>
        <v>#DIV/0!</v>
      </c>
      <c r="J53" s="51">
        <f t="shared" si="70"/>
        <v>0</v>
      </c>
      <c r="K53" s="51" t="e">
        <f t="shared" si="54"/>
        <v>#DIV/0!</v>
      </c>
      <c r="L53" s="51">
        <v>0</v>
      </c>
      <c r="M53" s="51" t="str">
        <f t="shared" si="55"/>
        <v>-</v>
      </c>
      <c r="N53" s="51">
        <v>0</v>
      </c>
      <c r="O53" s="51">
        <f t="shared" ref="O53:P53" si="75">D53/7</f>
        <v>0</v>
      </c>
      <c r="P53" s="51">
        <f t="shared" si="75"/>
        <v>0</v>
      </c>
      <c r="Q53" s="51" t="e">
        <f t="shared" si="57"/>
        <v>#DIV/0!</v>
      </c>
      <c r="R53" s="55">
        <f ca="1">IFERROR(__xludf.DUMMYFUNCTION("IFERROR(VLOOKUP($B$2,IMPORTRANGE(""https://docs.google.com/spreadsheets/d/1iVgg6Mw12RULLujzHmfOFIY8Q_KaAD8anoZzgtVAQ74/edit#gid=1503384807"",""Second Star - Summary!A1:AD2000""),9,FALSE),"""")"),0)</f>
        <v>0</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2">
        <v>0</v>
      </c>
      <c r="V53" s="55">
        <f t="shared" si="58"/>
        <v>0</v>
      </c>
      <c r="W53" s="55">
        <f t="shared" si="59"/>
        <v>0</v>
      </c>
      <c r="X53" s="52">
        <v>0</v>
      </c>
      <c r="Y53" s="52" t="e">
        <v>#N/A</v>
      </c>
      <c r="Z53" s="56" t="e">
        <f t="shared" si="65"/>
        <v>#N/A</v>
      </c>
      <c r="AA53" s="55" t="e">
        <v>#N/A</v>
      </c>
      <c r="AB53" s="55">
        <f t="shared" si="61"/>
        <v>0</v>
      </c>
      <c r="AC53" s="55">
        <v>0</v>
      </c>
      <c r="AD53" s="55">
        <v>-5.8269230769230704</v>
      </c>
      <c r="AE53" s="55">
        <v>0</v>
      </c>
      <c r="AF53" s="55">
        <v>0</v>
      </c>
    </row>
    <row r="54" spans="1:32" s="57" customFormat="1">
      <c r="A54" s="17" t="s">
        <v>40</v>
      </c>
      <c r="B54"/>
      <c r="C54" s="51" t="str">
        <f t="shared" si="50"/>
        <v xml:space="preserve"> - </v>
      </c>
      <c r="D54" s="51">
        <v>0</v>
      </c>
      <c r="E54" s="51">
        <v>0</v>
      </c>
      <c r="F54" s="51">
        <v>0</v>
      </c>
      <c r="G54" s="51">
        <v>0</v>
      </c>
      <c r="H54" s="51" t="e">
        <f t="shared" si="51"/>
        <v>#DIV/0!</v>
      </c>
      <c r="I54" s="51" t="e">
        <f t="shared" si="52"/>
        <v>#DIV/0!</v>
      </c>
      <c r="J54" s="51">
        <f t="shared" si="70"/>
        <v>0</v>
      </c>
      <c r="K54" s="51" t="e">
        <f t="shared" si="54"/>
        <v>#DIV/0!</v>
      </c>
      <c r="L54" s="51">
        <v>0</v>
      </c>
      <c r="M54" s="51" t="str">
        <f t="shared" si="55"/>
        <v>-</v>
      </c>
      <c r="N54" s="51">
        <v>0</v>
      </c>
      <c r="O54" s="51">
        <f t="shared" ref="O54:P54" si="76">D54/7</f>
        <v>0</v>
      </c>
      <c r="P54" s="51">
        <f t="shared" si="76"/>
        <v>0</v>
      </c>
      <c r="Q54" s="51" t="e">
        <f t="shared" si="57"/>
        <v>#DIV/0!</v>
      </c>
      <c r="R54" s="55">
        <f ca="1">IFERROR(__xludf.DUMMYFUNCTION("IFERROR(VLOOKUP($B$2,IMPORTRANGE(""https://docs.google.com/spreadsheets/d/1iVgg6Mw12RULLujzHmfOFIY8Q_KaAD8anoZzgtVAQ74/edit#gid=1503384807"",""Second Star - Summary!A1:AD2000""),9,FALSE),"""")"),0)</f>
        <v>0</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2">
        <v>0</v>
      </c>
      <c r="V54" s="55">
        <f t="shared" si="58"/>
        <v>0</v>
      </c>
      <c r="W54" s="55">
        <f t="shared" si="59"/>
        <v>0</v>
      </c>
      <c r="X54" s="52">
        <v>0</v>
      </c>
      <c r="Y54" s="52" t="e">
        <v>#N/A</v>
      </c>
      <c r="Z54" s="56" t="e">
        <f t="shared" si="65"/>
        <v>#N/A</v>
      </c>
      <c r="AA54" s="55" t="e">
        <v>#N/A</v>
      </c>
      <c r="AB54" s="55">
        <f t="shared" si="61"/>
        <v>0</v>
      </c>
      <c r="AC54" s="55">
        <v>0</v>
      </c>
      <c r="AD54" s="55">
        <v>-5.8269230769230704</v>
      </c>
      <c r="AE54" s="55">
        <v>0</v>
      </c>
      <c r="AF54" s="55">
        <v>0</v>
      </c>
    </row>
    <row r="55" spans="1:32" s="57" customFormat="1" ht="15.75" customHeight="1">
      <c r="A55" s="17" t="s">
        <v>32</v>
      </c>
      <c r="B55"/>
      <c r="C55" s="51" t="str">
        <f t="shared" si="50"/>
        <v xml:space="preserve"> - </v>
      </c>
      <c r="D55" s="51">
        <v>0</v>
      </c>
      <c r="E55" s="51">
        <v>0</v>
      </c>
      <c r="F55" s="51">
        <v>0</v>
      </c>
      <c r="G55" s="51">
        <v>0</v>
      </c>
      <c r="H55" s="51" t="e">
        <f t="shared" si="51"/>
        <v>#DIV/0!</v>
      </c>
      <c r="I55" s="51" t="e">
        <f t="shared" si="52"/>
        <v>#DIV/0!</v>
      </c>
      <c r="J55" s="51">
        <f t="shared" si="70"/>
        <v>0</v>
      </c>
      <c r="K55" s="51" t="e">
        <f t="shared" si="54"/>
        <v>#DIV/0!</v>
      </c>
      <c r="L55" s="51">
        <v>0</v>
      </c>
      <c r="M55" s="51" t="str">
        <f t="shared" si="55"/>
        <v>-</v>
      </c>
      <c r="N55" s="51">
        <v>0</v>
      </c>
      <c r="O55" s="51">
        <f t="shared" ref="O55:P55" si="77">D55/7</f>
        <v>0</v>
      </c>
      <c r="P55" s="51">
        <f t="shared" si="77"/>
        <v>0</v>
      </c>
      <c r="Q55" s="51" t="e">
        <f t="shared" si="57"/>
        <v>#DIV/0!</v>
      </c>
      <c r="R55" s="55">
        <v>0</v>
      </c>
      <c r="S55" s="53" t="s">
        <v>34</v>
      </c>
      <c r="T55" s="54" t="s">
        <v>34</v>
      </c>
      <c r="U55" s="52">
        <v>0</v>
      </c>
      <c r="V55" s="55">
        <f t="shared" si="58"/>
        <v>0</v>
      </c>
      <c r="W55" s="55">
        <f t="shared" si="59"/>
        <v>0</v>
      </c>
      <c r="X55" s="52">
        <v>0</v>
      </c>
      <c r="Y55" s="52" t="e">
        <v>#N/A</v>
      </c>
      <c r="Z55" s="56" t="e">
        <f t="shared" si="65"/>
        <v>#N/A</v>
      </c>
      <c r="AA55" s="55" t="e">
        <v>#N/A</v>
      </c>
      <c r="AB55" s="55">
        <f t="shared" si="61"/>
        <v>0</v>
      </c>
      <c r="AC55" s="55">
        <v>0</v>
      </c>
      <c r="AD55" s="55">
        <v>-5.8269230769230704</v>
      </c>
      <c r="AE55" s="55">
        <v>0</v>
      </c>
      <c r="AF55" s="55" t="e">
        <v>#N/A</v>
      </c>
    </row>
    <row r="56" spans="1:32" s="57" customFormat="1" ht="15.75" customHeight="1">
      <c r="A56" s="30" t="s">
        <v>36</v>
      </c>
      <c r="B56"/>
      <c r="C56" s="51" t="str">
        <f t="shared" si="50"/>
        <v xml:space="preserve"> - </v>
      </c>
      <c r="D56" s="51">
        <v>0</v>
      </c>
      <c r="E56" s="51">
        <v>0</v>
      </c>
      <c r="F56" s="51">
        <v>0</v>
      </c>
      <c r="G56" s="51">
        <v>0</v>
      </c>
      <c r="H56" s="51" t="e">
        <f t="shared" si="51"/>
        <v>#DIV/0!</v>
      </c>
      <c r="I56" s="51" t="e">
        <f t="shared" si="52"/>
        <v>#DIV/0!</v>
      </c>
      <c r="J56" s="51">
        <f t="shared" si="70"/>
        <v>0</v>
      </c>
      <c r="K56" s="51" t="e">
        <f t="shared" si="54"/>
        <v>#DIV/0!</v>
      </c>
      <c r="L56" s="51">
        <v>0</v>
      </c>
      <c r="M56" s="51" t="str">
        <f t="shared" si="55"/>
        <v>-</v>
      </c>
      <c r="N56" s="51">
        <v>0</v>
      </c>
      <c r="O56" s="51">
        <f t="shared" ref="O56:P56" si="78">D56/7</f>
        <v>0</v>
      </c>
      <c r="P56" s="51">
        <f t="shared" si="78"/>
        <v>0</v>
      </c>
      <c r="Q56" s="51" t="e">
        <f t="shared" si="57"/>
        <v>#DIV/0!</v>
      </c>
      <c r="R56" s="55">
        <f ca="1">IFERROR(__xludf.DUMMYFUNCTION("IFERROR(VLOOKUP($B$2,IMPORTRANGE(""https://docs.google.com/spreadsheets/d/1iVgg6Mw12RULLujzHmfOFIY8Q_KaAD8anoZzgtVAQ74/edit#gid=1503384807"",""Second Star - Summary!A1:AD2000""),9,FALSE),"""")"),0)</f>
        <v>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9">
        <v>0</v>
      </c>
      <c r="V56" s="55">
        <f t="shared" si="58"/>
        <v>0</v>
      </c>
      <c r="W56" s="55">
        <f t="shared" si="59"/>
        <v>0</v>
      </c>
      <c r="X56" s="59">
        <v>0</v>
      </c>
      <c r="Y56" s="59" t="e">
        <v>#N/A</v>
      </c>
      <c r="Z56" s="56" t="e">
        <f t="shared" si="65"/>
        <v>#N/A</v>
      </c>
      <c r="AA56" s="55" t="e">
        <v>#N/A</v>
      </c>
      <c r="AB56" s="55">
        <f t="shared" si="61"/>
        <v>0</v>
      </c>
      <c r="AC56" s="55">
        <v>0</v>
      </c>
      <c r="AD56" s="55">
        <v>-5.8269230769230704</v>
      </c>
      <c r="AE56" s="55">
        <v>0</v>
      </c>
      <c r="AF56" s="55" t="e">
        <v>#N/A</v>
      </c>
    </row>
    <row r="57" spans="1:32" ht="15.75" customHeight="1">
      <c r="C57" s="24"/>
      <c r="D57" s="18"/>
      <c r="E57" s="18"/>
      <c r="F57" s="19"/>
      <c r="G57" s="19"/>
      <c r="H57" s="19"/>
      <c r="I57" s="18"/>
      <c r="J57" s="18"/>
      <c r="K57" s="18"/>
      <c r="L57" s="18"/>
      <c r="M57" s="20"/>
      <c r="N57" s="18"/>
      <c r="O57" s="18"/>
      <c r="P57" s="18"/>
      <c r="Q57" s="18"/>
      <c r="S57" s="21"/>
      <c r="T57" s="1"/>
      <c r="AC57" s="22"/>
      <c r="AD57" s="22"/>
      <c r="AE57" s="22"/>
      <c r="AF57" s="23"/>
    </row>
    <row r="58" spans="1:32" ht="15.75" customHeight="1">
      <c r="C58" s="24"/>
      <c r="D58" s="18"/>
      <c r="E58" s="18"/>
      <c r="F58" s="19"/>
      <c r="G58" s="19"/>
      <c r="H58" s="19"/>
      <c r="I58" s="18"/>
      <c r="J58" s="18"/>
      <c r="K58" s="18"/>
      <c r="L58" s="18"/>
      <c r="M58" s="20"/>
      <c r="N58" s="18"/>
      <c r="O58" s="18"/>
      <c r="P58" s="18"/>
      <c r="Q58" s="18"/>
      <c r="S58" s="21"/>
      <c r="T58" s="1"/>
      <c r="AC58" s="22"/>
      <c r="AD58" s="22"/>
      <c r="AE58" s="22"/>
      <c r="AF58" s="23"/>
    </row>
    <row r="59" spans="1:32" ht="15.75" customHeight="1">
      <c r="C59" s="24"/>
      <c r="D59" s="18"/>
      <c r="E59" s="18"/>
      <c r="F59" s="19"/>
      <c r="G59" s="19"/>
      <c r="H59" s="19"/>
      <c r="I59" s="18"/>
      <c r="J59" s="18"/>
      <c r="K59" s="18"/>
      <c r="L59" s="18"/>
      <c r="M59" s="20"/>
      <c r="N59" s="18"/>
      <c r="O59" s="18"/>
      <c r="P59" s="18"/>
      <c r="Q59" s="18"/>
      <c r="S59" s="21"/>
      <c r="T59" s="1"/>
      <c r="AC59" s="22"/>
      <c r="AD59" s="22"/>
      <c r="AE59" s="22"/>
      <c r="AF59" s="23"/>
    </row>
    <row r="60" spans="1:32" ht="15.75" customHeight="1">
      <c r="C60" s="24"/>
      <c r="D60" s="18"/>
      <c r="E60" s="18"/>
      <c r="F60" s="19"/>
      <c r="G60" s="19"/>
      <c r="H60" s="19"/>
      <c r="I60" s="18"/>
      <c r="J60" s="18"/>
      <c r="K60" s="18"/>
      <c r="L60" s="18"/>
      <c r="M60" s="20"/>
      <c r="N60" s="18"/>
      <c r="O60" s="18"/>
      <c r="P60" s="18"/>
      <c r="Q60" s="18"/>
      <c r="S60" s="21"/>
      <c r="T60" s="1"/>
      <c r="AC60" s="22"/>
      <c r="AD60" s="22"/>
      <c r="AE60" s="22"/>
      <c r="AF60" s="23"/>
    </row>
    <row r="61" spans="1:32" ht="15.75" customHeight="1">
      <c r="C61" s="24"/>
      <c r="D61" s="18"/>
      <c r="E61" s="18"/>
      <c r="F61" s="19"/>
      <c r="G61" s="19"/>
      <c r="H61" s="19"/>
      <c r="I61" s="18"/>
      <c r="J61" s="18"/>
      <c r="K61" s="18"/>
      <c r="L61" s="18"/>
      <c r="M61" s="20"/>
      <c r="N61" s="18"/>
      <c r="O61" s="18"/>
      <c r="P61" s="18"/>
      <c r="Q61" s="18"/>
      <c r="S61" s="21"/>
      <c r="T61" s="1"/>
      <c r="AC61" s="22"/>
      <c r="AD61" s="22"/>
      <c r="AE61" s="22"/>
      <c r="AF61" s="23"/>
    </row>
    <row r="62" spans="1:32" ht="15.75" customHeight="1">
      <c r="C62" s="24"/>
      <c r="D62" s="18"/>
      <c r="E62" s="18"/>
      <c r="F62" s="19"/>
      <c r="G62" s="19"/>
      <c r="H62" s="19"/>
      <c r="I62" s="18"/>
      <c r="J62" s="18"/>
      <c r="K62" s="18"/>
      <c r="L62" s="18"/>
      <c r="M62" s="20"/>
      <c r="N62" s="18"/>
      <c r="O62" s="18"/>
      <c r="P62" s="18"/>
      <c r="Q62" s="18"/>
      <c r="S62" s="21"/>
      <c r="T62" s="1"/>
      <c r="AC62" s="22"/>
      <c r="AD62" s="22"/>
      <c r="AE62" s="22"/>
      <c r="AF62" s="23"/>
    </row>
    <row r="63" spans="1:32" ht="15.75" customHeight="1">
      <c r="C63" s="24"/>
      <c r="D63" s="18"/>
      <c r="E63" s="18"/>
      <c r="F63" s="19"/>
      <c r="G63" s="19"/>
      <c r="H63" s="19"/>
      <c r="I63" s="18"/>
      <c r="J63" s="18"/>
      <c r="K63" s="18"/>
      <c r="L63" s="18"/>
      <c r="M63" s="20"/>
      <c r="N63" s="18"/>
      <c r="O63" s="18"/>
      <c r="P63" s="18"/>
      <c r="Q63" s="18"/>
      <c r="S63" s="21"/>
      <c r="T63" s="1"/>
      <c r="AC63" s="22"/>
      <c r="AD63" s="22"/>
      <c r="AE63" s="22"/>
      <c r="AF63" s="23"/>
    </row>
    <row r="64" spans="1:32" ht="15.75" customHeight="1">
      <c r="C64" s="24"/>
      <c r="D64" s="18"/>
      <c r="E64" s="18"/>
      <c r="F64" s="19"/>
      <c r="G64" s="19"/>
      <c r="H64" s="19"/>
      <c r="I64" s="18"/>
      <c r="J64" s="18"/>
      <c r="K64" s="18"/>
      <c r="L64" s="18"/>
      <c r="M64" s="20"/>
      <c r="N64" s="18"/>
      <c r="O64" s="18"/>
      <c r="P64" s="18"/>
      <c r="Q64" s="18"/>
      <c r="S64" s="21"/>
      <c r="T64" s="1"/>
      <c r="AC64" s="22"/>
      <c r="AD64" s="22"/>
      <c r="AE64" s="22"/>
      <c r="AF64" s="23"/>
    </row>
    <row r="65" spans="3:32" ht="15.75" customHeight="1">
      <c r="C65" s="24"/>
      <c r="D65" s="18"/>
      <c r="E65" s="18"/>
      <c r="F65" s="19"/>
      <c r="G65" s="19"/>
      <c r="H65" s="19"/>
      <c r="I65" s="18"/>
      <c r="J65" s="18"/>
      <c r="K65" s="18"/>
      <c r="L65" s="18"/>
      <c r="M65" s="20"/>
      <c r="N65" s="18"/>
      <c r="O65" s="18"/>
      <c r="P65" s="18"/>
      <c r="Q65" s="18"/>
      <c r="S65" s="21"/>
      <c r="T65" s="1"/>
      <c r="AC65" s="22"/>
      <c r="AD65" s="22"/>
      <c r="AE65" s="22"/>
      <c r="AF65" s="23"/>
    </row>
    <row r="66" spans="3:32" ht="15.75" customHeight="1">
      <c r="C66" s="24"/>
      <c r="D66" s="18"/>
      <c r="E66" s="18"/>
      <c r="F66" s="19"/>
      <c r="G66" s="19"/>
      <c r="H66" s="19"/>
      <c r="I66" s="18"/>
      <c r="J66" s="18"/>
      <c r="K66" s="18"/>
      <c r="L66" s="18"/>
      <c r="M66" s="20"/>
      <c r="N66" s="18"/>
      <c r="O66" s="18"/>
      <c r="P66" s="18"/>
      <c r="Q66" s="18"/>
      <c r="S66" s="21"/>
      <c r="T66" s="1"/>
      <c r="AC66" s="22"/>
      <c r="AD66" s="22"/>
      <c r="AE66" s="22"/>
      <c r="AF66" s="23"/>
    </row>
    <row r="67" spans="3:32" ht="15.75" customHeight="1">
      <c r="C67" s="24"/>
      <c r="D67" s="18"/>
      <c r="E67" s="18"/>
      <c r="F67" s="19"/>
      <c r="G67" s="19"/>
      <c r="H67" s="19"/>
      <c r="I67" s="18"/>
      <c r="J67" s="18"/>
      <c r="K67" s="18"/>
      <c r="L67" s="18"/>
      <c r="M67" s="20"/>
      <c r="N67" s="18"/>
      <c r="O67" s="18"/>
      <c r="P67" s="18"/>
      <c r="Q67" s="18"/>
      <c r="S67" s="21"/>
      <c r="T67" s="1"/>
      <c r="AC67" s="22"/>
      <c r="AD67" s="22"/>
      <c r="AE67" s="22"/>
      <c r="AF67" s="23"/>
    </row>
    <row r="68" spans="3:32" ht="15.75" customHeight="1">
      <c r="C68" s="24"/>
      <c r="D68" s="18"/>
      <c r="E68" s="18"/>
      <c r="F68" s="19"/>
      <c r="G68" s="19"/>
      <c r="H68" s="19"/>
      <c r="I68" s="18"/>
      <c r="J68" s="18"/>
      <c r="K68" s="18"/>
      <c r="L68" s="18"/>
      <c r="M68" s="20"/>
      <c r="N68" s="18"/>
      <c r="O68" s="18"/>
      <c r="P68" s="18"/>
      <c r="Q68" s="18"/>
      <c r="S68" s="21"/>
      <c r="T68" s="1"/>
      <c r="AC68" s="22"/>
      <c r="AD68" s="22"/>
      <c r="AE68" s="22"/>
      <c r="AF68" s="23"/>
    </row>
    <row r="69" spans="3:32" ht="15.75" customHeight="1">
      <c r="C69" s="24"/>
      <c r="D69" s="18"/>
      <c r="E69" s="18"/>
      <c r="F69" s="19"/>
      <c r="G69" s="19"/>
      <c r="H69" s="19"/>
      <c r="I69" s="18"/>
      <c r="J69" s="18"/>
      <c r="K69" s="18"/>
      <c r="L69" s="18"/>
      <c r="M69" s="20"/>
      <c r="N69" s="18"/>
      <c r="O69" s="18"/>
      <c r="P69" s="18"/>
      <c r="Q69" s="18"/>
      <c r="S69" s="21"/>
      <c r="T69" s="1"/>
      <c r="AC69" s="22"/>
      <c r="AD69" s="22"/>
      <c r="AE69" s="22"/>
      <c r="AF69" s="23"/>
    </row>
    <row r="70" spans="3:32" ht="15.75" customHeight="1">
      <c r="C70" s="24"/>
      <c r="D70" s="18"/>
      <c r="E70" s="18"/>
      <c r="F70" s="19"/>
      <c r="G70" s="19"/>
      <c r="H70" s="19"/>
      <c r="I70" s="18"/>
      <c r="J70" s="18"/>
      <c r="K70" s="18"/>
      <c r="L70" s="18"/>
      <c r="M70" s="20"/>
      <c r="N70" s="18"/>
      <c r="O70" s="18"/>
      <c r="P70" s="18"/>
      <c r="Q70" s="18"/>
      <c r="S70" s="21"/>
      <c r="T70" s="1"/>
      <c r="AC70" s="22"/>
      <c r="AD70" s="22"/>
      <c r="AE70" s="22"/>
      <c r="AF70" s="23"/>
    </row>
    <row r="71" spans="3:32" ht="15.75" customHeight="1">
      <c r="C71" s="24"/>
      <c r="D71" s="18"/>
      <c r="E71" s="18"/>
      <c r="F71" s="19"/>
      <c r="G71" s="19"/>
      <c r="H71" s="19"/>
      <c r="I71" s="18"/>
      <c r="J71" s="18"/>
      <c r="K71" s="18"/>
      <c r="L71" s="18"/>
      <c r="M71" s="20"/>
      <c r="N71" s="18"/>
      <c r="O71" s="18"/>
      <c r="P71" s="18"/>
      <c r="Q71" s="18"/>
      <c r="S71" s="21"/>
      <c r="T71" s="1"/>
      <c r="AC71" s="22"/>
      <c r="AD71" s="22"/>
      <c r="AE71" s="22"/>
      <c r="AF71" s="23"/>
    </row>
    <row r="72" spans="3:32" ht="15.75" customHeight="1">
      <c r="C72" s="24"/>
      <c r="D72" s="18"/>
      <c r="E72" s="18"/>
      <c r="F72" s="19"/>
      <c r="G72" s="19"/>
      <c r="H72" s="19"/>
      <c r="I72" s="18"/>
      <c r="J72" s="18"/>
      <c r="K72" s="18"/>
      <c r="L72" s="18"/>
      <c r="M72" s="20"/>
      <c r="N72" s="18"/>
      <c r="O72" s="18"/>
      <c r="P72" s="18"/>
      <c r="Q72" s="18"/>
      <c r="S72" s="21"/>
      <c r="T72" s="1"/>
      <c r="AC72" s="22"/>
      <c r="AD72" s="22"/>
      <c r="AE72" s="22"/>
      <c r="AF72" s="23"/>
    </row>
    <row r="73" spans="3:32" ht="15.75" customHeight="1">
      <c r="C73" s="24"/>
      <c r="D73" s="18"/>
      <c r="E73" s="18"/>
      <c r="F73" s="19"/>
      <c r="G73" s="19"/>
      <c r="H73" s="19"/>
      <c r="I73" s="18"/>
      <c r="J73" s="18"/>
      <c r="K73" s="18"/>
      <c r="L73" s="18"/>
      <c r="M73" s="20"/>
      <c r="N73" s="18"/>
      <c r="O73" s="18"/>
      <c r="P73" s="18"/>
      <c r="Q73" s="18"/>
      <c r="S73" s="21"/>
      <c r="T73" s="1"/>
      <c r="AC73" s="22"/>
      <c r="AD73" s="22"/>
      <c r="AE73" s="22"/>
      <c r="AF73" s="23"/>
    </row>
    <row r="74" spans="3:32" ht="15.75" customHeight="1">
      <c r="C74" s="24"/>
      <c r="D74" s="18"/>
      <c r="E74" s="18"/>
      <c r="F74" s="19"/>
      <c r="G74" s="19"/>
      <c r="H74" s="19"/>
      <c r="I74" s="18"/>
      <c r="J74" s="18"/>
      <c r="K74" s="18"/>
      <c r="L74" s="18"/>
      <c r="M74" s="20"/>
      <c r="N74" s="18"/>
      <c r="O74" s="18"/>
      <c r="P74" s="18"/>
      <c r="Q74" s="18"/>
      <c r="S74" s="21"/>
      <c r="T74" s="1"/>
      <c r="AC74" s="22"/>
      <c r="AD74" s="22"/>
      <c r="AE74" s="22"/>
      <c r="AF74" s="23"/>
    </row>
    <row r="75" spans="3:32" ht="15.75" customHeight="1">
      <c r="C75" s="24"/>
      <c r="D75" s="18"/>
      <c r="E75" s="18"/>
      <c r="F75" s="19"/>
      <c r="G75" s="19"/>
      <c r="H75" s="19"/>
      <c r="I75" s="18"/>
      <c r="J75" s="18"/>
      <c r="K75" s="18"/>
      <c r="L75" s="18"/>
      <c r="M75" s="20"/>
      <c r="N75" s="18"/>
      <c r="O75" s="18"/>
      <c r="P75" s="18"/>
      <c r="Q75" s="18"/>
      <c r="S75" s="21"/>
      <c r="T75" s="1"/>
      <c r="AC75" s="22"/>
      <c r="AD75" s="22"/>
      <c r="AE75" s="22"/>
      <c r="AF75" s="23"/>
    </row>
    <row r="76" spans="3:32" ht="15.75" customHeight="1">
      <c r="C76" s="24"/>
      <c r="D76" s="18"/>
      <c r="E76" s="18"/>
      <c r="F76" s="19"/>
      <c r="G76" s="19"/>
      <c r="H76" s="19"/>
      <c r="I76" s="18"/>
      <c r="J76" s="18"/>
      <c r="K76" s="18"/>
      <c r="L76" s="18"/>
      <c r="M76" s="20"/>
      <c r="N76" s="18"/>
      <c r="O76" s="18"/>
      <c r="P76" s="18"/>
      <c r="Q76" s="18"/>
      <c r="S76" s="21"/>
      <c r="T76" s="1"/>
      <c r="AC76" s="22"/>
      <c r="AD76" s="22"/>
      <c r="AE76" s="22"/>
      <c r="AF76" s="23"/>
    </row>
    <row r="77" spans="3:32" ht="15.75" customHeight="1">
      <c r="C77" s="24"/>
      <c r="D77" s="18"/>
      <c r="E77" s="18"/>
      <c r="F77" s="19"/>
      <c r="G77" s="19"/>
      <c r="H77" s="19"/>
      <c r="I77" s="18"/>
      <c r="J77" s="18"/>
      <c r="K77" s="18"/>
      <c r="L77" s="18"/>
      <c r="M77" s="20"/>
      <c r="N77" s="18"/>
      <c r="O77" s="18"/>
      <c r="P77" s="18"/>
      <c r="Q77" s="18"/>
      <c r="S77" s="21"/>
      <c r="T77" s="1"/>
      <c r="AC77" s="22"/>
      <c r="AD77" s="22"/>
      <c r="AE77" s="22"/>
      <c r="AF77" s="23"/>
    </row>
    <row r="78" spans="3:32" ht="15.75" customHeight="1">
      <c r="C78" s="24"/>
      <c r="D78" s="18"/>
      <c r="E78" s="18"/>
      <c r="F78" s="19"/>
      <c r="G78" s="19"/>
      <c r="H78" s="19"/>
      <c r="I78" s="18"/>
      <c r="J78" s="18"/>
      <c r="K78" s="18"/>
      <c r="L78" s="18"/>
      <c r="M78" s="20"/>
      <c r="N78" s="18"/>
      <c r="O78" s="18"/>
      <c r="P78" s="18"/>
      <c r="Q78" s="18"/>
      <c r="S78" s="21"/>
      <c r="T78" s="1"/>
      <c r="AC78" s="22"/>
      <c r="AD78" s="22"/>
      <c r="AE78" s="22"/>
      <c r="AF78" s="23"/>
    </row>
    <row r="79" spans="3:32" ht="15.75" customHeight="1">
      <c r="C79" s="24"/>
      <c r="D79" s="18"/>
      <c r="E79" s="18"/>
      <c r="F79" s="19"/>
      <c r="G79" s="19"/>
      <c r="H79" s="19"/>
      <c r="I79" s="18"/>
      <c r="J79" s="18"/>
      <c r="K79" s="18"/>
      <c r="L79" s="18"/>
      <c r="M79" s="20"/>
      <c r="N79" s="18"/>
      <c r="O79" s="18"/>
      <c r="P79" s="18"/>
      <c r="Q79" s="18"/>
      <c r="S79" s="21"/>
      <c r="T79" s="1"/>
      <c r="AC79" s="22"/>
      <c r="AD79" s="22"/>
      <c r="AE79" s="22"/>
      <c r="AF79" s="23"/>
    </row>
    <row r="80" spans="3:32" ht="15.75" customHeight="1">
      <c r="C80" s="24"/>
      <c r="D80" s="18"/>
      <c r="E80" s="18"/>
      <c r="F80" s="19"/>
      <c r="G80" s="19"/>
      <c r="H80" s="19"/>
      <c r="I80" s="18"/>
      <c r="J80" s="18"/>
      <c r="K80" s="18"/>
      <c r="L80" s="18"/>
      <c r="M80" s="20"/>
      <c r="N80" s="18"/>
      <c r="O80" s="18"/>
      <c r="P80" s="18"/>
      <c r="Q80" s="18"/>
      <c r="S80" s="21"/>
      <c r="T80" s="1"/>
      <c r="AC80" s="22"/>
      <c r="AD80" s="22"/>
      <c r="AE80" s="22"/>
      <c r="AF80" s="23"/>
    </row>
    <row r="81" spans="3:32" ht="15.75" customHeight="1">
      <c r="C81" s="24"/>
      <c r="D81" s="18"/>
      <c r="E81" s="18"/>
      <c r="F81" s="19"/>
      <c r="G81" s="19"/>
      <c r="H81" s="19"/>
      <c r="I81" s="18"/>
      <c r="J81" s="18"/>
      <c r="K81" s="18"/>
      <c r="L81" s="18"/>
      <c r="M81" s="20"/>
      <c r="N81" s="18"/>
      <c r="O81" s="18"/>
      <c r="P81" s="18"/>
      <c r="Q81" s="18"/>
      <c r="S81" s="21"/>
      <c r="T81" s="1"/>
      <c r="AC81" s="22"/>
      <c r="AD81" s="22"/>
      <c r="AE81" s="22"/>
      <c r="AF81" s="23"/>
    </row>
    <row r="82" spans="3:32" ht="15.75" customHeight="1">
      <c r="C82" s="24"/>
      <c r="D82" s="18"/>
      <c r="E82" s="18"/>
      <c r="F82" s="19"/>
      <c r="G82" s="19"/>
      <c r="H82" s="19"/>
      <c r="I82" s="18"/>
      <c r="J82" s="18"/>
      <c r="K82" s="18"/>
      <c r="L82" s="18"/>
      <c r="M82" s="20"/>
      <c r="N82" s="18"/>
      <c r="O82" s="18"/>
      <c r="P82" s="18"/>
      <c r="Q82" s="18"/>
      <c r="S82" s="21"/>
      <c r="T82" s="1"/>
      <c r="AC82" s="22"/>
      <c r="AD82" s="22"/>
      <c r="AE82" s="22"/>
      <c r="AF82" s="23"/>
    </row>
    <row r="83" spans="3:32" ht="15.75" customHeight="1">
      <c r="C83" s="24"/>
      <c r="D83" s="18"/>
      <c r="E83" s="18"/>
      <c r="F83" s="19"/>
      <c r="G83" s="19"/>
      <c r="H83" s="19"/>
      <c r="I83" s="18"/>
      <c r="J83" s="18"/>
      <c r="K83" s="18"/>
      <c r="L83" s="18"/>
      <c r="M83" s="20"/>
      <c r="N83" s="18"/>
      <c r="O83" s="18"/>
      <c r="P83" s="18"/>
      <c r="Q83" s="18"/>
      <c r="S83" s="21"/>
      <c r="T83" s="1"/>
      <c r="AC83" s="22"/>
      <c r="AD83" s="22"/>
      <c r="AE83" s="22"/>
      <c r="AF83" s="23"/>
    </row>
    <row r="84" spans="3:32" ht="15.75" customHeight="1">
      <c r="C84" s="24"/>
      <c r="D84" s="18"/>
      <c r="E84" s="18"/>
      <c r="F84" s="19"/>
      <c r="G84" s="19"/>
      <c r="H84" s="19"/>
      <c r="I84" s="18"/>
      <c r="J84" s="18"/>
      <c r="K84" s="18"/>
      <c r="L84" s="18"/>
      <c r="M84" s="20"/>
      <c r="N84" s="18"/>
      <c r="O84" s="18"/>
      <c r="P84" s="18"/>
      <c r="Q84" s="18"/>
      <c r="S84" s="21"/>
      <c r="T84" s="1"/>
      <c r="AC84" s="22"/>
      <c r="AD84" s="22"/>
      <c r="AE84" s="22"/>
      <c r="AF84" s="23"/>
    </row>
    <row r="85" spans="3:32" ht="15.75" customHeight="1">
      <c r="C85" s="24"/>
      <c r="D85" s="18"/>
      <c r="E85" s="18"/>
      <c r="F85" s="19"/>
      <c r="G85" s="19"/>
      <c r="H85" s="19"/>
      <c r="I85" s="18"/>
      <c r="J85" s="18"/>
      <c r="K85" s="18"/>
      <c r="L85" s="18"/>
      <c r="M85" s="20"/>
      <c r="N85" s="18"/>
      <c r="O85" s="18"/>
      <c r="P85" s="18"/>
      <c r="Q85" s="18"/>
      <c r="S85" s="21"/>
      <c r="T85" s="1"/>
      <c r="AC85" s="22"/>
      <c r="AD85" s="22"/>
      <c r="AE85" s="22"/>
      <c r="AF85" s="23"/>
    </row>
    <row r="86" spans="3:32" ht="15.75" customHeight="1">
      <c r="C86" s="24"/>
      <c r="D86" s="18"/>
      <c r="E86" s="18"/>
      <c r="F86" s="19"/>
      <c r="G86" s="19"/>
      <c r="H86" s="19"/>
      <c r="I86" s="18"/>
      <c r="J86" s="18"/>
      <c r="K86" s="18"/>
      <c r="L86" s="18"/>
      <c r="M86" s="20"/>
      <c r="N86" s="18"/>
      <c r="O86" s="18"/>
      <c r="P86" s="18"/>
      <c r="Q86" s="18"/>
      <c r="S86" s="21"/>
      <c r="T86" s="1"/>
      <c r="AC86" s="22"/>
      <c r="AD86" s="22"/>
      <c r="AE86" s="22"/>
      <c r="AF86" s="23"/>
    </row>
    <row r="87" spans="3:32" ht="15.75" customHeight="1">
      <c r="C87" s="24"/>
      <c r="D87" s="18"/>
      <c r="E87" s="18"/>
      <c r="F87" s="19"/>
      <c r="G87" s="19"/>
      <c r="H87" s="19"/>
      <c r="I87" s="18"/>
      <c r="J87" s="18"/>
      <c r="K87" s="18"/>
      <c r="L87" s="18"/>
      <c r="M87" s="20"/>
      <c r="N87" s="18"/>
      <c r="O87" s="18"/>
      <c r="P87" s="18"/>
      <c r="Q87" s="18"/>
      <c r="S87" s="21"/>
      <c r="T87" s="1"/>
      <c r="AC87" s="22"/>
      <c r="AD87" s="22"/>
      <c r="AE87" s="22"/>
      <c r="AF87" s="23"/>
    </row>
    <row r="88" spans="3:32" ht="15.75" customHeight="1">
      <c r="C88" s="24"/>
      <c r="D88" s="18"/>
      <c r="E88" s="18"/>
      <c r="F88" s="19"/>
      <c r="G88" s="19"/>
      <c r="H88" s="19"/>
      <c r="I88" s="18"/>
      <c r="J88" s="18"/>
      <c r="K88" s="18"/>
      <c r="L88" s="18"/>
      <c r="M88" s="20"/>
      <c r="N88" s="18"/>
      <c r="O88" s="18"/>
      <c r="P88" s="18"/>
      <c r="Q88" s="18"/>
      <c r="S88" s="21"/>
      <c r="T88" s="1"/>
      <c r="AC88" s="22"/>
      <c r="AD88" s="22"/>
      <c r="AE88" s="22"/>
      <c r="AF88" s="23"/>
    </row>
    <row r="89" spans="3:32" ht="15.75" customHeight="1">
      <c r="C89" s="24"/>
      <c r="D89" s="18"/>
      <c r="E89" s="18"/>
      <c r="F89" s="19"/>
      <c r="G89" s="19"/>
      <c r="H89" s="19"/>
      <c r="I89" s="18"/>
      <c r="J89" s="18"/>
      <c r="K89" s="18"/>
      <c r="L89" s="18"/>
      <c r="M89" s="20"/>
      <c r="N89" s="18"/>
      <c r="O89" s="18"/>
      <c r="P89" s="18"/>
      <c r="Q89" s="18"/>
      <c r="S89" s="21"/>
      <c r="T89" s="1"/>
      <c r="AC89" s="22"/>
      <c r="AD89" s="22"/>
      <c r="AE89" s="22"/>
      <c r="AF89" s="23"/>
    </row>
    <row r="90" spans="3:32" ht="15.75" customHeight="1">
      <c r="C90" s="24"/>
      <c r="D90" s="18"/>
      <c r="E90" s="18"/>
      <c r="F90" s="19"/>
      <c r="G90" s="19"/>
      <c r="H90" s="19"/>
      <c r="I90" s="18"/>
      <c r="J90" s="18"/>
      <c r="K90" s="18"/>
      <c r="L90" s="18"/>
      <c r="M90" s="20"/>
      <c r="N90" s="18"/>
      <c r="O90" s="18"/>
      <c r="P90" s="18"/>
      <c r="Q90" s="18"/>
      <c r="S90" s="21"/>
      <c r="T90" s="1"/>
      <c r="AC90" s="22"/>
      <c r="AD90" s="22"/>
      <c r="AE90" s="22"/>
      <c r="AF90" s="23"/>
    </row>
    <row r="91" spans="3:32" ht="15.75" customHeight="1">
      <c r="C91" s="24"/>
      <c r="D91" s="18"/>
      <c r="E91" s="18"/>
      <c r="F91" s="19"/>
      <c r="G91" s="19"/>
      <c r="H91" s="19"/>
      <c r="I91" s="18"/>
      <c r="J91" s="18"/>
      <c r="K91" s="18"/>
      <c r="L91" s="18"/>
      <c r="M91" s="20"/>
      <c r="N91" s="18"/>
      <c r="O91" s="18"/>
      <c r="P91" s="18"/>
      <c r="Q91" s="18"/>
      <c r="S91" s="21"/>
      <c r="T91" s="1"/>
      <c r="AC91" s="22"/>
      <c r="AD91" s="22"/>
      <c r="AE91" s="22"/>
      <c r="AF91" s="23"/>
    </row>
    <row r="92" spans="3:32" ht="15.75" customHeight="1">
      <c r="C92" s="24"/>
      <c r="D92" s="18"/>
      <c r="E92" s="18"/>
      <c r="F92" s="19"/>
      <c r="G92" s="19"/>
      <c r="H92" s="19"/>
      <c r="I92" s="18"/>
      <c r="J92" s="18"/>
      <c r="K92" s="18"/>
      <c r="L92" s="18"/>
      <c r="M92" s="20"/>
      <c r="N92" s="18"/>
      <c r="O92" s="18"/>
      <c r="P92" s="18"/>
      <c r="Q92" s="18"/>
      <c r="S92" s="21"/>
      <c r="T92" s="1"/>
      <c r="AC92" s="22"/>
      <c r="AD92" s="22"/>
      <c r="AE92" s="22"/>
      <c r="AF92" s="23"/>
    </row>
    <row r="93" spans="3:32" ht="15.75" customHeight="1">
      <c r="C93" s="24"/>
      <c r="D93" s="18"/>
      <c r="E93" s="18"/>
      <c r="F93" s="19"/>
      <c r="G93" s="19"/>
      <c r="H93" s="19"/>
      <c r="I93" s="18"/>
      <c r="J93" s="18"/>
      <c r="K93" s="18"/>
      <c r="L93" s="18"/>
      <c r="M93" s="20"/>
      <c r="N93" s="18"/>
      <c r="O93" s="18"/>
      <c r="P93" s="18"/>
      <c r="Q93" s="18"/>
      <c r="S93" s="21"/>
      <c r="T93" s="1"/>
      <c r="AC93" s="22"/>
      <c r="AD93" s="22"/>
      <c r="AE93" s="22"/>
      <c r="AF93" s="23"/>
    </row>
    <row r="94" spans="3:32" ht="15.75" customHeight="1">
      <c r="C94" s="24"/>
      <c r="D94" s="18"/>
      <c r="E94" s="18"/>
      <c r="F94" s="19"/>
      <c r="G94" s="19"/>
      <c r="H94" s="19"/>
      <c r="I94" s="18"/>
      <c r="J94" s="18"/>
      <c r="K94" s="18"/>
      <c r="L94" s="18"/>
      <c r="M94" s="20"/>
      <c r="N94" s="18"/>
      <c r="O94" s="18"/>
      <c r="P94" s="18"/>
      <c r="Q94" s="18"/>
      <c r="S94" s="21"/>
      <c r="T94" s="1"/>
      <c r="AC94" s="22"/>
      <c r="AD94" s="22"/>
      <c r="AE94" s="22"/>
      <c r="AF94" s="23"/>
    </row>
    <row r="95" spans="3:32" ht="15.75" customHeight="1">
      <c r="C95" s="24"/>
      <c r="D95" s="18"/>
      <c r="E95" s="18"/>
      <c r="F95" s="19"/>
      <c r="G95" s="19"/>
      <c r="H95" s="19"/>
      <c r="I95" s="18"/>
      <c r="J95" s="18"/>
      <c r="K95" s="18"/>
      <c r="L95" s="18"/>
      <c r="M95" s="20"/>
      <c r="N95" s="18"/>
      <c r="O95" s="18"/>
      <c r="P95" s="18"/>
      <c r="Q95" s="18"/>
      <c r="S95" s="21"/>
      <c r="T95" s="1"/>
      <c r="AC95" s="22"/>
      <c r="AD95" s="22"/>
      <c r="AE95" s="22"/>
      <c r="AF95" s="23"/>
    </row>
    <row r="96" spans="3:32" ht="15.75" customHeight="1">
      <c r="C96" s="24"/>
      <c r="D96" s="18"/>
      <c r="E96" s="18"/>
      <c r="F96" s="19"/>
      <c r="G96" s="19"/>
      <c r="H96" s="19"/>
      <c r="I96" s="18"/>
      <c r="J96" s="18"/>
      <c r="K96" s="18"/>
      <c r="L96" s="18"/>
      <c r="M96" s="20"/>
      <c r="N96" s="18"/>
      <c r="O96" s="18"/>
      <c r="P96" s="18"/>
      <c r="Q96" s="18"/>
      <c r="S96" s="21"/>
      <c r="T96" s="1"/>
      <c r="AC96" s="22"/>
      <c r="AD96" s="22"/>
      <c r="AE96" s="22"/>
      <c r="AF96" s="23"/>
    </row>
    <row r="97" spans="3:32" ht="15.75" customHeight="1">
      <c r="C97" s="24"/>
      <c r="D97" s="18"/>
      <c r="E97" s="18"/>
      <c r="F97" s="19"/>
      <c r="G97" s="19"/>
      <c r="H97" s="19"/>
      <c r="I97" s="18"/>
      <c r="J97" s="18"/>
      <c r="K97" s="18"/>
      <c r="L97" s="18"/>
      <c r="M97" s="20"/>
      <c r="N97" s="18"/>
      <c r="O97" s="18"/>
      <c r="P97" s="18"/>
      <c r="Q97" s="18"/>
      <c r="S97" s="21"/>
      <c r="T97" s="1"/>
      <c r="AC97" s="22"/>
      <c r="AD97" s="22"/>
      <c r="AE97" s="22"/>
      <c r="AF97" s="23"/>
    </row>
    <row r="98" spans="3:32" ht="15.75" customHeight="1">
      <c r="C98" s="24"/>
      <c r="D98" s="18"/>
      <c r="E98" s="18"/>
      <c r="F98" s="19"/>
      <c r="G98" s="19"/>
      <c r="H98" s="19"/>
      <c r="I98" s="18"/>
      <c r="J98" s="18"/>
      <c r="K98" s="18"/>
      <c r="L98" s="18"/>
      <c r="M98" s="20"/>
      <c r="N98" s="18"/>
      <c r="O98" s="18"/>
      <c r="P98" s="18"/>
      <c r="Q98" s="18"/>
      <c r="S98" s="21"/>
      <c r="T98" s="1"/>
      <c r="AC98" s="22"/>
      <c r="AD98" s="22"/>
      <c r="AE98" s="22"/>
      <c r="AF98" s="23"/>
    </row>
    <row r="99" spans="3:32" ht="15.75" customHeight="1">
      <c r="C99" s="24"/>
      <c r="D99" s="18"/>
      <c r="E99" s="18"/>
      <c r="F99" s="19"/>
      <c r="G99" s="19"/>
      <c r="H99" s="19"/>
      <c r="I99" s="18"/>
      <c r="J99" s="18"/>
      <c r="K99" s="18"/>
      <c r="L99" s="18"/>
      <c r="M99" s="20"/>
      <c r="N99" s="18"/>
      <c r="O99" s="18"/>
      <c r="P99" s="18"/>
      <c r="Q99" s="18"/>
      <c r="S99" s="21"/>
      <c r="T99" s="1"/>
      <c r="AC99" s="22"/>
      <c r="AD99" s="22"/>
      <c r="AE99" s="22"/>
      <c r="AF99" s="23"/>
    </row>
    <row r="100" spans="3:32" ht="15.75" customHeight="1">
      <c r="C100" s="24"/>
      <c r="D100" s="18"/>
      <c r="E100" s="18"/>
      <c r="F100" s="19"/>
      <c r="G100" s="19"/>
      <c r="H100" s="19"/>
      <c r="I100" s="18"/>
      <c r="J100" s="18"/>
      <c r="K100" s="18"/>
      <c r="L100" s="18"/>
      <c r="M100" s="20"/>
      <c r="N100" s="18"/>
      <c r="O100" s="18"/>
      <c r="P100" s="18"/>
      <c r="Q100" s="18"/>
      <c r="S100" s="21"/>
      <c r="T100" s="1"/>
      <c r="AC100" s="22"/>
      <c r="AD100" s="22"/>
      <c r="AE100" s="22"/>
      <c r="AF100" s="23"/>
    </row>
    <row r="101" spans="3:32" ht="15.75" customHeight="1">
      <c r="C101" s="24"/>
      <c r="D101" s="18"/>
      <c r="E101" s="18"/>
      <c r="F101" s="19"/>
      <c r="G101" s="19"/>
      <c r="H101" s="19"/>
      <c r="I101" s="18"/>
      <c r="J101" s="18"/>
      <c r="K101" s="18"/>
      <c r="L101" s="18"/>
      <c r="M101" s="20"/>
      <c r="N101" s="18"/>
      <c r="O101" s="18"/>
      <c r="P101" s="18"/>
      <c r="Q101" s="18"/>
      <c r="S101" s="21"/>
      <c r="T101" s="1"/>
      <c r="AC101" s="22"/>
      <c r="AD101" s="22"/>
      <c r="AE101" s="22"/>
      <c r="AF101" s="23"/>
    </row>
    <row r="102" spans="3:32" ht="15.75" customHeight="1">
      <c r="C102" s="24"/>
      <c r="D102" s="18"/>
      <c r="E102" s="18"/>
      <c r="F102" s="19"/>
      <c r="G102" s="19"/>
      <c r="H102" s="19"/>
      <c r="I102" s="18"/>
      <c r="J102" s="18"/>
      <c r="K102" s="18"/>
      <c r="L102" s="18"/>
      <c r="M102" s="20"/>
      <c r="N102" s="18"/>
      <c r="O102" s="18"/>
      <c r="P102" s="18"/>
      <c r="Q102" s="18"/>
      <c r="S102" s="21"/>
      <c r="T102" s="1"/>
      <c r="AC102" s="22"/>
      <c r="AD102" s="22"/>
      <c r="AE102" s="22"/>
      <c r="AF102" s="23"/>
    </row>
    <row r="103" spans="3:32" ht="15.75" customHeight="1">
      <c r="C103" s="24"/>
      <c r="D103" s="18"/>
      <c r="E103" s="18"/>
      <c r="F103" s="19"/>
      <c r="G103" s="19"/>
      <c r="H103" s="19"/>
      <c r="I103" s="18"/>
      <c r="J103" s="18"/>
      <c r="K103" s="18"/>
      <c r="L103" s="18"/>
      <c r="M103" s="20"/>
      <c r="N103" s="18"/>
      <c r="O103" s="18"/>
      <c r="P103" s="18"/>
      <c r="Q103" s="18"/>
      <c r="S103" s="21"/>
      <c r="T103" s="1"/>
      <c r="AC103" s="22"/>
      <c r="AD103" s="22"/>
      <c r="AE103" s="22"/>
      <c r="AF103" s="23"/>
    </row>
    <row r="104" spans="3:32" ht="15.75" customHeight="1">
      <c r="C104" s="24"/>
      <c r="D104" s="18"/>
      <c r="E104" s="18"/>
      <c r="F104" s="19"/>
      <c r="G104" s="19"/>
      <c r="H104" s="19"/>
      <c r="I104" s="18"/>
      <c r="J104" s="18"/>
      <c r="K104" s="18"/>
      <c r="L104" s="18"/>
      <c r="M104" s="20"/>
      <c r="N104" s="18"/>
      <c r="O104" s="18"/>
      <c r="P104" s="18"/>
      <c r="Q104" s="18"/>
      <c r="S104" s="21"/>
      <c r="T104" s="1"/>
      <c r="AC104" s="22"/>
      <c r="AD104" s="22"/>
      <c r="AE104" s="22"/>
      <c r="AF104" s="23"/>
    </row>
    <row r="105" spans="3:32" ht="15.75" customHeight="1">
      <c r="C105" s="24"/>
      <c r="D105" s="18"/>
      <c r="E105" s="18"/>
      <c r="F105" s="19"/>
      <c r="G105" s="19"/>
      <c r="H105" s="19"/>
      <c r="I105" s="18"/>
      <c r="J105" s="18"/>
      <c r="K105" s="18"/>
      <c r="L105" s="18"/>
      <c r="M105" s="20"/>
      <c r="N105" s="18"/>
      <c r="O105" s="18"/>
      <c r="P105" s="18"/>
      <c r="Q105" s="18"/>
      <c r="S105" s="21"/>
      <c r="T105" s="1"/>
      <c r="AC105" s="22"/>
      <c r="AD105" s="22"/>
      <c r="AE105" s="22"/>
      <c r="AF105" s="23"/>
    </row>
    <row r="106" spans="3:32" ht="15.75" customHeight="1">
      <c r="C106" s="24"/>
      <c r="D106" s="18"/>
      <c r="E106" s="18"/>
      <c r="F106" s="19"/>
      <c r="G106" s="19"/>
      <c r="H106" s="19"/>
      <c r="I106" s="18"/>
      <c r="J106" s="18"/>
      <c r="K106" s="18"/>
      <c r="L106" s="18"/>
      <c r="M106" s="20"/>
      <c r="N106" s="18"/>
      <c r="O106" s="18"/>
      <c r="P106" s="18"/>
      <c r="Q106" s="18"/>
      <c r="S106" s="21"/>
      <c r="T106" s="1"/>
      <c r="AC106" s="22"/>
      <c r="AD106" s="22"/>
      <c r="AE106" s="22"/>
      <c r="AF106" s="23"/>
    </row>
    <row r="107" spans="3:32" ht="15.75" customHeight="1">
      <c r="C107" s="24"/>
      <c r="D107" s="18"/>
      <c r="E107" s="18"/>
      <c r="F107" s="19"/>
      <c r="G107" s="19"/>
      <c r="H107" s="19"/>
      <c r="I107" s="18"/>
      <c r="J107" s="18"/>
      <c r="K107" s="18"/>
      <c r="L107" s="18"/>
      <c r="M107" s="20"/>
      <c r="N107" s="18"/>
      <c r="O107" s="18"/>
      <c r="P107" s="18"/>
      <c r="Q107" s="18"/>
      <c r="S107" s="21"/>
      <c r="T107" s="1"/>
      <c r="AC107" s="22"/>
      <c r="AD107" s="22"/>
      <c r="AE107" s="22"/>
      <c r="AF107" s="23"/>
    </row>
    <row r="108" spans="3:32" ht="15.75" customHeight="1">
      <c r="C108" s="24"/>
      <c r="D108" s="18"/>
      <c r="E108" s="18"/>
      <c r="F108" s="19"/>
      <c r="G108" s="19"/>
      <c r="H108" s="19"/>
      <c r="I108" s="18"/>
      <c r="J108" s="18"/>
      <c r="K108" s="18"/>
      <c r="L108" s="18"/>
      <c r="M108" s="20"/>
      <c r="N108" s="18"/>
      <c r="O108" s="18"/>
      <c r="P108" s="18"/>
      <c r="Q108" s="18"/>
      <c r="S108" s="21"/>
      <c r="T108" s="1"/>
      <c r="AC108" s="22"/>
      <c r="AD108" s="22"/>
      <c r="AE108" s="22"/>
      <c r="AF108" s="23"/>
    </row>
    <row r="109" spans="3:32" ht="15.75" customHeight="1">
      <c r="C109" s="24"/>
      <c r="D109" s="18"/>
      <c r="E109" s="18"/>
      <c r="F109" s="19"/>
      <c r="G109" s="19"/>
      <c r="H109" s="19"/>
      <c r="I109" s="18"/>
      <c r="J109" s="18"/>
      <c r="K109" s="18"/>
      <c r="L109" s="18"/>
      <c r="M109" s="20"/>
      <c r="N109" s="18"/>
      <c r="O109" s="18"/>
      <c r="P109" s="18"/>
      <c r="Q109" s="18"/>
      <c r="S109" s="21"/>
      <c r="T109" s="1"/>
      <c r="AC109" s="22"/>
      <c r="AD109" s="22"/>
      <c r="AE109" s="22"/>
      <c r="AF109" s="23"/>
    </row>
    <row r="110" spans="3:32" ht="15.75" customHeight="1">
      <c r="C110" s="24"/>
      <c r="D110" s="18"/>
      <c r="E110" s="18"/>
      <c r="F110" s="19"/>
      <c r="G110" s="19"/>
      <c r="H110" s="19"/>
      <c r="I110" s="18"/>
      <c r="J110" s="18"/>
      <c r="K110" s="18"/>
      <c r="L110" s="18"/>
      <c r="M110" s="20"/>
      <c r="N110" s="18"/>
      <c r="O110" s="18"/>
      <c r="P110" s="18"/>
      <c r="Q110" s="18"/>
      <c r="S110" s="21"/>
      <c r="T110" s="1"/>
      <c r="AC110" s="22"/>
      <c r="AD110" s="22"/>
      <c r="AE110" s="22"/>
      <c r="AF110" s="23"/>
    </row>
    <row r="111" spans="3:32" ht="15.75" customHeight="1">
      <c r="C111" s="24"/>
      <c r="D111" s="18"/>
      <c r="E111" s="18"/>
      <c r="F111" s="19"/>
      <c r="G111" s="19"/>
      <c r="H111" s="19"/>
      <c r="I111" s="18"/>
      <c r="J111" s="18"/>
      <c r="K111" s="18"/>
      <c r="L111" s="18"/>
      <c r="M111" s="20"/>
      <c r="N111" s="18"/>
      <c r="O111" s="18"/>
      <c r="P111" s="18"/>
      <c r="Q111" s="18"/>
      <c r="S111" s="21"/>
      <c r="T111" s="1"/>
      <c r="AC111" s="22"/>
      <c r="AD111" s="22"/>
      <c r="AE111" s="22"/>
      <c r="AF111" s="23"/>
    </row>
    <row r="112" spans="3:32" ht="15.75" customHeight="1">
      <c r="C112" s="24"/>
      <c r="D112" s="18"/>
      <c r="E112" s="18"/>
      <c r="F112" s="19"/>
      <c r="G112" s="19"/>
      <c r="H112" s="19"/>
      <c r="I112" s="18"/>
      <c r="J112" s="18"/>
      <c r="K112" s="18"/>
      <c r="L112" s="18"/>
      <c r="M112" s="20"/>
      <c r="N112" s="18"/>
      <c r="O112" s="18"/>
      <c r="P112" s="18"/>
      <c r="Q112" s="18"/>
      <c r="S112" s="21"/>
      <c r="T112" s="1"/>
      <c r="AC112" s="22"/>
      <c r="AD112" s="22"/>
      <c r="AE112" s="22"/>
      <c r="AF112" s="23"/>
    </row>
    <row r="113" spans="3:32" ht="15.75" customHeight="1">
      <c r="C113" s="24"/>
      <c r="D113" s="18"/>
      <c r="E113" s="18"/>
      <c r="F113" s="19"/>
      <c r="G113" s="19"/>
      <c r="H113" s="19"/>
      <c r="I113" s="18"/>
      <c r="J113" s="18"/>
      <c r="K113" s="18"/>
      <c r="L113" s="18"/>
      <c r="M113" s="20"/>
      <c r="N113" s="18"/>
      <c r="O113" s="18"/>
      <c r="P113" s="18"/>
      <c r="Q113" s="18"/>
      <c r="S113" s="21"/>
      <c r="T113" s="1"/>
      <c r="AC113" s="22"/>
      <c r="AD113" s="22"/>
      <c r="AE113" s="22"/>
      <c r="AF113" s="23"/>
    </row>
    <row r="114" spans="3:32" ht="15.75" customHeight="1">
      <c r="C114" s="24"/>
      <c r="D114" s="18"/>
      <c r="E114" s="18"/>
      <c r="F114" s="19"/>
      <c r="G114" s="19"/>
      <c r="H114" s="19"/>
      <c r="I114" s="18"/>
      <c r="J114" s="18"/>
      <c r="K114" s="18"/>
      <c r="L114" s="18"/>
      <c r="M114" s="20"/>
      <c r="N114" s="18"/>
      <c r="O114" s="18"/>
      <c r="P114" s="18"/>
      <c r="Q114" s="18"/>
      <c r="S114" s="21"/>
      <c r="T114" s="1"/>
      <c r="AC114" s="22"/>
      <c r="AD114" s="22"/>
      <c r="AE114" s="22"/>
      <c r="AF114" s="23"/>
    </row>
    <row r="115" spans="3:32" ht="15.75" customHeight="1">
      <c r="C115" s="24"/>
      <c r="D115" s="18"/>
      <c r="E115" s="18"/>
      <c r="F115" s="19"/>
      <c r="G115" s="19"/>
      <c r="H115" s="19"/>
      <c r="I115" s="18"/>
      <c r="J115" s="18"/>
      <c r="K115" s="18"/>
      <c r="L115" s="18"/>
      <c r="M115" s="20"/>
      <c r="N115" s="18"/>
      <c r="O115" s="18"/>
      <c r="P115" s="18"/>
      <c r="Q115" s="18"/>
      <c r="S115" s="21"/>
      <c r="T115" s="1"/>
      <c r="AC115" s="22"/>
      <c r="AD115" s="22"/>
      <c r="AE115" s="22"/>
      <c r="AF115" s="23"/>
    </row>
    <row r="116" spans="3:32" ht="15.75" customHeight="1">
      <c r="C116" s="24"/>
      <c r="D116" s="18"/>
      <c r="E116" s="18"/>
      <c r="F116" s="19"/>
      <c r="G116" s="19"/>
      <c r="H116" s="19"/>
      <c r="I116" s="18"/>
      <c r="J116" s="18"/>
      <c r="K116" s="18"/>
      <c r="L116" s="18"/>
      <c r="M116" s="20"/>
      <c r="N116" s="18"/>
      <c r="O116" s="18"/>
      <c r="P116" s="18"/>
      <c r="Q116" s="18"/>
      <c r="S116" s="21"/>
      <c r="T116" s="1"/>
      <c r="AC116" s="22"/>
      <c r="AD116" s="22"/>
      <c r="AE116" s="22"/>
      <c r="AF116" s="23"/>
    </row>
    <row r="117" spans="3:32" ht="15.75" customHeight="1">
      <c r="C117" s="24"/>
      <c r="D117" s="18"/>
      <c r="E117" s="18"/>
      <c r="F117" s="19"/>
      <c r="G117" s="19"/>
      <c r="H117" s="19"/>
      <c r="I117" s="18"/>
      <c r="J117" s="18"/>
      <c r="K117" s="18"/>
      <c r="L117" s="18"/>
      <c r="M117" s="20"/>
      <c r="N117" s="18"/>
      <c r="O117" s="18"/>
      <c r="P117" s="18"/>
      <c r="Q117" s="18"/>
      <c r="S117" s="21"/>
      <c r="T117" s="1"/>
      <c r="AC117" s="22"/>
      <c r="AD117" s="22"/>
      <c r="AE117" s="22"/>
      <c r="AF117" s="23"/>
    </row>
    <row r="118" spans="3:32" ht="15.75" customHeight="1">
      <c r="C118" s="24"/>
      <c r="D118" s="18"/>
      <c r="E118" s="18"/>
      <c r="F118" s="19"/>
      <c r="G118" s="19"/>
      <c r="H118" s="19"/>
      <c r="I118" s="18"/>
      <c r="J118" s="18"/>
      <c r="K118" s="18"/>
      <c r="L118" s="18"/>
      <c r="M118" s="20"/>
      <c r="N118" s="18"/>
      <c r="O118" s="18"/>
      <c r="P118" s="18"/>
      <c r="Q118" s="18"/>
      <c r="S118" s="21"/>
      <c r="T118" s="1"/>
      <c r="AC118" s="22"/>
      <c r="AD118" s="22"/>
      <c r="AE118" s="22"/>
      <c r="AF118" s="23"/>
    </row>
    <row r="119" spans="3:32" ht="15.75" customHeight="1">
      <c r="C119" s="24"/>
      <c r="D119" s="18"/>
      <c r="E119" s="18"/>
      <c r="F119" s="19"/>
      <c r="G119" s="19"/>
      <c r="H119" s="19"/>
      <c r="I119" s="18"/>
      <c r="J119" s="18"/>
      <c r="K119" s="18"/>
      <c r="L119" s="18"/>
      <c r="M119" s="20"/>
      <c r="N119" s="18"/>
      <c r="O119" s="18"/>
      <c r="P119" s="18"/>
      <c r="Q119" s="18"/>
      <c r="S119" s="21"/>
      <c r="T119" s="1"/>
      <c r="AC119" s="22"/>
      <c r="AD119" s="22"/>
      <c r="AE119" s="22"/>
      <c r="AF119" s="23"/>
    </row>
    <row r="120" spans="3:32" ht="15.75" customHeight="1">
      <c r="C120" s="24"/>
      <c r="D120" s="18"/>
      <c r="E120" s="18"/>
      <c r="F120" s="19"/>
      <c r="G120" s="19"/>
      <c r="H120" s="19"/>
      <c r="I120" s="18"/>
      <c r="J120" s="18"/>
      <c r="K120" s="18"/>
      <c r="L120" s="18"/>
      <c r="M120" s="20"/>
      <c r="N120" s="18"/>
      <c r="O120" s="18"/>
      <c r="P120" s="18"/>
      <c r="Q120" s="18"/>
      <c r="S120" s="21"/>
      <c r="T120" s="1"/>
      <c r="AC120" s="22"/>
      <c r="AD120" s="22"/>
      <c r="AE120" s="22"/>
      <c r="AF120" s="23"/>
    </row>
    <row r="121" spans="3:32" ht="15.75" customHeight="1">
      <c r="C121" s="24"/>
      <c r="D121" s="18"/>
      <c r="E121" s="18"/>
      <c r="F121" s="19"/>
      <c r="G121" s="19"/>
      <c r="H121" s="19"/>
      <c r="I121" s="18"/>
      <c r="J121" s="18"/>
      <c r="K121" s="18"/>
      <c r="L121" s="18"/>
      <c r="M121" s="20"/>
      <c r="N121" s="18"/>
      <c r="O121" s="18"/>
      <c r="P121" s="18"/>
      <c r="Q121" s="18"/>
      <c r="S121" s="21"/>
      <c r="T121" s="1"/>
      <c r="AC121" s="22"/>
      <c r="AD121" s="22"/>
      <c r="AE121" s="22"/>
      <c r="AF121" s="23"/>
    </row>
    <row r="122" spans="3:32" ht="15.75" customHeight="1">
      <c r="C122" s="24"/>
      <c r="D122" s="18"/>
      <c r="E122" s="18"/>
      <c r="F122" s="19"/>
      <c r="G122" s="19"/>
      <c r="H122" s="19"/>
      <c r="I122" s="18"/>
      <c r="J122" s="18"/>
      <c r="K122" s="18"/>
      <c r="L122" s="18"/>
      <c r="M122" s="20"/>
      <c r="N122" s="18"/>
      <c r="O122" s="18"/>
      <c r="P122" s="18"/>
      <c r="Q122" s="18"/>
      <c r="S122" s="21"/>
      <c r="T122" s="1"/>
      <c r="AC122" s="22"/>
      <c r="AD122" s="22"/>
      <c r="AE122" s="22"/>
      <c r="AF122" s="23"/>
    </row>
    <row r="123" spans="3:32" ht="15.75" customHeight="1">
      <c r="C123" s="24"/>
      <c r="D123" s="18"/>
      <c r="E123" s="18"/>
      <c r="F123" s="19"/>
      <c r="G123" s="19"/>
      <c r="H123" s="19"/>
      <c r="I123" s="18"/>
      <c r="J123" s="18"/>
      <c r="K123" s="18"/>
      <c r="L123" s="18"/>
      <c r="M123" s="20"/>
      <c r="N123" s="18"/>
      <c r="O123" s="18"/>
      <c r="P123" s="18"/>
      <c r="Q123" s="18"/>
      <c r="S123" s="21"/>
      <c r="T123" s="1"/>
      <c r="AC123" s="22"/>
      <c r="AD123" s="22"/>
      <c r="AE123" s="22"/>
      <c r="AF123" s="23"/>
    </row>
    <row r="124" spans="3:32" ht="15.75" customHeight="1">
      <c r="C124" s="24"/>
      <c r="D124" s="18"/>
      <c r="E124" s="18"/>
      <c r="F124" s="19"/>
      <c r="G124" s="19"/>
      <c r="H124" s="19"/>
      <c r="I124" s="18"/>
      <c r="J124" s="18"/>
      <c r="K124" s="18"/>
      <c r="L124" s="18"/>
      <c r="M124" s="20"/>
      <c r="N124" s="18"/>
      <c r="O124" s="18"/>
      <c r="P124" s="18"/>
      <c r="Q124" s="18"/>
      <c r="S124" s="21"/>
      <c r="T124" s="1"/>
      <c r="AC124" s="22"/>
      <c r="AD124" s="22"/>
      <c r="AE124" s="22"/>
      <c r="AF124" s="23"/>
    </row>
    <row r="125" spans="3:32" ht="15.75" customHeight="1">
      <c r="C125" s="24"/>
      <c r="D125" s="18"/>
      <c r="E125" s="18"/>
      <c r="F125" s="19"/>
      <c r="G125" s="19"/>
      <c r="H125" s="19"/>
      <c r="I125" s="18"/>
      <c r="J125" s="18"/>
      <c r="K125" s="18"/>
      <c r="L125" s="18"/>
      <c r="M125" s="20"/>
      <c r="N125" s="18"/>
      <c r="O125" s="18"/>
      <c r="P125" s="18"/>
      <c r="Q125" s="18"/>
      <c r="S125" s="21"/>
      <c r="T125" s="1"/>
      <c r="AC125" s="22"/>
      <c r="AD125" s="22"/>
      <c r="AE125" s="22"/>
      <c r="AF125" s="23"/>
    </row>
    <row r="126" spans="3:32" ht="15.75" customHeight="1">
      <c r="C126" s="24"/>
      <c r="D126" s="18"/>
      <c r="E126" s="18"/>
      <c r="F126" s="19"/>
      <c r="G126" s="19"/>
      <c r="H126" s="19"/>
      <c r="I126" s="18"/>
      <c r="J126" s="18"/>
      <c r="K126" s="18"/>
      <c r="L126" s="18"/>
      <c r="M126" s="20"/>
      <c r="N126" s="18"/>
      <c r="O126" s="18"/>
      <c r="P126" s="18"/>
      <c r="Q126" s="18"/>
      <c r="S126" s="21"/>
      <c r="T126" s="1"/>
      <c r="AC126" s="22"/>
      <c r="AD126" s="22"/>
      <c r="AE126" s="22"/>
      <c r="AF126" s="23"/>
    </row>
    <row r="127" spans="3:32" ht="15.75" customHeight="1">
      <c r="C127" s="24"/>
      <c r="D127" s="18"/>
      <c r="E127" s="18"/>
      <c r="F127" s="19"/>
      <c r="G127" s="19"/>
      <c r="H127" s="19"/>
      <c r="I127" s="18"/>
      <c r="J127" s="18"/>
      <c r="K127" s="18"/>
      <c r="L127" s="18"/>
      <c r="M127" s="20"/>
      <c r="N127" s="18"/>
      <c r="O127" s="18"/>
      <c r="P127" s="18"/>
      <c r="Q127" s="18"/>
      <c r="S127" s="21"/>
      <c r="T127" s="1"/>
      <c r="AC127" s="22"/>
      <c r="AD127" s="22"/>
      <c r="AE127" s="22"/>
      <c r="AF127" s="23"/>
    </row>
    <row r="128" spans="3:32" ht="15.75" customHeight="1">
      <c r="C128" s="24"/>
      <c r="D128" s="18"/>
      <c r="E128" s="18"/>
      <c r="F128" s="19"/>
      <c r="G128" s="19"/>
      <c r="H128" s="19"/>
      <c r="I128" s="18"/>
      <c r="J128" s="18"/>
      <c r="K128" s="18"/>
      <c r="L128" s="18"/>
      <c r="M128" s="20"/>
      <c r="N128" s="18"/>
      <c r="O128" s="18"/>
      <c r="P128" s="18"/>
      <c r="Q128" s="18"/>
      <c r="S128" s="21"/>
      <c r="T128" s="1"/>
      <c r="AC128" s="22"/>
      <c r="AD128" s="22"/>
      <c r="AE128" s="22"/>
      <c r="AF128" s="23"/>
    </row>
    <row r="129" spans="3:32" ht="15.75" customHeight="1">
      <c r="C129" s="24"/>
      <c r="D129" s="18"/>
      <c r="E129" s="18"/>
      <c r="F129" s="19"/>
      <c r="G129" s="19"/>
      <c r="H129" s="19"/>
      <c r="I129" s="18"/>
      <c r="J129" s="18"/>
      <c r="K129" s="18"/>
      <c r="L129" s="18"/>
      <c r="M129" s="20"/>
      <c r="N129" s="18"/>
      <c r="O129" s="18"/>
      <c r="P129" s="18"/>
      <c r="Q129" s="18"/>
      <c r="S129" s="21"/>
      <c r="T129" s="1"/>
      <c r="AC129" s="22"/>
      <c r="AD129" s="22"/>
      <c r="AE129" s="22"/>
      <c r="AF129" s="23"/>
    </row>
    <row r="130" spans="3:32" ht="15.75" customHeight="1">
      <c r="C130" s="24"/>
      <c r="D130" s="18"/>
      <c r="E130" s="18"/>
      <c r="F130" s="19"/>
      <c r="G130" s="19"/>
      <c r="H130" s="19"/>
      <c r="I130" s="18"/>
      <c r="J130" s="18"/>
      <c r="K130" s="18"/>
      <c r="L130" s="18"/>
      <c r="M130" s="20"/>
      <c r="N130" s="18"/>
      <c r="O130" s="18"/>
      <c r="P130" s="18"/>
      <c r="Q130" s="18"/>
      <c r="S130" s="21"/>
      <c r="T130" s="1"/>
      <c r="AC130" s="22"/>
      <c r="AD130" s="22"/>
      <c r="AE130" s="22"/>
      <c r="AF130" s="23"/>
    </row>
    <row r="131" spans="3:32" ht="15.75" customHeight="1">
      <c r="C131" s="24"/>
      <c r="D131" s="18"/>
      <c r="E131" s="18"/>
      <c r="F131" s="19"/>
      <c r="G131" s="19"/>
      <c r="H131" s="19"/>
      <c r="I131" s="18"/>
      <c r="J131" s="18"/>
      <c r="K131" s="18"/>
      <c r="L131" s="18"/>
      <c r="M131" s="20"/>
      <c r="N131" s="18"/>
      <c r="O131" s="18"/>
      <c r="P131" s="18"/>
      <c r="Q131" s="18"/>
      <c r="S131" s="21"/>
      <c r="T131" s="1"/>
      <c r="AC131" s="22"/>
      <c r="AD131" s="22"/>
      <c r="AE131" s="22"/>
      <c r="AF131" s="23"/>
    </row>
    <row r="132" spans="3:32" ht="15.75" customHeight="1">
      <c r="C132" s="24"/>
      <c r="D132" s="18"/>
      <c r="E132" s="18"/>
      <c r="F132" s="19"/>
      <c r="G132" s="19"/>
      <c r="H132" s="19"/>
      <c r="I132" s="18"/>
      <c r="J132" s="18"/>
      <c r="K132" s="18"/>
      <c r="L132" s="18"/>
      <c r="M132" s="20"/>
      <c r="N132" s="18"/>
      <c r="O132" s="18"/>
      <c r="P132" s="18"/>
      <c r="Q132" s="18"/>
      <c r="S132" s="21"/>
      <c r="T132" s="1"/>
      <c r="AC132" s="22"/>
      <c r="AD132" s="22"/>
      <c r="AE132" s="22"/>
      <c r="AF132" s="23"/>
    </row>
    <row r="133" spans="3:32" ht="15.75" customHeight="1">
      <c r="C133" s="24"/>
      <c r="D133" s="18"/>
      <c r="E133" s="18"/>
      <c r="F133" s="19"/>
      <c r="G133" s="19"/>
      <c r="H133" s="19"/>
      <c r="I133" s="18"/>
      <c r="J133" s="18"/>
      <c r="K133" s="18"/>
      <c r="L133" s="18"/>
      <c r="M133" s="20"/>
      <c r="N133" s="18"/>
      <c r="O133" s="18"/>
      <c r="P133" s="18"/>
      <c r="Q133" s="18"/>
      <c r="S133" s="21"/>
      <c r="T133" s="1"/>
      <c r="AC133" s="22"/>
      <c r="AD133" s="22"/>
      <c r="AE133" s="22"/>
      <c r="AF133" s="23"/>
    </row>
    <row r="134" spans="3:32" ht="15.75" customHeight="1">
      <c r="C134" s="24"/>
      <c r="D134" s="18"/>
      <c r="E134" s="18"/>
      <c r="F134" s="19"/>
      <c r="G134" s="19"/>
      <c r="H134" s="19"/>
      <c r="I134" s="18"/>
      <c r="J134" s="18"/>
      <c r="K134" s="18"/>
      <c r="L134" s="18"/>
      <c r="M134" s="20"/>
      <c r="N134" s="18"/>
      <c r="O134" s="18"/>
      <c r="P134" s="18"/>
      <c r="Q134" s="18"/>
      <c r="S134" s="21"/>
      <c r="T134" s="1"/>
      <c r="AC134" s="22"/>
      <c r="AD134" s="22"/>
      <c r="AE134" s="22"/>
      <c r="AF134" s="23"/>
    </row>
    <row r="135" spans="3:32" ht="15.75" customHeight="1">
      <c r="C135" s="24"/>
      <c r="D135" s="18"/>
      <c r="E135" s="18"/>
      <c r="F135" s="19"/>
      <c r="G135" s="19"/>
      <c r="H135" s="19"/>
      <c r="I135" s="18"/>
      <c r="J135" s="18"/>
      <c r="K135" s="18"/>
      <c r="L135" s="18"/>
      <c r="M135" s="20"/>
      <c r="N135" s="18"/>
      <c r="O135" s="18"/>
      <c r="P135" s="18"/>
      <c r="Q135" s="18"/>
      <c r="S135" s="21"/>
      <c r="T135" s="1"/>
      <c r="AC135" s="22"/>
      <c r="AD135" s="22"/>
      <c r="AE135" s="22"/>
      <c r="AF135" s="23"/>
    </row>
    <row r="136" spans="3:32" ht="15.75" customHeight="1">
      <c r="C136" s="24"/>
      <c r="D136" s="18"/>
      <c r="E136" s="18"/>
      <c r="F136" s="19"/>
      <c r="G136" s="19"/>
      <c r="H136" s="19"/>
      <c r="I136" s="18"/>
      <c r="J136" s="18"/>
      <c r="K136" s="18"/>
      <c r="L136" s="18"/>
      <c r="M136" s="20"/>
      <c r="N136" s="18"/>
      <c r="O136" s="18"/>
      <c r="P136" s="18"/>
      <c r="Q136" s="18"/>
      <c r="S136" s="21"/>
      <c r="T136" s="1"/>
      <c r="AC136" s="22"/>
      <c r="AD136" s="22"/>
      <c r="AE136" s="22"/>
      <c r="AF136" s="23"/>
    </row>
    <row r="137" spans="3:32" ht="15.75" customHeight="1">
      <c r="C137" s="24"/>
      <c r="D137" s="18"/>
      <c r="E137" s="18"/>
      <c r="F137" s="19"/>
      <c r="G137" s="19"/>
      <c r="H137" s="19"/>
      <c r="I137" s="18"/>
      <c r="J137" s="18"/>
      <c r="K137" s="18"/>
      <c r="L137" s="18"/>
      <c r="M137" s="20"/>
      <c r="N137" s="18"/>
      <c r="O137" s="18"/>
      <c r="P137" s="18"/>
      <c r="Q137" s="18"/>
      <c r="S137" s="21"/>
      <c r="T137" s="1"/>
      <c r="AC137" s="22"/>
      <c r="AD137" s="22"/>
      <c r="AE137" s="22"/>
      <c r="AF137" s="23"/>
    </row>
    <row r="138" spans="3:32" ht="15.75" customHeight="1">
      <c r="C138" s="24"/>
      <c r="D138" s="18"/>
      <c r="E138" s="18"/>
      <c r="F138" s="19"/>
      <c r="G138" s="19"/>
      <c r="H138" s="19"/>
      <c r="I138" s="18"/>
      <c r="J138" s="18"/>
      <c r="K138" s="18"/>
      <c r="L138" s="18"/>
      <c r="M138" s="20"/>
      <c r="N138" s="18"/>
      <c r="O138" s="18"/>
      <c r="P138" s="18"/>
      <c r="Q138" s="18"/>
      <c r="S138" s="21"/>
      <c r="T138" s="1"/>
      <c r="AC138" s="22"/>
      <c r="AD138" s="22"/>
      <c r="AE138" s="22"/>
      <c r="AF138" s="23"/>
    </row>
    <row r="139" spans="3:32" ht="15.75" customHeight="1">
      <c r="C139" s="24"/>
      <c r="D139" s="18"/>
      <c r="E139" s="18"/>
      <c r="F139" s="19"/>
      <c r="G139" s="19"/>
      <c r="H139" s="19"/>
      <c r="I139" s="18"/>
      <c r="J139" s="18"/>
      <c r="K139" s="18"/>
      <c r="L139" s="18"/>
      <c r="M139" s="20"/>
      <c r="N139" s="18"/>
      <c r="O139" s="18"/>
      <c r="P139" s="18"/>
      <c r="Q139" s="18"/>
      <c r="S139" s="21"/>
      <c r="T139" s="1"/>
      <c r="AC139" s="22"/>
      <c r="AD139" s="22"/>
      <c r="AE139" s="22"/>
      <c r="AF139" s="23"/>
    </row>
    <row r="140" spans="3:32" ht="15.75" customHeight="1">
      <c r="C140" s="24"/>
      <c r="D140" s="18"/>
      <c r="E140" s="18"/>
      <c r="F140" s="19"/>
      <c r="G140" s="19"/>
      <c r="H140" s="19"/>
      <c r="I140" s="18"/>
      <c r="J140" s="18"/>
      <c r="K140" s="18"/>
      <c r="L140" s="18"/>
      <c r="M140" s="20"/>
      <c r="N140" s="18"/>
      <c r="O140" s="18"/>
      <c r="P140" s="18"/>
      <c r="Q140" s="18"/>
      <c r="S140" s="21"/>
      <c r="T140" s="1"/>
      <c r="AC140" s="22"/>
      <c r="AD140" s="22"/>
      <c r="AE140" s="22"/>
      <c r="AF140" s="23"/>
    </row>
    <row r="141" spans="3:32" ht="15.75" customHeight="1">
      <c r="C141" s="24"/>
      <c r="D141" s="18"/>
      <c r="E141" s="18"/>
      <c r="F141" s="19"/>
      <c r="G141" s="19"/>
      <c r="H141" s="19"/>
      <c r="I141" s="18"/>
      <c r="J141" s="18"/>
      <c r="K141" s="18"/>
      <c r="L141" s="18"/>
      <c r="M141" s="20"/>
      <c r="N141" s="18"/>
      <c r="O141" s="18"/>
      <c r="P141" s="18"/>
      <c r="Q141" s="18"/>
      <c r="S141" s="21"/>
      <c r="T141" s="1"/>
      <c r="AC141" s="22"/>
      <c r="AD141" s="22"/>
      <c r="AE141" s="22"/>
      <c r="AF141" s="23"/>
    </row>
    <row r="142" spans="3:32" ht="15.75" customHeight="1">
      <c r="C142" s="24"/>
      <c r="D142" s="18"/>
      <c r="E142" s="18"/>
      <c r="F142" s="19"/>
      <c r="G142" s="19"/>
      <c r="H142" s="19"/>
      <c r="I142" s="18"/>
      <c r="J142" s="18"/>
      <c r="K142" s="18"/>
      <c r="L142" s="18"/>
      <c r="M142" s="20"/>
      <c r="N142" s="18"/>
      <c r="O142" s="18"/>
      <c r="P142" s="18"/>
      <c r="Q142" s="18"/>
      <c r="S142" s="21"/>
      <c r="T142" s="1"/>
      <c r="AC142" s="22"/>
      <c r="AD142" s="22"/>
      <c r="AE142" s="22"/>
      <c r="AF142" s="23"/>
    </row>
    <row r="143" spans="3:32" ht="15.75" customHeight="1">
      <c r="C143" s="24"/>
      <c r="D143" s="18"/>
      <c r="E143" s="18"/>
      <c r="F143" s="19"/>
      <c r="G143" s="19"/>
      <c r="H143" s="19"/>
      <c r="I143" s="18"/>
      <c r="J143" s="18"/>
      <c r="K143" s="18"/>
      <c r="L143" s="18"/>
      <c r="M143" s="20"/>
      <c r="N143" s="18"/>
      <c r="O143" s="18"/>
      <c r="P143" s="18"/>
      <c r="Q143" s="18"/>
      <c r="S143" s="21"/>
      <c r="T143" s="1"/>
      <c r="AC143" s="22"/>
      <c r="AD143" s="22"/>
      <c r="AE143" s="22"/>
      <c r="AF143" s="23"/>
    </row>
    <row r="144" spans="3:32" ht="15.75" customHeight="1">
      <c r="C144" s="24"/>
      <c r="D144" s="18"/>
      <c r="E144" s="18"/>
      <c r="F144" s="19"/>
      <c r="G144" s="19"/>
      <c r="H144" s="19"/>
      <c r="I144" s="18"/>
      <c r="J144" s="18"/>
      <c r="K144" s="18"/>
      <c r="L144" s="18"/>
      <c r="M144" s="20"/>
      <c r="N144" s="18"/>
      <c r="O144" s="18"/>
      <c r="P144" s="18"/>
      <c r="Q144" s="18"/>
      <c r="S144" s="21"/>
      <c r="T144" s="1"/>
      <c r="AC144" s="22"/>
      <c r="AD144" s="22"/>
      <c r="AE144" s="22"/>
      <c r="AF144" s="23"/>
    </row>
    <row r="145" spans="3:32" ht="15.75" customHeight="1">
      <c r="C145" s="24"/>
      <c r="D145" s="18"/>
      <c r="E145" s="18"/>
      <c r="F145" s="19"/>
      <c r="G145" s="19"/>
      <c r="H145" s="19"/>
      <c r="I145" s="18"/>
      <c r="J145" s="18"/>
      <c r="K145" s="18"/>
      <c r="L145" s="18"/>
      <c r="M145" s="20"/>
      <c r="N145" s="18"/>
      <c r="O145" s="18"/>
      <c r="P145" s="18"/>
      <c r="Q145" s="18"/>
      <c r="S145" s="21"/>
      <c r="T145" s="1"/>
      <c r="AC145" s="22"/>
      <c r="AD145" s="22"/>
      <c r="AE145" s="22"/>
      <c r="AF145" s="23"/>
    </row>
    <row r="146" spans="3:32" ht="15.75" customHeight="1">
      <c r="C146" s="24"/>
      <c r="D146" s="18"/>
      <c r="E146" s="18"/>
      <c r="F146" s="19"/>
      <c r="G146" s="19"/>
      <c r="H146" s="19"/>
      <c r="I146" s="18"/>
      <c r="J146" s="18"/>
      <c r="K146" s="18"/>
      <c r="L146" s="18"/>
      <c r="M146" s="20"/>
      <c r="N146" s="18"/>
      <c r="O146" s="18"/>
      <c r="P146" s="18"/>
      <c r="Q146" s="18"/>
      <c r="S146" s="21"/>
      <c r="T146" s="1"/>
      <c r="AC146" s="22"/>
      <c r="AD146" s="22"/>
      <c r="AE146" s="22"/>
      <c r="AF146" s="23"/>
    </row>
    <row r="147" spans="3:32" ht="15.75" customHeight="1">
      <c r="C147" s="24"/>
      <c r="D147" s="18"/>
      <c r="E147" s="18"/>
      <c r="F147" s="19"/>
      <c r="G147" s="19"/>
      <c r="H147" s="19"/>
      <c r="I147" s="18"/>
      <c r="J147" s="18"/>
      <c r="K147" s="18"/>
      <c r="L147" s="18"/>
      <c r="M147" s="20"/>
      <c r="N147" s="18"/>
      <c r="O147" s="18"/>
      <c r="P147" s="18"/>
      <c r="Q147" s="18"/>
      <c r="S147" s="21"/>
      <c r="T147" s="1"/>
      <c r="AC147" s="22"/>
      <c r="AD147" s="22"/>
      <c r="AE147" s="22"/>
      <c r="AF147" s="23"/>
    </row>
    <row r="148" spans="3:32" ht="15.75" customHeight="1">
      <c r="C148" s="24"/>
      <c r="D148" s="18"/>
      <c r="E148" s="18"/>
      <c r="F148" s="19"/>
      <c r="G148" s="19"/>
      <c r="H148" s="19"/>
      <c r="I148" s="18"/>
      <c r="J148" s="18"/>
      <c r="K148" s="18"/>
      <c r="L148" s="18"/>
      <c r="M148" s="20"/>
      <c r="N148" s="18"/>
      <c r="O148" s="18"/>
      <c r="P148" s="18"/>
      <c r="Q148" s="18"/>
      <c r="S148" s="21"/>
      <c r="T148" s="1"/>
      <c r="AC148" s="22"/>
      <c r="AD148" s="22"/>
      <c r="AE148" s="22"/>
      <c r="AF148" s="23"/>
    </row>
    <row r="149" spans="3:32" ht="15.75" customHeight="1">
      <c r="C149" s="24"/>
      <c r="D149" s="18"/>
      <c r="E149" s="18"/>
      <c r="F149" s="19"/>
      <c r="G149" s="19"/>
      <c r="H149" s="19"/>
      <c r="I149" s="18"/>
      <c r="J149" s="18"/>
      <c r="K149" s="18"/>
      <c r="L149" s="18"/>
      <c r="M149" s="20"/>
      <c r="N149" s="18"/>
      <c r="O149" s="18"/>
      <c r="P149" s="18"/>
      <c r="Q149" s="18"/>
      <c r="S149" s="21"/>
      <c r="T149" s="1"/>
      <c r="AC149" s="22"/>
      <c r="AD149" s="22"/>
      <c r="AE149" s="22"/>
      <c r="AF149" s="23"/>
    </row>
    <row r="150" spans="3:32" ht="15.75" customHeight="1">
      <c r="C150" s="24"/>
      <c r="D150" s="18"/>
      <c r="E150" s="18"/>
      <c r="F150" s="19"/>
      <c r="G150" s="19"/>
      <c r="H150" s="19"/>
      <c r="I150" s="18"/>
      <c r="J150" s="18"/>
      <c r="K150" s="18"/>
      <c r="L150" s="18"/>
      <c r="M150" s="20"/>
      <c r="N150" s="18"/>
      <c r="O150" s="18"/>
      <c r="P150" s="18"/>
      <c r="Q150" s="18"/>
      <c r="S150" s="21"/>
      <c r="T150" s="1"/>
      <c r="AC150" s="22"/>
      <c r="AD150" s="22"/>
      <c r="AE150" s="22"/>
      <c r="AF150" s="23"/>
    </row>
    <row r="151" spans="3:32" ht="15.75" customHeight="1">
      <c r="C151" s="3"/>
      <c r="D151" s="3"/>
      <c r="E151" s="3"/>
      <c r="F151" s="3"/>
      <c r="G151" s="3"/>
      <c r="H151" s="3"/>
      <c r="I151" s="3"/>
      <c r="J151" s="3"/>
      <c r="K151" s="3"/>
      <c r="L151" s="3"/>
      <c r="M151" s="3"/>
      <c r="N151" s="3"/>
      <c r="O151" s="3"/>
      <c r="P151" s="3"/>
      <c r="AF151" s="23"/>
    </row>
    <row r="152" spans="3:32" ht="15.75" customHeight="1">
      <c r="C152" s="3"/>
      <c r="D152" s="3"/>
      <c r="E152" s="3"/>
      <c r="F152" s="3"/>
      <c r="G152" s="3"/>
      <c r="H152" s="3"/>
      <c r="I152" s="3"/>
      <c r="J152" s="3"/>
      <c r="K152" s="3"/>
      <c r="L152" s="3"/>
      <c r="M152" s="3"/>
      <c r="N152" s="3"/>
      <c r="O152" s="3"/>
      <c r="P152" s="3"/>
      <c r="AF152" s="23"/>
    </row>
    <row r="153" spans="3:32" ht="15.75" customHeight="1">
      <c r="C153" s="3"/>
      <c r="D153" s="3"/>
      <c r="E153" s="3"/>
      <c r="F153" s="3"/>
      <c r="G153" s="3"/>
      <c r="H153" s="3"/>
      <c r="I153" s="3"/>
      <c r="J153" s="3"/>
      <c r="K153" s="3"/>
      <c r="L153" s="3"/>
      <c r="M153" s="3"/>
      <c r="N153" s="3"/>
      <c r="O153" s="3"/>
      <c r="P153" s="3"/>
      <c r="AF153" s="23"/>
    </row>
    <row r="154" spans="3:32" ht="15.75" customHeight="1">
      <c r="C154" s="3"/>
      <c r="D154" s="3"/>
      <c r="E154" s="3"/>
      <c r="F154" s="3"/>
      <c r="G154" s="3"/>
      <c r="H154" s="3"/>
      <c r="I154" s="3"/>
      <c r="J154" s="3"/>
      <c r="K154" s="3"/>
      <c r="L154" s="3"/>
      <c r="M154" s="3"/>
      <c r="N154" s="3"/>
      <c r="O154" s="3"/>
      <c r="P154" s="3"/>
      <c r="AF154" s="23"/>
    </row>
    <row r="155" spans="3:32" ht="15.75" customHeight="1">
      <c r="C155" s="3"/>
      <c r="D155" s="3"/>
      <c r="E155" s="3"/>
      <c r="F155" s="3"/>
      <c r="G155" s="3"/>
      <c r="H155" s="3"/>
      <c r="I155" s="3"/>
      <c r="J155" s="3"/>
      <c r="K155" s="3"/>
      <c r="L155" s="3"/>
      <c r="M155" s="3"/>
      <c r="N155" s="3"/>
      <c r="O155" s="3"/>
      <c r="P155" s="3"/>
      <c r="AF155" s="23"/>
    </row>
    <row r="156" spans="3:32" ht="15.75" customHeight="1">
      <c r="C156" s="3"/>
      <c r="D156" s="3"/>
      <c r="E156" s="3"/>
      <c r="F156" s="3"/>
      <c r="G156" s="3"/>
      <c r="H156" s="3"/>
      <c r="I156" s="3"/>
      <c r="J156" s="3"/>
      <c r="K156" s="3"/>
      <c r="L156" s="3"/>
      <c r="M156" s="3"/>
      <c r="N156" s="3"/>
      <c r="O156" s="3"/>
      <c r="P156" s="3"/>
      <c r="AF156" s="23"/>
    </row>
    <row r="157" spans="3:32" ht="15.75" customHeight="1">
      <c r="C157" s="3"/>
      <c r="D157" s="3"/>
      <c r="E157" s="3"/>
      <c r="F157" s="3"/>
      <c r="G157" s="3"/>
      <c r="H157" s="3"/>
      <c r="I157" s="3"/>
      <c r="J157" s="3"/>
      <c r="K157" s="3"/>
      <c r="L157" s="3"/>
      <c r="M157" s="3"/>
      <c r="N157" s="3"/>
      <c r="O157" s="3"/>
      <c r="P157" s="3"/>
      <c r="AF157" s="23"/>
    </row>
    <row r="158" spans="3:32" ht="15.75" customHeight="1">
      <c r="C158" s="3"/>
      <c r="D158" s="3"/>
      <c r="E158" s="3"/>
      <c r="F158" s="3"/>
      <c r="G158" s="3"/>
      <c r="H158" s="3"/>
      <c r="I158" s="3"/>
      <c r="J158" s="3"/>
      <c r="K158" s="3"/>
      <c r="L158" s="3"/>
      <c r="M158" s="3"/>
      <c r="N158" s="3"/>
      <c r="O158" s="3"/>
      <c r="P158" s="3"/>
      <c r="AF158" s="23"/>
    </row>
    <row r="159" spans="3:32" ht="15.75" customHeight="1">
      <c r="C159" s="3"/>
      <c r="D159" s="3"/>
      <c r="E159" s="3"/>
      <c r="F159" s="3"/>
      <c r="G159" s="3"/>
      <c r="H159" s="3"/>
      <c r="I159" s="3"/>
      <c r="J159" s="3"/>
      <c r="K159" s="3"/>
      <c r="L159" s="3"/>
      <c r="M159" s="3"/>
      <c r="N159" s="3"/>
      <c r="O159" s="3"/>
      <c r="P159" s="3"/>
      <c r="AF159" s="23"/>
    </row>
    <row r="160" spans="3:32" ht="15.75" customHeight="1">
      <c r="C160" s="3"/>
      <c r="D160" s="3"/>
      <c r="E160" s="3"/>
      <c r="F160" s="3"/>
      <c r="G160" s="3"/>
      <c r="H160" s="3"/>
      <c r="I160" s="3"/>
      <c r="J160" s="3"/>
      <c r="K160" s="3"/>
      <c r="L160" s="3"/>
      <c r="M160" s="3"/>
      <c r="N160" s="3"/>
      <c r="O160" s="3"/>
      <c r="P160" s="3"/>
      <c r="AF160" s="23"/>
    </row>
    <row r="161" spans="3:32" ht="15.75" customHeight="1">
      <c r="C161" s="3"/>
      <c r="D161" s="3"/>
      <c r="E161" s="3"/>
      <c r="F161" s="3"/>
      <c r="G161" s="3"/>
      <c r="H161" s="3"/>
      <c r="I161" s="3"/>
      <c r="J161" s="3"/>
      <c r="K161" s="3"/>
      <c r="L161" s="3"/>
      <c r="M161" s="3"/>
      <c r="N161" s="3"/>
      <c r="O161" s="3"/>
      <c r="P161" s="3"/>
      <c r="AF161" s="23"/>
    </row>
    <row r="162" spans="3:32" ht="15.75" customHeight="1">
      <c r="C162" s="3"/>
      <c r="D162" s="3"/>
      <c r="E162" s="3"/>
      <c r="F162" s="3"/>
      <c r="G162" s="3"/>
      <c r="H162" s="3"/>
      <c r="I162" s="3"/>
      <c r="J162" s="3"/>
      <c r="K162" s="3"/>
      <c r="L162" s="3"/>
      <c r="M162" s="3"/>
      <c r="N162" s="3"/>
      <c r="O162" s="3"/>
      <c r="P162" s="3"/>
      <c r="AF162" s="23"/>
    </row>
    <row r="163" spans="3:32" ht="15.75" customHeight="1">
      <c r="C163" s="3"/>
      <c r="D163" s="3"/>
      <c r="E163" s="3"/>
      <c r="F163" s="3"/>
      <c r="G163" s="3"/>
      <c r="H163" s="3"/>
      <c r="I163" s="3"/>
      <c r="J163" s="3"/>
      <c r="K163" s="3"/>
      <c r="L163" s="3"/>
      <c r="M163" s="3"/>
      <c r="N163" s="3"/>
      <c r="O163" s="3"/>
      <c r="P163" s="3"/>
      <c r="AF163" s="23"/>
    </row>
    <row r="164" spans="3:32" ht="15.75" customHeight="1">
      <c r="C164" s="3"/>
      <c r="D164" s="3"/>
      <c r="E164" s="3"/>
      <c r="F164" s="3"/>
      <c r="G164" s="3"/>
      <c r="H164" s="3"/>
      <c r="I164" s="3"/>
      <c r="J164" s="3"/>
      <c r="K164" s="3"/>
      <c r="L164" s="3"/>
      <c r="M164" s="3"/>
      <c r="N164" s="3"/>
      <c r="O164" s="3"/>
      <c r="P164" s="3"/>
      <c r="AF164" s="23"/>
    </row>
    <row r="165" spans="3:32" ht="15.75" customHeight="1">
      <c r="C165" s="3"/>
      <c r="D165" s="3"/>
      <c r="E165" s="3"/>
      <c r="F165" s="3"/>
      <c r="G165" s="3"/>
      <c r="H165" s="3"/>
      <c r="I165" s="3"/>
      <c r="J165" s="3"/>
      <c r="K165" s="3"/>
      <c r="L165" s="3"/>
      <c r="M165" s="3"/>
      <c r="N165" s="3"/>
      <c r="O165" s="3"/>
      <c r="P165" s="3"/>
      <c r="AF165" s="23"/>
    </row>
    <row r="166" spans="3:32" ht="15.75" customHeight="1">
      <c r="C166" s="3"/>
      <c r="D166" s="3"/>
      <c r="E166" s="3"/>
      <c r="F166" s="3"/>
      <c r="G166" s="3"/>
      <c r="H166" s="3"/>
      <c r="I166" s="3"/>
      <c r="J166" s="3"/>
      <c r="K166" s="3"/>
      <c r="L166" s="3"/>
      <c r="M166" s="3"/>
      <c r="N166" s="3"/>
      <c r="O166" s="3"/>
      <c r="P166" s="3"/>
      <c r="AF166" s="23"/>
    </row>
    <row r="167" spans="3:32" ht="15.75" customHeight="1">
      <c r="C167" s="3"/>
      <c r="D167" s="3"/>
      <c r="E167" s="3"/>
      <c r="F167" s="3"/>
      <c r="G167" s="3"/>
      <c r="H167" s="3"/>
      <c r="I167" s="3"/>
      <c r="J167" s="3"/>
      <c r="K167" s="3"/>
      <c r="L167" s="3"/>
      <c r="M167" s="3"/>
      <c r="N167" s="3"/>
      <c r="O167" s="3"/>
      <c r="P167" s="3"/>
      <c r="AF167" s="23"/>
    </row>
    <row r="168" spans="3:32" ht="15.75" customHeight="1">
      <c r="C168" s="3"/>
      <c r="D168" s="3"/>
      <c r="E168" s="3"/>
      <c r="F168" s="3"/>
      <c r="G168" s="3"/>
      <c r="H168" s="3"/>
      <c r="I168" s="3"/>
      <c r="J168" s="3"/>
      <c r="K168" s="3"/>
      <c r="L168" s="3"/>
      <c r="M168" s="3"/>
      <c r="N168" s="3"/>
      <c r="O168" s="3"/>
      <c r="P168" s="3"/>
      <c r="AF168" s="23"/>
    </row>
    <row r="169" spans="3:32" ht="15.75" customHeight="1">
      <c r="C169" s="3"/>
      <c r="D169" s="3"/>
      <c r="E169" s="3"/>
      <c r="F169" s="3"/>
      <c r="G169" s="3"/>
      <c r="H169" s="3"/>
      <c r="I169" s="3"/>
      <c r="J169" s="3"/>
      <c r="K169" s="3"/>
      <c r="L169" s="3"/>
      <c r="M169" s="3"/>
      <c r="N169" s="3"/>
      <c r="O169" s="3"/>
      <c r="P169" s="3"/>
      <c r="AF169" s="23"/>
    </row>
    <row r="170" spans="3:32" ht="15.75" customHeight="1">
      <c r="E170" s="2"/>
      <c r="P170" s="2"/>
      <c r="AF170" s="23"/>
    </row>
    <row r="171" spans="3:32" ht="15.75" customHeight="1">
      <c r="E171" s="2"/>
      <c r="P171" s="2"/>
      <c r="AF171" s="23"/>
    </row>
    <row r="172" spans="3:32" ht="15.75" customHeight="1">
      <c r="E172" s="2"/>
      <c r="P172" s="2"/>
      <c r="AF172" s="23"/>
    </row>
    <row r="173" spans="3:32" ht="15.75" customHeight="1">
      <c r="E173" s="2"/>
      <c r="P173" s="2"/>
      <c r="AF173" s="23"/>
    </row>
    <row r="174" spans="3:32" ht="15.75" customHeight="1">
      <c r="E174" s="2"/>
      <c r="P174" s="2"/>
      <c r="AF174" s="23"/>
    </row>
    <row r="175" spans="3:32" ht="15.75" customHeight="1">
      <c r="E175" s="2"/>
      <c r="P175" s="2"/>
      <c r="AF175" s="23"/>
    </row>
    <row r="176" spans="3:32" ht="15.75" customHeight="1">
      <c r="E176" s="2"/>
      <c r="P176" s="2"/>
      <c r="AF176" s="23"/>
    </row>
    <row r="177" spans="5:32" ht="15.75" customHeight="1">
      <c r="E177" s="2"/>
      <c r="P177" s="2"/>
      <c r="AF177" s="23"/>
    </row>
    <row r="178" spans="5:32" ht="15.75" customHeight="1">
      <c r="E178" s="2"/>
      <c r="P178" s="2"/>
      <c r="AF178" s="23"/>
    </row>
    <row r="179" spans="5:32" ht="15.75" customHeight="1">
      <c r="E179" s="2"/>
      <c r="P179" s="2"/>
      <c r="AF179" s="23"/>
    </row>
    <row r="180" spans="5:32" ht="15.75" customHeight="1">
      <c r="E180" s="2"/>
      <c r="P180" s="2"/>
      <c r="AF180" s="23"/>
    </row>
    <row r="181" spans="5:32" ht="15.75" customHeight="1">
      <c r="E181" s="2"/>
      <c r="P181" s="2"/>
      <c r="AF181" s="23"/>
    </row>
    <row r="182" spans="5:32" ht="15.75" customHeight="1">
      <c r="E182" s="2"/>
      <c r="P182" s="2"/>
      <c r="AF182" s="23"/>
    </row>
    <row r="183" spans="5:32" ht="15.75" customHeight="1">
      <c r="E183" s="2"/>
      <c r="P183" s="2"/>
      <c r="AF183" s="23"/>
    </row>
    <row r="184" spans="5:32" ht="15.75" customHeight="1">
      <c r="E184" s="2"/>
      <c r="P184" s="2"/>
      <c r="AF184" s="23"/>
    </row>
    <row r="185" spans="5:32" ht="15.75" customHeight="1">
      <c r="E185" s="2"/>
      <c r="P185" s="2"/>
      <c r="AF185" s="23"/>
    </row>
    <row r="186" spans="5:32" ht="15.75" customHeight="1">
      <c r="E186" s="2"/>
      <c r="P186" s="2"/>
      <c r="AF186" s="23"/>
    </row>
    <row r="187" spans="5:32" ht="15.75" customHeight="1">
      <c r="E187" s="2"/>
      <c r="P187" s="2"/>
      <c r="AF187" s="23"/>
    </row>
    <row r="188" spans="5:32" ht="15.75" customHeight="1">
      <c r="E188" s="2"/>
      <c r="P188" s="2"/>
      <c r="AF188" s="23"/>
    </row>
    <row r="189" spans="5:32" ht="15.75" customHeight="1">
      <c r="E189" s="2"/>
      <c r="P189" s="2"/>
      <c r="AF189" s="23"/>
    </row>
    <row r="190" spans="5:32" ht="15.75" customHeight="1">
      <c r="E190" s="2"/>
      <c r="P190" s="2"/>
      <c r="AF190" s="23"/>
    </row>
    <row r="191" spans="5:32" ht="15.75" customHeight="1">
      <c r="E191" s="2"/>
      <c r="P191" s="2"/>
      <c r="AF191" s="23"/>
    </row>
    <row r="192" spans="5: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250" priority="1" operator="lessThan">
      <formula>100</formula>
    </cfRule>
  </conditionalFormatting>
  <conditionalFormatting sqref="Q1:Q3 Q57:Q1000">
    <cfRule type="cellIs" dxfId="249" priority="2" operator="lessThan">
      <formula>100</formula>
    </cfRule>
  </conditionalFormatting>
  <conditionalFormatting sqref="I1:I3 I57:I1000">
    <cfRule type="cellIs" dxfId="248" priority="3" operator="lessThan">
      <formula>0.05</formula>
    </cfRule>
  </conditionalFormatting>
  <conditionalFormatting sqref="I4:I17">
    <cfRule type="cellIs" dxfId="247" priority="4" operator="lessThan">
      <formula>0.05</formula>
    </cfRule>
  </conditionalFormatting>
  <conditionalFormatting sqref="I18:I56">
    <cfRule type="cellIs" dxfId="246" priority="5" operator="lessThan">
      <formula>0.05</formula>
    </cfRule>
  </conditionalFormatting>
  <conditionalFormatting sqref="Q4:Q56">
    <cfRule type="cellIs" dxfId="245" priority="6" operator="lessThan">
      <formula>100</formula>
    </cfRule>
  </conditionalFormatting>
  <conditionalFormatting sqref="Q4:Q56">
    <cfRule type="cellIs" dxfId="244" priority="7" operator="lessThan">
      <formula>100</formula>
    </cfRule>
  </conditionalFormatting>
  <pageMargins left="0.7" right="0.7" top="0.75" bottom="0.75" header="0" footer="0"/>
  <pageSetup orientation="portrait"/>
  <legacy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1.332031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8.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Info!B1:BJ5000""),4,FALSE),"""")"),"Dry Defender Heavy Duty Vinyl Zippered Mattress Protector - 9 Inch Depth - Twin")</f>
        <v>Dry Defender Heavy Duty Vinyl Zippered Mattress Protector - 9 Inch Depth - Twin</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Info!B1:BJ5000""),3,FALSE),"""")"),"B00IOWBI5C")</f>
        <v>B00IOWBI5C</v>
      </c>
      <c r="B2" s="4" t="s">
        <v>900</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13.377952465834813</v>
      </c>
      <c r="D3" s="8">
        <f>SUM(D4:D99819)</f>
        <v>10</v>
      </c>
      <c r="E3" s="8"/>
      <c r="F3" s="9">
        <f t="shared" ref="F3:G3" si="0">SUM(F4:F99819)</f>
        <v>211.73999999999998</v>
      </c>
      <c r="G3" s="9">
        <f t="shared" si="0"/>
        <v>0</v>
      </c>
      <c r="H3" s="10">
        <f>G3/F3*-1</f>
        <v>0</v>
      </c>
      <c r="I3" s="11">
        <f>J3/F3</f>
        <v>0.25835632703725664</v>
      </c>
      <c r="J3" s="9">
        <f>SUM(J4:J99819)</f>
        <v>54.704368686868719</v>
      </c>
      <c r="K3" s="9">
        <f>J3/D3</f>
        <v>5.4704368686868721</v>
      </c>
      <c r="L3" s="8"/>
      <c r="M3" s="12"/>
      <c r="N3" s="13"/>
      <c r="O3" s="8" t="str">
        <f ca="1">IFERROR(__xludf.DUMMYFUNCTION("IFERROR(VLOOKUP(B2,IMPORTRANGE(""https://docs.google.com/spreadsheets/d/1owCo6kL_VFQ5nPTdNogErmCBLjNiktT1m3SzTrxu3R0/edit#gid=2146806407"",""Second Star - Compiled!b1:g5000""),2,FALSE),"""")"),"0 - March
0 - April
0 - May
0 - Jun
0 - Jul
0 - Aug
0 - Sept
0 - Oct
0 - Nov
0 - Dec
0 - Jan
0 - Feb")</f>
        <v>0 - March
0 - April
0 - May
0 - Jun
0 - Jul
0 - Aug
0 - Sept
0 - Oct
0 - Nov
0 - Dec
0 - Jan
0 - Feb</v>
      </c>
      <c r="P3" s="8"/>
      <c r="Q3" s="14"/>
      <c r="R3" s="13"/>
      <c r="S3" s="13"/>
      <c r="T3" s="13"/>
      <c r="U3" s="8">
        <f>SUM(U4:U99819)</f>
        <v>0</v>
      </c>
      <c r="V3" s="10">
        <f>AVERAGE(V4:V99819)</f>
        <v>0</v>
      </c>
      <c r="W3" s="9">
        <f>ROUND(AVERAGE(W4:W99819),2)</f>
        <v>0</v>
      </c>
      <c r="X3" s="8"/>
      <c r="Y3" s="8"/>
      <c r="Z3" s="8"/>
      <c r="AA3" s="8"/>
      <c r="AB3" s="8"/>
      <c r="AC3" s="15"/>
      <c r="AD3" s="9"/>
      <c r="AE3" s="9">
        <f>SUM(AE4:AE99819)</f>
        <v>-1</v>
      </c>
      <c r="AF3" s="16"/>
    </row>
    <row r="4" spans="1:32" s="57" customFormat="1" hidden="1">
      <c r="A4" s="17"/>
      <c r="B4" s="17"/>
      <c r="C4" s="50"/>
      <c r="D4" s="51"/>
      <c r="E4" s="51"/>
      <c r="F4" s="51"/>
      <c r="G4" s="51"/>
      <c r="H4" s="51"/>
      <c r="I4" s="51"/>
      <c r="J4" s="51"/>
      <c r="K4" s="51"/>
      <c r="L4" s="51"/>
      <c r="M4" s="51"/>
      <c r="N4" s="51"/>
      <c r="O4" s="51"/>
      <c r="P4" s="51"/>
      <c r="Q4" s="51"/>
      <c r="R4" s="52"/>
      <c r="S4" s="53"/>
      <c r="T4" s="54"/>
      <c r="U4" s="52"/>
      <c r="V4" s="55"/>
      <c r="W4" s="55"/>
      <c r="X4" s="52"/>
      <c r="Y4" s="56"/>
      <c r="Z4" s="56"/>
      <c r="AA4" s="55"/>
      <c r="AB4" s="55"/>
      <c r="AC4" s="55"/>
      <c r="AD4" s="55"/>
      <c r="AE4" s="55"/>
      <c r="AF4" s="55"/>
    </row>
    <row r="5" spans="1:32" s="57" customFormat="1" ht="15.75" hidden="1" customHeight="1">
      <c r="A5" s="17"/>
      <c r="B5" s="2"/>
      <c r="C5" s="51"/>
      <c r="D5" s="51"/>
      <c r="E5" s="51"/>
      <c r="F5" s="51"/>
      <c r="G5" s="51"/>
      <c r="H5" s="51"/>
      <c r="I5" s="51"/>
      <c r="J5" s="51"/>
      <c r="K5" s="51"/>
      <c r="L5" s="51"/>
      <c r="M5" s="51"/>
      <c r="N5" s="51"/>
      <c r="O5" s="51"/>
      <c r="P5" s="51"/>
      <c r="Q5" s="51"/>
      <c r="R5" s="52"/>
      <c r="S5" s="53"/>
      <c r="T5" s="54"/>
      <c r="U5" s="52"/>
      <c r="V5" s="55"/>
      <c r="W5" s="55"/>
      <c r="X5" s="52"/>
      <c r="Y5" s="52"/>
      <c r="Z5" s="56"/>
      <c r="AA5" s="55"/>
      <c r="AB5" s="55"/>
      <c r="AC5" s="55"/>
      <c r="AD5" s="55"/>
      <c r="AE5" s="55"/>
      <c r="AF5" s="55"/>
    </row>
    <row r="6" spans="1:32" s="57" customFormat="1" ht="15.75" hidden="1" customHeight="1">
      <c r="A6" s="17"/>
      <c r="B6" s="2"/>
      <c r="C6" s="51"/>
      <c r="D6" s="51"/>
      <c r="E6" s="51"/>
      <c r="F6" s="51"/>
      <c r="G6" s="51"/>
      <c r="H6" s="51"/>
      <c r="I6" s="51"/>
      <c r="J6" s="51"/>
      <c r="K6" s="51"/>
      <c r="L6" s="51"/>
      <c r="M6" s="51"/>
      <c r="N6" s="51"/>
      <c r="O6" s="51"/>
      <c r="P6" s="51"/>
      <c r="Q6" s="51"/>
      <c r="R6" s="52"/>
      <c r="S6" s="53"/>
      <c r="T6" s="54"/>
      <c r="U6" s="52"/>
      <c r="V6" s="55"/>
      <c r="W6" s="55"/>
      <c r="X6" s="52"/>
      <c r="Y6" s="52"/>
      <c r="Z6" s="56"/>
      <c r="AA6" s="55"/>
      <c r="AB6" s="55"/>
      <c r="AC6" s="55"/>
      <c r="AD6" s="55"/>
      <c r="AE6" s="55"/>
      <c r="AF6" s="55"/>
    </row>
    <row r="7" spans="1:32" s="57" customFormat="1" ht="15.75" hidden="1" customHeight="1">
      <c r="A7" s="17"/>
      <c r="B7" s="2"/>
      <c r="C7" s="51"/>
      <c r="D7" s="51"/>
      <c r="E7" s="51"/>
      <c r="F7" s="51"/>
      <c r="G7" s="51"/>
      <c r="H7" s="51"/>
      <c r="I7" s="51"/>
      <c r="J7" s="51"/>
      <c r="K7" s="51"/>
      <c r="L7" s="51"/>
      <c r="M7" s="51"/>
      <c r="N7" s="51"/>
      <c r="O7" s="51"/>
      <c r="P7" s="51"/>
      <c r="Q7" s="51"/>
      <c r="R7" s="52"/>
      <c r="S7" s="53"/>
      <c r="T7" s="54"/>
      <c r="U7" s="52"/>
      <c r="V7" s="55"/>
      <c r="W7" s="55"/>
      <c r="X7" s="52"/>
      <c r="Y7" s="52"/>
      <c r="Z7" s="56"/>
      <c r="AA7" s="55"/>
      <c r="AB7" s="55"/>
      <c r="AC7" s="55"/>
      <c r="AD7" s="55"/>
      <c r="AE7" s="55"/>
      <c r="AF7" s="55"/>
    </row>
    <row r="8" spans="1:32" s="57" customFormat="1" ht="15.75" hidden="1" customHeight="1">
      <c r="A8" s="17"/>
      <c r="B8" s="2"/>
      <c r="C8" s="51"/>
      <c r="D8" s="51"/>
      <c r="E8" s="51"/>
      <c r="F8" s="51"/>
      <c r="G8" s="51"/>
      <c r="H8" s="51"/>
      <c r="I8" s="51"/>
      <c r="J8" s="51"/>
      <c r="K8" s="51"/>
      <c r="L8" s="51"/>
      <c r="M8" s="51"/>
      <c r="N8" s="51"/>
      <c r="O8" s="51"/>
      <c r="P8" s="51"/>
      <c r="Q8" s="51"/>
      <c r="R8" s="52"/>
      <c r="S8" s="53"/>
      <c r="T8" s="54"/>
      <c r="U8" s="52"/>
      <c r="V8" s="55"/>
      <c r="W8" s="55"/>
      <c r="X8" s="52"/>
      <c r="Y8" s="52"/>
      <c r="Z8" s="56"/>
      <c r="AA8" s="55"/>
      <c r="AB8" s="55"/>
      <c r="AC8" s="55"/>
      <c r="AD8" s="55"/>
      <c r="AE8" s="55"/>
      <c r="AF8" s="55"/>
    </row>
    <row r="9" spans="1:32" s="57" customFormat="1" ht="15.75" hidden="1" customHeight="1">
      <c r="A9" s="17"/>
      <c r="B9" s="2"/>
      <c r="C9" s="51"/>
      <c r="D9" s="51"/>
      <c r="E9" s="51"/>
      <c r="F9" s="51"/>
      <c r="G9" s="51"/>
      <c r="H9" s="51"/>
      <c r="I9" s="51"/>
      <c r="J9" s="51"/>
      <c r="K9" s="51"/>
      <c r="L9" s="51"/>
      <c r="M9" s="51"/>
      <c r="N9" s="51"/>
      <c r="O9" s="51"/>
      <c r="P9" s="51"/>
      <c r="Q9" s="51"/>
      <c r="R9" s="52"/>
      <c r="S9" s="53"/>
      <c r="T9" s="54"/>
      <c r="U9" s="52"/>
      <c r="V9" s="55"/>
      <c r="W9" s="55"/>
      <c r="X9" s="52"/>
      <c r="Y9" s="52"/>
      <c r="Z9" s="56"/>
      <c r="AA9" s="55"/>
      <c r="AB9" s="55"/>
      <c r="AC9" s="55"/>
      <c r="AD9" s="55"/>
      <c r="AE9" s="55"/>
      <c r="AF9" s="55"/>
    </row>
    <row r="10" spans="1:32" s="57" customFormat="1" ht="15.75" hidden="1" customHeight="1">
      <c r="A10" s="17"/>
      <c r="B10" s="2"/>
      <c r="C10" s="51"/>
      <c r="D10" s="51"/>
      <c r="E10" s="51"/>
      <c r="F10" s="51"/>
      <c r="G10" s="51"/>
      <c r="H10" s="51"/>
      <c r="I10" s="51"/>
      <c r="J10" s="51"/>
      <c r="K10" s="51"/>
      <c r="L10" s="51"/>
      <c r="M10" s="51"/>
      <c r="N10" s="51"/>
      <c r="O10" s="51"/>
      <c r="P10" s="51"/>
      <c r="Q10" s="51"/>
      <c r="R10" s="52"/>
      <c r="S10" s="53"/>
      <c r="T10" s="54"/>
      <c r="U10" s="52"/>
      <c r="V10" s="55"/>
      <c r="W10" s="55"/>
      <c r="X10" s="52"/>
      <c r="Y10" s="52"/>
      <c r="Z10" s="56"/>
      <c r="AA10" s="55"/>
      <c r="AB10" s="55"/>
      <c r="AC10" s="55"/>
      <c r="AD10" s="55"/>
      <c r="AE10" s="55"/>
      <c r="AF10" s="55"/>
    </row>
    <row r="11" spans="1:32" s="57" customFormat="1" ht="15.75" hidden="1" customHeight="1">
      <c r="A11" s="17"/>
      <c r="B11" s="2"/>
      <c r="C11" s="51"/>
      <c r="D11" s="51"/>
      <c r="E11" s="51"/>
      <c r="F11" s="51"/>
      <c r="G11" s="51"/>
      <c r="H11" s="51"/>
      <c r="I11" s="51"/>
      <c r="J11" s="51"/>
      <c r="K11" s="51"/>
      <c r="L11" s="51"/>
      <c r="M11" s="51"/>
      <c r="N11" s="51"/>
      <c r="O11" s="51"/>
      <c r="P11" s="51"/>
      <c r="Q11" s="51"/>
      <c r="R11" s="52"/>
      <c r="S11" s="53"/>
      <c r="T11" s="54"/>
      <c r="U11" s="52"/>
      <c r="V11" s="55"/>
      <c r="W11" s="55"/>
      <c r="X11" s="52"/>
      <c r="Y11" s="52"/>
      <c r="Z11" s="56"/>
      <c r="AA11" s="55"/>
      <c r="AB11" s="55"/>
      <c r="AC11" s="55"/>
      <c r="AD11" s="55"/>
      <c r="AE11" s="55"/>
      <c r="AF11" s="55"/>
    </row>
    <row r="12" spans="1:32" s="57" customFormat="1" ht="15.75" hidden="1" customHeight="1">
      <c r="A12" s="17"/>
      <c r="B12" s="2"/>
      <c r="C12" s="51"/>
      <c r="D12" s="51"/>
      <c r="E12" s="51"/>
      <c r="F12" s="51"/>
      <c r="G12" s="51"/>
      <c r="H12" s="51"/>
      <c r="I12" s="51"/>
      <c r="J12" s="51"/>
      <c r="K12" s="51"/>
      <c r="L12" s="51"/>
      <c r="M12" s="51"/>
      <c r="N12" s="51"/>
      <c r="O12" s="51"/>
      <c r="P12" s="51"/>
      <c r="Q12" s="51"/>
      <c r="R12" s="52"/>
      <c r="S12" s="53"/>
      <c r="T12" s="54"/>
      <c r="U12" s="52"/>
      <c r="V12" s="55"/>
      <c r="W12" s="55"/>
      <c r="X12" s="52"/>
      <c r="Y12" s="52"/>
      <c r="Z12" s="56"/>
      <c r="AA12" s="55"/>
      <c r="AB12" s="55"/>
      <c r="AC12" s="55"/>
      <c r="AD12" s="55"/>
      <c r="AE12" s="55"/>
      <c r="AF12" s="55"/>
    </row>
    <row r="13" spans="1:32" s="57" customFormat="1" ht="15.75" hidden="1" customHeight="1">
      <c r="A13" s="17"/>
      <c r="B13" s="2"/>
      <c r="C13" s="51"/>
      <c r="D13" s="51"/>
      <c r="E13" s="51"/>
      <c r="F13" s="51"/>
      <c r="G13" s="51"/>
      <c r="H13" s="51"/>
      <c r="I13" s="51"/>
      <c r="J13" s="51"/>
      <c r="K13" s="51"/>
      <c r="L13" s="51"/>
      <c r="M13" s="51"/>
      <c r="N13" s="51"/>
      <c r="O13" s="51"/>
      <c r="P13" s="51"/>
      <c r="Q13" s="51"/>
      <c r="R13" s="52"/>
      <c r="S13" s="53"/>
      <c r="T13" s="54"/>
      <c r="U13" s="52"/>
      <c r="V13" s="55"/>
      <c r="W13" s="55"/>
      <c r="X13" s="52"/>
      <c r="Y13" s="52"/>
      <c r="Z13" s="56"/>
      <c r="AA13" s="55"/>
      <c r="AB13" s="55"/>
      <c r="AC13" s="55"/>
      <c r="AD13" s="55"/>
      <c r="AE13" s="55"/>
      <c r="AF13" s="55"/>
    </row>
    <row r="14" spans="1:32" s="57" customFormat="1" ht="15.75" hidden="1" customHeight="1">
      <c r="A14" s="17"/>
      <c r="B14" s="2"/>
      <c r="C14" s="51"/>
      <c r="D14" s="51"/>
      <c r="E14" s="51"/>
      <c r="F14" s="51"/>
      <c r="G14" s="51"/>
      <c r="H14" s="51"/>
      <c r="I14" s="51"/>
      <c r="J14" s="51"/>
      <c r="K14" s="51"/>
      <c r="L14" s="51"/>
      <c r="M14" s="51"/>
      <c r="N14" s="51"/>
      <c r="O14" s="51"/>
      <c r="P14" s="51"/>
      <c r="Q14" s="51"/>
      <c r="R14" s="52"/>
      <c r="S14" s="53"/>
      <c r="T14" s="54"/>
      <c r="U14" s="52"/>
      <c r="V14" s="55"/>
      <c r="W14" s="55"/>
      <c r="X14" s="52"/>
      <c r="Y14" s="52"/>
      <c r="Z14" s="56"/>
      <c r="AA14" s="55"/>
      <c r="AB14" s="55"/>
      <c r="AC14" s="55"/>
      <c r="AD14" s="55"/>
      <c r="AE14" s="55"/>
      <c r="AF14" s="55"/>
    </row>
    <row r="15" spans="1:32" s="57" customFormat="1" ht="15.75" hidden="1" customHeight="1">
      <c r="A15" s="17"/>
      <c r="B15" s="2"/>
      <c r="C15" s="51"/>
      <c r="D15" s="51"/>
      <c r="E15" s="51"/>
      <c r="F15" s="51"/>
      <c r="G15" s="51"/>
      <c r="H15" s="51"/>
      <c r="I15" s="51"/>
      <c r="J15" s="51"/>
      <c r="K15" s="51"/>
      <c r="L15" s="51"/>
      <c r="M15" s="51"/>
      <c r="N15" s="51"/>
      <c r="O15" s="51"/>
      <c r="P15" s="51"/>
      <c r="Q15" s="51"/>
      <c r="R15" s="52"/>
      <c r="S15" s="53"/>
      <c r="T15" s="54"/>
      <c r="U15" s="52"/>
      <c r="V15" s="55"/>
      <c r="W15" s="55"/>
      <c r="X15" s="52"/>
      <c r="Y15" s="52"/>
      <c r="Z15" s="56"/>
      <c r="AA15" s="55"/>
      <c r="AB15" s="55"/>
      <c r="AC15" s="55"/>
      <c r="AD15" s="55"/>
      <c r="AE15" s="55"/>
      <c r="AF15" s="55"/>
    </row>
    <row r="16" spans="1:32" s="57" customFormat="1" ht="15.75" hidden="1" customHeight="1">
      <c r="A16" s="17"/>
      <c r="B16" s="2"/>
      <c r="C16" s="51"/>
      <c r="D16" s="51"/>
      <c r="E16" s="51"/>
      <c r="F16" s="51"/>
      <c r="G16" s="51"/>
      <c r="H16" s="51"/>
      <c r="I16" s="51"/>
      <c r="J16" s="51"/>
      <c r="K16" s="51"/>
      <c r="L16" s="51"/>
      <c r="M16" s="51"/>
      <c r="N16" s="51"/>
      <c r="O16" s="51"/>
      <c r="P16" s="51"/>
      <c r="Q16" s="51"/>
      <c r="R16" s="52"/>
      <c r="S16" s="53"/>
      <c r="T16" s="54"/>
      <c r="U16" s="52"/>
      <c r="V16" s="55"/>
      <c r="W16" s="55"/>
      <c r="X16" s="52"/>
      <c r="Y16" s="52"/>
      <c r="Z16" s="56"/>
      <c r="AA16" s="55"/>
      <c r="AB16" s="55"/>
      <c r="AC16" s="55"/>
      <c r="AD16" s="55"/>
      <c r="AE16" s="55"/>
      <c r="AF16" s="55"/>
    </row>
    <row r="17" spans="1:32" s="57" customFormat="1" ht="15.75" hidden="1" customHeight="1">
      <c r="A17" s="17"/>
      <c r="B17" s="2"/>
      <c r="C17" s="51"/>
      <c r="D17" s="51"/>
      <c r="E17" s="51"/>
      <c r="F17" s="51"/>
      <c r="G17" s="51"/>
      <c r="H17" s="51"/>
      <c r="I17" s="51"/>
      <c r="J17" s="51"/>
      <c r="K17" s="51"/>
      <c r="L17" s="51"/>
      <c r="M17" s="51"/>
      <c r="N17" s="51"/>
      <c r="O17" s="51"/>
      <c r="P17" s="51"/>
      <c r="Q17" s="51"/>
      <c r="R17" s="52"/>
      <c r="S17" s="53"/>
      <c r="T17" s="54"/>
      <c r="U17" s="52"/>
      <c r="V17" s="55"/>
      <c r="W17" s="55"/>
      <c r="X17" s="52"/>
      <c r="Y17" s="52"/>
      <c r="Z17" s="56"/>
      <c r="AA17" s="55"/>
      <c r="AB17" s="55"/>
      <c r="AC17" s="55"/>
      <c r="AD17" s="55"/>
      <c r="AE17" s="55"/>
      <c r="AF17" s="55"/>
    </row>
    <row r="18" spans="1:32" s="57" customFormat="1" ht="15.75" hidden="1" customHeight="1">
      <c r="A18" s="2"/>
      <c r="B18" s="2"/>
      <c r="C18" s="51"/>
      <c r="D18" s="51"/>
      <c r="E18" s="51"/>
      <c r="F18" s="51"/>
      <c r="G18" s="51"/>
      <c r="H18" s="51"/>
      <c r="I18" s="51"/>
      <c r="J18" s="51"/>
      <c r="K18" s="51"/>
      <c r="L18" s="51"/>
      <c r="M18" s="51"/>
      <c r="N18" s="51"/>
      <c r="O18" s="51"/>
      <c r="P18" s="51"/>
      <c r="Q18" s="51"/>
      <c r="R18" s="55"/>
      <c r="S18" s="53"/>
      <c r="T18" s="54"/>
      <c r="U18" s="55"/>
      <c r="V18" s="55"/>
      <c r="W18" s="55"/>
      <c r="X18" s="55"/>
      <c r="Y18" s="52"/>
      <c r="Z18" s="56"/>
      <c r="AA18" s="55"/>
      <c r="AB18" s="58"/>
      <c r="AC18" s="55"/>
      <c r="AD18" s="55"/>
      <c r="AE18" s="55"/>
      <c r="AF18" s="55"/>
    </row>
    <row r="19" spans="1:32" s="57" customFormat="1" ht="15.75" hidden="1" customHeight="1">
      <c r="A19" s="17"/>
      <c r="B19" s="2"/>
      <c r="C19" s="51"/>
      <c r="D19" s="51"/>
      <c r="E19" s="51"/>
      <c r="F19" s="51"/>
      <c r="G19" s="51"/>
      <c r="H19" s="51"/>
      <c r="I19" s="51"/>
      <c r="J19" s="51"/>
      <c r="K19" s="51"/>
      <c r="L19" s="51"/>
      <c r="M19" s="51"/>
      <c r="N19" s="51"/>
      <c r="O19" s="51"/>
      <c r="P19" s="51"/>
      <c r="Q19" s="51"/>
      <c r="R19" s="52"/>
      <c r="S19" s="53"/>
      <c r="T19" s="54"/>
      <c r="U19" s="55"/>
      <c r="V19" s="55"/>
      <c r="W19" s="55"/>
      <c r="X19" s="52"/>
      <c r="Y19" s="52"/>
      <c r="Z19" s="56"/>
      <c r="AA19" s="55"/>
      <c r="AB19" s="55"/>
      <c r="AC19" s="55"/>
      <c r="AD19" s="55"/>
      <c r="AE19" s="55"/>
      <c r="AF19" s="55"/>
    </row>
    <row r="20" spans="1:32" s="57" customFormat="1" ht="15.75" hidden="1" customHeight="1">
      <c r="A20" s="17"/>
      <c r="B20" s="2"/>
      <c r="C20" s="51"/>
      <c r="D20" s="51"/>
      <c r="E20" s="51"/>
      <c r="F20" s="51"/>
      <c r="G20" s="51"/>
      <c r="H20" s="51"/>
      <c r="I20" s="51"/>
      <c r="J20" s="51"/>
      <c r="K20" s="51"/>
      <c r="L20" s="51"/>
      <c r="M20" s="51"/>
      <c r="N20" s="51"/>
      <c r="O20" s="51"/>
      <c r="P20" s="51"/>
      <c r="Q20" s="51"/>
      <c r="R20" s="52"/>
      <c r="S20" s="53"/>
      <c r="T20" s="54"/>
      <c r="U20" s="52"/>
      <c r="V20" s="55"/>
      <c r="W20" s="55"/>
      <c r="X20" s="52"/>
      <c r="Y20" s="52"/>
      <c r="Z20" s="56"/>
      <c r="AA20" s="55"/>
      <c r="AB20" s="55"/>
      <c r="AC20" s="55"/>
      <c r="AD20" s="55"/>
      <c r="AE20" s="55"/>
      <c r="AF20" s="55"/>
    </row>
    <row r="21" spans="1:32" s="57" customFormat="1" ht="15.75" hidden="1" customHeight="1">
      <c r="A21" s="17"/>
      <c r="B21" s="2"/>
      <c r="C21" s="51"/>
      <c r="D21" s="51"/>
      <c r="E21" s="51"/>
      <c r="F21" s="51"/>
      <c r="G21" s="51"/>
      <c r="H21" s="51"/>
      <c r="I21" s="51"/>
      <c r="J21" s="51"/>
      <c r="K21" s="51"/>
      <c r="L21" s="51"/>
      <c r="M21" s="51"/>
      <c r="N21" s="51"/>
      <c r="O21" s="51"/>
      <c r="P21" s="51"/>
      <c r="Q21" s="51"/>
      <c r="R21" s="52"/>
      <c r="S21" s="53"/>
      <c r="T21" s="54"/>
      <c r="U21" s="52"/>
      <c r="V21" s="55"/>
      <c r="W21" s="55"/>
      <c r="X21" s="52"/>
      <c r="Y21" s="52"/>
      <c r="Z21" s="56"/>
      <c r="AA21" s="55"/>
      <c r="AB21" s="55"/>
      <c r="AC21" s="55"/>
      <c r="AD21" s="55"/>
      <c r="AE21" s="55"/>
      <c r="AF21" s="55"/>
    </row>
    <row r="22" spans="1:32" s="57" customFormat="1" ht="15.75" hidden="1" customHeight="1">
      <c r="A22" s="17"/>
      <c r="B22" s="2"/>
      <c r="C22" s="51"/>
      <c r="D22" s="51"/>
      <c r="E22" s="51"/>
      <c r="F22" s="51"/>
      <c r="G22" s="51"/>
      <c r="H22" s="51"/>
      <c r="I22" s="51"/>
      <c r="J22" s="51"/>
      <c r="K22" s="51"/>
      <c r="L22" s="51"/>
      <c r="M22" s="51"/>
      <c r="N22" s="51"/>
      <c r="O22" s="51"/>
      <c r="P22" s="51"/>
      <c r="Q22" s="51"/>
      <c r="R22" s="52"/>
      <c r="S22" s="53"/>
      <c r="T22" s="54"/>
      <c r="U22" s="52"/>
      <c r="V22" s="55"/>
      <c r="W22" s="55"/>
      <c r="X22" s="52"/>
      <c r="Y22" s="52"/>
      <c r="Z22" s="56"/>
      <c r="AA22" s="55"/>
      <c r="AB22" s="55"/>
      <c r="AC22" s="55"/>
      <c r="AD22" s="55"/>
      <c r="AE22" s="55"/>
      <c r="AF22" s="55"/>
    </row>
    <row r="23" spans="1:32" s="57" customFormat="1" ht="15.75" hidden="1" customHeight="1">
      <c r="A23" s="17"/>
      <c r="B23" s="2"/>
      <c r="C23" s="51"/>
      <c r="D23" s="51"/>
      <c r="E23" s="51"/>
      <c r="F23" s="51"/>
      <c r="G23" s="51"/>
      <c r="H23" s="51"/>
      <c r="I23" s="51"/>
      <c r="J23" s="51"/>
      <c r="K23" s="51"/>
      <c r="L23" s="51"/>
      <c r="M23" s="51"/>
      <c r="N23" s="51"/>
      <c r="O23" s="51"/>
      <c r="P23" s="51"/>
      <c r="Q23" s="51"/>
      <c r="R23" s="52"/>
      <c r="S23" s="53"/>
      <c r="T23" s="54"/>
      <c r="U23" s="52"/>
      <c r="V23" s="55"/>
      <c r="W23" s="55"/>
      <c r="X23" s="52"/>
      <c r="Y23" s="52"/>
      <c r="Z23" s="56"/>
      <c r="AA23" s="55"/>
      <c r="AB23" s="55"/>
      <c r="AC23" s="55"/>
      <c r="AD23" s="55"/>
      <c r="AE23" s="55"/>
      <c r="AF23" s="55"/>
    </row>
    <row r="24" spans="1:32" s="57" customFormat="1" ht="15.75" hidden="1" customHeight="1">
      <c r="A24" s="17"/>
      <c r="B24" s="2"/>
      <c r="C24" s="51"/>
      <c r="D24" s="51"/>
      <c r="E24" s="51"/>
      <c r="F24" s="51"/>
      <c r="G24" s="51"/>
      <c r="H24" s="51"/>
      <c r="I24" s="51"/>
      <c r="J24" s="51"/>
      <c r="K24" s="51"/>
      <c r="L24" s="51"/>
      <c r="M24" s="51"/>
      <c r="N24" s="51"/>
      <c r="O24" s="51"/>
      <c r="P24" s="51"/>
      <c r="Q24" s="51"/>
      <c r="R24" s="52"/>
      <c r="S24" s="53"/>
      <c r="T24" s="54"/>
      <c r="U24" s="52"/>
      <c r="V24" s="55"/>
      <c r="W24" s="55"/>
      <c r="X24" s="52"/>
      <c r="Y24" s="52"/>
      <c r="Z24" s="56"/>
      <c r="AA24" s="55"/>
      <c r="AB24" s="55"/>
      <c r="AC24" s="55"/>
      <c r="AD24" s="55"/>
      <c r="AE24" s="55"/>
      <c r="AF24" s="55"/>
    </row>
    <row r="25" spans="1:32" s="57" customFormat="1" ht="15.75" hidden="1" customHeight="1">
      <c r="A25" s="17"/>
      <c r="B25" s="2"/>
      <c r="C25" s="51"/>
      <c r="D25" s="51"/>
      <c r="E25" s="51"/>
      <c r="F25" s="51"/>
      <c r="G25" s="51"/>
      <c r="H25" s="51"/>
      <c r="I25" s="51"/>
      <c r="J25" s="51"/>
      <c r="K25" s="51"/>
      <c r="L25" s="51"/>
      <c r="M25" s="51"/>
      <c r="N25" s="51"/>
      <c r="O25" s="51"/>
      <c r="P25" s="51"/>
      <c r="Q25" s="51"/>
      <c r="R25" s="52"/>
      <c r="S25" s="53"/>
      <c r="T25" s="54"/>
      <c r="U25" s="52"/>
      <c r="V25" s="55"/>
      <c r="W25" s="55"/>
      <c r="X25" s="52"/>
      <c r="Y25" s="52"/>
      <c r="Z25" s="56"/>
      <c r="AA25" s="55"/>
      <c r="AB25" s="55"/>
      <c r="AC25" s="55"/>
      <c r="AD25" s="55"/>
      <c r="AE25" s="55"/>
      <c r="AF25" s="55"/>
    </row>
    <row r="26" spans="1:32" s="57" customFormat="1" ht="15.75" hidden="1" customHeight="1">
      <c r="A26" s="17"/>
      <c r="B26" s="2"/>
      <c r="C26" s="51"/>
      <c r="D26" s="51"/>
      <c r="E26" s="51"/>
      <c r="F26" s="51"/>
      <c r="G26" s="51"/>
      <c r="H26" s="51"/>
      <c r="I26" s="51"/>
      <c r="J26" s="51"/>
      <c r="K26" s="51"/>
      <c r="L26" s="51"/>
      <c r="M26" s="51"/>
      <c r="N26" s="51"/>
      <c r="O26" s="51"/>
      <c r="P26" s="51"/>
      <c r="Q26" s="51"/>
      <c r="R26" s="52"/>
      <c r="S26" s="53"/>
      <c r="T26" s="54"/>
      <c r="U26" s="52"/>
      <c r="V26" s="55"/>
      <c r="W26" s="55"/>
      <c r="X26" s="52"/>
      <c r="Y26" s="52"/>
      <c r="Z26" s="56"/>
      <c r="AA26" s="55"/>
      <c r="AB26" s="55"/>
      <c r="AC26" s="55"/>
      <c r="AD26" s="55"/>
      <c r="AE26" s="55"/>
      <c r="AF26" s="55"/>
    </row>
    <row r="27" spans="1:32" s="57" customFormat="1" ht="15.75" hidden="1" customHeight="1">
      <c r="A27" s="17"/>
      <c r="B27" s="2"/>
      <c r="C27" s="51"/>
      <c r="D27" s="51"/>
      <c r="E27" s="51"/>
      <c r="F27" s="51"/>
      <c r="G27" s="51"/>
      <c r="H27" s="51"/>
      <c r="I27" s="51"/>
      <c r="J27" s="51"/>
      <c r="K27" s="51"/>
      <c r="L27" s="51"/>
      <c r="M27" s="51"/>
      <c r="N27" s="51"/>
      <c r="O27" s="51"/>
      <c r="P27" s="51"/>
      <c r="Q27" s="51"/>
      <c r="R27" s="52"/>
      <c r="S27" s="53"/>
      <c r="T27" s="54"/>
      <c r="U27" s="52"/>
      <c r="V27" s="55"/>
      <c r="W27" s="55"/>
      <c r="X27" s="52"/>
      <c r="Y27" s="52"/>
      <c r="Z27" s="56"/>
      <c r="AA27" s="55"/>
      <c r="AB27" s="55"/>
      <c r="AC27" s="55"/>
      <c r="AD27" s="55"/>
      <c r="AE27" s="55"/>
      <c r="AF27" s="55"/>
    </row>
    <row r="28" spans="1:32" s="57" customFormat="1" ht="15.75" hidden="1" customHeight="1">
      <c r="A28" s="17"/>
      <c r="B28" s="2"/>
      <c r="C28" s="51"/>
      <c r="D28" s="51"/>
      <c r="E28" s="51"/>
      <c r="F28" s="51"/>
      <c r="G28" s="51"/>
      <c r="H28" s="51"/>
      <c r="I28" s="51"/>
      <c r="J28" s="51"/>
      <c r="K28" s="51"/>
      <c r="L28" s="51"/>
      <c r="M28" s="51"/>
      <c r="N28" s="51"/>
      <c r="O28" s="51"/>
      <c r="P28" s="51"/>
      <c r="Q28" s="51"/>
      <c r="R28" s="52"/>
      <c r="S28" s="53"/>
      <c r="T28" s="54"/>
      <c r="U28" s="52"/>
      <c r="V28" s="55"/>
      <c r="W28" s="55"/>
      <c r="X28" s="52"/>
      <c r="Y28" s="52"/>
      <c r="Z28" s="56"/>
      <c r="AA28" s="55"/>
      <c r="AB28" s="55"/>
      <c r="AC28" s="55"/>
      <c r="AD28" s="55"/>
      <c r="AE28" s="55"/>
      <c r="AF28" s="55"/>
    </row>
    <row r="29" spans="1:32" s="57" customFormat="1" ht="15.75" hidden="1" customHeight="1">
      <c r="A29" s="17"/>
      <c r="B29" s="2"/>
      <c r="C29" s="51"/>
      <c r="D29" s="51"/>
      <c r="E29" s="51"/>
      <c r="F29" s="51"/>
      <c r="G29" s="51"/>
      <c r="H29" s="51"/>
      <c r="I29" s="51"/>
      <c r="J29" s="51"/>
      <c r="K29" s="51"/>
      <c r="L29" s="51"/>
      <c r="M29" s="51"/>
      <c r="N29" s="51"/>
      <c r="O29" s="51"/>
      <c r="P29" s="51"/>
      <c r="Q29" s="51"/>
      <c r="R29" s="52"/>
      <c r="S29" s="53"/>
      <c r="T29" s="54"/>
      <c r="U29" s="52"/>
      <c r="V29" s="55"/>
      <c r="W29" s="55"/>
      <c r="X29" s="52"/>
      <c r="Y29" s="52"/>
      <c r="Z29" s="56"/>
      <c r="AA29" s="55"/>
      <c r="AB29" s="55"/>
      <c r="AC29" s="55"/>
      <c r="AD29" s="55"/>
      <c r="AE29" s="55"/>
      <c r="AF29" s="55"/>
    </row>
    <row r="30" spans="1:32" s="57" customFormat="1" ht="15.75" hidden="1" customHeight="1">
      <c r="A30" s="17"/>
      <c r="B30" s="2"/>
      <c r="C30" s="51"/>
      <c r="D30" s="51"/>
      <c r="E30" s="51"/>
      <c r="F30" s="51"/>
      <c r="G30" s="51"/>
      <c r="H30" s="51"/>
      <c r="I30" s="51"/>
      <c r="J30" s="51"/>
      <c r="K30" s="51"/>
      <c r="L30" s="51"/>
      <c r="M30" s="51"/>
      <c r="N30" s="51"/>
      <c r="O30" s="51"/>
      <c r="P30" s="51"/>
      <c r="Q30" s="51"/>
      <c r="R30" s="52"/>
      <c r="S30" s="53"/>
      <c r="T30" s="54"/>
      <c r="U30" s="52"/>
      <c r="V30" s="55"/>
      <c r="W30" s="55"/>
      <c r="X30" s="52"/>
      <c r="Y30" s="52"/>
      <c r="Z30" s="56"/>
      <c r="AA30" s="55"/>
      <c r="AB30" s="55"/>
      <c r="AC30" s="55"/>
      <c r="AD30" s="55"/>
      <c r="AE30" s="55"/>
      <c r="AF30" s="55"/>
    </row>
    <row r="31" spans="1:32" s="57" customFormat="1" ht="15.75" hidden="1" customHeight="1">
      <c r="A31" s="17"/>
      <c r="B31" s="2"/>
      <c r="C31" s="51"/>
      <c r="D31" s="51"/>
      <c r="E31" s="51"/>
      <c r="F31" s="51"/>
      <c r="G31" s="51"/>
      <c r="H31" s="51"/>
      <c r="I31" s="51"/>
      <c r="J31" s="51"/>
      <c r="K31" s="51"/>
      <c r="L31" s="51"/>
      <c r="M31" s="51"/>
      <c r="N31" s="51"/>
      <c r="O31" s="51"/>
      <c r="P31" s="51"/>
      <c r="Q31" s="51"/>
      <c r="R31" s="52"/>
      <c r="S31" s="53"/>
      <c r="T31" s="54"/>
      <c r="U31" s="52"/>
      <c r="V31" s="55"/>
      <c r="W31" s="55"/>
      <c r="X31" s="52"/>
      <c r="Y31" s="52"/>
      <c r="Z31" s="56"/>
      <c r="AA31" s="55"/>
      <c r="AB31" s="55"/>
      <c r="AC31" s="55"/>
      <c r="AD31" s="55"/>
      <c r="AE31" s="55"/>
      <c r="AF31" s="55"/>
    </row>
    <row r="32" spans="1:32" s="57" customFormat="1" ht="15.75" hidden="1" customHeight="1">
      <c r="A32" s="17"/>
      <c r="B32" s="2"/>
      <c r="C32" s="51"/>
      <c r="D32" s="51"/>
      <c r="E32" s="51"/>
      <c r="F32" s="51"/>
      <c r="G32" s="51"/>
      <c r="H32" s="51"/>
      <c r="I32" s="51"/>
      <c r="J32" s="51"/>
      <c r="K32" s="51"/>
      <c r="L32" s="51"/>
      <c r="M32" s="51"/>
      <c r="N32" s="51"/>
      <c r="O32" s="51"/>
      <c r="P32" s="51"/>
      <c r="Q32" s="51"/>
      <c r="R32" s="52"/>
      <c r="S32" s="53"/>
      <c r="T32" s="54"/>
      <c r="U32" s="52"/>
      <c r="V32" s="55"/>
      <c r="W32" s="55"/>
      <c r="X32" s="52"/>
      <c r="Y32" s="52"/>
      <c r="Z32" s="56"/>
      <c r="AA32" s="55"/>
      <c r="AB32" s="55"/>
      <c r="AC32" s="55"/>
      <c r="AD32" s="55"/>
      <c r="AE32" s="55"/>
      <c r="AF32" s="52"/>
    </row>
    <row r="33" spans="1:32" s="57" customFormat="1" ht="15.75" hidden="1" customHeight="1">
      <c r="A33" s="17"/>
      <c r="B33" s="2"/>
      <c r="C33" s="51"/>
      <c r="D33" s="51"/>
      <c r="E33" s="51"/>
      <c r="F33" s="51"/>
      <c r="G33" s="51"/>
      <c r="H33" s="51"/>
      <c r="I33" s="51"/>
      <c r="J33" s="51"/>
      <c r="K33" s="51"/>
      <c r="L33" s="51"/>
      <c r="M33" s="51"/>
      <c r="N33" s="51"/>
      <c r="O33" s="51"/>
      <c r="P33" s="51"/>
      <c r="Q33" s="51"/>
      <c r="R33" s="52"/>
      <c r="S33" s="53"/>
      <c r="T33" s="54"/>
      <c r="U33" s="52"/>
      <c r="V33" s="55"/>
      <c r="W33" s="55"/>
      <c r="X33" s="52"/>
      <c r="Y33" s="52"/>
      <c r="Z33" s="56"/>
      <c r="AA33" s="55"/>
      <c r="AB33" s="55"/>
      <c r="AC33" s="55"/>
      <c r="AD33" s="55"/>
      <c r="AE33" s="55"/>
      <c r="AF33" s="55"/>
    </row>
    <row r="34" spans="1:32" s="57" customFormat="1" ht="15.75" hidden="1" customHeight="1">
      <c r="A34" s="17"/>
      <c r="B34" s="2"/>
      <c r="C34" s="51"/>
      <c r="D34" s="51"/>
      <c r="E34" s="51"/>
      <c r="F34" s="51"/>
      <c r="G34" s="51"/>
      <c r="H34" s="51"/>
      <c r="I34" s="51"/>
      <c r="J34" s="51"/>
      <c r="K34" s="51"/>
      <c r="L34" s="51"/>
      <c r="M34" s="51"/>
      <c r="N34" s="51"/>
      <c r="O34" s="51"/>
      <c r="P34" s="51"/>
      <c r="Q34" s="51"/>
      <c r="R34" s="55"/>
      <c r="S34" s="53"/>
      <c r="T34" s="54"/>
      <c r="U34" s="52"/>
      <c r="V34" s="55"/>
      <c r="W34" s="55"/>
      <c r="X34" s="52"/>
      <c r="Y34" s="52"/>
      <c r="Z34" s="56"/>
      <c r="AA34" s="55"/>
      <c r="AB34" s="55"/>
      <c r="AC34" s="55"/>
      <c r="AD34" s="55"/>
      <c r="AE34" s="55"/>
      <c r="AF34" s="55"/>
    </row>
    <row r="35" spans="1:32" s="57" customFormat="1" ht="15.75" hidden="1" customHeight="1">
      <c r="A35" s="17"/>
      <c r="B35" s="2"/>
      <c r="C35" s="51"/>
      <c r="D35" s="51"/>
      <c r="E35" s="51"/>
      <c r="F35" s="51"/>
      <c r="G35" s="51"/>
      <c r="H35" s="51"/>
      <c r="I35" s="51"/>
      <c r="J35" s="51"/>
      <c r="K35" s="51"/>
      <c r="L35" s="51"/>
      <c r="M35" s="51"/>
      <c r="N35" s="51"/>
      <c r="O35" s="51"/>
      <c r="P35" s="51"/>
      <c r="Q35" s="51"/>
      <c r="R35" s="55"/>
      <c r="S35" s="53"/>
      <c r="T35" s="54"/>
      <c r="U35" s="52"/>
      <c r="V35" s="55"/>
      <c r="W35" s="55"/>
      <c r="X35" s="52"/>
      <c r="Y35" s="52"/>
      <c r="Z35" s="56"/>
      <c r="AA35" s="55"/>
      <c r="AB35" s="55"/>
      <c r="AC35" s="55"/>
      <c r="AD35" s="55"/>
      <c r="AE35" s="55"/>
      <c r="AF35" s="55"/>
    </row>
    <row r="36" spans="1:32" s="57" customFormat="1" ht="15.75" hidden="1" customHeight="1">
      <c r="A36" s="17"/>
      <c r="B36" s="2"/>
      <c r="C36" s="51"/>
      <c r="D36" s="51"/>
      <c r="E36" s="51"/>
      <c r="F36" s="51"/>
      <c r="G36" s="51"/>
      <c r="H36" s="51"/>
      <c r="I36" s="51"/>
      <c r="J36" s="51"/>
      <c r="K36" s="51"/>
      <c r="L36" s="51"/>
      <c r="M36" s="51"/>
      <c r="N36" s="51"/>
      <c r="O36" s="51"/>
      <c r="P36" s="51"/>
      <c r="Q36" s="51"/>
      <c r="R36" s="55"/>
      <c r="S36" s="53"/>
      <c r="T36" s="54"/>
      <c r="U36" s="55"/>
      <c r="V36" s="55"/>
      <c r="W36" s="55"/>
      <c r="X36" s="55"/>
      <c r="Y36" s="52"/>
      <c r="Z36" s="56"/>
      <c r="AA36" s="55"/>
      <c r="AB36" s="55"/>
      <c r="AC36" s="55"/>
      <c r="AD36" s="55"/>
      <c r="AE36" s="55"/>
      <c r="AF36" s="55"/>
    </row>
    <row r="37" spans="1:32" s="57" customFormat="1" ht="15.75" hidden="1" customHeight="1">
      <c r="A37" s="17"/>
      <c r="B37" s="2"/>
      <c r="C37" s="51"/>
      <c r="D37" s="51"/>
      <c r="E37" s="51"/>
      <c r="F37" s="51"/>
      <c r="G37" s="51"/>
      <c r="H37" s="51"/>
      <c r="I37" s="51"/>
      <c r="J37" s="51"/>
      <c r="K37" s="51"/>
      <c r="L37" s="51"/>
      <c r="M37" s="51"/>
      <c r="N37" s="51"/>
      <c r="O37" s="51"/>
      <c r="P37" s="51"/>
      <c r="Q37" s="51"/>
      <c r="R37" s="55"/>
      <c r="S37" s="53"/>
      <c r="T37" s="54"/>
      <c r="U37" s="52"/>
      <c r="V37" s="55"/>
      <c r="W37" s="55"/>
      <c r="X37" s="52"/>
      <c r="Y37" s="52"/>
      <c r="Z37" s="56"/>
      <c r="AA37" s="55"/>
      <c r="AB37" s="55"/>
      <c r="AC37" s="55"/>
      <c r="AD37" s="55"/>
      <c r="AE37" s="55"/>
      <c r="AF37" s="55"/>
    </row>
    <row r="38" spans="1:32" s="57" customFormat="1" ht="15.75" hidden="1" customHeight="1">
      <c r="A38" s="17"/>
      <c r="B38" s="2"/>
      <c r="C38" s="51"/>
      <c r="D38" s="51"/>
      <c r="E38" s="51"/>
      <c r="F38" s="51"/>
      <c r="G38" s="51"/>
      <c r="H38" s="51"/>
      <c r="I38" s="51"/>
      <c r="J38" s="51"/>
      <c r="K38" s="51"/>
      <c r="L38" s="51"/>
      <c r="M38" s="51"/>
      <c r="N38" s="51"/>
      <c r="O38" s="51"/>
      <c r="P38" s="51"/>
      <c r="Q38" s="51"/>
      <c r="R38" s="52"/>
      <c r="S38" s="53"/>
      <c r="T38" s="54"/>
      <c r="U38" s="52"/>
      <c r="V38" s="55"/>
      <c r="W38" s="55"/>
      <c r="X38" s="52"/>
      <c r="Y38" s="52"/>
      <c r="Z38" s="56"/>
      <c r="AA38" s="55"/>
      <c r="AB38" s="55"/>
      <c r="AC38" s="55"/>
      <c r="AD38" s="55"/>
      <c r="AE38" s="55"/>
      <c r="AF38" s="55"/>
    </row>
    <row r="39" spans="1:32" s="57" customFormat="1" ht="15.75" hidden="1" customHeight="1">
      <c r="A39" s="17"/>
      <c r="B39" s="2"/>
      <c r="C39" s="51"/>
      <c r="D39" s="51"/>
      <c r="E39" s="51"/>
      <c r="F39" s="51"/>
      <c r="G39" s="51"/>
      <c r="H39" s="51"/>
      <c r="I39" s="51"/>
      <c r="J39" s="51"/>
      <c r="K39" s="51"/>
      <c r="L39" s="51"/>
      <c r="M39" s="51"/>
      <c r="N39" s="51"/>
      <c r="O39" s="51"/>
      <c r="P39" s="51"/>
      <c r="Q39" s="51"/>
      <c r="R39" s="55"/>
      <c r="S39" s="53"/>
      <c r="T39" s="54"/>
      <c r="U39" s="52"/>
      <c r="V39" s="55"/>
      <c r="W39" s="55"/>
      <c r="X39" s="52"/>
      <c r="Y39" s="52"/>
      <c r="Z39" s="56"/>
      <c r="AA39" s="52"/>
      <c r="AB39" s="55"/>
      <c r="AC39" s="55"/>
      <c r="AD39" s="55"/>
      <c r="AE39" s="55"/>
      <c r="AF39" s="55"/>
    </row>
    <row r="40" spans="1:32" s="57" customFormat="1" ht="15.75" hidden="1" customHeight="1">
      <c r="A40" s="17"/>
      <c r="B40" s="2"/>
      <c r="C40" s="51"/>
      <c r="D40" s="51"/>
      <c r="E40" s="51"/>
      <c r="F40" s="51"/>
      <c r="G40" s="51"/>
      <c r="H40" s="51"/>
      <c r="I40" s="51"/>
      <c r="J40" s="51"/>
      <c r="K40" s="51"/>
      <c r="L40" s="51"/>
      <c r="M40" s="51"/>
      <c r="N40" s="51"/>
      <c r="O40" s="51"/>
      <c r="P40" s="51"/>
      <c r="Q40" s="51"/>
      <c r="R40" s="55"/>
      <c r="S40" s="53"/>
      <c r="T40" s="54"/>
      <c r="U40" s="52"/>
      <c r="V40" s="55"/>
      <c r="W40" s="55"/>
      <c r="X40" s="52"/>
      <c r="Y40" s="52"/>
      <c r="Z40" s="56"/>
      <c r="AA40" s="55"/>
      <c r="AB40" s="55"/>
      <c r="AC40" s="55"/>
      <c r="AD40" s="55"/>
      <c r="AE40" s="55"/>
      <c r="AF40" s="55"/>
    </row>
    <row r="41" spans="1:32" s="57" customFormat="1" ht="15.75" hidden="1" customHeight="1">
      <c r="A41" s="17"/>
      <c r="B41" s="2"/>
      <c r="C41" s="51"/>
      <c r="D41" s="51"/>
      <c r="E41" s="51"/>
      <c r="F41" s="51"/>
      <c r="G41" s="51"/>
      <c r="H41" s="51"/>
      <c r="I41" s="51"/>
      <c r="J41" s="51"/>
      <c r="K41" s="51"/>
      <c r="L41" s="51"/>
      <c r="M41" s="51"/>
      <c r="N41" s="51"/>
      <c r="O41" s="51"/>
      <c r="P41" s="51"/>
      <c r="Q41" s="51"/>
      <c r="R41" s="55"/>
      <c r="S41" s="53"/>
      <c r="T41" s="54"/>
      <c r="U41" s="52"/>
      <c r="V41" s="55"/>
      <c r="W41" s="55"/>
      <c r="X41" s="52"/>
      <c r="Y41" s="52"/>
      <c r="Z41" s="56"/>
      <c r="AA41" s="55"/>
      <c r="AB41" s="55"/>
      <c r="AC41" s="55"/>
      <c r="AD41" s="55"/>
      <c r="AE41" s="55"/>
      <c r="AF41" s="55"/>
    </row>
    <row r="42" spans="1:32" s="57" customFormat="1" ht="15.75" hidden="1" customHeight="1">
      <c r="A42" s="17"/>
      <c r="B42" s="2"/>
      <c r="C42" s="51"/>
      <c r="D42" s="51"/>
      <c r="E42" s="51"/>
      <c r="F42" s="51"/>
      <c r="G42" s="51"/>
      <c r="H42" s="51"/>
      <c r="I42" s="51"/>
      <c r="J42" s="51"/>
      <c r="K42" s="51"/>
      <c r="L42" s="51"/>
      <c r="M42" s="51"/>
      <c r="N42" s="51"/>
      <c r="O42" s="51"/>
      <c r="P42" s="51"/>
      <c r="Q42" s="51"/>
      <c r="R42" s="55"/>
      <c r="S42" s="53"/>
      <c r="T42" s="54"/>
      <c r="U42" s="52"/>
      <c r="V42" s="55"/>
      <c r="W42" s="55"/>
      <c r="X42" s="52"/>
      <c r="Y42" s="52"/>
      <c r="Z42" s="56"/>
      <c r="AA42" s="55"/>
      <c r="AB42" s="55"/>
      <c r="AC42" s="55"/>
      <c r="AD42" s="55"/>
      <c r="AE42" s="55"/>
      <c r="AF42" s="55"/>
    </row>
    <row r="43" spans="1:32" s="57" customFormat="1" ht="15.75" hidden="1" customHeight="1">
      <c r="A43" s="17"/>
      <c r="B43" s="2"/>
      <c r="C43" s="51"/>
      <c r="D43" s="51"/>
      <c r="E43" s="51"/>
      <c r="F43" s="51"/>
      <c r="G43" s="51"/>
      <c r="H43" s="51"/>
      <c r="I43" s="51"/>
      <c r="J43" s="51"/>
      <c r="K43" s="51"/>
      <c r="L43" s="51"/>
      <c r="M43" s="51"/>
      <c r="N43" s="51"/>
      <c r="O43" s="51"/>
      <c r="P43" s="51"/>
      <c r="Q43" s="51"/>
      <c r="R43" s="55"/>
      <c r="S43" s="53"/>
      <c r="T43" s="54"/>
      <c r="U43" s="52"/>
      <c r="V43" s="55"/>
      <c r="W43" s="55"/>
      <c r="X43" s="52"/>
      <c r="Y43" s="52"/>
      <c r="Z43" s="56"/>
      <c r="AA43" s="55"/>
      <c r="AB43" s="55"/>
      <c r="AC43" s="55"/>
      <c r="AD43" s="55"/>
      <c r="AE43" s="55"/>
      <c r="AF43" s="55"/>
    </row>
    <row r="44" spans="1:32" s="57" customFormat="1" ht="15.75" hidden="1" customHeight="1">
      <c r="A44" s="17"/>
      <c r="B44" s="2"/>
      <c r="C44" s="51"/>
      <c r="D44" s="51"/>
      <c r="E44" s="51"/>
      <c r="F44" s="51"/>
      <c r="G44" s="51"/>
      <c r="H44" s="51"/>
      <c r="I44" s="51"/>
      <c r="J44" s="51"/>
      <c r="K44" s="51"/>
      <c r="L44" s="51"/>
      <c r="M44" s="51"/>
      <c r="N44" s="51"/>
      <c r="O44" s="51"/>
      <c r="P44" s="51"/>
      <c r="Q44" s="51"/>
      <c r="R44" s="55"/>
      <c r="S44" s="53"/>
      <c r="T44" s="54"/>
      <c r="U44" s="52"/>
      <c r="V44" s="55"/>
      <c r="W44" s="55"/>
      <c r="X44" s="52"/>
      <c r="Y44" s="52"/>
      <c r="Z44" s="56"/>
      <c r="AA44" s="55"/>
      <c r="AB44" s="55"/>
      <c r="AC44" s="55"/>
      <c r="AD44" s="55"/>
      <c r="AE44" s="55"/>
      <c r="AF44" s="55"/>
    </row>
    <row r="45" spans="1:32" s="57" customFormat="1" ht="15.75" hidden="1" customHeight="1">
      <c r="A45" s="17"/>
      <c r="B45" s="2"/>
      <c r="C45" s="51"/>
      <c r="D45" s="51"/>
      <c r="E45" s="51"/>
      <c r="F45" s="51"/>
      <c r="G45" s="51"/>
      <c r="H45" s="51"/>
      <c r="I45" s="51"/>
      <c r="J45" s="51"/>
      <c r="K45" s="51"/>
      <c r="L45" s="51"/>
      <c r="M45" s="51"/>
      <c r="N45" s="51"/>
      <c r="O45" s="51"/>
      <c r="P45" s="51"/>
      <c r="Q45" s="51"/>
      <c r="R45" s="55"/>
      <c r="S45" s="53"/>
      <c r="T45" s="54"/>
      <c r="U45" s="52"/>
      <c r="V45" s="55"/>
      <c r="W45" s="55"/>
      <c r="X45" s="52"/>
      <c r="Y45" s="52"/>
      <c r="Z45" s="56"/>
      <c r="AA45" s="55"/>
      <c r="AB45" s="55"/>
      <c r="AC45" s="55"/>
      <c r="AD45" s="55"/>
      <c r="AE45" s="55"/>
      <c r="AF45" s="55"/>
    </row>
    <row r="46" spans="1:32" s="57" customFormat="1" ht="15.75" hidden="1" customHeight="1">
      <c r="A46" s="17"/>
      <c r="B46" s="2"/>
      <c r="C46" s="51"/>
      <c r="D46" s="51"/>
      <c r="E46" s="51"/>
      <c r="F46" s="51"/>
      <c r="G46" s="51"/>
      <c r="H46" s="51"/>
      <c r="I46" s="51"/>
      <c r="J46" s="51"/>
      <c r="K46" s="51"/>
      <c r="L46" s="51"/>
      <c r="M46" s="51"/>
      <c r="N46" s="51"/>
      <c r="O46" s="51"/>
      <c r="P46" s="51"/>
      <c r="Q46" s="51"/>
      <c r="R46" s="55"/>
      <c r="S46" s="53"/>
      <c r="T46" s="54"/>
      <c r="U46" s="52"/>
      <c r="V46" s="55"/>
      <c r="W46" s="55"/>
      <c r="X46" s="52"/>
      <c r="Y46" s="52"/>
      <c r="Z46" s="56"/>
      <c r="AA46" s="55"/>
      <c r="AB46" s="55"/>
      <c r="AC46" s="55"/>
      <c r="AD46" s="55"/>
      <c r="AE46" s="55"/>
      <c r="AF46" s="55"/>
    </row>
    <row r="47" spans="1:32" s="57" customFormat="1" ht="15.75" hidden="1" customHeight="1">
      <c r="A47" s="17"/>
      <c r="B47" s="2"/>
      <c r="C47" s="51"/>
      <c r="D47" s="51"/>
      <c r="E47" s="51"/>
      <c r="F47" s="51"/>
      <c r="G47" s="51"/>
      <c r="H47" s="51"/>
      <c r="I47" s="51"/>
      <c r="J47" s="51"/>
      <c r="K47" s="51"/>
      <c r="L47" s="51"/>
      <c r="M47" s="51"/>
      <c r="N47" s="51"/>
      <c r="O47" s="51"/>
      <c r="P47" s="51"/>
      <c r="Q47" s="51"/>
      <c r="R47" s="55"/>
      <c r="S47" s="53"/>
      <c r="T47" s="54"/>
      <c r="U47" s="52"/>
      <c r="V47" s="55"/>
      <c r="W47" s="55"/>
      <c r="X47" s="52"/>
      <c r="Y47" s="52"/>
      <c r="Z47" s="56"/>
      <c r="AA47" s="55"/>
      <c r="AB47" s="55"/>
      <c r="AC47" s="55"/>
      <c r="AD47" s="55"/>
      <c r="AE47" s="55"/>
      <c r="AF47" s="55"/>
    </row>
    <row r="48" spans="1:32" s="57" customFormat="1" ht="15.75" customHeight="1">
      <c r="A48" s="2" t="s">
        <v>115</v>
      </c>
      <c r="B48" s="2"/>
      <c r="C48" s="51">
        <f t="shared" ref="C48:C56" si="1">IFERROR(F48/D48," - ")</f>
        <v>22.95</v>
      </c>
      <c r="D48" s="51">
        <v>1</v>
      </c>
      <c r="E48" s="51">
        <v>0</v>
      </c>
      <c r="F48" s="51">
        <v>22.95</v>
      </c>
      <c r="G48" s="51">
        <v>0</v>
      </c>
      <c r="H48" s="51">
        <f t="shared" ref="H48:H56" si="2">G48/F48*-1</f>
        <v>0</v>
      </c>
      <c r="I48" s="51">
        <f t="shared" ref="I48:I56" si="3">J48/F48</f>
        <v>0.30837327523602037</v>
      </c>
      <c r="J48" s="51">
        <f>F48*0.85+G48+AD48*D48+D48*AC48+AE49+AB48</f>
        <v>7.0771666666666677</v>
      </c>
      <c r="K48" s="51">
        <f t="shared" ref="K48:K56" si="4">J48/D48</f>
        <v>7.0771666666666677</v>
      </c>
      <c r="L48" s="51">
        <v>7</v>
      </c>
      <c r="M48" s="51">
        <f t="shared" ref="M48:M56" si="5">IFERROR(D48/L48,"-")</f>
        <v>0.14285714285714285</v>
      </c>
      <c r="N48" s="51">
        <v>60</v>
      </c>
      <c r="O48" s="51">
        <f t="shared" ref="O48:P48" si="6">D48/7</f>
        <v>0.14285714285714285</v>
      </c>
      <c r="P48" s="51">
        <f t="shared" si="6"/>
        <v>0</v>
      </c>
      <c r="Q48" s="51">
        <f t="shared" ref="Q48:Q56" si="7">ROUNDDOWN(N48/(O48+P48),0)</f>
        <v>420</v>
      </c>
      <c r="R48" s="55">
        <f ca="1">IFERROR(__xludf.DUMMYFUNCTION("IFERROR(VLOOKUP($B$2,IMPORTRANGE(""https://docs.google.com/spreadsheets/d/1iVgg6Mw12RULLujzHmfOFIY8Q_KaAD8anoZzgtVAQ74/edit#gid=1503384807"",""Second Star - Summary!A1:AD2000""),9,FALSE),"""")"),0)</f>
        <v>0</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ref="V48:V56" si="8">IFERROR(U48/D48,0)</f>
        <v>0</v>
      </c>
      <c r="W48" s="55">
        <f t="shared" ref="W48:W56" si="9">IFERROR(G48/(U48+X48)*-1,0)</f>
        <v>0</v>
      </c>
      <c r="X48" s="55">
        <v>0</v>
      </c>
      <c r="Y48" s="55" t="s">
        <v>35</v>
      </c>
      <c r="Z48" s="56">
        <f t="shared" ref="Z48:Z56" si="10">IF(OR(Y48="UsLargeStandardSize",Y48="UsSmallStandardSize"),-2.4,-1.2)</f>
        <v>-2.4</v>
      </c>
      <c r="AA48" s="55">
        <v>3.3379629629629627E-2</v>
      </c>
      <c r="AB48" s="55">
        <f t="shared" ref="AB48:AB56" si="11">IFERROR(Z48*AA48*D48*3,0)</f>
        <v>-0.24033333333333332</v>
      </c>
      <c r="AC48" s="55">
        <v>-5.42</v>
      </c>
      <c r="AD48" s="55">
        <v>-6.77</v>
      </c>
      <c r="AE48" s="55">
        <v>0</v>
      </c>
      <c r="AF48" s="55">
        <v>0</v>
      </c>
    </row>
    <row r="49" spans="1:32" s="57" customFormat="1" ht="15.75" customHeight="1">
      <c r="A49" s="2" t="s">
        <v>117</v>
      </c>
      <c r="B49" s="2"/>
      <c r="C49" s="51">
        <f t="shared" si="1"/>
        <v>22.95</v>
      </c>
      <c r="D49" s="51">
        <v>2</v>
      </c>
      <c r="E49" s="51">
        <v>0</v>
      </c>
      <c r="F49" s="51">
        <v>45.9</v>
      </c>
      <c r="G49" s="51">
        <v>0</v>
      </c>
      <c r="H49" s="51">
        <f t="shared" si="2"/>
        <v>0</v>
      </c>
      <c r="I49" s="51">
        <f t="shared" si="3"/>
        <v>0.30837327523602037</v>
      </c>
      <c r="J49" s="51">
        <f t="shared" ref="J49:J56" si="12">F49*0.85+G49+AD49*D49+D49*AC49+AE49+AB49</f>
        <v>14.154333333333335</v>
      </c>
      <c r="K49" s="51">
        <f t="shared" si="4"/>
        <v>7.0771666666666677</v>
      </c>
      <c r="L49" s="51">
        <v>15</v>
      </c>
      <c r="M49" s="51">
        <f t="shared" si="5"/>
        <v>0.13333333333333333</v>
      </c>
      <c r="N49" s="51">
        <v>51</v>
      </c>
      <c r="O49" s="51">
        <f t="shared" ref="O49:P49" si="13">D49/7</f>
        <v>0.2857142857142857</v>
      </c>
      <c r="P49" s="51">
        <f t="shared" si="13"/>
        <v>0</v>
      </c>
      <c r="Q49" s="51">
        <f t="shared" si="7"/>
        <v>178</v>
      </c>
      <c r="R49" s="55">
        <f ca="1">IFERROR(__xludf.DUMMYFUNCTION("IFERROR(VLOOKUP($B$2,IMPORTRANGE(""https://docs.google.com/spreadsheets/d/1iVgg6Mw12RULLujzHmfOFIY8Q_KaAD8anoZzgtVAQ74/edit#gid=1503384807"",""Second Star - Summary!A1:AD2000""),9,FALSE),"""")"),0)</f>
        <v>0</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8"/>
        <v>0</v>
      </c>
      <c r="W49" s="55">
        <f t="shared" si="9"/>
        <v>0</v>
      </c>
      <c r="X49" s="55">
        <v>0</v>
      </c>
      <c r="Y49" s="55" t="s">
        <v>35</v>
      </c>
      <c r="Z49" s="56">
        <f t="shared" si="10"/>
        <v>-2.4</v>
      </c>
      <c r="AA49" s="55">
        <v>3.3379629629629627E-2</v>
      </c>
      <c r="AB49" s="55">
        <f t="shared" si="11"/>
        <v>-0.48066666666666663</v>
      </c>
      <c r="AC49" s="55">
        <v>-5.42</v>
      </c>
      <c r="AD49" s="55">
        <v>-6.77</v>
      </c>
      <c r="AE49" s="55">
        <v>0</v>
      </c>
      <c r="AF49" s="55">
        <v>5.8823529411764698E-2</v>
      </c>
    </row>
    <row r="50" spans="1:32" s="57" customFormat="1" ht="15.75" customHeight="1">
      <c r="A50" s="2" t="s">
        <v>119</v>
      </c>
      <c r="B50" s="2"/>
      <c r="C50" s="51" t="str">
        <f t="shared" si="1"/>
        <v xml:space="preserve"> - </v>
      </c>
      <c r="D50" s="51">
        <v>0</v>
      </c>
      <c r="E50" s="51">
        <v>0</v>
      </c>
      <c r="F50" s="51">
        <v>0</v>
      </c>
      <c r="G50" s="51">
        <v>0</v>
      </c>
      <c r="H50" s="51" t="e">
        <f t="shared" si="2"/>
        <v>#DIV/0!</v>
      </c>
      <c r="I50" s="51" t="e">
        <f t="shared" si="3"/>
        <v>#DIV/0!</v>
      </c>
      <c r="J50" s="51">
        <f t="shared" si="12"/>
        <v>0</v>
      </c>
      <c r="K50" s="51" t="e">
        <f t="shared" si="4"/>
        <v>#DIV/0!</v>
      </c>
      <c r="L50" s="51">
        <v>0</v>
      </c>
      <c r="M50" s="51" t="str">
        <f t="shared" si="5"/>
        <v>-</v>
      </c>
      <c r="N50" s="51">
        <v>39</v>
      </c>
      <c r="O50" s="51">
        <f t="shared" ref="O50:P50" si="14">D50/7</f>
        <v>0</v>
      </c>
      <c r="P50" s="51">
        <f t="shared" si="14"/>
        <v>0</v>
      </c>
      <c r="Q50" s="51" t="e">
        <f t="shared" si="7"/>
        <v>#DIV/0!</v>
      </c>
      <c r="R50" s="55">
        <f ca="1">IFERROR(__xludf.DUMMYFUNCTION("IFERROR(VLOOKUP($B$2,IMPORTRANGE(""https://docs.google.com/spreadsheets/d/1iVgg6Mw12RULLujzHmfOFIY8Q_KaAD8anoZzgtVAQ74/edit#gid=1503384807"",""Second Star - Summary!A1:AD2000""),9,FALSE),"""")"),0)</f>
        <v>0</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8"/>
        <v>0</v>
      </c>
      <c r="W50" s="55">
        <f t="shared" si="9"/>
        <v>0</v>
      </c>
      <c r="X50" s="55">
        <v>0</v>
      </c>
      <c r="Y50" s="55" t="s">
        <v>35</v>
      </c>
      <c r="Z50" s="56">
        <f t="shared" si="10"/>
        <v>-2.4</v>
      </c>
      <c r="AA50" s="55">
        <v>3.3379629629629627E-2</v>
      </c>
      <c r="AB50" s="55">
        <f t="shared" si="11"/>
        <v>0</v>
      </c>
      <c r="AC50" s="55">
        <v>-5.42</v>
      </c>
      <c r="AD50" s="55">
        <v>-6.77</v>
      </c>
      <c r="AE50" s="55">
        <v>0</v>
      </c>
      <c r="AF50" s="55">
        <v>0.133333333333333</v>
      </c>
    </row>
    <row r="51" spans="1:32" s="57" customFormat="1" ht="15.75" customHeight="1">
      <c r="A51" s="2" t="s">
        <v>121</v>
      </c>
      <c r="B51" s="2"/>
      <c r="C51" s="51">
        <f t="shared" si="1"/>
        <v>22.95</v>
      </c>
      <c r="D51" s="51">
        <v>1</v>
      </c>
      <c r="E51" s="51">
        <v>0</v>
      </c>
      <c r="F51" s="51">
        <v>22.95</v>
      </c>
      <c r="G51" s="51">
        <v>0</v>
      </c>
      <c r="H51" s="51">
        <f t="shared" si="2"/>
        <v>0</v>
      </c>
      <c r="I51" s="51">
        <f t="shared" si="3"/>
        <v>0.30837327523602037</v>
      </c>
      <c r="J51" s="51">
        <f t="shared" si="12"/>
        <v>7.0771666666666677</v>
      </c>
      <c r="K51" s="51">
        <f t="shared" si="4"/>
        <v>7.0771666666666677</v>
      </c>
      <c r="L51" s="51">
        <v>15</v>
      </c>
      <c r="M51" s="51">
        <f t="shared" si="5"/>
        <v>6.6666666666666666E-2</v>
      </c>
      <c r="N51" s="51">
        <v>38</v>
      </c>
      <c r="O51" s="51">
        <f t="shared" ref="O51:P51" si="15">D51/7</f>
        <v>0.14285714285714285</v>
      </c>
      <c r="P51" s="51">
        <f t="shared" si="15"/>
        <v>0</v>
      </c>
      <c r="Q51" s="51">
        <f t="shared" si="7"/>
        <v>266</v>
      </c>
      <c r="R51" s="55">
        <f ca="1">IFERROR(__xludf.DUMMYFUNCTION("IFERROR(VLOOKUP($B$2,IMPORTRANGE(""https://docs.google.com/spreadsheets/d/1iVgg6Mw12RULLujzHmfOFIY8Q_KaAD8anoZzgtVAQ74/edit#gid=1503384807"",""Second Star - Summary!A1:AD2000""),9,FALSE),"""")"),0)</f>
        <v>0</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8"/>
        <v>0</v>
      </c>
      <c r="W51" s="55">
        <f t="shared" si="9"/>
        <v>0</v>
      </c>
      <c r="X51" s="55">
        <v>0</v>
      </c>
      <c r="Y51" s="55" t="s">
        <v>35</v>
      </c>
      <c r="Z51" s="56">
        <f t="shared" si="10"/>
        <v>-2.4</v>
      </c>
      <c r="AA51" s="55">
        <v>3.3379629629629627E-2</v>
      </c>
      <c r="AB51" s="55">
        <f t="shared" si="11"/>
        <v>-0.24033333333333332</v>
      </c>
      <c r="AC51" s="55">
        <v>-5.42</v>
      </c>
      <c r="AD51" s="55">
        <v>-6.77</v>
      </c>
      <c r="AE51" s="55">
        <v>0</v>
      </c>
      <c r="AF51" s="55">
        <v>0.18181818181818099</v>
      </c>
    </row>
    <row r="52" spans="1:32" s="57" customFormat="1" ht="15.75" customHeight="1">
      <c r="A52" s="2" t="s">
        <v>123</v>
      </c>
      <c r="B52" s="2"/>
      <c r="C52" s="51">
        <f t="shared" si="1"/>
        <v>19.989999999999998</v>
      </c>
      <c r="D52" s="51">
        <v>1</v>
      </c>
      <c r="E52" s="51">
        <v>0</v>
      </c>
      <c r="F52" s="51">
        <v>19.989999999999998</v>
      </c>
      <c r="G52" s="51">
        <v>0</v>
      </c>
      <c r="H52" s="51">
        <f t="shared" si="2"/>
        <v>0</v>
      </c>
      <c r="I52" s="51">
        <f t="shared" si="3"/>
        <v>0.22817241954310485</v>
      </c>
      <c r="J52" s="51">
        <f t="shared" si="12"/>
        <v>4.5611666666666659</v>
      </c>
      <c r="K52" s="51">
        <f t="shared" si="4"/>
        <v>4.5611666666666659</v>
      </c>
      <c r="L52" s="51">
        <v>23</v>
      </c>
      <c r="M52" s="51">
        <f t="shared" si="5"/>
        <v>4.3478260869565216E-2</v>
      </c>
      <c r="N52" s="51">
        <v>37</v>
      </c>
      <c r="O52" s="51">
        <f t="shared" ref="O52:P52" si="16">D52/7</f>
        <v>0.14285714285714285</v>
      </c>
      <c r="P52" s="51">
        <f t="shared" si="16"/>
        <v>0</v>
      </c>
      <c r="Q52" s="51">
        <f t="shared" si="7"/>
        <v>259</v>
      </c>
      <c r="R52" s="55">
        <f ca="1">IFERROR(__xludf.DUMMYFUNCTION("IFERROR(VLOOKUP($B$2,IMPORTRANGE(""https://docs.google.com/spreadsheets/d/1iVgg6Mw12RULLujzHmfOFIY8Q_KaAD8anoZzgtVAQ74/edit#gid=1503384807"",""Second Star - Summary!A1:AD2000""),9,FALSE),"""")"),0)</f>
        <v>0</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8"/>
        <v>0</v>
      </c>
      <c r="W52" s="55">
        <f t="shared" si="9"/>
        <v>0</v>
      </c>
      <c r="X52" s="55">
        <v>0</v>
      </c>
      <c r="Y52" s="55" t="s">
        <v>35</v>
      </c>
      <c r="Z52" s="56">
        <f t="shared" si="10"/>
        <v>-2.4</v>
      </c>
      <c r="AA52" s="55">
        <v>3.3379629629629627E-2</v>
      </c>
      <c r="AB52" s="55">
        <f t="shared" si="11"/>
        <v>-0.24033333333333332</v>
      </c>
      <c r="AC52" s="55">
        <v>-5.42</v>
      </c>
      <c r="AD52" s="55">
        <v>-6.77</v>
      </c>
      <c r="AE52" s="55">
        <v>0</v>
      </c>
      <c r="AF52" s="55">
        <v>0.21052631578947301</v>
      </c>
    </row>
    <row r="53" spans="1:32" s="57" customFormat="1">
      <c r="A53" s="2" t="s">
        <v>38</v>
      </c>
      <c r="B53" s="2" t="s">
        <v>901</v>
      </c>
      <c r="C53" s="51">
        <f t="shared" si="1"/>
        <v>19.989999999999998</v>
      </c>
      <c r="D53" s="51">
        <v>2</v>
      </c>
      <c r="E53" s="51">
        <v>0</v>
      </c>
      <c r="F53" s="51">
        <v>39.979999999999997</v>
      </c>
      <c r="G53" s="51">
        <v>0</v>
      </c>
      <c r="H53" s="51">
        <f t="shared" si="2"/>
        <v>0</v>
      </c>
      <c r="I53" s="51">
        <f t="shared" si="3"/>
        <v>0.2284595833270173</v>
      </c>
      <c r="J53" s="51">
        <f t="shared" si="12"/>
        <v>9.1338141414141507</v>
      </c>
      <c r="K53" s="51">
        <f t="shared" si="4"/>
        <v>4.5669070707070754</v>
      </c>
      <c r="L53" s="51">
        <v>13</v>
      </c>
      <c r="M53" s="51">
        <f t="shared" si="5"/>
        <v>0.15384615384615385</v>
      </c>
      <c r="N53" s="51">
        <v>35</v>
      </c>
      <c r="O53" s="51">
        <f t="shared" ref="O53:P53" si="17">D53/7</f>
        <v>0.2857142857142857</v>
      </c>
      <c r="P53" s="51">
        <f t="shared" si="17"/>
        <v>0</v>
      </c>
      <c r="Q53" s="51">
        <f t="shared" si="7"/>
        <v>122</v>
      </c>
      <c r="R53" s="55">
        <f ca="1">IFERROR(__xludf.DUMMYFUNCTION("IFERROR(VLOOKUP($B$2,IMPORTRANGE(""https://docs.google.com/spreadsheets/d/1iVgg6Mw12RULLujzHmfOFIY8Q_KaAD8anoZzgtVAQ74/edit#gid=1503384807"",""Second Star - Summary!A1:AD2000""),9,FALSE),"""")"),0)</f>
        <v>0</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8"/>
        <v>0</v>
      </c>
      <c r="W53" s="55">
        <f t="shared" si="9"/>
        <v>0</v>
      </c>
      <c r="X53" s="55">
        <v>0</v>
      </c>
      <c r="Y53" s="55" t="s">
        <v>35</v>
      </c>
      <c r="Z53" s="56">
        <f t="shared" si="10"/>
        <v>-2.4</v>
      </c>
      <c r="AA53" s="55">
        <v>3.3379629629629627E-2</v>
      </c>
      <c r="AB53" s="55">
        <f t="shared" si="11"/>
        <v>-0.48066666666666663</v>
      </c>
      <c r="AC53" s="55">
        <v>-5.42</v>
      </c>
      <c r="AD53" s="55">
        <v>-6.7642595959595901</v>
      </c>
      <c r="AE53" s="55">
        <v>0</v>
      </c>
      <c r="AF53" s="55">
        <v>0.14893617021276501</v>
      </c>
    </row>
    <row r="54" spans="1:32" s="57" customFormat="1">
      <c r="A54" s="2" t="s">
        <v>40</v>
      </c>
      <c r="B54" s="2"/>
      <c r="C54" s="51">
        <f t="shared" si="1"/>
        <v>19.989999999999998</v>
      </c>
      <c r="D54" s="51">
        <v>3</v>
      </c>
      <c r="E54" s="51">
        <v>0</v>
      </c>
      <c r="F54" s="51">
        <v>59.97</v>
      </c>
      <c r="G54" s="51">
        <v>0</v>
      </c>
      <c r="H54" s="51">
        <f t="shared" si="2"/>
        <v>0</v>
      </c>
      <c r="I54" s="51">
        <f t="shared" si="3"/>
        <v>0.21178457915826632</v>
      </c>
      <c r="J54" s="51">
        <f t="shared" si="12"/>
        <v>12.700721212121231</v>
      </c>
      <c r="K54" s="51">
        <f t="shared" si="4"/>
        <v>4.2335737373737432</v>
      </c>
      <c r="L54" s="51">
        <v>13</v>
      </c>
      <c r="M54" s="51">
        <f t="shared" si="5"/>
        <v>0.23076923076923078</v>
      </c>
      <c r="N54" s="51">
        <v>29</v>
      </c>
      <c r="O54" s="51">
        <f t="shared" ref="O54:P54" si="18">D54/7</f>
        <v>0.42857142857142855</v>
      </c>
      <c r="P54" s="51">
        <f t="shared" si="18"/>
        <v>0</v>
      </c>
      <c r="Q54" s="51">
        <f t="shared" si="7"/>
        <v>67</v>
      </c>
      <c r="R54" s="55">
        <f ca="1">IFERROR(__xludf.DUMMYFUNCTION("IFERROR(VLOOKUP($B$2,IMPORTRANGE(""https://docs.google.com/spreadsheets/d/1iVgg6Mw12RULLujzHmfOFIY8Q_KaAD8anoZzgtVAQ74/edit#gid=1503384807"",""Second Star - Summary!A1:AD2000""),9,FALSE),"""")"),0)</f>
        <v>0</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8"/>
        <v>0</v>
      </c>
      <c r="W54" s="55">
        <f t="shared" si="9"/>
        <v>0</v>
      </c>
      <c r="X54" s="55">
        <v>0</v>
      </c>
      <c r="Y54" s="55" t="s">
        <v>35</v>
      </c>
      <c r="Z54" s="56">
        <f t="shared" si="10"/>
        <v>-2.4</v>
      </c>
      <c r="AA54" s="55">
        <v>3.3379629629629627E-2</v>
      </c>
      <c r="AB54" s="55">
        <f t="shared" si="11"/>
        <v>-0.72099999999999997</v>
      </c>
      <c r="AC54" s="55">
        <v>-5.42</v>
      </c>
      <c r="AD54" s="55">
        <v>-6.7642595959595901</v>
      </c>
      <c r="AE54" s="55">
        <v>-1</v>
      </c>
      <c r="AF54" s="55">
        <v>0.52702702702702697</v>
      </c>
    </row>
    <row r="55" spans="1:32" s="57" customFormat="1" ht="15.75" customHeight="1">
      <c r="A55" s="2" t="s">
        <v>32</v>
      </c>
      <c r="B55" s="2"/>
      <c r="C55" s="51" t="str">
        <f t="shared" si="1"/>
        <v xml:space="preserve"> - </v>
      </c>
      <c r="D55" s="51">
        <v>0</v>
      </c>
      <c r="E55" s="51">
        <v>0</v>
      </c>
      <c r="F55" s="51">
        <v>0</v>
      </c>
      <c r="G55" s="51">
        <v>0</v>
      </c>
      <c r="H55" s="51" t="e">
        <f t="shared" si="2"/>
        <v>#DIV/0!</v>
      </c>
      <c r="I55" s="51" t="e">
        <f t="shared" si="3"/>
        <v>#DIV/0!</v>
      </c>
      <c r="J55" s="51">
        <f t="shared" si="12"/>
        <v>0</v>
      </c>
      <c r="K55" s="51" t="e">
        <f t="shared" si="4"/>
        <v>#DIV/0!</v>
      </c>
      <c r="L55" s="51">
        <v>0</v>
      </c>
      <c r="M55" s="51" t="str">
        <f t="shared" si="5"/>
        <v>-</v>
      </c>
      <c r="N55" s="51">
        <v>29</v>
      </c>
      <c r="O55" s="51">
        <f t="shared" ref="O55:P55" si="19">D55/7</f>
        <v>0</v>
      </c>
      <c r="P55" s="51">
        <f t="shared" si="19"/>
        <v>0</v>
      </c>
      <c r="Q55" s="51" t="e">
        <f t="shared" si="7"/>
        <v>#DIV/0!</v>
      </c>
      <c r="R55" s="55">
        <v>0</v>
      </c>
      <c r="S55" s="53" t="s">
        <v>34</v>
      </c>
      <c r="T55" s="54" t="s">
        <v>34</v>
      </c>
      <c r="U55" s="55">
        <v>0</v>
      </c>
      <c r="V55" s="55">
        <f t="shared" si="8"/>
        <v>0</v>
      </c>
      <c r="W55" s="55">
        <f t="shared" si="9"/>
        <v>0</v>
      </c>
      <c r="X55" s="55">
        <v>0</v>
      </c>
      <c r="Y55" s="55" t="s">
        <v>35</v>
      </c>
      <c r="Z55" s="56">
        <f t="shared" si="10"/>
        <v>-2.4</v>
      </c>
      <c r="AA55" s="55">
        <v>3.3379629629629627E-2</v>
      </c>
      <c r="AB55" s="55">
        <f t="shared" si="11"/>
        <v>0</v>
      </c>
      <c r="AC55" s="55">
        <v>-5.42</v>
      </c>
      <c r="AD55" s="55">
        <v>-6.7642595959595901</v>
      </c>
      <c r="AE55" s="55">
        <v>0</v>
      </c>
      <c r="AF55" s="55">
        <v>0.58208955223880599</v>
      </c>
    </row>
    <row r="56" spans="1:32" s="57" customFormat="1" ht="15.75" customHeight="1">
      <c r="A56" s="2" t="s">
        <v>36</v>
      </c>
      <c r="B56" s="2"/>
      <c r="C56" s="51" t="str">
        <f t="shared" si="1"/>
        <v xml:space="preserve"> - </v>
      </c>
      <c r="D56" s="51">
        <v>0</v>
      </c>
      <c r="E56" s="51">
        <v>0</v>
      </c>
      <c r="F56" s="51">
        <v>0</v>
      </c>
      <c r="G56" s="51">
        <v>0</v>
      </c>
      <c r="H56" s="51" t="e">
        <f t="shared" si="2"/>
        <v>#DIV/0!</v>
      </c>
      <c r="I56" s="51" t="e">
        <f t="shared" si="3"/>
        <v>#DIV/0!</v>
      </c>
      <c r="J56" s="51">
        <f t="shared" si="12"/>
        <v>0</v>
      </c>
      <c r="K56" s="51" t="e">
        <f t="shared" si="4"/>
        <v>#DIV/0!</v>
      </c>
      <c r="L56" s="51">
        <v>0</v>
      </c>
      <c r="M56" s="51" t="str">
        <f t="shared" si="5"/>
        <v>-</v>
      </c>
      <c r="N56" s="51">
        <v>29</v>
      </c>
      <c r="O56" s="51">
        <f t="shared" ref="O56:P56" si="20">D56/7</f>
        <v>0</v>
      </c>
      <c r="P56" s="51">
        <f t="shared" si="20"/>
        <v>0</v>
      </c>
      <c r="Q56" s="51" t="e">
        <f t="shared" si="7"/>
        <v>#DIV/0!</v>
      </c>
      <c r="R56" s="55">
        <f ca="1">IFERROR(__xludf.DUMMYFUNCTION("IFERROR(VLOOKUP($B$2,IMPORTRANGE(""https://docs.google.com/spreadsheets/d/1iVgg6Mw12RULLujzHmfOFIY8Q_KaAD8anoZzgtVAQ74/edit#gid=1503384807"",""Second Star - Summary!A1:AD2000""),9,FALSE),"""")"),0)</f>
        <v>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8"/>
        <v>0</v>
      </c>
      <c r="W56" s="55">
        <f t="shared" si="9"/>
        <v>0</v>
      </c>
      <c r="X56" s="55">
        <v>0</v>
      </c>
      <c r="Y56" s="55" t="s">
        <v>35</v>
      </c>
      <c r="Z56" s="56">
        <f t="shared" si="10"/>
        <v>-2.4</v>
      </c>
      <c r="AA56" s="55">
        <v>3.3379629629629627E-2</v>
      </c>
      <c r="AB56" s="55">
        <f t="shared" si="11"/>
        <v>0</v>
      </c>
      <c r="AC56" s="55">
        <v>-5.42</v>
      </c>
      <c r="AD56" s="55">
        <v>-6.7642595959595901</v>
      </c>
      <c r="AE56" s="55">
        <v>0</v>
      </c>
      <c r="AF56" s="55">
        <v>0.30952380952380898</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3"/>
    </row>
    <row r="222" spans="1:3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3"/>
    </row>
    <row r="223" spans="1:32"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3"/>
    </row>
    <row r="224" spans="1:32"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3"/>
    </row>
    <row r="225" spans="1:32"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3"/>
    </row>
    <row r="226" spans="1:32"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3"/>
    </row>
    <row r="227" spans="1:32"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3"/>
    </row>
    <row r="228" spans="1:32"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3"/>
    </row>
    <row r="229" spans="1:32"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3"/>
    </row>
    <row r="230" spans="1:32"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3"/>
    </row>
    <row r="231" spans="1:32"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3"/>
    </row>
    <row r="232" spans="1: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3"/>
    </row>
    <row r="233" spans="1:32"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3"/>
    </row>
    <row r="234" spans="1:32"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3"/>
    </row>
    <row r="235" spans="1:32"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3"/>
    </row>
    <row r="236" spans="1:32"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3"/>
    </row>
    <row r="237" spans="1:32"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3"/>
    </row>
    <row r="238" spans="1:32"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3"/>
    </row>
    <row r="239" spans="1:32"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row r="250" spans="1:32" ht="15.75" customHeight="1"/>
    <row r="251" spans="1:32" ht="15.75" customHeight="1"/>
    <row r="252" spans="1:32" ht="15.75" customHeight="1"/>
    <row r="253" spans="1:32" ht="15.75" customHeight="1"/>
    <row r="254" spans="1:32" ht="15.75" customHeight="1"/>
    <row r="255" spans="1:32" ht="15.75" customHeight="1"/>
    <row r="256" spans="1:3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243" priority="1" operator="lessThan">
      <formula>100</formula>
    </cfRule>
  </conditionalFormatting>
  <conditionalFormatting sqref="Q1:Q3 Q57:Q1000">
    <cfRule type="cellIs" dxfId="242" priority="2" operator="lessThan">
      <formula>100</formula>
    </cfRule>
  </conditionalFormatting>
  <conditionalFormatting sqref="I1:I3 I57:I1000">
    <cfRule type="cellIs" dxfId="241" priority="3" operator="lessThan">
      <formula>0.05</formula>
    </cfRule>
  </conditionalFormatting>
  <conditionalFormatting sqref="I4:I17">
    <cfRule type="cellIs" dxfId="240" priority="4" operator="lessThan">
      <formula>0.05</formula>
    </cfRule>
  </conditionalFormatting>
  <conditionalFormatting sqref="I18:I56">
    <cfRule type="cellIs" dxfId="239" priority="5" operator="lessThan">
      <formula>0.05</formula>
    </cfRule>
  </conditionalFormatting>
  <conditionalFormatting sqref="Q4:Q56">
    <cfRule type="cellIs" dxfId="238" priority="6" operator="lessThan">
      <formula>100</formula>
    </cfRule>
  </conditionalFormatting>
  <conditionalFormatting sqref="Q4:Q56">
    <cfRule type="cellIs" dxfId="237" priority="7" operator="lessThan">
      <formula>100</formula>
    </cfRule>
  </conditionalFormatting>
  <pageMargins left="0.7" right="0.7" top="0.75" bottom="0.75" header="0" footer="0"/>
  <pageSetup orientation="portrait"/>
  <legacy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4.6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Info!B1:BJ5000""),4,FALSE),"""")"),"Dry Defender Reusable Absorbent Waterproof Bed Pad (34in x 36in)")</f>
        <v>Dry Defender Reusable Absorbent Waterproof Bed Pad (34in x 36in)</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Info!B1:BJ5000""),3,FALSE),"""")"),"B00G00BAN0")</f>
        <v>B00G00BAN0</v>
      </c>
      <c r="B2" s="4" t="s">
        <v>902</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6.8823529411764701</v>
      </c>
      <c r="D3" s="8">
        <f>SUM(D4:D99819)</f>
        <v>25</v>
      </c>
      <c r="E3" s="8"/>
      <c r="F3" s="9">
        <f t="shared" ref="F3:G3" si="0">SUM(F4:F99819)</f>
        <v>436.75</v>
      </c>
      <c r="G3" s="9">
        <f t="shared" si="0"/>
        <v>0</v>
      </c>
      <c r="H3" s="10">
        <f t="shared" ref="H3:H39" si="1">G3/F3*-1</f>
        <v>0</v>
      </c>
      <c r="I3" s="11">
        <f t="shared" ref="I3:I39" si="2">J3/F3</f>
        <v>0.31775956808894612</v>
      </c>
      <c r="J3" s="9">
        <f>SUM(J4:J99819)</f>
        <v>138.78149136284722</v>
      </c>
      <c r="K3" s="9">
        <f t="shared" ref="K3:K39" si="3">J3/D3</f>
        <v>5.5512596545138884</v>
      </c>
      <c r="L3" s="8"/>
      <c r="M3" s="12"/>
      <c r="N3" s="13"/>
      <c r="O3" s="8" t="str">
        <f ca="1">IFERROR(__xludf.DUMMYFUNCTION("IFERROR(VLOOKUP(B2,IMPORTRANGE(""https://docs.google.com/spreadsheets/d/1owCo6kL_VFQ5nPTdNogErmCBLjNiktT1m3SzTrxu3R0/edit#gid=2146806407"",""Second Star - Compiled!b1:g5000""),2,FALSE),"""")"),"0 - March
0 - April
0 - May
0 - Jun
0 - Jul
0 - Aug
0 - Sept
0 - Oct
0 - Nov
0 - Dec
0 - Jan
0 - Feb")</f>
        <v>0 - March
0 - April
0 - May
0 - Jun
0 - Jul
0 - Aug
0 - Sept
0 - Oct
0 - Nov
0 - Dec
0 - Jan
0 - Feb</v>
      </c>
      <c r="P3" s="8"/>
      <c r="Q3" s="14"/>
      <c r="R3" s="13"/>
      <c r="S3" s="13"/>
      <c r="T3" s="13"/>
      <c r="U3" s="8">
        <f>SUM(U4:U99819)</f>
        <v>0</v>
      </c>
      <c r="V3" s="10">
        <f>AVERAGE(V4:V99819)</f>
        <v>0</v>
      </c>
      <c r="W3" s="9">
        <f>ROUND(AVERAGE(W4:W99819),2)</f>
        <v>0</v>
      </c>
      <c r="X3" s="8"/>
      <c r="Y3" s="8"/>
      <c r="Z3" s="8"/>
      <c r="AA3" s="8"/>
      <c r="AB3" s="8"/>
      <c r="AC3" s="15"/>
      <c r="AD3" s="9"/>
      <c r="AE3" s="9">
        <f>SUM(AE4:AE99819)</f>
        <v>0</v>
      </c>
      <c r="AF3" s="16"/>
    </row>
    <row r="4" spans="1:32" s="57" customFormat="1">
      <c r="A4" s="17" t="s">
        <v>48</v>
      </c>
      <c r="B4" s="17"/>
      <c r="C4" s="50">
        <v>16.989999999999998</v>
      </c>
      <c r="D4" s="51">
        <v>2</v>
      </c>
      <c r="E4" s="51">
        <v>0</v>
      </c>
      <c r="F4" s="51">
        <v>31.98</v>
      </c>
      <c r="G4" s="51">
        <v>0</v>
      </c>
      <c r="H4" s="51">
        <f t="shared" si="1"/>
        <v>0</v>
      </c>
      <c r="I4" s="51">
        <f t="shared" si="2"/>
        <v>0.26552712117165245</v>
      </c>
      <c r="J4" s="51">
        <f t="shared" ref="J4:J38" si="4">F4*0.85+G4+AD4*D4+D4*AC4+AE4+AB4</f>
        <v>8.4915573350694462</v>
      </c>
      <c r="K4" s="51">
        <f t="shared" si="3"/>
        <v>4.2457786675347231</v>
      </c>
      <c r="L4" s="51">
        <v>6</v>
      </c>
      <c r="M4" s="51">
        <f t="shared" ref="M4:M39" si="5">IFERROR(D4/L4,"-")</f>
        <v>0.33333333333333331</v>
      </c>
      <c r="N4" s="51">
        <v>19</v>
      </c>
      <c r="O4" s="51">
        <f t="shared" ref="O4:P4" si="6">D4/7</f>
        <v>0.2857142857142857</v>
      </c>
      <c r="P4" s="51">
        <f t="shared" si="6"/>
        <v>0</v>
      </c>
      <c r="Q4" s="51">
        <f t="shared" ref="Q4:Q39" si="7">ROUNDDOWN(N4/(O4+P4),0)</f>
        <v>66</v>
      </c>
      <c r="R4" s="52">
        <v>0</v>
      </c>
      <c r="S4" s="53" t="s">
        <v>34</v>
      </c>
      <c r="T4" s="54" t="s">
        <v>34</v>
      </c>
      <c r="U4" s="52">
        <v>0</v>
      </c>
      <c r="V4" s="55">
        <f t="shared" ref="V4:V39" si="8">IFERROR(U4/D4,0)</f>
        <v>0</v>
      </c>
      <c r="W4" s="55">
        <f t="shared" ref="W4:W39" si="9">IFERROR(G4/(U4+X4)*-1,0)</f>
        <v>0</v>
      </c>
      <c r="X4" s="52">
        <v>0</v>
      </c>
      <c r="Y4" s="56" t="s">
        <v>35</v>
      </c>
      <c r="Z4" s="56">
        <f t="shared" ref="Z4:Z10" si="10">IF(OR(Y4="UsLargeStandardSize",Y4="UsSmallStandardSize"),-0.69,-0.48)</f>
        <v>-0.69</v>
      </c>
      <c r="AA4" s="55">
        <v>0.13163773148148147</v>
      </c>
      <c r="AB4" s="55">
        <f t="shared" ref="AB4:AB17" si="11">IFERROR((Z4*AA4*N4)/4,0)</f>
        <v>-0.43144266493055555</v>
      </c>
      <c r="AC4" s="55">
        <v>-3.28</v>
      </c>
      <c r="AD4" s="55">
        <v>-5.85</v>
      </c>
      <c r="AE4" s="55">
        <v>0</v>
      </c>
      <c r="AF4" s="55"/>
    </row>
    <row r="5" spans="1:32" s="57" customFormat="1" ht="15.75" customHeight="1">
      <c r="A5" s="17" t="s">
        <v>49</v>
      </c>
      <c r="B5"/>
      <c r="C5" s="51">
        <v>16.989999999999998</v>
      </c>
      <c r="D5" s="51">
        <v>5</v>
      </c>
      <c r="E5" s="51">
        <v>0</v>
      </c>
      <c r="F5" s="51">
        <v>87.949999999999989</v>
      </c>
      <c r="G5" s="51">
        <v>0</v>
      </c>
      <c r="H5" s="51">
        <f t="shared" si="1"/>
        <v>0</v>
      </c>
      <c r="I5" s="51">
        <f t="shared" si="2"/>
        <v>0.32630772988914153</v>
      </c>
      <c r="J5" s="51">
        <f t="shared" si="4"/>
        <v>28.698764843749995</v>
      </c>
      <c r="K5" s="51">
        <f t="shared" si="3"/>
        <v>5.7397529687499986</v>
      </c>
      <c r="L5" s="51">
        <v>18</v>
      </c>
      <c r="M5" s="51">
        <f t="shared" si="5"/>
        <v>0.27777777777777779</v>
      </c>
      <c r="N5" s="51">
        <v>18</v>
      </c>
      <c r="O5" s="51">
        <f t="shared" ref="O5:P5" si="12">D5/7</f>
        <v>0.7142857142857143</v>
      </c>
      <c r="P5" s="51">
        <f t="shared" si="12"/>
        <v>0</v>
      </c>
      <c r="Q5" s="51">
        <f t="shared" si="7"/>
        <v>25</v>
      </c>
      <c r="R5" s="52">
        <v>0</v>
      </c>
      <c r="S5" s="53" t="s">
        <v>34</v>
      </c>
      <c r="T5" s="54" t="s">
        <v>34</v>
      </c>
      <c r="U5" s="52">
        <v>0</v>
      </c>
      <c r="V5" s="55">
        <f t="shared" si="8"/>
        <v>0</v>
      </c>
      <c r="W5" s="55">
        <f t="shared" si="9"/>
        <v>0</v>
      </c>
      <c r="X5" s="52">
        <v>0</v>
      </c>
      <c r="Y5" s="52" t="s">
        <v>35</v>
      </c>
      <c r="Z5" s="56">
        <f t="shared" si="10"/>
        <v>-0.69</v>
      </c>
      <c r="AA5" s="55">
        <v>0.13163773148148147</v>
      </c>
      <c r="AB5" s="55">
        <f t="shared" si="11"/>
        <v>-0.40873515624999995</v>
      </c>
      <c r="AC5" s="55">
        <v>-3.28</v>
      </c>
      <c r="AD5" s="55">
        <v>-5.85</v>
      </c>
      <c r="AE5" s="55">
        <v>0</v>
      </c>
      <c r="AF5" s="55"/>
    </row>
    <row r="6" spans="1:32" s="57" customFormat="1" ht="15.75" customHeight="1">
      <c r="A6" s="17" t="s">
        <v>51</v>
      </c>
      <c r="B6"/>
      <c r="C6" s="51">
        <v>18.989999999999998</v>
      </c>
      <c r="D6" s="51">
        <v>0</v>
      </c>
      <c r="E6" s="51">
        <v>0</v>
      </c>
      <c r="F6" s="51">
        <v>0</v>
      </c>
      <c r="G6" s="51">
        <v>0</v>
      </c>
      <c r="H6" s="51" t="e">
        <f t="shared" si="1"/>
        <v>#DIV/0!</v>
      </c>
      <c r="I6" s="51" t="e">
        <f t="shared" si="2"/>
        <v>#DIV/0!</v>
      </c>
      <c r="J6" s="51">
        <f t="shared" si="4"/>
        <v>-0.40873515624999995</v>
      </c>
      <c r="K6" s="51" t="e">
        <f t="shared" si="3"/>
        <v>#DIV/0!</v>
      </c>
      <c r="L6" s="51">
        <v>0</v>
      </c>
      <c r="M6" s="51" t="str">
        <f t="shared" si="5"/>
        <v>-</v>
      </c>
      <c r="N6" s="51">
        <v>18</v>
      </c>
      <c r="O6" s="51">
        <f t="shared" ref="O6:P6" si="13">D6/7</f>
        <v>0</v>
      </c>
      <c r="P6" s="51">
        <f t="shared" si="13"/>
        <v>0</v>
      </c>
      <c r="Q6" s="51" t="e">
        <f t="shared" si="7"/>
        <v>#DIV/0!</v>
      </c>
      <c r="R6" s="52">
        <v>0</v>
      </c>
      <c r="S6" s="53" t="s">
        <v>34</v>
      </c>
      <c r="T6" s="54" t="s">
        <v>34</v>
      </c>
      <c r="U6" s="52">
        <v>0</v>
      </c>
      <c r="V6" s="55">
        <f t="shared" si="8"/>
        <v>0</v>
      </c>
      <c r="W6" s="55">
        <f t="shared" si="9"/>
        <v>0</v>
      </c>
      <c r="X6" s="52">
        <v>0</v>
      </c>
      <c r="Y6" s="52" t="s">
        <v>35</v>
      </c>
      <c r="Z6" s="56">
        <f t="shared" si="10"/>
        <v>-0.69</v>
      </c>
      <c r="AA6" s="55">
        <v>0.13163773148148147</v>
      </c>
      <c r="AB6" s="55">
        <f t="shared" si="11"/>
        <v>-0.40873515624999995</v>
      </c>
      <c r="AC6" s="55">
        <v>-3.28</v>
      </c>
      <c r="AD6" s="55">
        <v>-5.85</v>
      </c>
      <c r="AE6" s="55">
        <v>0</v>
      </c>
      <c r="AF6" s="55"/>
    </row>
    <row r="7" spans="1:32" s="57" customFormat="1" ht="15.75" customHeight="1">
      <c r="A7" s="17" t="s">
        <v>53</v>
      </c>
      <c r="B7"/>
      <c r="C7" s="51">
        <v>17.989999999999998</v>
      </c>
      <c r="D7" s="51">
        <v>7</v>
      </c>
      <c r="E7" s="51">
        <v>0</v>
      </c>
      <c r="F7" s="51">
        <v>130.92999999999998</v>
      </c>
      <c r="G7" s="51">
        <v>0</v>
      </c>
      <c r="H7" s="51">
        <f t="shared" si="1"/>
        <v>0</v>
      </c>
      <c r="I7" s="51">
        <f t="shared" si="2"/>
        <v>0.3599688184870839</v>
      </c>
      <c r="J7" s="51">
        <f t="shared" si="4"/>
        <v>47.130717404513888</v>
      </c>
      <c r="K7" s="51">
        <f t="shared" si="3"/>
        <v>6.7329596292162694</v>
      </c>
      <c r="L7" s="51">
        <v>14</v>
      </c>
      <c r="M7" s="51">
        <f t="shared" si="5"/>
        <v>0.5</v>
      </c>
      <c r="N7" s="51">
        <v>11</v>
      </c>
      <c r="O7" s="51">
        <f t="shared" ref="O7:P7" si="14">D7/7</f>
        <v>1</v>
      </c>
      <c r="P7" s="51">
        <f t="shared" si="14"/>
        <v>0</v>
      </c>
      <c r="Q7" s="51">
        <f t="shared" si="7"/>
        <v>11</v>
      </c>
      <c r="R7" s="52">
        <v>0</v>
      </c>
      <c r="S7" s="53" t="s">
        <v>34</v>
      </c>
      <c r="T7" s="54" t="s">
        <v>34</v>
      </c>
      <c r="U7" s="52">
        <v>0</v>
      </c>
      <c r="V7" s="55">
        <f t="shared" si="8"/>
        <v>0</v>
      </c>
      <c r="W7" s="55">
        <f t="shared" si="9"/>
        <v>0</v>
      </c>
      <c r="X7" s="52">
        <v>0</v>
      </c>
      <c r="Y7" s="52" t="s">
        <v>35</v>
      </c>
      <c r="Z7" s="56">
        <f t="shared" si="10"/>
        <v>-0.69</v>
      </c>
      <c r="AA7" s="55">
        <v>0.13163773148148147</v>
      </c>
      <c r="AB7" s="55">
        <f t="shared" si="11"/>
        <v>-0.24978259548611109</v>
      </c>
      <c r="AC7" s="55">
        <v>-3.28</v>
      </c>
      <c r="AD7" s="55">
        <v>-5.85</v>
      </c>
      <c r="AE7" s="55">
        <v>0</v>
      </c>
      <c r="AF7" s="55"/>
    </row>
    <row r="8" spans="1:32" s="57" customFormat="1" ht="15.75" customHeight="1">
      <c r="A8" s="17" t="s">
        <v>54</v>
      </c>
      <c r="B8"/>
      <c r="C8" s="51">
        <v>17.989999999999998</v>
      </c>
      <c r="D8" s="51">
        <v>1</v>
      </c>
      <c r="E8" s="51">
        <v>0</v>
      </c>
      <c r="F8" s="51">
        <v>17.989999999999998</v>
      </c>
      <c r="G8" s="51">
        <v>0</v>
      </c>
      <c r="H8" s="51">
        <f t="shared" si="1"/>
        <v>0</v>
      </c>
      <c r="I8" s="51">
        <f t="shared" si="2"/>
        <v>0.32987353603081954</v>
      </c>
      <c r="J8" s="51">
        <f t="shared" si="4"/>
        <v>5.9344249131944427</v>
      </c>
      <c r="K8" s="51">
        <f t="shared" si="3"/>
        <v>5.9344249131944427</v>
      </c>
      <c r="L8" s="51">
        <v>5</v>
      </c>
      <c r="M8" s="51">
        <f t="shared" si="5"/>
        <v>0.2</v>
      </c>
      <c r="N8" s="51">
        <v>10</v>
      </c>
      <c r="O8" s="51">
        <f t="shared" ref="O8:P8" si="15">D8/7</f>
        <v>0.14285714285714285</v>
      </c>
      <c r="P8" s="51">
        <f t="shared" si="15"/>
        <v>0</v>
      </c>
      <c r="Q8" s="51">
        <f t="shared" si="7"/>
        <v>70</v>
      </c>
      <c r="R8" s="52">
        <v>0</v>
      </c>
      <c r="S8" s="53" t="s">
        <v>34</v>
      </c>
      <c r="T8" s="54" t="s">
        <v>34</v>
      </c>
      <c r="U8" s="52">
        <v>0</v>
      </c>
      <c r="V8" s="55">
        <f t="shared" si="8"/>
        <v>0</v>
      </c>
      <c r="W8" s="55">
        <f t="shared" si="9"/>
        <v>0</v>
      </c>
      <c r="X8" s="52">
        <v>0</v>
      </c>
      <c r="Y8" s="52" t="s">
        <v>35</v>
      </c>
      <c r="Z8" s="56">
        <f t="shared" si="10"/>
        <v>-0.69</v>
      </c>
      <c r="AA8" s="55">
        <v>0.13163773148148147</v>
      </c>
      <c r="AB8" s="55">
        <f t="shared" si="11"/>
        <v>-0.22707508680555555</v>
      </c>
      <c r="AC8" s="55">
        <v>-3.28</v>
      </c>
      <c r="AD8" s="55">
        <v>-5.85</v>
      </c>
      <c r="AE8" s="55">
        <v>0</v>
      </c>
      <c r="AF8" s="55"/>
    </row>
    <row r="9" spans="1:32" s="57" customFormat="1" ht="15.75" customHeight="1">
      <c r="A9" s="17" t="s">
        <v>56</v>
      </c>
      <c r="B9"/>
      <c r="C9" s="51">
        <v>18.989999999999998</v>
      </c>
      <c r="D9" s="51">
        <v>1</v>
      </c>
      <c r="E9" s="51">
        <v>0</v>
      </c>
      <c r="F9" s="51">
        <v>18.989999999999998</v>
      </c>
      <c r="G9" s="51">
        <v>0</v>
      </c>
      <c r="H9" s="51">
        <f t="shared" si="1"/>
        <v>0</v>
      </c>
      <c r="I9" s="51">
        <f t="shared" si="2"/>
        <v>0.35845878998815162</v>
      </c>
      <c r="J9" s="51">
        <f t="shared" si="4"/>
        <v>6.8071324218749982</v>
      </c>
      <c r="K9" s="51">
        <f t="shared" si="3"/>
        <v>6.8071324218749982</v>
      </c>
      <c r="L9" s="51">
        <v>3</v>
      </c>
      <c r="M9" s="51">
        <f t="shared" si="5"/>
        <v>0.33333333333333331</v>
      </c>
      <c r="N9" s="51">
        <v>9</v>
      </c>
      <c r="O9" s="51">
        <f t="shared" ref="O9:P9" si="16">D9/7</f>
        <v>0.14285714285714285</v>
      </c>
      <c r="P9" s="51">
        <f t="shared" si="16"/>
        <v>0</v>
      </c>
      <c r="Q9" s="51">
        <f t="shared" si="7"/>
        <v>63</v>
      </c>
      <c r="R9" s="52">
        <v>0</v>
      </c>
      <c r="S9" s="53" t="s">
        <v>34</v>
      </c>
      <c r="T9" s="54" t="s">
        <v>34</v>
      </c>
      <c r="U9" s="52">
        <v>0</v>
      </c>
      <c r="V9" s="55">
        <f t="shared" si="8"/>
        <v>0</v>
      </c>
      <c r="W9" s="55">
        <f t="shared" si="9"/>
        <v>0</v>
      </c>
      <c r="X9" s="52">
        <v>0</v>
      </c>
      <c r="Y9" s="52" t="s">
        <v>35</v>
      </c>
      <c r="Z9" s="56">
        <f t="shared" si="10"/>
        <v>-0.69</v>
      </c>
      <c r="AA9" s="55">
        <v>0.13163773148148147</v>
      </c>
      <c r="AB9" s="55">
        <f t="shared" si="11"/>
        <v>-0.20436757812499998</v>
      </c>
      <c r="AC9" s="55">
        <v>-3.28</v>
      </c>
      <c r="AD9" s="55">
        <v>-5.85</v>
      </c>
      <c r="AE9" s="55">
        <v>0</v>
      </c>
      <c r="AF9" s="55"/>
    </row>
    <row r="10" spans="1:32" s="57" customFormat="1" ht="15.75" customHeight="1">
      <c r="A10" s="17" t="s">
        <v>58</v>
      </c>
      <c r="B10"/>
      <c r="C10" s="51">
        <v>17.989999999999998</v>
      </c>
      <c r="D10" s="51">
        <v>0</v>
      </c>
      <c r="E10" s="51">
        <v>0</v>
      </c>
      <c r="F10" s="51">
        <v>0</v>
      </c>
      <c r="G10" s="51">
        <v>0</v>
      </c>
      <c r="H10" s="51" t="e">
        <f t="shared" si="1"/>
        <v>#DIV/0!</v>
      </c>
      <c r="I10" s="51" t="e">
        <f t="shared" si="2"/>
        <v>#DIV/0!</v>
      </c>
      <c r="J10" s="51">
        <f t="shared" si="4"/>
        <v>-0.20436757812499998</v>
      </c>
      <c r="K10" s="51" t="e">
        <f t="shared" si="3"/>
        <v>#DIV/0!</v>
      </c>
      <c r="L10" s="51">
        <v>0</v>
      </c>
      <c r="M10" s="51" t="str">
        <f t="shared" si="5"/>
        <v>-</v>
      </c>
      <c r="N10" s="51">
        <v>9</v>
      </c>
      <c r="O10" s="51">
        <f t="shared" ref="O10:P10" si="17">D10/7</f>
        <v>0</v>
      </c>
      <c r="P10" s="51">
        <f t="shared" si="17"/>
        <v>0</v>
      </c>
      <c r="Q10" s="51" t="e">
        <f t="shared" si="7"/>
        <v>#DIV/0!</v>
      </c>
      <c r="R10" s="52">
        <v>0</v>
      </c>
      <c r="S10" s="53" t="s">
        <v>34</v>
      </c>
      <c r="T10" s="54" t="s">
        <v>34</v>
      </c>
      <c r="U10" s="52">
        <v>0</v>
      </c>
      <c r="V10" s="55">
        <f t="shared" si="8"/>
        <v>0</v>
      </c>
      <c r="W10" s="55">
        <f t="shared" si="9"/>
        <v>0</v>
      </c>
      <c r="X10" s="52">
        <v>0</v>
      </c>
      <c r="Y10" s="52" t="s">
        <v>35</v>
      </c>
      <c r="Z10" s="56">
        <f t="shared" si="10"/>
        <v>-0.69</v>
      </c>
      <c r="AA10" s="55">
        <v>0.13163773148148147</v>
      </c>
      <c r="AB10" s="55">
        <f t="shared" si="11"/>
        <v>-0.20436757812499998</v>
      </c>
      <c r="AC10" s="55">
        <v>-3.28</v>
      </c>
      <c r="AD10" s="55">
        <v>-5.85</v>
      </c>
      <c r="AE10" s="55">
        <v>0</v>
      </c>
      <c r="AF10" s="55"/>
    </row>
    <row r="11" spans="1:32" s="57" customFormat="1" ht="15.75" customHeight="1">
      <c r="A11" s="17" t="s">
        <v>60</v>
      </c>
      <c r="B11" s="17" t="s">
        <v>45</v>
      </c>
      <c r="C11" s="51">
        <v>15.99</v>
      </c>
      <c r="D11" s="51">
        <v>3</v>
      </c>
      <c r="E11" s="51">
        <v>0</v>
      </c>
      <c r="F11" s="51">
        <v>50.97</v>
      </c>
      <c r="G11" s="51">
        <v>0</v>
      </c>
      <c r="H11" s="51">
        <f t="shared" si="1"/>
        <v>0</v>
      </c>
      <c r="I11" s="51">
        <f t="shared" si="2"/>
        <v>0.29794796060591205</v>
      </c>
      <c r="J11" s="51">
        <f t="shared" si="4"/>
        <v>15.186407552083336</v>
      </c>
      <c r="K11" s="51">
        <f t="shared" si="3"/>
        <v>5.0621358506944452</v>
      </c>
      <c r="L11" s="51">
        <v>10</v>
      </c>
      <c r="M11" s="51">
        <f t="shared" si="5"/>
        <v>0.3</v>
      </c>
      <c r="N11" s="51">
        <v>6</v>
      </c>
      <c r="O11" s="51">
        <f t="shared" ref="O11:P11" si="18">D11/7</f>
        <v>0.42857142857142855</v>
      </c>
      <c r="P11" s="51">
        <f t="shared" si="18"/>
        <v>0</v>
      </c>
      <c r="Q11" s="51">
        <f t="shared" si="7"/>
        <v>14</v>
      </c>
      <c r="R11" s="52">
        <v>0</v>
      </c>
      <c r="S11" s="53" t="s">
        <v>34</v>
      </c>
      <c r="T11" s="54" t="s">
        <v>34</v>
      </c>
      <c r="U11" s="52">
        <v>0</v>
      </c>
      <c r="V11" s="55">
        <f t="shared" si="8"/>
        <v>0</v>
      </c>
      <c r="W11" s="55">
        <f t="shared" si="9"/>
        <v>0</v>
      </c>
      <c r="X11" s="52">
        <v>0</v>
      </c>
      <c r="Y11" s="52" t="s">
        <v>35</v>
      </c>
      <c r="Z11" s="56">
        <f t="shared" ref="Z11:Z39" si="19">IF(OR(Y11="UsLargeStandardSize",Y11="UsSmallStandardSize"),-0.75,-0.48)</f>
        <v>-0.75</v>
      </c>
      <c r="AA11" s="55">
        <v>0.13163773148148147</v>
      </c>
      <c r="AB11" s="55">
        <f t="shared" si="11"/>
        <v>-0.14809244791666665</v>
      </c>
      <c r="AC11" s="55">
        <v>-3.48</v>
      </c>
      <c r="AD11" s="55">
        <v>-5.85</v>
      </c>
      <c r="AE11" s="55">
        <v>0</v>
      </c>
      <c r="AF11" s="55"/>
    </row>
    <row r="12" spans="1:32" s="57" customFormat="1" ht="15.75" customHeight="1">
      <c r="A12" s="17" t="s">
        <v>62</v>
      </c>
      <c r="B12"/>
      <c r="C12" s="51">
        <v>16.989999999999998</v>
      </c>
      <c r="D12" s="51">
        <v>2</v>
      </c>
      <c r="E12" s="51">
        <v>0</v>
      </c>
      <c r="F12" s="51">
        <v>31.98</v>
      </c>
      <c r="G12" s="51">
        <v>0</v>
      </c>
      <c r="H12" s="51">
        <f t="shared" si="1"/>
        <v>0</v>
      </c>
      <c r="I12" s="51">
        <f t="shared" si="2"/>
        <v>0.26342313012473073</v>
      </c>
      <c r="J12" s="51">
        <f t="shared" si="4"/>
        <v>8.4242717013888893</v>
      </c>
      <c r="K12" s="51">
        <f t="shared" si="3"/>
        <v>4.2121358506944446</v>
      </c>
      <c r="L12" s="51">
        <v>4</v>
      </c>
      <c r="M12" s="51">
        <f t="shared" si="5"/>
        <v>0.5</v>
      </c>
      <c r="N12" s="51">
        <v>4</v>
      </c>
      <c r="O12" s="51">
        <f t="shared" ref="O12:P12" si="20">D12/7</f>
        <v>0.2857142857142857</v>
      </c>
      <c r="P12" s="51">
        <f t="shared" si="20"/>
        <v>0</v>
      </c>
      <c r="Q12" s="51">
        <f t="shared" si="7"/>
        <v>14</v>
      </c>
      <c r="R12" s="52">
        <v>0</v>
      </c>
      <c r="S12" s="53" t="s">
        <v>34</v>
      </c>
      <c r="T12" s="54" t="s">
        <v>34</v>
      </c>
      <c r="U12" s="52">
        <v>0</v>
      </c>
      <c r="V12" s="55">
        <f t="shared" si="8"/>
        <v>0</v>
      </c>
      <c r="W12" s="55">
        <f t="shared" si="9"/>
        <v>0</v>
      </c>
      <c r="X12" s="52">
        <v>0</v>
      </c>
      <c r="Y12" s="52" t="s">
        <v>35</v>
      </c>
      <c r="Z12" s="56">
        <f t="shared" si="19"/>
        <v>-0.75</v>
      </c>
      <c r="AA12" s="55">
        <v>0.13163773148148147</v>
      </c>
      <c r="AB12" s="55">
        <f t="shared" si="11"/>
        <v>-9.8728298611111098E-2</v>
      </c>
      <c r="AC12" s="55">
        <v>-3.48</v>
      </c>
      <c r="AD12" s="55">
        <v>-5.85</v>
      </c>
      <c r="AE12" s="55">
        <v>0</v>
      </c>
      <c r="AF12" s="55"/>
    </row>
    <row r="13" spans="1:32" s="57" customFormat="1" ht="15.75" customHeight="1">
      <c r="A13" s="17" t="s">
        <v>63</v>
      </c>
      <c r="B13"/>
      <c r="C13" s="51">
        <v>17.989999999999998</v>
      </c>
      <c r="D13" s="51">
        <v>1</v>
      </c>
      <c r="E13" s="51">
        <v>0</v>
      </c>
      <c r="F13" s="51">
        <v>17.989999999999998</v>
      </c>
      <c r="G13" s="51">
        <v>0</v>
      </c>
      <c r="H13" s="51">
        <f t="shared" si="1"/>
        <v>0</v>
      </c>
      <c r="I13" s="51">
        <f t="shared" si="2"/>
        <v>0.33000655504987325</v>
      </c>
      <c r="J13" s="51">
        <f t="shared" si="4"/>
        <v>5.9368179253472197</v>
      </c>
      <c r="K13" s="51">
        <f t="shared" si="3"/>
        <v>5.9368179253472197</v>
      </c>
      <c r="L13" s="51">
        <v>2</v>
      </c>
      <c r="M13" s="51">
        <f t="shared" si="5"/>
        <v>0.5</v>
      </c>
      <c r="N13" s="51">
        <v>1</v>
      </c>
      <c r="O13" s="51">
        <f t="shared" ref="O13:P13" si="21">D13/7</f>
        <v>0.14285714285714285</v>
      </c>
      <c r="P13" s="51">
        <f t="shared" si="21"/>
        <v>0</v>
      </c>
      <c r="Q13" s="51">
        <f t="shared" si="7"/>
        <v>7</v>
      </c>
      <c r="R13" s="52">
        <v>0</v>
      </c>
      <c r="S13" s="53" t="s">
        <v>34</v>
      </c>
      <c r="T13" s="54" t="s">
        <v>34</v>
      </c>
      <c r="U13" s="52">
        <v>0</v>
      </c>
      <c r="V13" s="55">
        <f t="shared" si="8"/>
        <v>0</v>
      </c>
      <c r="W13" s="55">
        <f t="shared" si="9"/>
        <v>0</v>
      </c>
      <c r="X13" s="52">
        <v>0</v>
      </c>
      <c r="Y13" s="52" t="s">
        <v>35</v>
      </c>
      <c r="Z13" s="56">
        <f t="shared" si="19"/>
        <v>-0.75</v>
      </c>
      <c r="AA13" s="55">
        <v>0.13163773148148147</v>
      </c>
      <c r="AB13" s="55">
        <f t="shared" si="11"/>
        <v>-2.4682074652777775E-2</v>
      </c>
      <c r="AC13" s="55">
        <v>-3.48</v>
      </c>
      <c r="AD13" s="55">
        <v>-5.85</v>
      </c>
      <c r="AE13" s="55">
        <v>0</v>
      </c>
      <c r="AF13" s="55"/>
    </row>
    <row r="14" spans="1:32" s="57" customFormat="1" ht="15.75" customHeight="1">
      <c r="A14" s="17" t="s">
        <v>64</v>
      </c>
      <c r="B14"/>
      <c r="C14" s="51">
        <v>15.99</v>
      </c>
      <c r="D14" s="51">
        <v>3</v>
      </c>
      <c r="E14" s="51">
        <v>0</v>
      </c>
      <c r="F14" s="51">
        <v>47.97</v>
      </c>
      <c r="G14" s="51">
        <v>0</v>
      </c>
      <c r="H14" s="51">
        <f t="shared" si="1"/>
        <v>0</v>
      </c>
      <c r="I14" s="51">
        <f t="shared" si="2"/>
        <v>0.26651031894934335</v>
      </c>
      <c r="J14" s="51">
        <f t="shared" si="4"/>
        <v>12.7845</v>
      </c>
      <c r="K14" s="51">
        <f t="shared" si="3"/>
        <v>4.2614999999999998</v>
      </c>
      <c r="L14" s="51">
        <v>7</v>
      </c>
      <c r="M14" s="51">
        <f t="shared" si="5"/>
        <v>0.42857142857142855</v>
      </c>
      <c r="N14" s="51">
        <v>0</v>
      </c>
      <c r="O14" s="51">
        <f t="shared" ref="O14:P14" si="22">D14/7</f>
        <v>0.42857142857142855</v>
      </c>
      <c r="P14" s="51">
        <f t="shared" si="22"/>
        <v>0</v>
      </c>
      <c r="Q14" s="51">
        <f t="shared" si="7"/>
        <v>0</v>
      </c>
      <c r="R14" s="52">
        <v>0</v>
      </c>
      <c r="S14" s="53" t="s">
        <v>34</v>
      </c>
      <c r="T14" s="54" t="s">
        <v>34</v>
      </c>
      <c r="U14" s="52">
        <v>0</v>
      </c>
      <c r="V14" s="55">
        <f t="shared" si="8"/>
        <v>0</v>
      </c>
      <c r="W14" s="55">
        <f t="shared" si="9"/>
        <v>0</v>
      </c>
      <c r="X14" s="52">
        <v>0</v>
      </c>
      <c r="Y14" s="52" t="s">
        <v>35</v>
      </c>
      <c r="Z14" s="56">
        <f t="shared" si="19"/>
        <v>-0.75</v>
      </c>
      <c r="AA14" s="55">
        <v>0.13163773148148147</v>
      </c>
      <c r="AB14" s="55">
        <f t="shared" si="11"/>
        <v>0</v>
      </c>
      <c r="AC14" s="55">
        <v>-3.48</v>
      </c>
      <c r="AD14" s="55">
        <v>-5.85</v>
      </c>
      <c r="AE14" s="55">
        <v>0</v>
      </c>
      <c r="AF14" s="55"/>
    </row>
    <row r="15" spans="1:32" s="57" customFormat="1" ht="15.75" customHeight="1">
      <c r="A15" s="17" t="s">
        <v>65</v>
      </c>
      <c r="B15"/>
      <c r="C15" s="51" t="s">
        <v>397</v>
      </c>
      <c r="D15" s="51">
        <v>0</v>
      </c>
      <c r="E15" s="51">
        <v>0</v>
      </c>
      <c r="F15" s="51">
        <v>0</v>
      </c>
      <c r="G15" s="51">
        <v>0</v>
      </c>
      <c r="H15" s="51" t="e">
        <f t="shared" si="1"/>
        <v>#DIV/0!</v>
      </c>
      <c r="I15" s="51" t="e">
        <f t="shared" si="2"/>
        <v>#DIV/0!</v>
      </c>
      <c r="J15" s="51">
        <f t="shared" si="4"/>
        <v>0</v>
      </c>
      <c r="K15" s="51" t="e">
        <f t="shared" si="3"/>
        <v>#DIV/0!</v>
      </c>
      <c r="L15" s="51">
        <v>0</v>
      </c>
      <c r="M15" s="51" t="str">
        <f t="shared" si="5"/>
        <v>-</v>
      </c>
      <c r="N15" s="51">
        <v>0</v>
      </c>
      <c r="O15" s="51">
        <f t="shared" ref="O15:P15" si="23">D15/7</f>
        <v>0</v>
      </c>
      <c r="P15" s="51">
        <f t="shared" si="23"/>
        <v>0</v>
      </c>
      <c r="Q15" s="51" t="e">
        <f t="shared" si="7"/>
        <v>#DIV/0!</v>
      </c>
      <c r="R15" s="52">
        <v>0</v>
      </c>
      <c r="S15" s="53" t="s">
        <v>34</v>
      </c>
      <c r="T15" s="54" t="s">
        <v>34</v>
      </c>
      <c r="U15" s="52">
        <v>0</v>
      </c>
      <c r="V15" s="55">
        <f t="shared" si="8"/>
        <v>0</v>
      </c>
      <c r="W15" s="55">
        <f t="shared" si="9"/>
        <v>0</v>
      </c>
      <c r="X15" s="52">
        <v>0</v>
      </c>
      <c r="Y15" s="52" t="e">
        <v>#N/A</v>
      </c>
      <c r="Z15" s="56" t="e">
        <f t="shared" si="19"/>
        <v>#N/A</v>
      </c>
      <c r="AA15" s="55" t="e">
        <v>#N/A</v>
      </c>
      <c r="AB15" s="55">
        <f t="shared" si="11"/>
        <v>0</v>
      </c>
      <c r="AC15" s="55">
        <v>0</v>
      </c>
      <c r="AD15" s="55">
        <v>-5.85</v>
      </c>
      <c r="AE15" s="55">
        <v>0</v>
      </c>
      <c r="AF15" s="55"/>
    </row>
    <row r="16" spans="1:32" s="57" customFormat="1" ht="15.75" customHeight="1">
      <c r="A16" s="17" t="s">
        <v>66</v>
      </c>
      <c r="B16"/>
      <c r="C16" s="51" t="s">
        <v>397</v>
      </c>
      <c r="D16" s="51">
        <v>0</v>
      </c>
      <c r="E16" s="51">
        <v>0</v>
      </c>
      <c r="F16" s="51">
        <v>0</v>
      </c>
      <c r="G16" s="51">
        <v>0</v>
      </c>
      <c r="H16" s="51" t="e">
        <f t="shared" si="1"/>
        <v>#DIV/0!</v>
      </c>
      <c r="I16" s="51" t="e">
        <f t="shared" si="2"/>
        <v>#DIV/0!</v>
      </c>
      <c r="J16" s="51">
        <f t="shared" si="4"/>
        <v>0</v>
      </c>
      <c r="K16" s="51" t="e">
        <f t="shared" si="3"/>
        <v>#DIV/0!</v>
      </c>
      <c r="L16" s="51">
        <v>0</v>
      </c>
      <c r="M16" s="51" t="str">
        <f t="shared" si="5"/>
        <v>-</v>
      </c>
      <c r="N16" s="51">
        <v>0</v>
      </c>
      <c r="O16" s="51">
        <f t="shared" ref="O16:P16" si="24">D16/7</f>
        <v>0</v>
      </c>
      <c r="P16" s="51">
        <f t="shared" si="24"/>
        <v>0</v>
      </c>
      <c r="Q16" s="51" t="e">
        <f t="shared" si="7"/>
        <v>#DIV/0!</v>
      </c>
      <c r="R16" s="52">
        <v>0</v>
      </c>
      <c r="S16" s="53" t="s">
        <v>34</v>
      </c>
      <c r="T16" s="54" t="s">
        <v>34</v>
      </c>
      <c r="U16" s="52">
        <v>0</v>
      </c>
      <c r="V16" s="55">
        <f t="shared" si="8"/>
        <v>0</v>
      </c>
      <c r="W16" s="55">
        <f t="shared" si="9"/>
        <v>0</v>
      </c>
      <c r="X16" s="52">
        <v>0</v>
      </c>
      <c r="Y16" s="52" t="e">
        <v>#N/A</v>
      </c>
      <c r="Z16" s="56" t="e">
        <f t="shared" si="19"/>
        <v>#N/A</v>
      </c>
      <c r="AA16" s="55" t="e">
        <v>#N/A</v>
      </c>
      <c r="AB16" s="55">
        <f t="shared" si="11"/>
        <v>0</v>
      </c>
      <c r="AC16" s="55">
        <v>0</v>
      </c>
      <c r="AD16" s="55">
        <v>-5.85</v>
      </c>
      <c r="AE16" s="55">
        <v>0</v>
      </c>
      <c r="AF16" s="55"/>
    </row>
    <row r="17" spans="1:32" s="57" customFormat="1" ht="15.75" customHeight="1">
      <c r="A17" s="17" t="s">
        <v>67</v>
      </c>
      <c r="B17"/>
      <c r="C17" s="51" t="s">
        <v>397</v>
      </c>
      <c r="D17" s="51">
        <v>0</v>
      </c>
      <c r="E17" s="51">
        <v>0</v>
      </c>
      <c r="F17" s="51">
        <v>0</v>
      </c>
      <c r="G17" s="51">
        <v>0</v>
      </c>
      <c r="H17" s="51" t="e">
        <f t="shared" si="1"/>
        <v>#DIV/0!</v>
      </c>
      <c r="I17" s="51" t="e">
        <f t="shared" si="2"/>
        <v>#DIV/0!</v>
      </c>
      <c r="J17" s="51">
        <f t="shared" si="4"/>
        <v>0</v>
      </c>
      <c r="K17" s="51" t="e">
        <f t="shared" si="3"/>
        <v>#DIV/0!</v>
      </c>
      <c r="L17" s="51">
        <v>0</v>
      </c>
      <c r="M17" s="51" t="str">
        <f t="shared" si="5"/>
        <v>-</v>
      </c>
      <c r="N17" s="51">
        <v>0</v>
      </c>
      <c r="O17" s="51">
        <f t="shared" ref="O17:P17" si="25">D17/7</f>
        <v>0</v>
      </c>
      <c r="P17" s="51">
        <f t="shared" si="25"/>
        <v>0</v>
      </c>
      <c r="Q17" s="51" t="e">
        <f t="shared" si="7"/>
        <v>#DIV/0!</v>
      </c>
      <c r="R17" s="52">
        <v>0</v>
      </c>
      <c r="S17" s="53" t="s">
        <v>34</v>
      </c>
      <c r="T17" s="54" t="s">
        <v>34</v>
      </c>
      <c r="U17" s="52">
        <v>0</v>
      </c>
      <c r="V17" s="55">
        <f t="shared" si="8"/>
        <v>0</v>
      </c>
      <c r="W17" s="55">
        <f t="shared" si="9"/>
        <v>0</v>
      </c>
      <c r="X17" s="52">
        <v>0</v>
      </c>
      <c r="Y17" s="52" t="e">
        <v>#N/A</v>
      </c>
      <c r="Z17" s="56" t="e">
        <f t="shared" si="19"/>
        <v>#N/A</v>
      </c>
      <c r="AA17" s="55" t="e">
        <v>#N/A</v>
      </c>
      <c r="AB17" s="55">
        <f t="shared" si="11"/>
        <v>0</v>
      </c>
      <c r="AC17" s="55">
        <v>0</v>
      </c>
      <c r="AD17" s="55">
        <v>-5.85</v>
      </c>
      <c r="AE17" s="55">
        <v>0</v>
      </c>
      <c r="AF17" s="55"/>
    </row>
    <row r="18" spans="1:32" s="57" customFormat="1" ht="15.75" customHeight="1">
      <c r="A18" s="2" t="s">
        <v>69</v>
      </c>
      <c r="B18" s="2"/>
      <c r="C18" s="51" t="s">
        <v>397</v>
      </c>
      <c r="D18" s="51">
        <v>0</v>
      </c>
      <c r="E18" s="51">
        <v>0</v>
      </c>
      <c r="F18" s="51">
        <v>0</v>
      </c>
      <c r="G18" s="51">
        <v>0</v>
      </c>
      <c r="H18" s="51" t="e">
        <f t="shared" si="1"/>
        <v>#DIV/0!</v>
      </c>
      <c r="I18" s="51" t="e">
        <f t="shared" si="2"/>
        <v>#DIV/0!</v>
      </c>
      <c r="J18" s="51">
        <f t="shared" si="4"/>
        <v>0</v>
      </c>
      <c r="K18" s="51" t="e">
        <f t="shared" si="3"/>
        <v>#DIV/0!</v>
      </c>
      <c r="L18" s="51">
        <v>0</v>
      </c>
      <c r="M18" s="51" t="str">
        <f t="shared" si="5"/>
        <v>-</v>
      </c>
      <c r="N18" s="51">
        <v>0</v>
      </c>
      <c r="O18" s="51">
        <f t="shared" ref="O18:P18" si="26">D18/7</f>
        <v>0</v>
      </c>
      <c r="P18" s="51">
        <f t="shared" si="26"/>
        <v>0</v>
      </c>
      <c r="Q18" s="51" t="e">
        <f t="shared" si="7"/>
        <v>#DIV/0!</v>
      </c>
      <c r="R18" s="55">
        <v>0</v>
      </c>
      <c r="S18" s="53" t="s">
        <v>34</v>
      </c>
      <c r="T18" s="54" t="s">
        <v>34</v>
      </c>
      <c r="U18" s="55">
        <v>0</v>
      </c>
      <c r="V18" s="55">
        <f t="shared" si="8"/>
        <v>0</v>
      </c>
      <c r="W18" s="55">
        <f t="shared" si="9"/>
        <v>0</v>
      </c>
      <c r="X18" s="55">
        <v>0</v>
      </c>
      <c r="Y18" s="55" t="e">
        <v>#N/A</v>
      </c>
      <c r="Z18" s="56" t="e">
        <f t="shared" si="19"/>
        <v>#N/A</v>
      </c>
      <c r="AA18" s="55" t="e">
        <v>#N/A</v>
      </c>
      <c r="AB18" s="58">
        <f t="shared" ref="AB18:AB39" si="27">IFERROR(Z18*AA18*D18*3,0)</f>
        <v>0</v>
      </c>
      <c r="AC18" s="55">
        <v>0</v>
      </c>
      <c r="AD18" s="55">
        <v>-5.85</v>
      </c>
      <c r="AE18" s="55">
        <v>0</v>
      </c>
      <c r="AF18" s="55"/>
    </row>
    <row r="19" spans="1:32" s="57" customFormat="1" ht="15.75" customHeight="1">
      <c r="A19" s="17" t="s">
        <v>71</v>
      </c>
      <c r="B19"/>
      <c r="C19" s="51" t="s">
        <v>397</v>
      </c>
      <c r="D19" s="51">
        <v>0</v>
      </c>
      <c r="E19" s="51">
        <v>0</v>
      </c>
      <c r="F19" s="51">
        <v>0</v>
      </c>
      <c r="G19" s="51">
        <v>0</v>
      </c>
      <c r="H19" s="51" t="e">
        <f t="shared" si="1"/>
        <v>#DIV/0!</v>
      </c>
      <c r="I19" s="51" t="e">
        <f t="shared" si="2"/>
        <v>#DIV/0!</v>
      </c>
      <c r="J19" s="51">
        <f t="shared" si="4"/>
        <v>0</v>
      </c>
      <c r="K19" s="51" t="e">
        <f t="shared" si="3"/>
        <v>#DIV/0!</v>
      </c>
      <c r="L19" s="51">
        <v>0</v>
      </c>
      <c r="M19" s="51" t="str">
        <f t="shared" si="5"/>
        <v>-</v>
      </c>
      <c r="N19" s="51">
        <v>0</v>
      </c>
      <c r="O19" s="51">
        <f t="shared" ref="O19:P19" si="28">D19/7</f>
        <v>0</v>
      </c>
      <c r="P19" s="51">
        <f t="shared" si="28"/>
        <v>0</v>
      </c>
      <c r="Q19" s="51" t="e">
        <f t="shared" si="7"/>
        <v>#DIV/0!</v>
      </c>
      <c r="R19" s="52">
        <v>0</v>
      </c>
      <c r="S19" s="53" t="s">
        <v>34</v>
      </c>
      <c r="T19" s="54" t="s">
        <v>34</v>
      </c>
      <c r="U19" s="55">
        <v>0</v>
      </c>
      <c r="V19" s="55">
        <f t="shared" si="8"/>
        <v>0</v>
      </c>
      <c r="W19" s="55">
        <f t="shared" si="9"/>
        <v>0</v>
      </c>
      <c r="X19" s="52">
        <v>0</v>
      </c>
      <c r="Y19" s="52" t="e">
        <v>#N/A</v>
      </c>
      <c r="Z19" s="56" t="e">
        <f t="shared" si="19"/>
        <v>#N/A</v>
      </c>
      <c r="AA19" s="55" t="e">
        <v>#N/A</v>
      </c>
      <c r="AB19" s="55">
        <f t="shared" si="27"/>
        <v>0</v>
      </c>
      <c r="AC19" s="55">
        <v>0</v>
      </c>
      <c r="AD19" s="55">
        <v>-5.85</v>
      </c>
      <c r="AE19" s="55">
        <v>0</v>
      </c>
      <c r="AF19" s="55"/>
    </row>
    <row r="20" spans="1:32" s="57" customFormat="1" ht="15.75" customHeight="1">
      <c r="A20" s="17" t="s">
        <v>73</v>
      </c>
      <c r="B20"/>
      <c r="C20" s="51" t="s">
        <v>397</v>
      </c>
      <c r="D20" s="51">
        <v>0</v>
      </c>
      <c r="E20" s="51">
        <v>0</v>
      </c>
      <c r="F20" s="51">
        <v>0</v>
      </c>
      <c r="G20" s="51">
        <v>0</v>
      </c>
      <c r="H20" s="51" t="e">
        <f t="shared" si="1"/>
        <v>#DIV/0!</v>
      </c>
      <c r="I20" s="51" t="e">
        <f t="shared" si="2"/>
        <v>#DIV/0!</v>
      </c>
      <c r="J20" s="51">
        <f t="shared" si="4"/>
        <v>0</v>
      </c>
      <c r="K20" s="51" t="e">
        <f t="shared" si="3"/>
        <v>#DIV/0!</v>
      </c>
      <c r="L20" s="51">
        <v>0</v>
      </c>
      <c r="M20" s="51" t="str">
        <f t="shared" si="5"/>
        <v>-</v>
      </c>
      <c r="N20" s="51">
        <v>0</v>
      </c>
      <c r="O20" s="51">
        <f t="shared" ref="O20:P20" si="29">D20/7</f>
        <v>0</v>
      </c>
      <c r="P20" s="51">
        <f t="shared" si="29"/>
        <v>0</v>
      </c>
      <c r="Q20" s="51" t="e">
        <f t="shared" si="7"/>
        <v>#DIV/0!</v>
      </c>
      <c r="R20" s="52">
        <v>0</v>
      </c>
      <c r="S20" s="53" t="s">
        <v>34</v>
      </c>
      <c r="T20" s="54" t="s">
        <v>34</v>
      </c>
      <c r="U20" s="52">
        <v>0</v>
      </c>
      <c r="V20" s="55">
        <f t="shared" si="8"/>
        <v>0</v>
      </c>
      <c r="W20" s="55">
        <f t="shared" si="9"/>
        <v>0</v>
      </c>
      <c r="X20" s="52">
        <v>0</v>
      </c>
      <c r="Y20" s="52" t="e">
        <v>#N/A</v>
      </c>
      <c r="Z20" s="56" t="e">
        <f t="shared" si="19"/>
        <v>#N/A</v>
      </c>
      <c r="AA20" s="55" t="e">
        <v>#N/A</v>
      </c>
      <c r="AB20" s="55">
        <f t="shared" si="27"/>
        <v>0</v>
      </c>
      <c r="AC20" s="55">
        <v>0</v>
      </c>
      <c r="AD20" s="55">
        <v>-5.85</v>
      </c>
      <c r="AE20" s="55">
        <v>0</v>
      </c>
      <c r="AF20" s="55"/>
    </row>
    <row r="21" spans="1:32" s="57" customFormat="1" ht="15.75" customHeight="1">
      <c r="A21" s="17" t="s">
        <v>75</v>
      </c>
      <c r="B21"/>
      <c r="C21" s="51" t="s">
        <v>397</v>
      </c>
      <c r="D21" s="51">
        <v>0</v>
      </c>
      <c r="E21" s="51">
        <v>0</v>
      </c>
      <c r="F21" s="51">
        <v>0</v>
      </c>
      <c r="G21" s="51">
        <v>0</v>
      </c>
      <c r="H21" s="51" t="e">
        <f t="shared" si="1"/>
        <v>#DIV/0!</v>
      </c>
      <c r="I21" s="51" t="e">
        <f t="shared" si="2"/>
        <v>#DIV/0!</v>
      </c>
      <c r="J21" s="51">
        <f t="shared" si="4"/>
        <v>0</v>
      </c>
      <c r="K21" s="51" t="e">
        <f t="shared" si="3"/>
        <v>#DIV/0!</v>
      </c>
      <c r="L21" s="51">
        <v>0</v>
      </c>
      <c r="M21" s="51" t="str">
        <f t="shared" si="5"/>
        <v>-</v>
      </c>
      <c r="N21" s="51">
        <v>0</v>
      </c>
      <c r="O21" s="51">
        <f t="shared" ref="O21:P21" si="30">D21/7</f>
        <v>0</v>
      </c>
      <c r="P21" s="51">
        <f t="shared" si="30"/>
        <v>0</v>
      </c>
      <c r="Q21" s="51" t="e">
        <f t="shared" si="7"/>
        <v>#DIV/0!</v>
      </c>
      <c r="R21" s="52">
        <v>0</v>
      </c>
      <c r="S21" s="53" t="s">
        <v>34</v>
      </c>
      <c r="T21" s="54" t="s">
        <v>34</v>
      </c>
      <c r="U21" s="52">
        <v>0</v>
      </c>
      <c r="V21" s="55">
        <f t="shared" si="8"/>
        <v>0</v>
      </c>
      <c r="W21" s="55">
        <f t="shared" si="9"/>
        <v>0</v>
      </c>
      <c r="X21" s="52">
        <v>0</v>
      </c>
      <c r="Y21" s="52" t="e">
        <v>#N/A</v>
      </c>
      <c r="Z21" s="56" t="e">
        <f t="shared" si="19"/>
        <v>#N/A</v>
      </c>
      <c r="AA21" s="55" t="e">
        <v>#N/A</v>
      </c>
      <c r="AB21" s="55">
        <f t="shared" si="27"/>
        <v>0</v>
      </c>
      <c r="AC21" s="55">
        <v>0</v>
      </c>
      <c r="AD21" s="55">
        <v>-5.85</v>
      </c>
      <c r="AE21" s="55">
        <v>0</v>
      </c>
      <c r="AF21" s="55"/>
    </row>
    <row r="22" spans="1:32" s="57" customFormat="1" ht="15.75" customHeight="1">
      <c r="A22" s="17" t="s">
        <v>77</v>
      </c>
      <c r="B22"/>
      <c r="C22" s="51" t="s">
        <v>397</v>
      </c>
      <c r="D22" s="51">
        <v>0</v>
      </c>
      <c r="E22" s="51">
        <v>0</v>
      </c>
      <c r="F22" s="51">
        <v>0</v>
      </c>
      <c r="G22" s="51">
        <v>0</v>
      </c>
      <c r="H22" s="51" t="e">
        <f t="shared" si="1"/>
        <v>#DIV/0!</v>
      </c>
      <c r="I22" s="51" t="e">
        <f t="shared" si="2"/>
        <v>#DIV/0!</v>
      </c>
      <c r="J22" s="51">
        <f t="shared" si="4"/>
        <v>0</v>
      </c>
      <c r="K22" s="51" t="e">
        <f t="shared" si="3"/>
        <v>#DIV/0!</v>
      </c>
      <c r="L22" s="51">
        <v>0</v>
      </c>
      <c r="M22" s="51" t="str">
        <f t="shared" si="5"/>
        <v>-</v>
      </c>
      <c r="N22" s="51">
        <v>0</v>
      </c>
      <c r="O22" s="51">
        <f t="shared" ref="O22:P22" si="31">D22/7</f>
        <v>0</v>
      </c>
      <c r="P22" s="51">
        <f t="shared" si="31"/>
        <v>0</v>
      </c>
      <c r="Q22" s="51" t="e">
        <f t="shared" si="7"/>
        <v>#DIV/0!</v>
      </c>
      <c r="R22" s="52">
        <v>0</v>
      </c>
      <c r="S22" s="53" t="s">
        <v>34</v>
      </c>
      <c r="T22" s="54" t="s">
        <v>34</v>
      </c>
      <c r="U22" s="52">
        <v>0</v>
      </c>
      <c r="V22" s="55">
        <f t="shared" si="8"/>
        <v>0</v>
      </c>
      <c r="W22" s="55">
        <f t="shared" si="9"/>
        <v>0</v>
      </c>
      <c r="X22" s="52">
        <v>0</v>
      </c>
      <c r="Y22" s="52" t="e">
        <v>#N/A</v>
      </c>
      <c r="Z22" s="56" t="e">
        <f t="shared" si="19"/>
        <v>#N/A</v>
      </c>
      <c r="AA22" s="55" t="e">
        <v>#N/A</v>
      </c>
      <c r="AB22" s="55">
        <f t="shared" si="27"/>
        <v>0</v>
      </c>
      <c r="AC22" s="55">
        <v>0</v>
      </c>
      <c r="AD22" s="55">
        <v>-5.85</v>
      </c>
      <c r="AE22" s="55">
        <v>0</v>
      </c>
      <c r="AF22" s="55"/>
    </row>
    <row r="23" spans="1:32" s="57" customFormat="1" ht="15.75" customHeight="1">
      <c r="A23" s="17" t="s">
        <v>79</v>
      </c>
      <c r="B23"/>
      <c r="C23" s="51" t="s">
        <v>397</v>
      </c>
      <c r="D23" s="51">
        <v>0</v>
      </c>
      <c r="E23" s="51">
        <v>0</v>
      </c>
      <c r="F23" s="51">
        <v>0</v>
      </c>
      <c r="G23" s="51">
        <v>0</v>
      </c>
      <c r="H23" s="51" t="e">
        <f t="shared" si="1"/>
        <v>#DIV/0!</v>
      </c>
      <c r="I23" s="51" t="e">
        <f t="shared" si="2"/>
        <v>#DIV/0!</v>
      </c>
      <c r="J23" s="51">
        <f t="shared" si="4"/>
        <v>0</v>
      </c>
      <c r="K23" s="51" t="e">
        <f t="shared" si="3"/>
        <v>#DIV/0!</v>
      </c>
      <c r="L23" s="51">
        <v>0</v>
      </c>
      <c r="M23" s="51" t="str">
        <f t="shared" si="5"/>
        <v>-</v>
      </c>
      <c r="N23" s="51">
        <v>0</v>
      </c>
      <c r="O23" s="51">
        <f t="shared" ref="O23:P23" si="32">D23/7</f>
        <v>0</v>
      </c>
      <c r="P23" s="51">
        <f t="shared" si="32"/>
        <v>0</v>
      </c>
      <c r="Q23" s="51" t="e">
        <f t="shared" si="7"/>
        <v>#DIV/0!</v>
      </c>
      <c r="R23" s="52">
        <v>0</v>
      </c>
      <c r="S23" s="53" t="s">
        <v>34</v>
      </c>
      <c r="T23" s="54" t="s">
        <v>34</v>
      </c>
      <c r="U23" s="52">
        <v>0</v>
      </c>
      <c r="V23" s="55">
        <f t="shared" si="8"/>
        <v>0</v>
      </c>
      <c r="W23" s="55">
        <f t="shared" si="9"/>
        <v>0</v>
      </c>
      <c r="X23" s="52">
        <v>0</v>
      </c>
      <c r="Y23" s="52" t="e">
        <v>#N/A</v>
      </c>
      <c r="Z23" s="56" t="e">
        <f t="shared" si="19"/>
        <v>#N/A</v>
      </c>
      <c r="AA23" s="55" t="e">
        <v>#N/A</v>
      </c>
      <c r="AB23" s="55">
        <f t="shared" si="27"/>
        <v>0</v>
      </c>
      <c r="AC23" s="55">
        <v>0</v>
      </c>
      <c r="AD23" s="55">
        <v>-5.85</v>
      </c>
      <c r="AE23" s="55">
        <v>0</v>
      </c>
      <c r="AF23" s="55"/>
    </row>
    <row r="24" spans="1:32" s="57" customFormat="1" ht="15.75" customHeight="1">
      <c r="A24" s="17" t="s">
        <v>80</v>
      </c>
      <c r="B24"/>
      <c r="C24" s="51"/>
      <c r="D24" s="51">
        <v>0</v>
      </c>
      <c r="E24" s="51">
        <v>0</v>
      </c>
      <c r="F24" s="51">
        <v>0</v>
      </c>
      <c r="G24" s="51">
        <v>0</v>
      </c>
      <c r="H24" s="51" t="e">
        <f t="shared" si="1"/>
        <v>#DIV/0!</v>
      </c>
      <c r="I24" s="51" t="e">
        <f t="shared" si="2"/>
        <v>#DIV/0!</v>
      </c>
      <c r="J24" s="51">
        <f t="shared" si="4"/>
        <v>0</v>
      </c>
      <c r="K24" s="51" t="e">
        <f t="shared" si="3"/>
        <v>#DIV/0!</v>
      </c>
      <c r="L24" s="51">
        <v>0</v>
      </c>
      <c r="M24" s="51" t="str">
        <f t="shared" si="5"/>
        <v>-</v>
      </c>
      <c r="N24" s="51">
        <v>0</v>
      </c>
      <c r="O24" s="51">
        <f t="shared" ref="O24:P24" si="33">D24/7</f>
        <v>0</v>
      </c>
      <c r="P24" s="51">
        <f t="shared" si="33"/>
        <v>0</v>
      </c>
      <c r="Q24" s="51" t="e">
        <f t="shared" si="7"/>
        <v>#DIV/0!</v>
      </c>
      <c r="R24" s="52">
        <v>0</v>
      </c>
      <c r="S24" s="53" t="s">
        <v>34</v>
      </c>
      <c r="T24" s="54" t="s">
        <v>34</v>
      </c>
      <c r="U24" s="52">
        <v>0</v>
      </c>
      <c r="V24" s="55">
        <f t="shared" si="8"/>
        <v>0</v>
      </c>
      <c r="W24" s="55">
        <f t="shared" si="9"/>
        <v>0</v>
      </c>
      <c r="X24" s="52">
        <v>0</v>
      </c>
      <c r="Y24" s="52" t="e">
        <v>#N/A</v>
      </c>
      <c r="Z24" s="56" t="e">
        <f t="shared" si="19"/>
        <v>#N/A</v>
      </c>
      <c r="AA24" s="55" t="e">
        <v>#N/A</v>
      </c>
      <c r="AB24" s="55">
        <f t="shared" si="27"/>
        <v>0</v>
      </c>
      <c r="AC24" s="55">
        <v>0</v>
      </c>
      <c r="AD24" s="55">
        <v>-5.85</v>
      </c>
      <c r="AE24" s="55">
        <v>0</v>
      </c>
      <c r="AF24" s="55"/>
    </row>
    <row r="25" spans="1:32" s="57" customFormat="1" ht="15.75" customHeight="1">
      <c r="A25" s="17" t="s">
        <v>81</v>
      </c>
      <c r="B25"/>
      <c r="C25" s="51"/>
      <c r="D25" s="51">
        <v>0</v>
      </c>
      <c r="E25" s="51">
        <v>0</v>
      </c>
      <c r="F25" s="51">
        <v>0</v>
      </c>
      <c r="G25" s="51">
        <v>0</v>
      </c>
      <c r="H25" s="51" t="e">
        <f t="shared" si="1"/>
        <v>#DIV/0!</v>
      </c>
      <c r="I25" s="51" t="e">
        <f t="shared" si="2"/>
        <v>#DIV/0!</v>
      </c>
      <c r="J25" s="51">
        <f t="shared" si="4"/>
        <v>0</v>
      </c>
      <c r="K25" s="51" t="e">
        <f t="shared" si="3"/>
        <v>#DIV/0!</v>
      </c>
      <c r="L25" s="51">
        <v>0</v>
      </c>
      <c r="M25" s="51" t="str">
        <f t="shared" si="5"/>
        <v>-</v>
      </c>
      <c r="N25" s="51">
        <v>0</v>
      </c>
      <c r="O25" s="51">
        <f t="shared" ref="O25:P25" si="34">D25/7</f>
        <v>0</v>
      </c>
      <c r="P25" s="51">
        <f t="shared" si="34"/>
        <v>0</v>
      </c>
      <c r="Q25" s="51" t="e">
        <f t="shared" si="7"/>
        <v>#DIV/0!</v>
      </c>
      <c r="R25" s="52">
        <v>0</v>
      </c>
      <c r="S25" s="53" t="s">
        <v>34</v>
      </c>
      <c r="T25" s="54" t="s">
        <v>34</v>
      </c>
      <c r="U25" s="52">
        <v>0</v>
      </c>
      <c r="V25" s="55">
        <f t="shared" si="8"/>
        <v>0</v>
      </c>
      <c r="W25" s="55">
        <f t="shared" si="9"/>
        <v>0</v>
      </c>
      <c r="X25" s="52">
        <v>0</v>
      </c>
      <c r="Y25" s="52" t="e">
        <v>#N/A</v>
      </c>
      <c r="Z25" s="56" t="e">
        <f t="shared" si="19"/>
        <v>#N/A</v>
      </c>
      <c r="AA25" s="55" t="e">
        <v>#N/A</v>
      </c>
      <c r="AB25" s="55">
        <f t="shared" si="27"/>
        <v>0</v>
      </c>
      <c r="AC25" s="55">
        <v>0</v>
      </c>
      <c r="AD25" s="55">
        <v>-5.85</v>
      </c>
      <c r="AE25" s="55">
        <v>0</v>
      </c>
      <c r="AF25" s="55"/>
    </row>
    <row r="26" spans="1:32" s="57" customFormat="1" ht="15.75" customHeight="1">
      <c r="A26" s="17" t="s">
        <v>83</v>
      </c>
      <c r="B26"/>
      <c r="C26" s="51" t="str">
        <f t="shared" ref="C26:C39" si="35">IFERROR(F26/D26," - ")</f>
        <v xml:space="preserve"> - </v>
      </c>
      <c r="D26" s="51">
        <v>0</v>
      </c>
      <c r="E26" s="51">
        <v>0</v>
      </c>
      <c r="F26" s="51">
        <v>0</v>
      </c>
      <c r="G26" s="51">
        <v>0</v>
      </c>
      <c r="H26" s="51" t="e">
        <f t="shared" si="1"/>
        <v>#DIV/0!</v>
      </c>
      <c r="I26" s="51" t="e">
        <f t="shared" si="2"/>
        <v>#DIV/0!</v>
      </c>
      <c r="J26" s="51">
        <f t="shared" si="4"/>
        <v>0</v>
      </c>
      <c r="K26" s="51" t="e">
        <f t="shared" si="3"/>
        <v>#DIV/0!</v>
      </c>
      <c r="L26" s="51">
        <v>0</v>
      </c>
      <c r="M26" s="51" t="str">
        <f t="shared" si="5"/>
        <v>-</v>
      </c>
      <c r="N26" s="51">
        <v>0</v>
      </c>
      <c r="O26" s="51">
        <f t="shared" ref="O26:P26" si="36">D26/7</f>
        <v>0</v>
      </c>
      <c r="P26" s="51">
        <f t="shared" si="36"/>
        <v>0</v>
      </c>
      <c r="Q26" s="51" t="e">
        <f t="shared" si="7"/>
        <v>#DIV/0!</v>
      </c>
      <c r="R26" s="52">
        <v>0</v>
      </c>
      <c r="S26" s="53" t="s">
        <v>34</v>
      </c>
      <c r="T26" s="54" t="s">
        <v>34</v>
      </c>
      <c r="U26" s="52">
        <v>0</v>
      </c>
      <c r="V26" s="55">
        <f t="shared" si="8"/>
        <v>0</v>
      </c>
      <c r="W26" s="55">
        <f t="shared" si="9"/>
        <v>0</v>
      </c>
      <c r="X26" s="52">
        <v>0</v>
      </c>
      <c r="Y26" s="52" t="e">
        <v>#N/A</v>
      </c>
      <c r="Z26" s="56" t="e">
        <f t="shared" si="19"/>
        <v>#N/A</v>
      </c>
      <c r="AA26" s="55" t="e">
        <v>#N/A</v>
      </c>
      <c r="AB26" s="55">
        <f t="shared" si="27"/>
        <v>0</v>
      </c>
      <c r="AC26" s="55">
        <v>0</v>
      </c>
      <c r="AD26" s="55">
        <v>-5.85</v>
      </c>
      <c r="AE26" s="55">
        <v>0</v>
      </c>
      <c r="AF26" s="55"/>
    </row>
    <row r="27" spans="1:32" s="57" customFormat="1" ht="15.75" customHeight="1">
      <c r="A27" s="17" t="s">
        <v>84</v>
      </c>
      <c r="B27"/>
      <c r="C27" s="51" t="str">
        <f t="shared" si="35"/>
        <v xml:space="preserve"> - </v>
      </c>
      <c r="D27" s="51">
        <v>0</v>
      </c>
      <c r="E27" s="51">
        <v>0</v>
      </c>
      <c r="F27" s="51">
        <v>0</v>
      </c>
      <c r="G27" s="51">
        <v>0</v>
      </c>
      <c r="H27" s="51" t="e">
        <f t="shared" si="1"/>
        <v>#DIV/0!</v>
      </c>
      <c r="I27" s="51" t="e">
        <f t="shared" si="2"/>
        <v>#DIV/0!</v>
      </c>
      <c r="J27" s="51">
        <f t="shared" si="4"/>
        <v>0</v>
      </c>
      <c r="K27" s="51" t="e">
        <f t="shared" si="3"/>
        <v>#DIV/0!</v>
      </c>
      <c r="L27" s="51">
        <v>0</v>
      </c>
      <c r="M27" s="51" t="str">
        <f t="shared" si="5"/>
        <v>-</v>
      </c>
      <c r="N27" s="51">
        <v>0</v>
      </c>
      <c r="O27" s="51">
        <f t="shared" ref="O27:P27" si="37">D27/7</f>
        <v>0</v>
      </c>
      <c r="P27" s="51">
        <f t="shared" si="37"/>
        <v>0</v>
      </c>
      <c r="Q27" s="51" t="e">
        <f t="shared" si="7"/>
        <v>#DIV/0!</v>
      </c>
      <c r="R27" s="52">
        <v>0</v>
      </c>
      <c r="S27" s="53" t="s">
        <v>34</v>
      </c>
      <c r="T27" s="54" t="s">
        <v>34</v>
      </c>
      <c r="U27" s="52">
        <v>0</v>
      </c>
      <c r="V27" s="55">
        <f t="shared" si="8"/>
        <v>0</v>
      </c>
      <c r="W27" s="55">
        <f t="shared" si="9"/>
        <v>0</v>
      </c>
      <c r="X27" s="52">
        <v>0</v>
      </c>
      <c r="Y27" s="52" t="e">
        <v>#N/A</v>
      </c>
      <c r="Z27" s="56" t="e">
        <f t="shared" si="19"/>
        <v>#N/A</v>
      </c>
      <c r="AA27" s="55" t="e">
        <v>#N/A</v>
      </c>
      <c r="AB27" s="55">
        <f t="shared" si="27"/>
        <v>0</v>
      </c>
      <c r="AC27" s="55">
        <v>0</v>
      </c>
      <c r="AD27" s="55">
        <v>-5.85</v>
      </c>
      <c r="AE27" s="55">
        <v>0</v>
      </c>
      <c r="AF27" s="55"/>
    </row>
    <row r="28" spans="1:32" s="57" customFormat="1" ht="15.75" customHeight="1">
      <c r="A28" s="17" t="s">
        <v>86</v>
      </c>
      <c r="B28"/>
      <c r="C28" s="51" t="str">
        <f t="shared" si="35"/>
        <v xml:space="preserve"> - </v>
      </c>
      <c r="D28" s="51">
        <v>0</v>
      </c>
      <c r="E28" s="51">
        <v>0</v>
      </c>
      <c r="F28" s="51">
        <v>0</v>
      </c>
      <c r="G28" s="51">
        <v>0</v>
      </c>
      <c r="H28" s="51" t="e">
        <f t="shared" si="1"/>
        <v>#DIV/0!</v>
      </c>
      <c r="I28" s="51" t="e">
        <f t="shared" si="2"/>
        <v>#DIV/0!</v>
      </c>
      <c r="J28" s="51">
        <f t="shared" si="4"/>
        <v>0</v>
      </c>
      <c r="K28" s="51" t="e">
        <f t="shared" si="3"/>
        <v>#DIV/0!</v>
      </c>
      <c r="L28" s="51">
        <v>0</v>
      </c>
      <c r="M28" s="51" t="str">
        <f t="shared" si="5"/>
        <v>-</v>
      </c>
      <c r="N28" s="51">
        <v>0</v>
      </c>
      <c r="O28" s="51">
        <f t="shared" ref="O28:P28" si="38">D28/7</f>
        <v>0</v>
      </c>
      <c r="P28" s="51">
        <f t="shared" si="38"/>
        <v>0</v>
      </c>
      <c r="Q28" s="51" t="e">
        <f t="shared" si="7"/>
        <v>#DIV/0!</v>
      </c>
      <c r="R28" s="52">
        <v>0</v>
      </c>
      <c r="S28" s="53" t="s">
        <v>34</v>
      </c>
      <c r="T28" s="54" t="s">
        <v>34</v>
      </c>
      <c r="U28" s="52">
        <v>0</v>
      </c>
      <c r="V28" s="55">
        <f t="shared" si="8"/>
        <v>0</v>
      </c>
      <c r="W28" s="55">
        <f t="shared" si="9"/>
        <v>0</v>
      </c>
      <c r="X28" s="52">
        <v>0</v>
      </c>
      <c r="Y28" s="52" t="e">
        <v>#N/A</v>
      </c>
      <c r="Z28" s="56" t="e">
        <f t="shared" si="19"/>
        <v>#N/A</v>
      </c>
      <c r="AA28" s="55" t="e">
        <v>#N/A</v>
      </c>
      <c r="AB28" s="55">
        <f t="shared" si="27"/>
        <v>0</v>
      </c>
      <c r="AC28" s="55">
        <v>0</v>
      </c>
      <c r="AD28" s="55">
        <v>-5.85</v>
      </c>
      <c r="AE28" s="55">
        <v>0</v>
      </c>
      <c r="AF28" s="55"/>
    </row>
    <row r="29" spans="1:32" s="57" customFormat="1" ht="15.75" customHeight="1">
      <c r="A29" s="17" t="s">
        <v>87</v>
      </c>
      <c r="B29"/>
      <c r="C29" s="51" t="str">
        <f t="shared" si="35"/>
        <v xml:space="preserve"> - </v>
      </c>
      <c r="D29" s="51">
        <v>0</v>
      </c>
      <c r="E29" s="51">
        <v>0</v>
      </c>
      <c r="F29" s="51">
        <v>0</v>
      </c>
      <c r="G29" s="51">
        <v>0</v>
      </c>
      <c r="H29" s="51" t="e">
        <f t="shared" si="1"/>
        <v>#DIV/0!</v>
      </c>
      <c r="I29" s="51" t="e">
        <f t="shared" si="2"/>
        <v>#DIV/0!</v>
      </c>
      <c r="J29" s="51">
        <f t="shared" si="4"/>
        <v>0</v>
      </c>
      <c r="K29" s="51" t="e">
        <f t="shared" si="3"/>
        <v>#DIV/0!</v>
      </c>
      <c r="L29" s="51">
        <v>0</v>
      </c>
      <c r="M29" s="51" t="str">
        <f t="shared" si="5"/>
        <v>-</v>
      </c>
      <c r="N29" s="51">
        <v>0</v>
      </c>
      <c r="O29" s="51">
        <f t="shared" ref="O29:P29" si="39">D29/7</f>
        <v>0</v>
      </c>
      <c r="P29" s="51">
        <f t="shared" si="39"/>
        <v>0</v>
      </c>
      <c r="Q29" s="51" t="e">
        <f t="shared" si="7"/>
        <v>#DIV/0!</v>
      </c>
      <c r="R29" s="52">
        <v>0</v>
      </c>
      <c r="S29" s="53" t="s">
        <v>34</v>
      </c>
      <c r="T29" s="54" t="s">
        <v>34</v>
      </c>
      <c r="U29" s="52">
        <v>0</v>
      </c>
      <c r="V29" s="55">
        <f t="shared" si="8"/>
        <v>0</v>
      </c>
      <c r="W29" s="55">
        <f t="shared" si="9"/>
        <v>0</v>
      </c>
      <c r="X29" s="52">
        <v>0</v>
      </c>
      <c r="Y29" s="52" t="e">
        <v>#N/A</v>
      </c>
      <c r="Z29" s="56" t="e">
        <f t="shared" si="19"/>
        <v>#N/A</v>
      </c>
      <c r="AA29" s="55" t="e">
        <v>#N/A</v>
      </c>
      <c r="AB29" s="55">
        <f t="shared" si="27"/>
        <v>0</v>
      </c>
      <c r="AC29" s="55">
        <v>0</v>
      </c>
      <c r="AD29" s="55">
        <v>-5.85</v>
      </c>
      <c r="AE29" s="55">
        <v>0</v>
      </c>
      <c r="AF29" s="55"/>
    </row>
    <row r="30" spans="1:32" s="57" customFormat="1" ht="15.75" customHeight="1">
      <c r="A30" s="17" t="s">
        <v>89</v>
      </c>
      <c r="B30"/>
      <c r="C30" s="51" t="str">
        <f t="shared" si="35"/>
        <v xml:space="preserve"> - </v>
      </c>
      <c r="D30" s="51">
        <v>0</v>
      </c>
      <c r="E30" s="51">
        <v>0</v>
      </c>
      <c r="F30" s="51">
        <v>0</v>
      </c>
      <c r="G30" s="51">
        <v>0</v>
      </c>
      <c r="H30" s="51" t="e">
        <f t="shared" si="1"/>
        <v>#DIV/0!</v>
      </c>
      <c r="I30" s="51" t="e">
        <f t="shared" si="2"/>
        <v>#DIV/0!</v>
      </c>
      <c r="J30" s="51">
        <f t="shared" si="4"/>
        <v>0</v>
      </c>
      <c r="K30" s="51" t="e">
        <f t="shared" si="3"/>
        <v>#DIV/0!</v>
      </c>
      <c r="L30" s="51">
        <v>0</v>
      </c>
      <c r="M30" s="51" t="str">
        <f t="shared" si="5"/>
        <v>-</v>
      </c>
      <c r="N30" s="51">
        <v>0</v>
      </c>
      <c r="O30" s="51">
        <f t="shared" ref="O30:P30" si="40">D30/7</f>
        <v>0</v>
      </c>
      <c r="P30" s="51">
        <f t="shared" si="40"/>
        <v>0</v>
      </c>
      <c r="Q30" s="51" t="e">
        <f t="shared" si="7"/>
        <v>#DIV/0!</v>
      </c>
      <c r="R30" s="52">
        <v>0</v>
      </c>
      <c r="S30" s="53" t="s">
        <v>34</v>
      </c>
      <c r="T30" s="54" t="s">
        <v>34</v>
      </c>
      <c r="U30" s="52">
        <v>0</v>
      </c>
      <c r="V30" s="55">
        <f t="shared" si="8"/>
        <v>0</v>
      </c>
      <c r="W30" s="55">
        <f t="shared" si="9"/>
        <v>0</v>
      </c>
      <c r="X30" s="52">
        <v>0</v>
      </c>
      <c r="Y30" s="52" t="e">
        <v>#N/A</v>
      </c>
      <c r="Z30" s="56" t="e">
        <f t="shared" si="19"/>
        <v>#N/A</v>
      </c>
      <c r="AA30" s="55" t="e">
        <v>#N/A</v>
      </c>
      <c r="AB30" s="55">
        <f t="shared" si="27"/>
        <v>0</v>
      </c>
      <c r="AC30" s="55">
        <v>0</v>
      </c>
      <c r="AD30" s="55">
        <v>-5.85</v>
      </c>
      <c r="AE30" s="55">
        <v>0</v>
      </c>
      <c r="AF30" s="55"/>
    </row>
    <row r="31" spans="1:32" s="57" customFormat="1" ht="15.75" customHeight="1">
      <c r="A31" s="17" t="s">
        <v>90</v>
      </c>
      <c r="B31"/>
      <c r="C31" s="51" t="str">
        <f t="shared" si="35"/>
        <v xml:space="preserve"> - </v>
      </c>
      <c r="D31" s="51">
        <v>0</v>
      </c>
      <c r="E31" s="51">
        <v>0</v>
      </c>
      <c r="F31" s="51">
        <v>0</v>
      </c>
      <c r="G31" s="51">
        <v>0</v>
      </c>
      <c r="H31" s="51" t="e">
        <f t="shared" si="1"/>
        <v>#DIV/0!</v>
      </c>
      <c r="I31" s="51" t="e">
        <f t="shared" si="2"/>
        <v>#DIV/0!</v>
      </c>
      <c r="J31" s="51">
        <f t="shared" si="4"/>
        <v>0</v>
      </c>
      <c r="K31" s="51" t="e">
        <f t="shared" si="3"/>
        <v>#DIV/0!</v>
      </c>
      <c r="L31" s="51">
        <v>0</v>
      </c>
      <c r="M31" s="51" t="str">
        <f t="shared" si="5"/>
        <v>-</v>
      </c>
      <c r="N31" s="51">
        <v>0</v>
      </c>
      <c r="O31" s="51">
        <f t="shared" ref="O31:P31" si="41">D31/7</f>
        <v>0</v>
      </c>
      <c r="P31" s="51">
        <f t="shared" si="41"/>
        <v>0</v>
      </c>
      <c r="Q31" s="51" t="e">
        <f t="shared" si="7"/>
        <v>#DIV/0!</v>
      </c>
      <c r="R31" s="52">
        <v>0</v>
      </c>
      <c r="S31" s="53" t="s">
        <v>34</v>
      </c>
      <c r="T31" s="54" t="s">
        <v>34</v>
      </c>
      <c r="U31" s="52">
        <v>0</v>
      </c>
      <c r="V31" s="55">
        <f t="shared" si="8"/>
        <v>0</v>
      </c>
      <c r="W31" s="55">
        <f t="shared" si="9"/>
        <v>0</v>
      </c>
      <c r="X31" s="52">
        <v>0</v>
      </c>
      <c r="Y31" s="52" t="e">
        <v>#N/A</v>
      </c>
      <c r="Z31" s="56" t="e">
        <f t="shared" si="19"/>
        <v>#N/A</v>
      </c>
      <c r="AA31" s="55" t="e">
        <v>#N/A</v>
      </c>
      <c r="AB31" s="55">
        <f t="shared" si="27"/>
        <v>0</v>
      </c>
      <c r="AC31" s="55">
        <v>0</v>
      </c>
      <c r="AD31" s="55">
        <v>-5.85</v>
      </c>
      <c r="AE31" s="55">
        <v>0</v>
      </c>
      <c r="AF31" s="55"/>
    </row>
    <row r="32" spans="1:32" s="57" customFormat="1" ht="15.75" customHeight="1">
      <c r="A32" s="17" t="s">
        <v>92</v>
      </c>
      <c r="B32"/>
      <c r="C32" s="51" t="str">
        <f t="shared" si="35"/>
        <v xml:space="preserve"> - </v>
      </c>
      <c r="D32" s="51">
        <v>0</v>
      </c>
      <c r="E32" s="51">
        <v>0</v>
      </c>
      <c r="F32" s="51">
        <v>0</v>
      </c>
      <c r="G32" s="51">
        <v>0</v>
      </c>
      <c r="H32" s="51" t="e">
        <f t="shared" si="1"/>
        <v>#DIV/0!</v>
      </c>
      <c r="I32" s="51" t="e">
        <f t="shared" si="2"/>
        <v>#DIV/0!</v>
      </c>
      <c r="J32" s="51">
        <f t="shared" si="4"/>
        <v>0</v>
      </c>
      <c r="K32" s="51" t="e">
        <f t="shared" si="3"/>
        <v>#DIV/0!</v>
      </c>
      <c r="L32" s="51">
        <v>0</v>
      </c>
      <c r="M32" s="51" t="str">
        <f t="shared" si="5"/>
        <v>-</v>
      </c>
      <c r="N32" s="51">
        <v>0</v>
      </c>
      <c r="O32" s="51">
        <f t="shared" ref="O32:P32" si="42">D32/7</f>
        <v>0</v>
      </c>
      <c r="P32" s="51">
        <f t="shared" si="42"/>
        <v>0</v>
      </c>
      <c r="Q32" s="51" t="e">
        <f t="shared" si="7"/>
        <v>#DIV/0!</v>
      </c>
      <c r="R32" s="52">
        <v>0</v>
      </c>
      <c r="S32" s="53" t="s">
        <v>34</v>
      </c>
      <c r="T32" s="54" t="s">
        <v>34</v>
      </c>
      <c r="U32" s="52">
        <v>0</v>
      </c>
      <c r="V32" s="55">
        <f t="shared" si="8"/>
        <v>0</v>
      </c>
      <c r="W32" s="55">
        <f t="shared" si="9"/>
        <v>0</v>
      </c>
      <c r="X32" s="52">
        <v>0</v>
      </c>
      <c r="Y32" s="52" t="e">
        <v>#N/A</v>
      </c>
      <c r="Z32" s="56" t="e">
        <f t="shared" si="19"/>
        <v>#N/A</v>
      </c>
      <c r="AA32" s="55" t="e">
        <v>#N/A</v>
      </c>
      <c r="AB32" s="55">
        <f t="shared" si="27"/>
        <v>0</v>
      </c>
      <c r="AC32" s="55">
        <v>0</v>
      </c>
      <c r="AD32" s="55">
        <v>-5.85</v>
      </c>
      <c r="AE32" s="55">
        <v>0</v>
      </c>
      <c r="AF32" s="52" t="e">
        <v>#N/A</v>
      </c>
    </row>
    <row r="33" spans="1:32" s="57" customFormat="1" ht="15.75" customHeight="1">
      <c r="A33" s="17" t="s">
        <v>94</v>
      </c>
      <c r="B33"/>
      <c r="C33" s="51" t="str">
        <f t="shared" si="35"/>
        <v xml:space="preserve"> - </v>
      </c>
      <c r="D33" s="51">
        <v>0</v>
      </c>
      <c r="E33" s="51">
        <v>0</v>
      </c>
      <c r="F33" s="51">
        <v>0</v>
      </c>
      <c r="G33" s="51">
        <v>0</v>
      </c>
      <c r="H33" s="51" t="e">
        <f t="shared" si="1"/>
        <v>#DIV/0!</v>
      </c>
      <c r="I33" s="51" t="e">
        <f t="shared" si="2"/>
        <v>#DIV/0!</v>
      </c>
      <c r="J33" s="51">
        <f t="shared" si="4"/>
        <v>0</v>
      </c>
      <c r="K33" s="51" t="e">
        <f t="shared" si="3"/>
        <v>#DIV/0!</v>
      </c>
      <c r="L33" s="51">
        <v>0</v>
      </c>
      <c r="M33" s="51" t="str">
        <f t="shared" si="5"/>
        <v>-</v>
      </c>
      <c r="N33" s="51">
        <v>0</v>
      </c>
      <c r="O33" s="51">
        <f t="shared" ref="O33:P33" si="43">D33/7</f>
        <v>0</v>
      </c>
      <c r="P33" s="51">
        <f t="shared" si="43"/>
        <v>0</v>
      </c>
      <c r="Q33" s="51" t="e">
        <f t="shared" si="7"/>
        <v>#DIV/0!</v>
      </c>
      <c r="R33" s="52">
        <v>0</v>
      </c>
      <c r="S33" s="53" t="s">
        <v>34</v>
      </c>
      <c r="T33" s="54" t="s">
        <v>34</v>
      </c>
      <c r="U33" s="52">
        <v>0</v>
      </c>
      <c r="V33" s="55">
        <f t="shared" si="8"/>
        <v>0</v>
      </c>
      <c r="W33" s="55">
        <f t="shared" si="9"/>
        <v>0</v>
      </c>
      <c r="X33" s="52">
        <v>0</v>
      </c>
      <c r="Y33" s="52" t="e">
        <v>#N/A</v>
      </c>
      <c r="Z33" s="56" t="e">
        <f t="shared" si="19"/>
        <v>#N/A</v>
      </c>
      <c r="AA33" s="55" t="e">
        <v>#N/A</v>
      </c>
      <c r="AB33" s="55">
        <f t="shared" si="27"/>
        <v>0</v>
      </c>
      <c r="AC33" s="55">
        <v>0</v>
      </c>
      <c r="AD33" s="55">
        <v>-5.85</v>
      </c>
      <c r="AE33" s="55">
        <v>0</v>
      </c>
      <c r="AF33" s="55" t="e">
        <v>#N/A</v>
      </c>
    </row>
    <row r="34" spans="1:32" s="57" customFormat="1" ht="15.75" customHeight="1">
      <c r="A34" s="17" t="s">
        <v>95</v>
      </c>
      <c r="B34"/>
      <c r="C34" s="51" t="str">
        <f t="shared" si="35"/>
        <v xml:space="preserve"> - </v>
      </c>
      <c r="D34" s="51">
        <v>0</v>
      </c>
      <c r="E34" s="51">
        <v>0</v>
      </c>
      <c r="F34" s="51">
        <v>0</v>
      </c>
      <c r="G34" s="51">
        <v>0</v>
      </c>
      <c r="H34" s="51" t="e">
        <f t="shared" si="1"/>
        <v>#DIV/0!</v>
      </c>
      <c r="I34" s="51" t="e">
        <f t="shared" si="2"/>
        <v>#DIV/0!</v>
      </c>
      <c r="J34" s="51">
        <f t="shared" si="4"/>
        <v>0</v>
      </c>
      <c r="K34" s="51" t="e">
        <f t="shared" si="3"/>
        <v>#DIV/0!</v>
      </c>
      <c r="L34" s="51">
        <v>0</v>
      </c>
      <c r="M34" s="51" t="str">
        <f t="shared" si="5"/>
        <v>-</v>
      </c>
      <c r="N34" s="51">
        <v>0</v>
      </c>
      <c r="O34" s="51">
        <f t="shared" ref="O34:P34" si="44">D34/7</f>
        <v>0</v>
      </c>
      <c r="P34" s="51">
        <f t="shared" si="44"/>
        <v>0</v>
      </c>
      <c r="Q34" s="51" t="e">
        <f t="shared" si="7"/>
        <v>#DIV/0!</v>
      </c>
      <c r="R34" s="55">
        <v>0</v>
      </c>
      <c r="S34" s="53" t="s">
        <v>34</v>
      </c>
      <c r="T34" s="54" t="s">
        <v>34</v>
      </c>
      <c r="U34" s="52">
        <v>0</v>
      </c>
      <c r="V34" s="55">
        <f t="shared" si="8"/>
        <v>0</v>
      </c>
      <c r="W34" s="55">
        <f t="shared" si="9"/>
        <v>0</v>
      </c>
      <c r="X34" s="52">
        <v>0</v>
      </c>
      <c r="Y34" s="52" t="e">
        <v>#N/A</v>
      </c>
      <c r="Z34" s="56" t="e">
        <f t="shared" si="19"/>
        <v>#N/A</v>
      </c>
      <c r="AA34" s="55" t="e">
        <v>#N/A</v>
      </c>
      <c r="AB34" s="55">
        <f t="shared" si="27"/>
        <v>0</v>
      </c>
      <c r="AC34" s="55">
        <v>0</v>
      </c>
      <c r="AD34" s="55">
        <v>-5.85</v>
      </c>
      <c r="AE34" s="55">
        <v>0</v>
      </c>
      <c r="AF34" s="55" t="e">
        <v>#N/A</v>
      </c>
    </row>
    <row r="35" spans="1:32" s="57" customFormat="1" ht="15.75" customHeight="1">
      <c r="A35" s="17" t="s">
        <v>96</v>
      </c>
      <c r="B35"/>
      <c r="C35" s="51" t="str">
        <f t="shared" si="35"/>
        <v xml:space="preserve"> - </v>
      </c>
      <c r="D35" s="51">
        <v>0</v>
      </c>
      <c r="E35" s="51">
        <v>0</v>
      </c>
      <c r="F35" s="51">
        <v>0</v>
      </c>
      <c r="G35" s="51">
        <v>0</v>
      </c>
      <c r="H35" s="51" t="e">
        <f t="shared" si="1"/>
        <v>#DIV/0!</v>
      </c>
      <c r="I35" s="51" t="e">
        <f t="shared" si="2"/>
        <v>#DIV/0!</v>
      </c>
      <c r="J35" s="51">
        <f t="shared" si="4"/>
        <v>0</v>
      </c>
      <c r="K35" s="51" t="e">
        <f t="shared" si="3"/>
        <v>#DIV/0!</v>
      </c>
      <c r="L35" s="51">
        <v>0</v>
      </c>
      <c r="M35" s="51" t="str">
        <f t="shared" si="5"/>
        <v>-</v>
      </c>
      <c r="N35" s="51">
        <v>0</v>
      </c>
      <c r="O35" s="51">
        <f t="shared" ref="O35:P35" si="45">D35/7</f>
        <v>0</v>
      </c>
      <c r="P35" s="51">
        <f t="shared" si="45"/>
        <v>0</v>
      </c>
      <c r="Q35" s="51" t="e">
        <f t="shared" si="7"/>
        <v>#DIV/0!</v>
      </c>
      <c r="R35" s="55">
        <v>0</v>
      </c>
      <c r="S35" s="53" t="s">
        <v>34</v>
      </c>
      <c r="T35" s="54" t="s">
        <v>34</v>
      </c>
      <c r="U35" s="52">
        <v>0</v>
      </c>
      <c r="V35" s="55">
        <f t="shared" si="8"/>
        <v>0</v>
      </c>
      <c r="W35" s="55">
        <f t="shared" si="9"/>
        <v>0</v>
      </c>
      <c r="X35" s="52">
        <v>0</v>
      </c>
      <c r="Y35" s="52" t="e">
        <v>#N/A</v>
      </c>
      <c r="Z35" s="56" t="e">
        <f t="shared" si="19"/>
        <v>#N/A</v>
      </c>
      <c r="AA35" s="55" t="e">
        <v>#N/A</v>
      </c>
      <c r="AB35" s="55">
        <f t="shared" si="27"/>
        <v>0</v>
      </c>
      <c r="AC35" s="55">
        <v>0</v>
      </c>
      <c r="AD35" s="55">
        <v>-5.85</v>
      </c>
      <c r="AE35" s="55">
        <v>0</v>
      </c>
      <c r="AF35" s="55" t="e">
        <v>#N/A</v>
      </c>
    </row>
    <row r="36" spans="1:32" s="57" customFormat="1" ht="15.75" customHeight="1">
      <c r="A36" s="17" t="s">
        <v>98</v>
      </c>
      <c r="B36"/>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v>0</v>
      </c>
      <c r="S36" s="53"/>
      <c r="T36" s="54" t="s">
        <v>34</v>
      </c>
      <c r="V36" s="55">
        <f t="shared" si="8"/>
        <v>0</v>
      </c>
      <c r="W36" s="55">
        <f t="shared" si="9"/>
        <v>0</v>
      </c>
      <c r="Y36" s="52" t="e">
        <v>#N/A</v>
      </c>
      <c r="Z36" s="56" t="e">
        <f t="shared" si="19"/>
        <v>#N/A</v>
      </c>
      <c r="AA36" s="55" t="e">
        <v>#N/A</v>
      </c>
      <c r="AB36" s="55">
        <f t="shared" si="27"/>
        <v>0</v>
      </c>
      <c r="AC36" s="55">
        <v>0</v>
      </c>
      <c r="AD36" s="55">
        <v>-5.85</v>
      </c>
      <c r="AE36" s="55">
        <v>0</v>
      </c>
      <c r="AF36" s="55" t="e">
        <v>#N/A</v>
      </c>
    </row>
    <row r="37" spans="1:32" s="57" customFormat="1" ht="15.75" customHeight="1">
      <c r="A37" s="17" t="s">
        <v>99</v>
      </c>
      <c r="B37"/>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v>0</v>
      </c>
      <c r="S37" s="53" t="s">
        <v>34</v>
      </c>
      <c r="T37" s="54" t="s">
        <v>34</v>
      </c>
      <c r="U37" s="52">
        <v>0</v>
      </c>
      <c r="V37" s="55">
        <f t="shared" si="8"/>
        <v>0</v>
      </c>
      <c r="W37" s="55">
        <f t="shared" si="9"/>
        <v>0</v>
      </c>
      <c r="X37" s="52">
        <v>0</v>
      </c>
      <c r="Y37" s="52" t="e">
        <v>#N/A</v>
      </c>
      <c r="Z37" s="56" t="e">
        <f t="shared" si="19"/>
        <v>#N/A</v>
      </c>
      <c r="AA37" s="55" t="e">
        <v>#N/A</v>
      </c>
      <c r="AB37" s="55">
        <f t="shared" si="27"/>
        <v>0</v>
      </c>
      <c r="AC37" s="55">
        <v>0</v>
      </c>
      <c r="AD37" s="55">
        <v>-5.85</v>
      </c>
      <c r="AE37" s="55">
        <v>0</v>
      </c>
      <c r="AF37" s="55" t="e">
        <v>#N/A</v>
      </c>
    </row>
    <row r="38" spans="1:32" s="57" customFormat="1" ht="15.75" customHeight="1">
      <c r="A38" s="17" t="s">
        <v>100</v>
      </c>
      <c r="B38"/>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2">
        <v>0</v>
      </c>
      <c r="S38" s="53"/>
      <c r="T38" s="54" t="s">
        <v>34</v>
      </c>
      <c r="U38" s="52">
        <v>0</v>
      </c>
      <c r="V38" s="55">
        <f t="shared" si="8"/>
        <v>0</v>
      </c>
      <c r="W38" s="55">
        <f t="shared" si="9"/>
        <v>0</v>
      </c>
      <c r="X38" s="52">
        <v>0</v>
      </c>
      <c r="Y38" s="52" t="e">
        <v>#N/A</v>
      </c>
      <c r="Z38" s="56" t="e">
        <f t="shared" si="19"/>
        <v>#N/A</v>
      </c>
      <c r="AA38" s="55" t="e">
        <v>#N/A</v>
      </c>
      <c r="AB38" s="55">
        <f t="shared" si="27"/>
        <v>0</v>
      </c>
      <c r="AC38" s="55">
        <v>0</v>
      </c>
      <c r="AD38" s="55">
        <v>-5.85</v>
      </c>
      <c r="AE38" s="55">
        <v>0</v>
      </c>
      <c r="AF38" s="55" t="e">
        <v>#N/A</v>
      </c>
    </row>
    <row r="39" spans="1:32" s="57" customFormat="1" ht="15.75" customHeight="1">
      <c r="A39" s="17" t="s">
        <v>101</v>
      </c>
      <c r="B39"/>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0</v>
      </c>
      <c r="O39" s="51">
        <f t="shared" ref="O39:P39" si="49">D39/7</f>
        <v>0</v>
      </c>
      <c r="P39" s="51">
        <f t="shared" si="49"/>
        <v>0</v>
      </c>
      <c r="Q39" s="51" t="e">
        <f t="shared" si="7"/>
        <v>#DIV/0!</v>
      </c>
      <c r="R39" s="55">
        <v>0</v>
      </c>
      <c r="S39" s="53" t="s">
        <v>34</v>
      </c>
      <c r="T39" s="54" t="s">
        <v>34</v>
      </c>
      <c r="U39" s="52">
        <v>0</v>
      </c>
      <c r="V39" s="55">
        <f t="shared" si="8"/>
        <v>0</v>
      </c>
      <c r="W39" s="55">
        <f t="shared" si="9"/>
        <v>0</v>
      </c>
      <c r="X39" s="52">
        <v>0</v>
      </c>
      <c r="Y39" s="52" t="e">
        <v>#N/A</v>
      </c>
      <c r="Z39" s="56" t="e">
        <f t="shared" si="19"/>
        <v>#N/A</v>
      </c>
      <c r="AA39" s="52" t="e">
        <v>#N/A</v>
      </c>
      <c r="AB39" s="55">
        <f t="shared" si="27"/>
        <v>0</v>
      </c>
      <c r="AC39" s="55">
        <v>0</v>
      </c>
      <c r="AD39" s="55">
        <v>-5.85</v>
      </c>
      <c r="AE39" s="55">
        <v>0</v>
      </c>
      <c r="AF39" s="55" t="e">
        <v>#N/A</v>
      </c>
    </row>
    <row r="40" spans="1:32" s="57" customFormat="1" ht="15.75" customHeight="1">
      <c r="A40" s="17" t="s">
        <v>102</v>
      </c>
      <c r="B40"/>
      <c r="C40" s="51" t="s">
        <v>103</v>
      </c>
      <c r="D40" s="51">
        <v>0</v>
      </c>
      <c r="E40" s="51">
        <v>0</v>
      </c>
      <c r="F40" s="51">
        <v>0</v>
      </c>
      <c r="G40" s="51">
        <v>0</v>
      </c>
      <c r="H40" s="51" t="e">
        <v>#DIV/0!</v>
      </c>
      <c r="I40" s="51" t="e">
        <v>#DIV/0!</v>
      </c>
      <c r="J40" s="51">
        <v>0</v>
      </c>
      <c r="K40" s="51" t="e">
        <v>#DIV/0!</v>
      </c>
      <c r="L40" s="51">
        <v>0</v>
      </c>
      <c r="M40" s="51" t="s">
        <v>104</v>
      </c>
      <c r="N40" s="51">
        <v>0</v>
      </c>
      <c r="O40" s="51">
        <v>0</v>
      </c>
      <c r="P40" s="51">
        <v>0</v>
      </c>
      <c r="Q40" s="51" t="e">
        <v>#DIV/0!</v>
      </c>
      <c r="R40" s="55">
        <v>0</v>
      </c>
      <c r="S40" s="53" t="s">
        <v>34</v>
      </c>
      <c r="T40" s="54" t="s">
        <v>34</v>
      </c>
      <c r="U40" s="52">
        <v>0</v>
      </c>
      <c r="V40" s="55">
        <v>0</v>
      </c>
      <c r="W40" s="55">
        <v>0</v>
      </c>
      <c r="X40" s="52">
        <v>0</v>
      </c>
      <c r="Y40" s="52" t="e">
        <v>#N/A</v>
      </c>
      <c r="Z40" s="56" t="e">
        <v>#N/A</v>
      </c>
      <c r="AA40" s="55" t="e">
        <v>#N/A</v>
      </c>
      <c r="AB40" s="55">
        <v>0</v>
      </c>
      <c r="AC40" s="55">
        <v>0</v>
      </c>
      <c r="AD40" s="55">
        <v>-5.85</v>
      </c>
      <c r="AE40" s="55">
        <v>0</v>
      </c>
      <c r="AF40" s="55" t="e">
        <v>#N/A</v>
      </c>
    </row>
    <row r="41" spans="1:32" s="57" customFormat="1" ht="15.75" customHeight="1">
      <c r="A41" s="17" t="s">
        <v>105</v>
      </c>
      <c r="B41"/>
      <c r="C41" s="51" t="str">
        <f t="shared" ref="C41:C56" si="50">IFERROR(F41/D41," - ")</f>
        <v xml:space="preserve"> - </v>
      </c>
      <c r="D41" s="51">
        <v>0</v>
      </c>
      <c r="E41" s="51">
        <v>0</v>
      </c>
      <c r="F41" s="51">
        <v>0</v>
      </c>
      <c r="G41" s="51">
        <v>0</v>
      </c>
      <c r="H41" s="51" t="e">
        <f t="shared" ref="H41:H56" si="51">G41/F41*-1</f>
        <v>#DIV/0!</v>
      </c>
      <c r="I41" s="51" t="e">
        <f t="shared" ref="I41:I56" si="52">J41/F41</f>
        <v>#DIV/0!</v>
      </c>
      <c r="J41" s="51">
        <f t="shared" ref="J41:J48" si="53">F41*0.85+G41+AD41*D41+D41*AC41+AE42+AB41</f>
        <v>0</v>
      </c>
      <c r="K41" s="51" t="e">
        <f t="shared" ref="K41:K56" si="54">J41/D41</f>
        <v>#DIV/0!</v>
      </c>
      <c r="L41" s="51">
        <v>0</v>
      </c>
      <c r="M41" s="51" t="str">
        <f t="shared" ref="M41:M56" si="55">IFERROR(D41/L41,"-")</f>
        <v>-</v>
      </c>
      <c r="N41" s="51">
        <v>0</v>
      </c>
      <c r="O41" s="51">
        <f t="shared" ref="O41:P41" si="56">D41/7</f>
        <v>0</v>
      </c>
      <c r="P41" s="51">
        <f t="shared" si="56"/>
        <v>0</v>
      </c>
      <c r="Q41" s="51" t="e">
        <f t="shared" ref="Q41:Q56" si="57">ROUNDDOWN(N41/(O41+P41),0)</f>
        <v>#DIV/0!</v>
      </c>
      <c r="R41" s="55">
        <v>0</v>
      </c>
      <c r="S41" s="53" t="s">
        <v>34</v>
      </c>
      <c r="T41" s="54" t="s">
        <v>34</v>
      </c>
      <c r="U41" s="52">
        <v>0</v>
      </c>
      <c r="V41" s="55">
        <f t="shared" ref="V41:V56" si="58">IFERROR(U41/D41,0)</f>
        <v>0</v>
      </c>
      <c r="W41" s="55">
        <f t="shared" ref="W41:W56" si="59">IFERROR(G41/(U41+X41)*-1,0)</f>
        <v>0</v>
      </c>
      <c r="X41" s="52">
        <v>0</v>
      </c>
      <c r="Y41" s="52" t="e">
        <v>#N/A</v>
      </c>
      <c r="Z41" s="56" t="e">
        <f t="shared" ref="Z41:Z43" si="60">IF(OR(Y41="UsLargeStandardSize",Y41="UsSmallStandardSize"),-0.75,-0.48)</f>
        <v>#N/A</v>
      </c>
      <c r="AA41" s="55" t="e">
        <v>#N/A</v>
      </c>
      <c r="AB41" s="55">
        <f t="shared" ref="AB41:AB56" si="61">IFERROR(Z41*AA41*D41*3,0)</f>
        <v>0</v>
      </c>
      <c r="AC41" s="55">
        <v>0</v>
      </c>
      <c r="AD41" s="55">
        <v>-5.85</v>
      </c>
      <c r="AE41" s="55">
        <v>0</v>
      </c>
      <c r="AF41" s="55" t="e">
        <v>#N/A</v>
      </c>
    </row>
    <row r="42" spans="1:32" s="57" customFormat="1" ht="15.75" customHeight="1">
      <c r="A42" s="17" t="s">
        <v>106</v>
      </c>
      <c r="B42"/>
      <c r="C42" s="51" t="str">
        <f t="shared" si="50"/>
        <v xml:space="preserve"> - </v>
      </c>
      <c r="D42" s="51">
        <v>0</v>
      </c>
      <c r="E42" s="51">
        <v>0</v>
      </c>
      <c r="F42" s="51">
        <v>0</v>
      </c>
      <c r="G42" s="51">
        <v>0</v>
      </c>
      <c r="H42" s="51" t="e">
        <f t="shared" si="51"/>
        <v>#DIV/0!</v>
      </c>
      <c r="I42" s="51" t="e">
        <f t="shared" si="52"/>
        <v>#DIV/0!</v>
      </c>
      <c r="J42" s="51">
        <f t="shared" si="53"/>
        <v>0</v>
      </c>
      <c r="K42" s="51" t="e">
        <f t="shared" si="54"/>
        <v>#DIV/0!</v>
      </c>
      <c r="L42" s="51">
        <v>0</v>
      </c>
      <c r="M42" s="51" t="str">
        <f t="shared" si="55"/>
        <v>-</v>
      </c>
      <c r="N42" s="51">
        <v>0</v>
      </c>
      <c r="O42" s="51">
        <f t="shared" ref="O42:P42" si="62">D42/7</f>
        <v>0</v>
      </c>
      <c r="P42" s="51">
        <f t="shared" si="62"/>
        <v>0</v>
      </c>
      <c r="Q42" s="51" t="e">
        <f t="shared" si="57"/>
        <v>#DIV/0!</v>
      </c>
      <c r="R42" s="55">
        <f ca="1">IFERROR(__xludf.DUMMYFUNCTION("IFERROR(VLOOKUP($B$2,IMPORTRANGE(""https://docs.google.com/spreadsheets/d/1iVgg6Mw12RULLujzHmfOFIY8Q_KaAD8anoZzgtVAQ74/edit#gid=1503384807"",""Second Star - Summary!A1:AD2000""),9,FALSE),"""")"),0)</f>
        <v>0</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2">
        <v>0</v>
      </c>
      <c r="V42" s="55">
        <f t="shared" si="58"/>
        <v>0</v>
      </c>
      <c r="W42" s="55">
        <f t="shared" si="59"/>
        <v>0</v>
      </c>
      <c r="X42" s="52">
        <v>0</v>
      </c>
      <c r="Y42" s="52" t="e">
        <v>#N/A</v>
      </c>
      <c r="Z42" s="56" t="e">
        <f t="shared" si="60"/>
        <v>#N/A</v>
      </c>
      <c r="AA42" s="55" t="e">
        <v>#N/A</v>
      </c>
      <c r="AB42" s="55">
        <f t="shared" si="61"/>
        <v>0</v>
      </c>
      <c r="AC42" s="55">
        <v>0</v>
      </c>
      <c r="AD42" s="55">
        <v>-5.85</v>
      </c>
      <c r="AE42" s="55">
        <v>0</v>
      </c>
      <c r="AF42" s="55" t="e">
        <v>#N/A</v>
      </c>
    </row>
    <row r="43" spans="1:32" s="57" customFormat="1" ht="15.75" customHeight="1">
      <c r="A43" s="17" t="s">
        <v>107</v>
      </c>
      <c r="B43"/>
      <c r="C43" s="51" t="str">
        <f t="shared" si="50"/>
        <v xml:space="preserve"> - </v>
      </c>
      <c r="D43" s="51">
        <v>0</v>
      </c>
      <c r="E43" s="51">
        <v>0</v>
      </c>
      <c r="F43" s="51">
        <v>0</v>
      </c>
      <c r="G43" s="51">
        <v>0</v>
      </c>
      <c r="H43" s="51" t="e">
        <f t="shared" si="51"/>
        <v>#DIV/0!</v>
      </c>
      <c r="I43" s="51" t="e">
        <f t="shared" si="52"/>
        <v>#DIV/0!</v>
      </c>
      <c r="J43" s="51">
        <f t="shared" si="53"/>
        <v>0</v>
      </c>
      <c r="K43" s="51" t="e">
        <f t="shared" si="54"/>
        <v>#DIV/0!</v>
      </c>
      <c r="L43" s="51">
        <v>0</v>
      </c>
      <c r="M43" s="51" t="str">
        <f t="shared" si="55"/>
        <v>-</v>
      </c>
      <c r="N43" s="51">
        <v>0</v>
      </c>
      <c r="O43" s="51">
        <f t="shared" ref="O43:P43" si="63">D43/7</f>
        <v>0</v>
      </c>
      <c r="P43" s="51">
        <f t="shared" si="63"/>
        <v>0</v>
      </c>
      <c r="Q43" s="51" t="e">
        <f t="shared" si="57"/>
        <v>#DIV/0!</v>
      </c>
      <c r="R43" s="55">
        <v>0</v>
      </c>
      <c r="S43" s="53" t="s">
        <v>34</v>
      </c>
      <c r="T43" s="54" t="s">
        <v>34</v>
      </c>
      <c r="U43" s="52">
        <v>0</v>
      </c>
      <c r="V43" s="55">
        <f t="shared" si="58"/>
        <v>0</v>
      </c>
      <c r="W43" s="55">
        <f t="shared" si="59"/>
        <v>0</v>
      </c>
      <c r="X43" s="52">
        <v>0</v>
      </c>
      <c r="Y43" s="52" t="e">
        <v>#N/A</v>
      </c>
      <c r="Z43" s="56" t="e">
        <f t="shared" si="60"/>
        <v>#N/A</v>
      </c>
      <c r="AA43" s="55" t="e">
        <v>#N/A</v>
      </c>
      <c r="AB43" s="55">
        <f t="shared" si="61"/>
        <v>0</v>
      </c>
      <c r="AC43" s="55">
        <v>0</v>
      </c>
      <c r="AD43" s="55">
        <v>-5.85</v>
      </c>
      <c r="AE43" s="55">
        <v>0</v>
      </c>
      <c r="AF43" s="55" t="e">
        <v>#N/A</v>
      </c>
    </row>
    <row r="44" spans="1:32" s="57" customFormat="1" ht="15.75" customHeight="1">
      <c r="A44" s="17" t="s">
        <v>108</v>
      </c>
      <c r="B44"/>
      <c r="C44" s="51" t="str">
        <f t="shared" si="50"/>
        <v xml:space="preserve"> - </v>
      </c>
      <c r="D44" s="51">
        <v>0</v>
      </c>
      <c r="E44" s="51">
        <v>0</v>
      </c>
      <c r="F44" s="51">
        <v>0</v>
      </c>
      <c r="G44" s="51">
        <v>0</v>
      </c>
      <c r="H44" s="51" t="e">
        <f t="shared" si="51"/>
        <v>#DIV/0!</v>
      </c>
      <c r="I44" s="51" t="e">
        <f t="shared" si="52"/>
        <v>#DIV/0!</v>
      </c>
      <c r="J44" s="51">
        <f t="shared" si="53"/>
        <v>0</v>
      </c>
      <c r="K44" s="51" t="e">
        <f t="shared" si="54"/>
        <v>#DIV/0!</v>
      </c>
      <c r="L44" s="51">
        <v>0</v>
      </c>
      <c r="M44" s="51" t="str">
        <f t="shared" si="55"/>
        <v>-</v>
      </c>
      <c r="N44" s="51">
        <v>0</v>
      </c>
      <c r="O44" s="51">
        <f t="shared" ref="O44:P44" si="64">D44/7</f>
        <v>0</v>
      </c>
      <c r="P44" s="51">
        <f t="shared" si="64"/>
        <v>0</v>
      </c>
      <c r="Q44" s="51" t="e">
        <f t="shared" si="57"/>
        <v>#DIV/0!</v>
      </c>
      <c r="R44" s="55">
        <v>0</v>
      </c>
      <c r="S44" s="53" t="s">
        <v>34</v>
      </c>
      <c r="T44" s="54" t="s">
        <v>34</v>
      </c>
      <c r="U44" s="52">
        <v>0</v>
      </c>
      <c r="V44" s="55">
        <f t="shared" si="58"/>
        <v>0</v>
      </c>
      <c r="W44" s="55">
        <f t="shared" si="59"/>
        <v>0</v>
      </c>
      <c r="X44" s="52">
        <v>0</v>
      </c>
      <c r="Y44" s="52" t="e">
        <v>#N/A</v>
      </c>
      <c r="Z44" s="56" t="e">
        <f t="shared" ref="Z44:Z56" si="65">IF(OR(Y44="UsLargeStandardSize",Y44="UsSmallStandardSize"),-2.4,-1.2)</f>
        <v>#N/A</v>
      </c>
      <c r="AA44" s="55" t="e">
        <v>#N/A</v>
      </c>
      <c r="AB44" s="55">
        <f t="shared" si="61"/>
        <v>0</v>
      </c>
      <c r="AC44" s="55">
        <v>0</v>
      </c>
      <c r="AD44" s="55">
        <v>-5.85</v>
      </c>
      <c r="AE44" s="55">
        <v>0</v>
      </c>
      <c r="AF44" s="55" t="e">
        <v>#N/A</v>
      </c>
    </row>
    <row r="45" spans="1:32" s="57" customFormat="1" ht="15.75" customHeight="1">
      <c r="A45" s="17" t="s">
        <v>109</v>
      </c>
      <c r="B45"/>
      <c r="C45" s="51" t="str">
        <f t="shared" si="50"/>
        <v xml:space="preserve"> - </v>
      </c>
      <c r="D45" s="51">
        <v>0</v>
      </c>
      <c r="E45" s="51">
        <v>0</v>
      </c>
      <c r="F45" s="51">
        <v>0</v>
      </c>
      <c r="G45" s="51">
        <v>0</v>
      </c>
      <c r="H45" s="51" t="e">
        <f t="shared" si="51"/>
        <v>#DIV/0!</v>
      </c>
      <c r="I45" s="51" t="e">
        <f t="shared" si="52"/>
        <v>#DIV/0!</v>
      </c>
      <c r="J45" s="51">
        <f t="shared" si="53"/>
        <v>0</v>
      </c>
      <c r="K45" s="51" t="e">
        <f t="shared" si="54"/>
        <v>#DIV/0!</v>
      </c>
      <c r="L45" s="51">
        <v>0</v>
      </c>
      <c r="M45" s="51" t="str">
        <f t="shared" si="55"/>
        <v>-</v>
      </c>
      <c r="N45" s="51">
        <v>0</v>
      </c>
      <c r="O45" s="51">
        <f t="shared" ref="O45:P45" si="66">D45/7</f>
        <v>0</v>
      </c>
      <c r="P45" s="51">
        <f t="shared" si="66"/>
        <v>0</v>
      </c>
      <c r="Q45" s="51" t="e">
        <f t="shared" si="57"/>
        <v>#DIV/0!</v>
      </c>
      <c r="R45" s="55">
        <v>0</v>
      </c>
      <c r="S45" s="53" t="s">
        <v>34</v>
      </c>
      <c r="T45" s="54" t="s">
        <v>34</v>
      </c>
      <c r="U45" s="52">
        <v>0</v>
      </c>
      <c r="V45" s="55">
        <f t="shared" si="58"/>
        <v>0</v>
      </c>
      <c r="W45" s="55">
        <f t="shared" si="59"/>
        <v>0</v>
      </c>
      <c r="X45" s="52">
        <v>0</v>
      </c>
      <c r="Y45" s="52" t="e">
        <v>#N/A</v>
      </c>
      <c r="Z45" s="56" t="e">
        <f t="shared" si="65"/>
        <v>#N/A</v>
      </c>
      <c r="AA45" s="55" t="e">
        <v>#N/A</v>
      </c>
      <c r="AB45" s="55">
        <f t="shared" si="61"/>
        <v>0</v>
      </c>
      <c r="AC45" s="55">
        <v>0</v>
      </c>
      <c r="AD45" s="55">
        <v>-5.85</v>
      </c>
      <c r="AE45" s="55">
        <v>0</v>
      </c>
      <c r="AF45" s="55" t="e">
        <v>#N/A</v>
      </c>
    </row>
    <row r="46" spans="1:32" s="57" customFormat="1" ht="15.75" customHeight="1">
      <c r="A46" s="17" t="s">
        <v>111</v>
      </c>
      <c r="B46"/>
      <c r="C46" s="51" t="str">
        <f t="shared" si="50"/>
        <v xml:space="preserve"> - </v>
      </c>
      <c r="D46" s="51">
        <v>0</v>
      </c>
      <c r="E46" s="51">
        <v>0</v>
      </c>
      <c r="F46" s="51">
        <v>0</v>
      </c>
      <c r="G46" s="51">
        <v>0</v>
      </c>
      <c r="H46" s="51" t="e">
        <f t="shared" si="51"/>
        <v>#DIV/0!</v>
      </c>
      <c r="I46" s="51" t="e">
        <f t="shared" si="52"/>
        <v>#DIV/0!</v>
      </c>
      <c r="J46" s="51">
        <f t="shared" si="53"/>
        <v>0</v>
      </c>
      <c r="K46" s="51" t="e">
        <f t="shared" si="54"/>
        <v>#DIV/0!</v>
      </c>
      <c r="L46" s="51">
        <v>0</v>
      </c>
      <c r="M46" s="51" t="str">
        <f t="shared" si="55"/>
        <v>-</v>
      </c>
      <c r="N46" s="51">
        <v>0</v>
      </c>
      <c r="O46" s="51">
        <f t="shared" ref="O46:P46" si="67">D46/7</f>
        <v>0</v>
      </c>
      <c r="P46" s="51">
        <f t="shared" si="67"/>
        <v>0</v>
      </c>
      <c r="Q46" s="51" t="e">
        <f t="shared" si="57"/>
        <v>#DIV/0!</v>
      </c>
      <c r="R46" s="55">
        <v>0</v>
      </c>
      <c r="S46" s="53" t="s">
        <v>34</v>
      </c>
      <c r="T46" s="54" t="s">
        <v>34</v>
      </c>
      <c r="U46" s="52">
        <v>0</v>
      </c>
      <c r="V46" s="55">
        <f t="shared" si="58"/>
        <v>0</v>
      </c>
      <c r="W46" s="55">
        <f t="shared" si="59"/>
        <v>0</v>
      </c>
      <c r="X46" s="52">
        <v>0</v>
      </c>
      <c r="Y46" s="52" t="e">
        <v>#N/A</v>
      </c>
      <c r="Z46" s="56" t="e">
        <f t="shared" si="65"/>
        <v>#N/A</v>
      </c>
      <c r="AA46" s="55" t="e">
        <v>#N/A</v>
      </c>
      <c r="AB46" s="55">
        <f t="shared" si="61"/>
        <v>0</v>
      </c>
      <c r="AC46" s="55">
        <v>0</v>
      </c>
      <c r="AD46" s="55">
        <v>-5.85</v>
      </c>
      <c r="AE46" s="55">
        <v>0</v>
      </c>
      <c r="AF46" s="55" t="e">
        <v>#N/A</v>
      </c>
    </row>
    <row r="47" spans="1:32" s="57" customFormat="1" ht="15.75" customHeight="1">
      <c r="A47" s="17" t="s">
        <v>113</v>
      </c>
      <c r="B47"/>
      <c r="C47" s="51" t="str">
        <f t="shared" si="50"/>
        <v xml:space="preserve"> - </v>
      </c>
      <c r="D47" s="51">
        <v>0</v>
      </c>
      <c r="E47" s="51">
        <v>0</v>
      </c>
      <c r="F47" s="51">
        <v>0</v>
      </c>
      <c r="G47" s="51">
        <v>0</v>
      </c>
      <c r="H47" s="51" t="e">
        <f t="shared" si="51"/>
        <v>#DIV/0!</v>
      </c>
      <c r="I47" s="51" t="e">
        <f t="shared" si="52"/>
        <v>#DIV/0!</v>
      </c>
      <c r="J47" s="51">
        <f t="shared" si="53"/>
        <v>0</v>
      </c>
      <c r="K47" s="51" t="e">
        <f t="shared" si="54"/>
        <v>#DIV/0!</v>
      </c>
      <c r="L47" s="51">
        <v>0</v>
      </c>
      <c r="M47" s="51" t="str">
        <f t="shared" si="55"/>
        <v>-</v>
      </c>
      <c r="N47" s="51">
        <v>0</v>
      </c>
      <c r="O47" s="51">
        <f t="shared" ref="O47:P47" si="68">D47/7</f>
        <v>0</v>
      </c>
      <c r="P47" s="51">
        <f t="shared" si="68"/>
        <v>0</v>
      </c>
      <c r="Q47" s="51" t="e">
        <f t="shared" si="57"/>
        <v>#DIV/0!</v>
      </c>
      <c r="R47" s="55">
        <v>0</v>
      </c>
      <c r="S47" s="53" t="s">
        <v>34</v>
      </c>
      <c r="T47" s="54" t="s">
        <v>34</v>
      </c>
      <c r="U47" s="52">
        <v>0</v>
      </c>
      <c r="V47" s="55">
        <f t="shared" si="58"/>
        <v>0</v>
      </c>
      <c r="W47" s="55">
        <f t="shared" si="59"/>
        <v>0</v>
      </c>
      <c r="X47" s="52">
        <v>0</v>
      </c>
      <c r="Y47" s="52" t="e">
        <v>#N/A</v>
      </c>
      <c r="Z47" s="56" t="e">
        <f t="shared" si="65"/>
        <v>#N/A</v>
      </c>
      <c r="AA47" s="55" t="e">
        <v>#N/A</v>
      </c>
      <c r="AB47" s="55">
        <f t="shared" si="61"/>
        <v>0</v>
      </c>
      <c r="AC47" s="55">
        <v>0</v>
      </c>
      <c r="AD47" s="55">
        <v>-5.85</v>
      </c>
      <c r="AE47" s="55">
        <v>0</v>
      </c>
      <c r="AF47" s="55" t="e">
        <v>#N/A</v>
      </c>
    </row>
    <row r="48" spans="1:32" s="57" customFormat="1" ht="15.75" customHeight="1">
      <c r="A48" s="17" t="s">
        <v>115</v>
      </c>
      <c r="B48"/>
      <c r="C48" s="51" t="str">
        <f t="shared" si="50"/>
        <v xml:space="preserve"> - </v>
      </c>
      <c r="D48" s="51">
        <v>0</v>
      </c>
      <c r="E48" s="51">
        <v>0</v>
      </c>
      <c r="F48" s="51">
        <v>0</v>
      </c>
      <c r="G48" s="51">
        <v>0</v>
      </c>
      <c r="H48" s="51" t="e">
        <f t="shared" si="51"/>
        <v>#DIV/0!</v>
      </c>
      <c r="I48" s="51" t="e">
        <f t="shared" si="52"/>
        <v>#DIV/0!</v>
      </c>
      <c r="J48" s="51">
        <f t="shared" si="53"/>
        <v>0</v>
      </c>
      <c r="K48" s="51" t="e">
        <f t="shared" si="54"/>
        <v>#DIV/0!</v>
      </c>
      <c r="L48" s="51">
        <v>0</v>
      </c>
      <c r="M48" s="51" t="str">
        <f t="shared" si="55"/>
        <v>-</v>
      </c>
      <c r="N48" s="51">
        <v>0</v>
      </c>
      <c r="O48" s="51">
        <f t="shared" ref="O48:P48" si="69">D48/7</f>
        <v>0</v>
      </c>
      <c r="P48" s="51">
        <f t="shared" si="69"/>
        <v>0</v>
      </c>
      <c r="Q48" s="51" t="e">
        <f t="shared" si="57"/>
        <v>#DIV/0!</v>
      </c>
      <c r="R48" s="55">
        <f ca="1">IFERROR(__xludf.DUMMYFUNCTION("IFERROR(VLOOKUP($B$2,IMPORTRANGE(""https://docs.google.com/spreadsheets/d/1iVgg6Mw12RULLujzHmfOFIY8Q_KaAD8anoZzgtVAQ74/edit#gid=1503384807"",""Second Star - Summary!A1:AD2000""),9,FALSE),"""")"),0)</f>
        <v>0</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2">
        <v>0</v>
      </c>
      <c r="V48" s="55">
        <f t="shared" si="58"/>
        <v>0</v>
      </c>
      <c r="W48" s="55">
        <f t="shared" si="59"/>
        <v>0</v>
      </c>
      <c r="X48" s="52">
        <v>0</v>
      </c>
      <c r="Y48" s="52" t="e">
        <v>#N/A</v>
      </c>
      <c r="Z48" s="56" t="e">
        <f t="shared" si="65"/>
        <v>#N/A</v>
      </c>
      <c r="AA48" s="55" t="e">
        <v>#N/A</v>
      </c>
      <c r="AB48" s="55">
        <f t="shared" si="61"/>
        <v>0</v>
      </c>
      <c r="AC48" s="55">
        <v>0</v>
      </c>
      <c r="AD48" s="55">
        <v>-5.85</v>
      </c>
      <c r="AE48" s="55">
        <v>0</v>
      </c>
      <c r="AF48" s="55" t="e">
        <v>#N/A</v>
      </c>
    </row>
    <row r="49" spans="1:32" s="57" customFormat="1" ht="15.75" customHeight="1">
      <c r="A49" s="17" t="s">
        <v>117</v>
      </c>
      <c r="B49"/>
      <c r="C49" s="51" t="str">
        <f t="shared" si="50"/>
        <v xml:space="preserve"> - </v>
      </c>
      <c r="D49" s="51">
        <v>0</v>
      </c>
      <c r="E49" s="51">
        <v>0</v>
      </c>
      <c r="F49" s="51">
        <v>0</v>
      </c>
      <c r="G49" s="51">
        <v>0</v>
      </c>
      <c r="H49" s="51" t="e">
        <f t="shared" si="51"/>
        <v>#DIV/0!</v>
      </c>
      <c r="I49" s="51" t="e">
        <f t="shared" si="52"/>
        <v>#DIV/0!</v>
      </c>
      <c r="J49" s="51">
        <f t="shared" ref="J49:J56" si="70">F49*0.85+G49+AD49*D49+D49*AC49+AE49+AB49</f>
        <v>0</v>
      </c>
      <c r="K49" s="51" t="e">
        <f t="shared" si="54"/>
        <v>#DIV/0!</v>
      </c>
      <c r="L49" s="51">
        <v>0</v>
      </c>
      <c r="M49" s="51" t="str">
        <f t="shared" si="55"/>
        <v>-</v>
      </c>
      <c r="N49" s="51">
        <v>0</v>
      </c>
      <c r="O49" s="51">
        <f t="shared" ref="O49:P49" si="71">D49/7</f>
        <v>0</v>
      </c>
      <c r="P49" s="51">
        <f t="shared" si="71"/>
        <v>0</v>
      </c>
      <c r="Q49" s="51" t="e">
        <f t="shared" si="57"/>
        <v>#DIV/0!</v>
      </c>
      <c r="R49" s="55">
        <f ca="1">IFERROR(__xludf.DUMMYFUNCTION("IFERROR(VLOOKUP($B$2,IMPORTRANGE(""https://docs.google.com/spreadsheets/d/1iVgg6Mw12RULLujzHmfOFIY8Q_KaAD8anoZzgtVAQ74/edit#gid=1503384807"",""Second Star - Summary!A1:AD2000""),9,FALSE),"""")"),0)</f>
        <v>0</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2">
        <v>0</v>
      </c>
      <c r="V49" s="55">
        <f t="shared" si="58"/>
        <v>0</v>
      </c>
      <c r="W49" s="55">
        <f t="shared" si="59"/>
        <v>0</v>
      </c>
      <c r="X49" s="52">
        <v>0</v>
      </c>
      <c r="Y49" s="52" t="e">
        <v>#N/A</v>
      </c>
      <c r="Z49" s="56" t="e">
        <f t="shared" si="65"/>
        <v>#N/A</v>
      </c>
      <c r="AA49" s="55" t="e">
        <v>#N/A</v>
      </c>
      <c r="AB49" s="55">
        <f t="shared" si="61"/>
        <v>0</v>
      </c>
      <c r="AC49" s="55">
        <v>0</v>
      </c>
      <c r="AD49" s="55">
        <v>-5.85</v>
      </c>
      <c r="AE49" s="55">
        <v>0</v>
      </c>
      <c r="AF49" s="55" t="e">
        <v>#N/A</v>
      </c>
    </row>
    <row r="50" spans="1:32" s="57" customFormat="1" ht="15.75" customHeight="1">
      <c r="A50" s="2" t="s">
        <v>119</v>
      </c>
      <c r="B50"/>
      <c r="C50" s="51" t="str">
        <f t="shared" si="50"/>
        <v xml:space="preserve"> - </v>
      </c>
      <c r="D50" s="51">
        <v>0</v>
      </c>
      <c r="E50" s="51">
        <v>0</v>
      </c>
      <c r="F50" s="51">
        <v>0</v>
      </c>
      <c r="G50" s="51">
        <v>0</v>
      </c>
      <c r="H50" s="51" t="e">
        <f t="shared" si="51"/>
        <v>#DIV/0!</v>
      </c>
      <c r="I50" s="51" t="e">
        <f t="shared" si="52"/>
        <v>#DIV/0!</v>
      </c>
      <c r="J50" s="51">
        <f t="shared" si="70"/>
        <v>0</v>
      </c>
      <c r="K50" s="51" t="e">
        <f t="shared" si="54"/>
        <v>#DIV/0!</v>
      </c>
      <c r="L50" s="51">
        <v>0</v>
      </c>
      <c r="M50" s="51" t="str">
        <f t="shared" si="55"/>
        <v>-</v>
      </c>
      <c r="N50" s="51">
        <v>0</v>
      </c>
      <c r="O50" s="51">
        <f t="shared" ref="O50:P50" si="72">D50/7</f>
        <v>0</v>
      </c>
      <c r="P50" s="51">
        <f t="shared" si="72"/>
        <v>0</v>
      </c>
      <c r="Q50" s="51" t="e">
        <f t="shared" si="57"/>
        <v>#DIV/0!</v>
      </c>
      <c r="R50" s="55">
        <f ca="1">IFERROR(__xludf.DUMMYFUNCTION("IFERROR(VLOOKUP($B$2,IMPORTRANGE(""https://docs.google.com/spreadsheets/d/1iVgg6Mw12RULLujzHmfOFIY8Q_KaAD8anoZzgtVAQ74/edit#gid=1503384807"",""Second Star - Summary!A1:AD2000""),9,FALSE),"""")"),0)</f>
        <v>0</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2">
        <v>0</v>
      </c>
      <c r="V50" s="55">
        <f t="shared" si="58"/>
        <v>0</v>
      </c>
      <c r="W50" s="55">
        <f t="shared" si="59"/>
        <v>0</v>
      </c>
      <c r="X50" s="52">
        <v>0</v>
      </c>
      <c r="Y50" s="52" t="e">
        <v>#N/A</v>
      </c>
      <c r="Z50" s="56" t="e">
        <f t="shared" si="65"/>
        <v>#N/A</v>
      </c>
      <c r="AA50" s="55" t="e">
        <v>#N/A</v>
      </c>
      <c r="AB50" s="55">
        <f t="shared" si="61"/>
        <v>0</v>
      </c>
      <c r="AC50" s="55">
        <v>0</v>
      </c>
      <c r="AD50" s="55">
        <v>-5.85</v>
      </c>
      <c r="AE50" s="55">
        <v>0</v>
      </c>
      <c r="AF50" s="55" t="e">
        <v>#N/A</v>
      </c>
    </row>
    <row r="51" spans="1:32" s="57" customFormat="1" ht="15.75" customHeight="1">
      <c r="A51" s="2" t="s">
        <v>121</v>
      </c>
      <c r="B51"/>
      <c r="C51" s="51" t="str">
        <f t="shared" si="50"/>
        <v xml:space="preserve"> - </v>
      </c>
      <c r="D51" s="51">
        <v>0</v>
      </c>
      <c r="E51" s="51">
        <v>0</v>
      </c>
      <c r="F51" s="51">
        <v>0</v>
      </c>
      <c r="G51" s="51">
        <v>0</v>
      </c>
      <c r="H51" s="51" t="e">
        <f t="shared" si="51"/>
        <v>#DIV/0!</v>
      </c>
      <c r="I51" s="51" t="e">
        <f t="shared" si="52"/>
        <v>#DIV/0!</v>
      </c>
      <c r="J51" s="51">
        <f t="shared" si="70"/>
        <v>0</v>
      </c>
      <c r="K51" s="51" t="e">
        <f t="shared" si="54"/>
        <v>#DIV/0!</v>
      </c>
      <c r="L51" s="51">
        <v>0</v>
      </c>
      <c r="M51" s="51" t="str">
        <f t="shared" si="55"/>
        <v>-</v>
      </c>
      <c r="N51" s="51">
        <v>0</v>
      </c>
      <c r="O51" s="51">
        <f t="shared" ref="O51:P51" si="73">D51/7</f>
        <v>0</v>
      </c>
      <c r="P51" s="51">
        <f t="shared" si="73"/>
        <v>0</v>
      </c>
      <c r="Q51" s="51" t="e">
        <f t="shared" si="57"/>
        <v>#DIV/0!</v>
      </c>
      <c r="R51" s="55">
        <f ca="1">IFERROR(__xludf.DUMMYFUNCTION("IFERROR(VLOOKUP($B$2,IMPORTRANGE(""https://docs.google.com/spreadsheets/d/1iVgg6Mw12RULLujzHmfOFIY8Q_KaAD8anoZzgtVAQ74/edit#gid=1503384807"",""Second Star - Summary!A1:AD2000""),9,FALSE),"""")"),0)</f>
        <v>0</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2">
        <v>0</v>
      </c>
      <c r="V51" s="55">
        <f t="shared" si="58"/>
        <v>0</v>
      </c>
      <c r="W51" s="55">
        <f t="shared" si="59"/>
        <v>0</v>
      </c>
      <c r="X51" s="52">
        <v>0</v>
      </c>
      <c r="Y51" s="52" t="e">
        <v>#N/A</v>
      </c>
      <c r="Z51" s="56" t="e">
        <f t="shared" si="65"/>
        <v>#N/A</v>
      </c>
      <c r="AA51" s="55" t="e">
        <v>#N/A</v>
      </c>
      <c r="AB51" s="55">
        <f t="shared" si="61"/>
        <v>0</v>
      </c>
      <c r="AC51" s="55">
        <v>0</v>
      </c>
      <c r="AD51" s="55">
        <v>-5.85</v>
      </c>
      <c r="AE51" s="55">
        <v>0</v>
      </c>
      <c r="AF51" s="55" t="e">
        <v>#N/A</v>
      </c>
    </row>
    <row r="52" spans="1:32" s="57" customFormat="1" ht="15.75" customHeight="1">
      <c r="A52" s="17" t="s">
        <v>123</v>
      </c>
      <c r="B52"/>
      <c r="C52" s="51" t="str">
        <f t="shared" si="50"/>
        <v xml:space="preserve"> - </v>
      </c>
      <c r="D52" s="51">
        <v>0</v>
      </c>
      <c r="E52" s="51">
        <v>0</v>
      </c>
      <c r="F52" s="51">
        <v>0</v>
      </c>
      <c r="G52" s="51">
        <v>0</v>
      </c>
      <c r="H52" s="51" t="e">
        <f t="shared" si="51"/>
        <v>#DIV/0!</v>
      </c>
      <c r="I52" s="51" t="e">
        <f t="shared" si="52"/>
        <v>#DIV/0!</v>
      </c>
      <c r="J52" s="51">
        <f t="shared" si="70"/>
        <v>0</v>
      </c>
      <c r="K52" s="51" t="e">
        <f t="shared" si="54"/>
        <v>#DIV/0!</v>
      </c>
      <c r="L52" s="51">
        <v>0</v>
      </c>
      <c r="M52" s="51" t="str">
        <f t="shared" si="55"/>
        <v>-</v>
      </c>
      <c r="N52" s="51">
        <v>0</v>
      </c>
      <c r="O52" s="51">
        <f t="shared" ref="O52:P52" si="74">D52/7</f>
        <v>0</v>
      </c>
      <c r="P52" s="51">
        <f t="shared" si="74"/>
        <v>0</v>
      </c>
      <c r="Q52" s="51" t="e">
        <f t="shared" si="57"/>
        <v>#DIV/0!</v>
      </c>
      <c r="R52" s="55">
        <f ca="1">IFERROR(__xludf.DUMMYFUNCTION("IFERROR(VLOOKUP($B$2,IMPORTRANGE(""https://docs.google.com/spreadsheets/d/1iVgg6Mw12RULLujzHmfOFIY8Q_KaAD8anoZzgtVAQ74/edit#gid=1503384807"",""Second Star - Summary!A1:AD2000""),9,FALSE),"""")"),0)</f>
        <v>0</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2">
        <v>0</v>
      </c>
      <c r="V52" s="55">
        <f t="shared" si="58"/>
        <v>0</v>
      </c>
      <c r="W52" s="55">
        <f t="shared" si="59"/>
        <v>0</v>
      </c>
      <c r="X52" s="52">
        <v>0</v>
      </c>
      <c r="Y52" s="52" t="e">
        <v>#N/A</v>
      </c>
      <c r="Z52" s="56" t="e">
        <f t="shared" si="65"/>
        <v>#N/A</v>
      </c>
      <c r="AA52" s="55" t="e">
        <v>#N/A</v>
      </c>
      <c r="AB52" s="55">
        <f t="shared" si="61"/>
        <v>0</v>
      </c>
      <c r="AC52" s="55">
        <v>0</v>
      </c>
      <c r="AD52" s="55">
        <v>-5.85</v>
      </c>
      <c r="AE52" s="55">
        <v>0</v>
      </c>
      <c r="AF52" s="55">
        <v>0</v>
      </c>
    </row>
    <row r="53" spans="1:32" s="57" customFormat="1">
      <c r="A53" s="17" t="s">
        <v>38</v>
      </c>
      <c r="B53"/>
      <c r="C53" s="51" t="str">
        <f t="shared" si="50"/>
        <v xml:space="preserve"> - </v>
      </c>
      <c r="D53" s="51">
        <v>0</v>
      </c>
      <c r="E53" s="51">
        <v>0</v>
      </c>
      <c r="F53" s="51">
        <v>0</v>
      </c>
      <c r="G53" s="51">
        <v>0</v>
      </c>
      <c r="H53" s="51" t="e">
        <f t="shared" si="51"/>
        <v>#DIV/0!</v>
      </c>
      <c r="I53" s="51" t="e">
        <f t="shared" si="52"/>
        <v>#DIV/0!</v>
      </c>
      <c r="J53" s="51">
        <f t="shared" si="70"/>
        <v>0</v>
      </c>
      <c r="K53" s="51" t="e">
        <f t="shared" si="54"/>
        <v>#DIV/0!</v>
      </c>
      <c r="L53" s="51">
        <v>0</v>
      </c>
      <c r="M53" s="51" t="str">
        <f t="shared" si="55"/>
        <v>-</v>
      </c>
      <c r="N53" s="51">
        <v>0</v>
      </c>
      <c r="O53" s="51">
        <f t="shared" ref="O53:P53" si="75">D53/7</f>
        <v>0</v>
      </c>
      <c r="P53" s="51">
        <f t="shared" si="75"/>
        <v>0</v>
      </c>
      <c r="Q53" s="51" t="e">
        <f t="shared" si="57"/>
        <v>#DIV/0!</v>
      </c>
      <c r="R53" s="55">
        <f ca="1">IFERROR(__xludf.DUMMYFUNCTION("IFERROR(VLOOKUP($B$2,IMPORTRANGE(""https://docs.google.com/spreadsheets/d/1iVgg6Mw12RULLujzHmfOFIY8Q_KaAD8anoZzgtVAQ74/edit#gid=1503384807"",""Second Star - Summary!A1:AD2000""),9,FALSE),"""")"),0)</f>
        <v>0</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2">
        <v>0</v>
      </c>
      <c r="V53" s="55">
        <f t="shared" si="58"/>
        <v>0</v>
      </c>
      <c r="W53" s="55">
        <f t="shared" si="59"/>
        <v>0</v>
      </c>
      <c r="X53" s="52">
        <v>0</v>
      </c>
      <c r="Y53" s="52" t="e">
        <v>#N/A</v>
      </c>
      <c r="Z53" s="56" t="e">
        <f t="shared" si="65"/>
        <v>#N/A</v>
      </c>
      <c r="AA53" s="55" t="e">
        <v>#N/A</v>
      </c>
      <c r="AB53" s="55">
        <f t="shared" si="61"/>
        <v>0</v>
      </c>
      <c r="AC53" s="55">
        <v>0</v>
      </c>
      <c r="AD53" s="55">
        <v>-5.85</v>
      </c>
      <c r="AE53" s="55">
        <v>0</v>
      </c>
      <c r="AF53" s="55">
        <v>0</v>
      </c>
    </row>
    <row r="54" spans="1:32" s="57" customFormat="1">
      <c r="A54" s="17" t="s">
        <v>40</v>
      </c>
      <c r="B54"/>
      <c r="C54" s="51" t="str">
        <f t="shared" si="50"/>
        <v xml:space="preserve"> - </v>
      </c>
      <c r="D54" s="51">
        <v>0</v>
      </c>
      <c r="E54" s="51">
        <v>0</v>
      </c>
      <c r="F54" s="51">
        <v>0</v>
      </c>
      <c r="G54" s="51">
        <v>0</v>
      </c>
      <c r="H54" s="51" t="e">
        <f t="shared" si="51"/>
        <v>#DIV/0!</v>
      </c>
      <c r="I54" s="51" t="e">
        <f t="shared" si="52"/>
        <v>#DIV/0!</v>
      </c>
      <c r="J54" s="51">
        <f t="shared" si="70"/>
        <v>0</v>
      </c>
      <c r="K54" s="51" t="e">
        <f t="shared" si="54"/>
        <v>#DIV/0!</v>
      </c>
      <c r="L54" s="51">
        <v>0</v>
      </c>
      <c r="M54" s="51" t="str">
        <f t="shared" si="55"/>
        <v>-</v>
      </c>
      <c r="N54" s="51">
        <v>0</v>
      </c>
      <c r="O54" s="51">
        <f t="shared" ref="O54:P54" si="76">D54/7</f>
        <v>0</v>
      </c>
      <c r="P54" s="51">
        <f t="shared" si="76"/>
        <v>0</v>
      </c>
      <c r="Q54" s="51" t="e">
        <f t="shared" si="57"/>
        <v>#DIV/0!</v>
      </c>
      <c r="R54" s="55">
        <f ca="1">IFERROR(__xludf.DUMMYFUNCTION("IFERROR(VLOOKUP($B$2,IMPORTRANGE(""https://docs.google.com/spreadsheets/d/1iVgg6Mw12RULLujzHmfOFIY8Q_KaAD8anoZzgtVAQ74/edit#gid=1503384807"",""Second Star - Summary!A1:AD2000""),9,FALSE),"""")"),0)</f>
        <v>0</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2">
        <v>0</v>
      </c>
      <c r="V54" s="55">
        <f t="shared" si="58"/>
        <v>0</v>
      </c>
      <c r="W54" s="55">
        <f t="shared" si="59"/>
        <v>0</v>
      </c>
      <c r="X54" s="52">
        <v>0</v>
      </c>
      <c r="Y54" s="52" t="e">
        <v>#N/A</v>
      </c>
      <c r="Z54" s="56" t="e">
        <f t="shared" si="65"/>
        <v>#N/A</v>
      </c>
      <c r="AA54" s="55" t="e">
        <v>#N/A</v>
      </c>
      <c r="AB54" s="55">
        <f t="shared" si="61"/>
        <v>0</v>
      </c>
      <c r="AC54" s="55">
        <v>0</v>
      </c>
      <c r="AD54" s="55">
        <v>-5.85</v>
      </c>
      <c r="AE54" s="55">
        <v>0</v>
      </c>
      <c r="AF54" s="55">
        <v>0</v>
      </c>
    </row>
    <row r="55" spans="1:32" s="57" customFormat="1" ht="15.75" customHeight="1">
      <c r="A55" s="17" t="s">
        <v>32</v>
      </c>
      <c r="B55"/>
      <c r="C55" s="51" t="str">
        <f t="shared" si="50"/>
        <v xml:space="preserve"> - </v>
      </c>
      <c r="D55" s="51">
        <v>0</v>
      </c>
      <c r="E55" s="51">
        <v>0</v>
      </c>
      <c r="F55" s="51">
        <v>0</v>
      </c>
      <c r="G55" s="51">
        <v>0</v>
      </c>
      <c r="H55" s="51" t="e">
        <f t="shared" si="51"/>
        <v>#DIV/0!</v>
      </c>
      <c r="I55" s="51" t="e">
        <f t="shared" si="52"/>
        <v>#DIV/0!</v>
      </c>
      <c r="J55" s="51">
        <f t="shared" si="70"/>
        <v>0</v>
      </c>
      <c r="K55" s="51" t="e">
        <f t="shared" si="54"/>
        <v>#DIV/0!</v>
      </c>
      <c r="L55" s="51">
        <v>0</v>
      </c>
      <c r="M55" s="51" t="str">
        <f t="shared" si="55"/>
        <v>-</v>
      </c>
      <c r="N55" s="51">
        <v>0</v>
      </c>
      <c r="O55" s="51">
        <f t="shared" ref="O55:P55" si="77">D55/7</f>
        <v>0</v>
      </c>
      <c r="P55" s="51">
        <f t="shared" si="77"/>
        <v>0</v>
      </c>
      <c r="Q55" s="51" t="e">
        <f t="shared" si="57"/>
        <v>#DIV/0!</v>
      </c>
      <c r="R55" s="55">
        <v>0</v>
      </c>
      <c r="S55" s="53" t="s">
        <v>34</v>
      </c>
      <c r="T55" s="54" t="s">
        <v>34</v>
      </c>
      <c r="U55" s="52">
        <v>0</v>
      </c>
      <c r="V55" s="55">
        <f t="shared" si="58"/>
        <v>0</v>
      </c>
      <c r="W55" s="55">
        <f t="shared" si="59"/>
        <v>0</v>
      </c>
      <c r="X55" s="52">
        <v>0</v>
      </c>
      <c r="Y55" s="52" t="e">
        <v>#N/A</v>
      </c>
      <c r="Z55" s="56" t="e">
        <f t="shared" si="65"/>
        <v>#N/A</v>
      </c>
      <c r="AA55" s="55" t="e">
        <v>#N/A</v>
      </c>
      <c r="AB55" s="55">
        <f t="shared" si="61"/>
        <v>0</v>
      </c>
      <c r="AC55" s="55">
        <v>0</v>
      </c>
      <c r="AD55" s="55">
        <v>-5.85</v>
      </c>
      <c r="AE55" s="55">
        <v>0</v>
      </c>
      <c r="AF55" s="55" t="e">
        <v>#N/A</v>
      </c>
    </row>
    <row r="56" spans="1:32" s="57" customFormat="1" ht="15.75" customHeight="1">
      <c r="A56" s="30" t="s">
        <v>36</v>
      </c>
      <c r="B56"/>
      <c r="C56" s="51" t="str">
        <f t="shared" si="50"/>
        <v xml:space="preserve"> - </v>
      </c>
      <c r="D56" s="51">
        <v>0</v>
      </c>
      <c r="E56" s="51">
        <v>0</v>
      </c>
      <c r="F56" s="51">
        <v>0</v>
      </c>
      <c r="G56" s="51">
        <v>0</v>
      </c>
      <c r="H56" s="51" t="e">
        <f t="shared" si="51"/>
        <v>#DIV/0!</v>
      </c>
      <c r="I56" s="51" t="e">
        <f t="shared" si="52"/>
        <v>#DIV/0!</v>
      </c>
      <c r="J56" s="51">
        <f t="shared" si="70"/>
        <v>0</v>
      </c>
      <c r="K56" s="51" t="e">
        <f t="shared" si="54"/>
        <v>#DIV/0!</v>
      </c>
      <c r="L56" s="51">
        <v>0</v>
      </c>
      <c r="M56" s="51" t="str">
        <f t="shared" si="55"/>
        <v>-</v>
      </c>
      <c r="N56" s="51">
        <v>0</v>
      </c>
      <c r="O56" s="51">
        <f t="shared" ref="O56:P56" si="78">D56/7</f>
        <v>0</v>
      </c>
      <c r="P56" s="51">
        <f t="shared" si="78"/>
        <v>0</v>
      </c>
      <c r="Q56" s="51" t="e">
        <f t="shared" si="57"/>
        <v>#DIV/0!</v>
      </c>
      <c r="R56" s="55">
        <f ca="1">IFERROR(__xludf.DUMMYFUNCTION("IFERROR(VLOOKUP($B$2,IMPORTRANGE(""https://docs.google.com/spreadsheets/d/1iVgg6Mw12RULLujzHmfOFIY8Q_KaAD8anoZzgtVAQ74/edit#gid=1503384807"",""Second Star - Summary!A1:AD2000""),9,FALSE),"""")"),0)</f>
        <v>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9">
        <v>0</v>
      </c>
      <c r="V56" s="55">
        <f t="shared" si="58"/>
        <v>0</v>
      </c>
      <c r="W56" s="55">
        <f t="shared" si="59"/>
        <v>0</v>
      </c>
      <c r="X56" s="59">
        <v>0</v>
      </c>
      <c r="Y56" s="59" t="e">
        <v>#N/A</v>
      </c>
      <c r="Z56" s="56" t="e">
        <f t="shared" si="65"/>
        <v>#N/A</v>
      </c>
      <c r="AA56" s="55" t="e">
        <v>#N/A</v>
      </c>
      <c r="AB56" s="55">
        <f t="shared" si="61"/>
        <v>0</v>
      </c>
      <c r="AC56" s="55">
        <v>0</v>
      </c>
      <c r="AD56" s="55">
        <v>-5.85</v>
      </c>
      <c r="AE56" s="55">
        <v>0</v>
      </c>
      <c r="AF56" s="55" t="e">
        <v>#N/A</v>
      </c>
    </row>
    <row r="57" spans="1:32" ht="15.75" customHeight="1">
      <c r="C57" s="24"/>
      <c r="D57" s="18"/>
      <c r="E57" s="18"/>
      <c r="F57" s="19"/>
      <c r="G57" s="19"/>
      <c r="H57" s="19"/>
      <c r="I57" s="18"/>
      <c r="J57" s="18"/>
      <c r="K57" s="18"/>
      <c r="L57" s="18"/>
      <c r="M57" s="20"/>
      <c r="N57" s="18"/>
      <c r="O57" s="18"/>
      <c r="P57" s="18"/>
      <c r="Q57" s="18"/>
      <c r="S57" s="21"/>
      <c r="T57" s="1"/>
      <c r="AC57" s="22"/>
      <c r="AD57" s="22"/>
      <c r="AE57" s="22"/>
      <c r="AF57" s="23"/>
    </row>
    <row r="58" spans="1:32" ht="15.75" customHeight="1">
      <c r="C58" s="24"/>
      <c r="D58" s="18"/>
      <c r="E58" s="18"/>
      <c r="F58" s="19"/>
      <c r="G58" s="19"/>
      <c r="H58" s="19"/>
      <c r="I58" s="18"/>
      <c r="J58" s="18"/>
      <c r="K58" s="18"/>
      <c r="L58" s="18"/>
      <c r="M58" s="20"/>
      <c r="N58" s="18"/>
      <c r="O58" s="18"/>
      <c r="P58" s="18"/>
      <c r="Q58" s="18"/>
      <c r="S58" s="21"/>
      <c r="T58" s="1"/>
      <c r="AC58" s="22"/>
      <c r="AD58" s="22"/>
      <c r="AE58" s="22"/>
      <c r="AF58" s="23"/>
    </row>
    <row r="59" spans="1:32" ht="15.75" customHeight="1">
      <c r="C59" s="24"/>
      <c r="D59" s="18"/>
      <c r="E59" s="18"/>
      <c r="F59" s="19"/>
      <c r="G59" s="19"/>
      <c r="H59" s="19"/>
      <c r="I59" s="18"/>
      <c r="J59" s="18"/>
      <c r="K59" s="18"/>
      <c r="L59" s="18"/>
      <c r="M59" s="20"/>
      <c r="N59" s="18"/>
      <c r="O59" s="18"/>
      <c r="P59" s="18"/>
      <c r="Q59" s="18"/>
      <c r="S59" s="21"/>
      <c r="T59" s="1"/>
      <c r="AC59" s="22"/>
      <c r="AD59" s="22"/>
      <c r="AE59" s="22"/>
      <c r="AF59" s="23"/>
    </row>
    <row r="60" spans="1:32" ht="15.75" customHeight="1">
      <c r="C60" s="24"/>
      <c r="D60" s="18"/>
      <c r="E60" s="18"/>
      <c r="F60" s="19"/>
      <c r="G60" s="19"/>
      <c r="H60" s="19"/>
      <c r="I60" s="18"/>
      <c r="J60" s="18"/>
      <c r="K60" s="18"/>
      <c r="L60" s="18"/>
      <c r="M60" s="20"/>
      <c r="N60" s="18"/>
      <c r="O60" s="18"/>
      <c r="P60" s="18"/>
      <c r="Q60" s="18"/>
      <c r="S60" s="21"/>
      <c r="T60" s="1"/>
      <c r="AC60" s="22"/>
      <c r="AD60" s="22"/>
      <c r="AE60" s="22"/>
      <c r="AF60" s="23"/>
    </row>
    <row r="61" spans="1:32" ht="15.75" customHeight="1">
      <c r="C61" s="24"/>
      <c r="D61" s="18"/>
      <c r="E61" s="18"/>
      <c r="F61" s="19"/>
      <c r="G61" s="19"/>
      <c r="H61" s="19"/>
      <c r="I61" s="18"/>
      <c r="J61" s="18"/>
      <c r="K61" s="18"/>
      <c r="L61" s="18"/>
      <c r="M61" s="20"/>
      <c r="N61" s="18"/>
      <c r="O61" s="18"/>
      <c r="P61" s="18"/>
      <c r="Q61" s="18"/>
      <c r="S61" s="21"/>
      <c r="T61" s="1"/>
      <c r="AC61" s="22"/>
      <c r="AD61" s="22"/>
      <c r="AE61" s="22"/>
      <c r="AF61" s="23"/>
    </row>
    <row r="62" spans="1:32" ht="15.75" customHeight="1">
      <c r="C62" s="24"/>
      <c r="D62" s="18"/>
      <c r="E62" s="18"/>
      <c r="F62" s="19"/>
      <c r="G62" s="19"/>
      <c r="H62" s="19"/>
      <c r="I62" s="18"/>
      <c r="J62" s="18"/>
      <c r="K62" s="18"/>
      <c r="L62" s="18"/>
      <c r="M62" s="20"/>
      <c r="N62" s="18"/>
      <c r="O62" s="18"/>
      <c r="P62" s="18"/>
      <c r="Q62" s="18"/>
      <c r="S62" s="21"/>
      <c r="T62" s="1"/>
      <c r="AC62" s="22"/>
      <c r="AD62" s="22"/>
      <c r="AE62" s="22"/>
      <c r="AF62" s="23"/>
    </row>
    <row r="63" spans="1:32" ht="15.75" customHeight="1">
      <c r="C63" s="24"/>
      <c r="D63" s="18"/>
      <c r="E63" s="18"/>
      <c r="F63" s="19"/>
      <c r="G63" s="19"/>
      <c r="H63" s="19"/>
      <c r="I63" s="18"/>
      <c r="J63" s="18"/>
      <c r="K63" s="18"/>
      <c r="L63" s="18"/>
      <c r="M63" s="20"/>
      <c r="N63" s="18"/>
      <c r="O63" s="18"/>
      <c r="P63" s="18"/>
      <c r="Q63" s="18"/>
      <c r="S63" s="21"/>
      <c r="T63" s="1"/>
      <c r="AC63" s="22"/>
      <c r="AD63" s="22"/>
      <c r="AE63" s="22"/>
      <c r="AF63" s="23"/>
    </row>
    <row r="64" spans="1:32" ht="15.75" customHeight="1">
      <c r="C64" s="24"/>
      <c r="D64" s="18"/>
      <c r="E64" s="18"/>
      <c r="F64" s="19"/>
      <c r="G64" s="19"/>
      <c r="H64" s="19"/>
      <c r="I64" s="18"/>
      <c r="J64" s="18"/>
      <c r="K64" s="18"/>
      <c r="L64" s="18"/>
      <c r="M64" s="20"/>
      <c r="N64" s="18"/>
      <c r="O64" s="18"/>
      <c r="P64" s="18"/>
      <c r="Q64" s="18"/>
      <c r="S64" s="21"/>
      <c r="T64" s="1"/>
      <c r="AC64" s="22"/>
      <c r="AD64" s="22"/>
      <c r="AE64" s="22"/>
      <c r="AF64" s="23"/>
    </row>
    <row r="65" spans="3:32" ht="15.75" customHeight="1">
      <c r="C65" s="24"/>
      <c r="D65" s="18"/>
      <c r="E65" s="18"/>
      <c r="F65" s="19"/>
      <c r="G65" s="19"/>
      <c r="H65" s="19"/>
      <c r="I65" s="18"/>
      <c r="J65" s="18"/>
      <c r="K65" s="18"/>
      <c r="L65" s="18"/>
      <c r="M65" s="20"/>
      <c r="N65" s="18"/>
      <c r="O65" s="18"/>
      <c r="P65" s="18"/>
      <c r="Q65" s="18"/>
      <c r="S65" s="21"/>
      <c r="T65" s="1"/>
      <c r="AC65" s="22"/>
      <c r="AD65" s="22"/>
      <c r="AE65" s="22"/>
      <c r="AF65" s="23"/>
    </row>
    <row r="66" spans="3:32" ht="15.75" customHeight="1">
      <c r="C66" s="24"/>
      <c r="D66" s="18"/>
      <c r="E66" s="18"/>
      <c r="F66" s="19"/>
      <c r="G66" s="19"/>
      <c r="H66" s="19"/>
      <c r="I66" s="18"/>
      <c r="J66" s="18"/>
      <c r="K66" s="18"/>
      <c r="L66" s="18"/>
      <c r="M66" s="20"/>
      <c r="N66" s="18"/>
      <c r="O66" s="18"/>
      <c r="P66" s="18"/>
      <c r="Q66" s="18"/>
      <c r="S66" s="21"/>
      <c r="T66" s="1"/>
      <c r="AC66" s="22"/>
      <c r="AD66" s="22"/>
      <c r="AE66" s="22"/>
      <c r="AF66" s="23"/>
    </row>
    <row r="67" spans="3:32" ht="15.75" customHeight="1">
      <c r="C67" s="24"/>
      <c r="D67" s="18"/>
      <c r="E67" s="18"/>
      <c r="F67" s="19"/>
      <c r="G67" s="19"/>
      <c r="H67" s="19"/>
      <c r="I67" s="18"/>
      <c r="J67" s="18"/>
      <c r="K67" s="18"/>
      <c r="L67" s="18"/>
      <c r="M67" s="20"/>
      <c r="N67" s="18"/>
      <c r="O67" s="18"/>
      <c r="P67" s="18"/>
      <c r="Q67" s="18"/>
      <c r="S67" s="21"/>
      <c r="T67" s="1"/>
      <c r="AC67" s="22"/>
      <c r="AD67" s="22"/>
      <c r="AE67" s="22"/>
      <c r="AF67" s="23"/>
    </row>
    <row r="68" spans="3:32" ht="15.75" customHeight="1">
      <c r="C68" s="24"/>
      <c r="D68" s="18"/>
      <c r="E68" s="18"/>
      <c r="F68" s="19"/>
      <c r="G68" s="19"/>
      <c r="H68" s="19"/>
      <c r="I68" s="18"/>
      <c r="J68" s="18"/>
      <c r="K68" s="18"/>
      <c r="L68" s="18"/>
      <c r="M68" s="20"/>
      <c r="N68" s="18"/>
      <c r="O68" s="18"/>
      <c r="P68" s="18"/>
      <c r="Q68" s="18"/>
      <c r="S68" s="21"/>
      <c r="T68" s="1"/>
      <c r="AC68" s="22"/>
      <c r="AD68" s="22"/>
      <c r="AE68" s="22"/>
      <c r="AF68" s="23"/>
    </row>
    <row r="69" spans="3:32" ht="15.75" customHeight="1">
      <c r="C69" s="24"/>
      <c r="D69" s="18"/>
      <c r="E69" s="18"/>
      <c r="F69" s="19"/>
      <c r="G69" s="19"/>
      <c r="H69" s="19"/>
      <c r="I69" s="18"/>
      <c r="J69" s="18"/>
      <c r="K69" s="18"/>
      <c r="L69" s="18"/>
      <c r="M69" s="20"/>
      <c r="N69" s="18"/>
      <c r="O69" s="18"/>
      <c r="P69" s="18"/>
      <c r="Q69" s="18"/>
      <c r="S69" s="21"/>
      <c r="T69" s="1"/>
      <c r="AC69" s="22"/>
      <c r="AD69" s="22"/>
      <c r="AE69" s="22"/>
      <c r="AF69" s="23"/>
    </row>
    <row r="70" spans="3:32" ht="15.75" customHeight="1">
      <c r="C70" s="24"/>
      <c r="D70" s="18"/>
      <c r="E70" s="18"/>
      <c r="F70" s="19"/>
      <c r="G70" s="19"/>
      <c r="H70" s="19"/>
      <c r="I70" s="18"/>
      <c r="J70" s="18"/>
      <c r="K70" s="18"/>
      <c r="L70" s="18"/>
      <c r="M70" s="20"/>
      <c r="N70" s="18"/>
      <c r="O70" s="18"/>
      <c r="P70" s="18"/>
      <c r="Q70" s="18"/>
      <c r="S70" s="21"/>
      <c r="T70" s="1"/>
      <c r="AC70" s="22"/>
      <c r="AD70" s="22"/>
      <c r="AE70" s="22"/>
      <c r="AF70" s="23"/>
    </row>
    <row r="71" spans="3:32" ht="15.75" customHeight="1">
      <c r="C71" s="24"/>
      <c r="D71" s="18"/>
      <c r="E71" s="18"/>
      <c r="F71" s="19"/>
      <c r="G71" s="19"/>
      <c r="H71" s="19"/>
      <c r="I71" s="18"/>
      <c r="J71" s="18"/>
      <c r="K71" s="18"/>
      <c r="L71" s="18"/>
      <c r="M71" s="20"/>
      <c r="N71" s="18"/>
      <c r="O71" s="18"/>
      <c r="P71" s="18"/>
      <c r="Q71" s="18"/>
      <c r="S71" s="21"/>
      <c r="T71" s="1"/>
      <c r="AC71" s="22"/>
      <c r="AD71" s="22"/>
      <c r="AE71" s="22"/>
      <c r="AF71" s="23"/>
    </row>
    <row r="72" spans="3:32" ht="15.75" customHeight="1">
      <c r="C72" s="24"/>
      <c r="D72" s="18"/>
      <c r="E72" s="18"/>
      <c r="F72" s="19"/>
      <c r="G72" s="19"/>
      <c r="H72" s="19"/>
      <c r="I72" s="18"/>
      <c r="J72" s="18"/>
      <c r="K72" s="18"/>
      <c r="L72" s="18"/>
      <c r="M72" s="20"/>
      <c r="N72" s="18"/>
      <c r="O72" s="18"/>
      <c r="P72" s="18"/>
      <c r="Q72" s="18"/>
      <c r="S72" s="21"/>
      <c r="T72" s="1"/>
      <c r="AC72" s="22"/>
      <c r="AD72" s="22"/>
      <c r="AE72" s="22"/>
      <c r="AF72" s="23"/>
    </row>
    <row r="73" spans="3:32" ht="15.75" customHeight="1">
      <c r="C73" s="24"/>
      <c r="D73" s="18"/>
      <c r="E73" s="18"/>
      <c r="F73" s="19"/>
      <c r="G73" s="19"/>
      <c r="H73" s="19"/>
      <c r="I73" s="18"/>
      <c r="J73" s="18"/>
      <c r="K73" s="18"/>
      <c r="L73" s="18"/>
      <c r="M73" s="20"/>
      <c r="N73" s="18"/>
      <c r="O73" s="18"/>
      <c r="P73" s="18"/>
      <c r="Q73" s="18"/>
      <c r="S73" s="21"/>
      <c r="T73" s="1"/>
      <c r="AC73" s="22"/>
      <c r="AD73" s="22"/>
      <c r="AE73" s="22"/>
      <c r="AF73" s="23"/>
    </row>
    <row r="74" spans="3:32" ht="15.75" customHeight="1">
      <c r="C74" s="24"/>
      <c r="D74" s="18"/>
      <c r="E74" s="18"/>
      <c r="F74" s="19"/>
      <c r="G74" s="19"/>
      <c r="H74" s="19"/>
      <c r="I74" s="18"/>
      <c r="J74" s="18"/>
      <c r="K74" s="18"/>
      <c r="L74" s="18"/>
      <c r="M74" s="20"/>
      <c r="N74" s="18"/>
      <c r="O74" s="18"/>
      <c r="P74" s="18"/>
      <c r="Q74" s="18"/>
      <c r="S74" s="21"/>
      <c r="T74" s="1"/>
      <c r="AC74" s="22"/>
      <c r="AD74" s="22"/>
      <c r="AE74" s="22"/>
      <c r="AF74" s="23"/>
    </row>
    <row r="75" spans="3:32" ht="15.75" customHeight="1">
      <c r="C75" s="24"/>
      <c r="D75" s="18"/>
      <c r="E75" s="18"/>
      <c r="F75" s="19"/>
      <c r="G75" s="19"/>
      <c r="H75" s="19"/>
      <c r="I75" s="18"/>
      <c r="J75" s="18"/>
      <c r="K75" s="18"/>
      <c r="L75" s="18"/>
      <c r="M75" s="20"/>
      <c r="N75" s="18"/>
      <c r="O75" s="18"/>
      <c r="P75" s="18"/>
      <c r="Q75" s="18"/>
      <c r="S75" s="21"/>
      <c r="T75" s="1"/>
      <c r="AC75" s="22"/>
      <c r="AD75" s="22"/>
      <c r="AE75" s="22"/>
      <c r="AF75" s="23"/>
    </row>
    <row r="76" spans="3:32" ht="15.75" customHeight="1">
      <c r="C76" s="24"/>
      <c r="D76" s="18"/>
      <c r="E76" s="18"/>
      <c r="F76" s="19"/>
      <c r="G76" s="19"/>
      <c r="H76" s="19"/>
      <c r="I76" s="18"/>
      <c r="J76" s="18"/>
      <c r="K76" s="18"/>
      <c r="L76" s="18"/>
      <c r="M76" s="20"/>
      <c r="N76" s="18"/>
      <c r="O76" s="18"/>
      <c r="P76" s="18"/>
      <c r="Q76" s="18"/>
      <c r="S76" s="21"/>
      <c r="T76" s="1"/>
      <c r="AC76" s="22"/>
      <c r="AD76" s="22"/>
      <c r="AE76" s="22"/>
      <c r="AF76" s="23"/>
    </row>
    <row r="77" spans="3:32" ht="15.75" customHeight="1">
      <c r="C77" s="24"/>
      <c r="D77" s="18"/>
      <c r="E77" s="18"/>
      <c r="F77" s="19"/>
      <c r="G77" s="19"/>
      <c r="H77" s="19"/>
      <c r="I77" s="18"/>
      <c r="J77" s="18"/>
      <c r="K77" s="18"/>
      <c r="L77" s="18"/>
      <c r="M77" s="20"/>
      <c r="N77" s="18"/>
      <c r="O77" s="18"/>
      <c r="P77" s="18"/>
      <c r="Q77" s="18"/>
      <c r="S77" s="21"/>
      <c r="T77" s="1"/>
      <c r="AC77" s="22"/>
      <c r="AD77" s="22"/>
      <c r="AE77" s="22"/>
      <c r="AF77" s="23"/>
    </row>
    <row r="78" spans="3:32" ht="15.75" customHeight="1">
      <c r="C78" s="24"/>
      <c r="D78" s="18"/>
      <c r="E78" s="18"/>
      <c r="F78" s="19"/>
      <c r="G78" s="19"/>
      <c r="H78" s="19"/>
      <c r="I78" s="18"/>
      <c r="J78" s="18"/>
      <c r="K78" s="18"/>
      <c r="L78" s="18"/>
      <c r="M78" s="20"/>
      <c r="N78" s="18"/>
      <c r="O78" s="18"/>
      <c r="P78" s="18"/>
      <c r="Q78" s="18"/>
      <c r="S78" s="21"/>
      <c r="T78" s="1"/>
      <c r="AC78" s="22"/>
      <c r="AD78" s="22"/>
      <c r="AE78" s="22"/>
      <c r="AF78" s="23"/>
    </row>
    <row r="79" spans="3:32" ht="15.75" customHeight="1">
      <c r="C79" s="24"/>
      <c r="D79" s="18"/>
      <c r="E79" s="18"/>
      <c r="F79" s="19"/>
      <c r="G79" s="19"/>
      <c r="H79" s="19"/>
      <c r="I79" s="18"/>
      <c r="J79" s="18"/>
      <c r="K79" s="18"/>
      <c r="L79" s="18"/>
      <c r="M79" s="20"/>
      <c r="N79" s="18"/>
      <c r="O79" s="18"/>
      <c r="P79" s="18"/>
      <c r="Q79" s="18"/>
      <c r="S79" s="21"/>
      <c r="T79" s="1"/>
      <c r="AC79" s="22"/>
      <c r="AD79" s="22"/>
      <c r="AE79" s="22"/>
      <c r="AF79" s="23"/>
    </row>
    <row r="80" spans="3:32" ht="15.75" customHeight="1">
      <c r="C80" s="24"/>
      <c r="D80" s="18"/>
      <c r="E80" s="18"/>
      <c r="F80" s="19"/>
      <c r="G80" s="19"/>
      <c r="H80" s="19"/>
      <c r="I80" s="18"/>
      <c r="J80" s="18"/>
      <c r="K80" s="18"/>
      <c r="L80" s="18"/>
      <c r="M80" s="20"/>
      <c r="N80" s="18"/>
      <c r="O80" s="18"/>
      <c r="P80" s="18"/>
      <c r="Q80" s="18"/>
      <c r="S80" s="21"/>
      <c r="T80" s="1"/>
      <c r="AC80" s="22"/>
      <c r="AD80" s="22"/>
      <c r="AE80" s="22"/>
      <c r="AF80" s="23"/>
    </row>
    <row r="81" spans="3:32" ht="15.75" customHeight="1">
      <c r="C81" s="24"/>
      <c r="D81" s="18"/>
      <c r="E81" s="18"/>
      <c r="F81" s="19"/>
      <c r="G81" s="19"/>
      <c r="H81" s="19"/>
      <c r="I81" s="18"/>
      <c r="J81" s="18"/>
      <c r="K81" s="18"/>
      <c r="L81" s="18"/>
      <c r="M81" s="20"/>
      <c r="N81" s="18"/>
      <c r="O81" s="18"/>
      <c r="P81" s="18"/>
      <c r="Q81" s="18"/>
      <c r="S81" s="21"/>
      <c r="T81" s="1"/>
      <c r="AC81" s="22"/>
      <c r="AD81" s="22"/>
      <c r="AE81" s="22"/>
      <c r="AF81" s="23"/>
    </row>
    <row r="82" spans="3:32" ht="15.75" customHeight="1">
      <c r="C82" s="24"/>
      <c r="D82" s="18"/>
      <c r="E82" s="18"/>
      <c r="F82" s="19"/>
      <c r="G82" s="19"/>
      <c r="H82" s="19"/>
      <c r="I82" s="18"/>
      <c r="J82" s="18"/>
      <c r="K82" s="18"/>
      <c r="L82" s="18"/>
      <c r="M82" s="20"/>
      <c r="N82" s="18"/>
      <c r="O82" s="18"/>
      <c r="P82" s="18"/>
      <c r="Q82" s="18"/>
      <c r="S82" s="21"/>
      <c r="T82" s="1"/>
      <c r="AC82" s="22"/>
      <c r="AD82" s="22"/>
      <c r="AE82" s="22"/>
      <c r="AF82" s="23"/>
    </row>
    <row r="83" spans="3:32" ht="15.75" customHeight="1">
      <c r="C83" s="24"/>
      <c r="D83" s="18"/>
      <c r="E83" s="18"/>
      <c r="F83" s="19"/>
      <c r="G83" s="19"/>
      <c r="H83" s="19"/>
      <c r="I83" s="18"/>
      <c r="J83" s="18"/>
      <c r="K83" s="18"/>
      <c r="L83" s="18"/>
      <c r="M83" s="20"/>
      <c r="N83" s="18"/>
      <c r="O83" s="18"/>
      <c r="P83" s="18"/>
      <c r="Q83" s="18"/>
      <c r="S83" s="21"/>
      <c r="T83" s="1"/>
      <c r="AC83" s="22"/>
      <c r="AD83" s="22"/>
      <c r="AE83" s="22"/>
      <c r="AF83" s="23"/>
    </row>
    <row r="84" spans="3:32" ht="15.75" customHeight="1">
      <c r="C84" s="24"/>
      <c r="D84" s="18"/>
      <c r="E84" s="18"/>
      <c r="F84" s="19"/>
      <c r="G84" s="19"/>
      <c r="H84" s="19"/>
      <c r="I84" s="18"/>
      <c r="J84" s="18"/>
      <c r="K84" s="18"/>
      <c r="L84" s="18"/>
      <c r="M84" s="20"/>
      <c r="N84" s="18"/>
      <c r="O84" s="18"/>
      <c r="P84" s="18"/>
      <c r="Q84" s="18"/>
      <c r="S84" s="21"/>
      <c r="T84" s="1"/>
      <c r="AC84" s="22"/>
      <c r="AD84" s="22"/>
      <c r="AE84" s="22"/>
      <c r="AF84" s="23"/>
    </row>
    <row r="85" spans="3:32" ht="15.75" customHeight="1">
      <c r="C85" s="24"/>
      <c r="D85" s="18"/>
      <c r="E85" s="18"/>
      <c r="F85" s="19"/>
      <c r="G85" s="19"/>
      <c r="H85" s="19"/>
      <c r="I85" s="18"/>
      <c r="J85" s="18"/>
      <c r="K85" s="18"/>
      <c r="L85" s="18"/>
      <c r="M85" s="20"/>
      <c r="N85" s="18"/>
      <c r="O85" s="18"/>
      <c r="P85" s="18"/>
      <c r="Q85" s="18"/>
      <c r="S85" s="21"/>
      <c r="T85" s="1"/>
      <c r="AC85" s="22"/>
      <c r="AD85" s="22"/>
      <c r="AE85" s="22"/>
      <c r="AF85" s="23"/>
    </row>
    <row r="86" spans="3:32" ht="15.75" customHeight="1">
      <c r="C86" s="24"/>
      <c r="D86" s="18"/>
      <c r="E86" s="18"/>
      <c r="F86" s="19"/>
      <c r="G86" s="19"/>
      <c r="H86" s="19"/>
      <c r="I86" s="18"/>
      <c r="J86" s="18"/>
      <c r="K86" s="18"/>
      <c r="L86" s="18"/>
      <c r="M86" s="20"/>
      <c r="N86" s="18"/>
      <c r="O86" s="18"/>
      <c r="P86" s="18"/>
      <c r="Q86" s="18"/>
      <c r="S86" s="21"/>
      <c r="T86" s="1"/>
      <c r="AC86" s="22"/>
      <c r="AD86" s="22"/>
      <c r="AE86" s="22"/>
      <c r="AF86" s="23"/>
    </row>
    <row r="87" spans="3:32" ht="15.75" customHeight="1">
      <c r="C87" s="24"/>
      <c r="D87" s="18"/>
      <c r="E87" s="18"/>
      <c r="F87" s="19"/>
      <c r="G87" s="19"/>
      <c r="H87" s="19"/>
      <c r="I87" s="18"/>
      <c r="J87" s="18"/>
      <c r="K87" s="18"/>
      <c r="L87" s="18"/>
      <c r="M87" s="20"/>
      <c r="N87" s="18"/>
      <c r="O87" s="18"/>
      <c r="P87" s="18"/>
      <c r="Q87" s="18"/>
      <c r="S87" s="21"/>
      <c r="T87" s="1"/>
      <c r="AC87" s="22"/>
      <c r="AD87" s="22"/>
      <c r="AE87" s="22"/>
      <c r="AF87" s="23"/>
    </row>
    <row r="88" spans="3:32" ht="15.75" customHeight="1">
      <c r="C88" s="24"/>
      <c r="D88" s="18"/>
      <c r="E88" s="18"/>
      <c r="F88" s="19"/>
      <c r="G88" s="19"/>
      <c r="H88" s="19"/>
      <c r="I88" s="18"/>
      <c r="J88" s="18"/>
      <c r="K88" s="18"/>
      <c r="L88" s="18"/>
      <c r="M88" s="20"/>
      <c r="N88" s="18"/>
      <c r="O88" s="18"/>
      <c r="P88" s="18"/>
      <c r="Q88" s="18"/>
      <c r="S88" s="21"/>
      <c r="T88" s="1"/>
      <c r="AC88" s="22"/>
      <c r="AD88" s="22"/>
      <c r="AE88" s="22"/>
      <c r="AF88" s="23"/>
    </row>
    <row r="89" spans="3:32" ht="15.75" customHeight="1">
      <c r="C89" s="24"/>
      <c r="D89" s="18"/>
      <c r="E89" s="18"/>
      <c r="F89" s="19"/>
      <c r="G89" s="19"/>
      <c r="H89" s="19"/>
      <c r="I89" s="18"/>
      <c r="J89" s="18"/>
      <c r="K89" s="18"/>
      <c r="L89" s="18"/>
      <c r="M89" s="20"/>
      <c r="N89" s="18"/>
      <c r="O89" s="18"/>
      <c r="P89" s="18"/>
      <c r="Q89" s="18"/>
      <c r="S89" s="21"/>
      <c r="T89" s="1"/>
      <c r="AC89" s="22"/>
      <c r="AD89" s="22"/>
      <c r="AE89" s="22"/>
      <c r="AF89" s="23"/>
    </row>
    <row r="90" spans="3:32" ht="15.75" customHeight="1">
      <c r="C90" s="24"/>
      <c r="D90" s="18"/>
      <c r="E90" s="18"/>
      <c r="F90" s="19"/>
      <c r="G90" s="19"/>
      <c r="H90" s="19"/>
      <c r="I90" s="18"/>
      <c r="J90" s="18"/>
      <c r="K90" s="18"/>
      <c r="L90" s="18"/>
      <c r="M90" s="20"/>
      <c r="N90" s="18"/>
      <c r="O90" s="18"/>
      <c r="P90" s="18"/>
      <c r="Q90" s="18"/>
      <c r="S90" s="21"/>
      <c r="T90" s="1"/>
      <c r="AC90" s="22"/>
      <c r="AD90" s="22"/>
      <c r="AE90" s="22"/>
      <c r="AF90" s="23"/>
    </row>
    <row r="91" spans="3:32" ht="15.75" customHeight="1">
      <c r="C91" s="24"/>
      <c r="D91" s="18"/>
      <c r="E91" s="18"/>
      <c r="F91" s="19"/>
      <c r="G91" s="19"/>
      <c r="H91" s="19"/>
      <c r="I91" s="18"/>
      <c r="J91" s="18"/>
      <c r="K91" s="18"/>
      <c r="L91" s="18"/>
      <c r="M91" s="20"/>
      <c r="N91" s="18"/>
      <c r="O91" s="18"/>
      <c r="P91" s="18"/>
      <c r="Q91" s="18"/>
      <c r="S91" s="21"/>
      <c r="T91" s="1"/>
      <c r="AC91" s="22"/>
      <c r="AD91" s="22"/>
      <c r="AE91" s="22"/>
      <c r="AF91" s="23"/>
    </row>
    <row r="92" spans="3:32" ht="15.75" customHeight="1">
      <c r="C92" s="24"/>
      <c r="D92" s="18"/>
      <c r="E92" s="18"/>
      <c r="F92" s="19"/>
      <c r="G92" s="19"/>
      <c r="H92" s="19"/>
      <c r="I92" s="18"/>
      <c r="J92" s="18"/>
      <c r="K92" s="18"/>
      <c r="L92" s="18"/>
      <c r="M92" s="20"/>
      <c r="N92" s="18"/>
      <c r="O92" s="18"/>
      <c r="P92" s="18"/>
      <c r="Q92" s="18"/>
      <c r="S92" s="21"/>
      <c r="T92" s="1"/>
      <c r="AC92" s="22"/>
      <c r="AD92" s="22"/>
      <c r="AE92" s="22"/>
      <c r="AF92" s="23"/>
    </row>
    <row r="93" spans="3:32" ht="15.75" customHeight="1">
      <c r="C93" s="24"/>
      <c r="D93" s="18"/>
      <c r="E93" s="18"/>
      <c r="F93" s="19"/>
      <c r="G93" s="19"/>
      <c r="H93" s="19"/>
      <c r="I93" s="18"/>
      <c r="J93" s="18"/>
      <c r="K93" s="18"/>
      <c r="L93" s="18"/>
      <c r="M93" s="20"/>
      <c r="N93" s="18"/>
      <c r="O93" s="18"/>
      <c r="P93" s="18"/>
      <c r="Q93" s="18"/>
      <c r="S93" s="21"/>
      <c r="T93" s="1"/>
      <c r="AC93" s="22"/>
      <c r="AD93" s="22"/>
      <c r="AE93" s="22"/>
      <c r="AF93" s="23"/>
    </row>
    <row r="94" spans="3:32" ht="15.75" customHeight="1">
      <c r="C94" s="24"/>
      <c r="D94" s="18"/>
      <c r="E94" s="18"/>
      <c r="F94" s="19"/>
      <c r="G94" s="19"/>
      <c r="H94" s="19"/>
      <c r="I94" s="18"/>
      <c r="J94" s="18"/>
      <c r="K94" s="18"/>
      <c r="L94" s="18"/>
      <c r="M94" s="20"/>
      <c r="N94" s="18"/>
      <c r="O94" s="18"/>
      <c r="P94" s="18"/>
      <c r="Q94" s="18"/>
      <c r="S94" s="21"/>
      <c r="T94" s="1"/>
      <c r="AC94" s="22"/>
      <c r="AD94" s="22"/>
      <c r="AE94" s="22"/>
      <c r="AF94" s="23"/>
    </row>
    <row r="95" spans="3:32" ht="15.75" customHeight="1">
      <c r="C95" s="24"/>
      <c r="D95" s="18"/>
      <c r="E95" s="18"/>
      <c r="F95" s="19"/>
      <c r="G95" s="19"/>
      <c r="H95" s="19"/>
      <c r="I95" s="18"/>
      <c r="J95" s="18"/>
      <c r="K95" s="18"/>
      <c r="L95" s="18"/>
      <c r="M95" s="20"/>
      <c r="N95" s="18"/>
      <c r="O95" s="18"/>
      <c r="P95" s="18"/>
      <c r="Q95" s="18"/>
      <c r="S95" s="21"/>
      <c r="T95" s="1"/>
      <c r="AC95" s="22"/>
      <c r="AD95" s="22"/>
      <c r="AE95" s="22"/>
      <c r="AF95" s="23"/>
    </row>
    <row r="96" spans="3:32" ht="15.75" customHeight="1">
      <c r="C96" s="24"/>
      <c r="D96" s="18"/>
      <c r="E96" s="18"/>
      <c r="F96" s="19"/>
      <c r="G96" s="19"/>
      <c r="H96" s="19"/>
      <c r="I96" s="18"/>
      <c r="J96" s="18"/>
      <c r="K96" s="18"/>
      <c r="L96" s="18"/>
      <c r="M96" s="20"/>
      <c r="N96" s="18"/>
      <c r="O96" s="18"/>
      <c r="P96" s="18"/>
      <c r="Q96" s="18"/>
      <c r="S96" s="21"/>
      <c r="T96" s="1"/>
      <c r="AC96" s="22"/>
      <c r="AD96" s="22"/>
      <c r="AE96" s="22"/>
      <c r="AF96" s="23"/>
    </row>
    <row r="97" spans="3:32" ht="15.75" customHeight="1">
      <c r="C97" s="24"/>
      <c r="D97" s="18"/>
      <c r="E97" s="18"/>
      <c r="F97" s="19"/>
      <c r="G97" s="19"/>
      <c r="H97" s="19"/>
      <c r="I97" s="18"/>
      <c r="J97" s="18"/>
      <c r="K97" s="18"/>
      <c r="L97" s="18"/>
      <c r="M97" s="20"/>
      <c r="N97" s="18"/>
      <c r="O97" s="18"/>
      <c r="P97" s="18"/>
      <c r="Q97" s="18"/>
      <c r="S97" s="21"/>
      <c r="T97" s="1"/>
      <c r="AC97" s="22"/>
      <c r="AD97" s="22"/>
      <c r="AE97" s="22"/>
      <c r="AF97" s="23"/>
    </row>
    <row r="98" spans="3:32" ht="15.75" customHeight="1">
      <c r="C98" s="24"/>
      <c r="D98" s="18"/>
      <c r="E98" s="18"/>
      <c r="F98" s="19"/>
      <c r="G98" s="19"/>
      <c r="H98" s="19"/>
      <c r="I98" s="18"/>
      <c r="J98" s="18"/>
      <c r="K98" s="18"/>
      <c r="L98" s="18"/>
      <c r="M98" s="20"/>
      <c r="N98" s="18"/>
      <c r="O98" s="18"/>
      <c r="P98" s="18"/>
      <c r="Q98" s="18"/>
      <c r="S98" s="21"/>
      <c r="T98" s="1"/>
      <c r="AC98" s="22"/>
      <c r="AD98" s="22"/>
      <c r="AE98" s="22"/>
      <c r="AF98" s="23"/>
    </row>
    <row r="99" spans="3:32" ht="15.75" customHeight="1">
      <c r="C99" s="24"/>
      <c r="D99" s="18"/>
      <c r="E99" s="18"/>
      <c r="F99" s="19"/>
      <c r="G99" s="19"/>
      <c r="H99" s="19"/>
      <c r="I99" s="18"/>
      <c r="J99" s="18"/>
      <c r="K99" s="18"/>
      <c r="L99" s="18"/>
      <c r="M99" s="20"/>
      <c r="N99" s="18"/>
      <c r="O99" s="18"/>
      <c r="P99" s="18"/>
      <c r="Q99" s="18"/>
      <c r="S99" s="21"/>
      <c r="T99" s="1"/>
      <c r="AC99" s="22"/>
      <c r="AD99" s="22"/>
      <c r="AE99" s="22"/>
      <c r="AF99" s="23"/>
    </row>
    <row r="100" spans="3:32" ht="15.75" customHeight="1">
      <c r="C100" s="24"/>
      <c r="D100" s="18"/>
      <c r="E100" s="18"/>
      <c r="F100" s="19"/>
      <c r="G100" s="19"/>
      <c r="H100" s="19"/>
      <c r="I100" s="18"/>
      <c r="J100" s="18"/>
      <c r="K100" s="18"/>
      <c r="L100" s="18"/>
      <c r="M100" s="20"/>
      <c r="N100" s="18"/>
      <c r="O100" s="18"/>
      <c r="P100" s="18"/>
      <c r="Q100" s="18"/>
      <c r="S100" s="21"/>
      <c r="T100" s="1"/>
      <c r="AC100" s="22"/>
      <c r="AD100" s="22"/>
      <c r="AE100" s="22"/>
      <c r="AF100" s="23"/>
    </row>
    <row r="101" spans="3:32" ht="15.75" customHeight="1">
      <c r="C101" s="24"/>
      <c r="D101" s="18"/>
      <c r="E101" s="18"/>
      <c r="F101" s="19"/>
      <c r="G101" s="19"/>
      <c r="H101" s="19"/>
      <c r="I101" s="18"/>
      <c r="J101" s="18"/>
      <c r="K101" s="18"/>
      <c r="L101" s="18"/>
      <c r="M101" s="20"/>
      <c r="N101" s="18"/>
      <c r="O101" s="18"/>
      <c r="P101" s="18"/>
      <c r="Q101" s="18"/>
      <c r="S101" s="21"/>
      <c r="T101" s="1"/>
      <c r="AC101" s="22"/>
      <c r="AD101" s="22"/>
      <c r="AE101" s="22"/>
      <c r="AF101" s="23"/>
    </row>
    <row r="102" spans="3:32" ht="15.75" customHeight="1">
      <c r="C102" s="24"/>
      <c r="D102" s="18"/>
      <c r="E102" s="18"/>
      <c r="F102" s="19"/>
      <c r="G102" s="19"/>
      <c r="H102" s="19"/>
      <c r="I102" s="18"/>
      <c r="J102" s="18"/>
      <c r="K102" s="18"/>
      <c r="L102" s="18"/>
      <c r="M102" s="20"/>
      <c r="N102" s="18"/>
      <c r="O102" s="18"/>
      <c r="P102" s="18"/>
      <c r="Q102" s="18"/>
      <c r="S102" s="21"/>
      <c r="T102" s="1"/>
      <c r="AC102" s="22"/>
      <c r="AD102" s="22"/>
      <c r="AE102" s="22"/>
      <c r="AF102" s="23"/>
    </row>
    <row r="103" spans="3:32" ht="15.75" customHeight="1">
      <c r="C103" s="24"/>
      <c r="D103" s="18"/>
      <c r="E103" s="18"/>
      <c r="F103" s="19"/>
      <c r="G103" s="19"/>
      <c r="H103" s="19"/>
      <c r="I103" s="18"/>
      <c r="J103" s="18"/>
      <c r="K103" s="18"/>
      <c r="L103" s="18"/>
      <c r="M103" s="20"/>
      <c r="N103" s="18"/>
      <c r="O103" s="18"/>
      <c r="P103" s="18"/>
      <c r="Q103" s="18"/>
      <c r="S103" s="21"/>
      <c r="T103" s="1"/>
      <c r="AC103" s="22"/>
      <c r="AD103" s="22"/>
      <c r="AE103" s="22"/>
      <c r="AF103" s="23"/>
    </row>
    <row r="104" spans="3:32" ht="15.75" customHeight="1">
      <c r="C104" s="24"/>
      <c r="D104" s="18"/>
      <c r="E104" s="18"/>
      <c r="F104" s="19"/>
      <c r="G104" s="19"/>
      <c r="H104" s="19"/>
      <c r="I104" s="18"/>
      <c r="J104" s="18"/>
      <c r="K104" s="18"/>
      <c r="L104" s="18"/>
      <c r="M104" s="20"/>
      <c r="N104" s="18"/>
      <c r="O104" s="18"/>
      <c r="P104" s="18"/>
      <c r="Q104" s="18"/>
      <c r="S104" s="21"/>
      <c r="T104" s="1"/>
      <c r="AC104" s="22"/>
      <c r="AD104" s="22"/>
      <c r="AE104" s="22"/>
      <c r="AF104" s="23"/>
    </row>
    <row r="105" spans="3:32" ht="15.75" customHeight="1">
      <c r="C105" s="24"/>
      <c r="D105" s="18"/>
      <c r="E105" s="18"/>
      <c r="F105" s="19"/>
      <c r="G105" s="19"/>
      <c r="H105" s="19"/>
      <c r="I105" s="18"/>
      <c r="J105" s="18"/>
      <c r="K105" s="18"/>
      <c r="L105" s="18"/>
      <c r="M105" s="20"/>
      <c r="N105" s="18"/>
      <c r="O105" s="18"/>
      <c r="P105" s="18"/>
      <c r="Q105" s="18"/>
      <c r="S105" s="21"/>
      <c r="T105" s="1"/>
      <c r="AC105" s="22"/>
      <c r="AD105" s="22"/>
      <c r="AE105" s="22"/>
      <c r="AF105" s="23"/>
    </row>
    <row r="106" spans="3:32" ht="15.75" customHeight="1">
      <c r="C106" s="24"/>
      <c r="D106" s="18"/>
      <c r="E106" s="18"/>
      <c r="F106" s="19"/>
      <c r="G106" s="19"/>
      <c r="H106" s="19"/>
      <c r="I106" s="18"/>
      <c r="J106" s="18"/>
      <c r="K106" s="18"/>
      <c r="L106" s="18"/>
      <c r="M106" s="20"/>
      <c r="N106" s="18"/>
      <c r="O106" s="18"/>
      <c r="P106" s="18"/>
      <c r="Q106" s="18"/>
      <c r="S106" s="21"/>
      <c r="T106" s="1"/>
      <c r="AC106" s="22"/>
      <c r="AD106" s="22"/>
      <c r="AE106" s="22"/>
      <c r="AF106" s="23"/>
    </row>
    <row r="107" spans="3:32" ht="15.75" customHeight="1">
      <c r="C107" s="24"/>
      <c r="D107" s="18"/>
      <c r="E107" s="18"/>
      <c r="F107" s="19"/>
      <c r="G107" s="19"/>
      <c r="H107" s="19"/>
      <c r="I107" s="18"/>
      <c r="J107" s="18"/>
      <c r="K107" s="18"/>
      <c r="L107" s="18"/>
      <c r="M107" s="20"/>
      <c r="N107" s="18"/>
      <c r="O107" s="18"/>
      <c r="P107" s="18"/>
      <c r="Q107" s="18"/>
      <c r="S107" s="21"/>
      <c r="T107" s="1"/>
      <c r="AC107" s="22"/>
      <c r="AD107" s="22"/>
      <c r="AE107" s="22"/>
      <c r="AF107" s="23"/>
    </row>
    <row r="108" spans="3:32" ht="15.75" customHeight="1">
      <c r="C108" s="24"/>
      <c r="D108" s="18"/>
      <c r="E108" s="18"/>
      <c r="F108" s="19"/>
      <c r="G108" s="19"/>
      <c r="H108" s="19"/>
      <c r="I108" s="18"/>
      <c r="J108" s="18"/>
      <c r="K108" s="18"/>
      <c r="L108" s="18"/>
      <c r="M108" s="20"/>
      <c r="N108" s="18"/>
      <c r="O108" s="18"/>
      <c r="P108" s="18"/>
      <c r="Q108" s="18"/>
      <c r="S108" s="21"/>
      <c r="T108" s="1"/>
      <c r="AC108" s="22"/>
      <c r="AD108" s="22"/>
      <c r="AE108" s="22"/>
      <c r="AF108" s="23"/>
    </row>
    <row r="109" spans="3:32" ht="15.75" customHeight="1">
      <c r="C109" s="24"/>
      <c r="D109" s="18"/>
      <c r="E109" s="18"/>
      <c r="F109" s="19"/>
      <c r="G109" s="19"/>
      <c r="H109" s="19"/>
      <c r="I109" s="18"/>
      <c r="J109" s="18"/>
      <c r="K109" s="18"/>
      <c r="L109" s="18"/>
      <c r="M109" s="20"/>
      <c r="N109" s="18"/>
      <c r="O109" s="18"/>
      <c r="P109" s="18"/>
      <c r="Q109" s="18"/>
      <c r="S109" s="21"/>
      <c r="T109" s="1"/>
      <c r="AC109" s="22"/>
      <c r="AD109" s="22"/>
      <c r="AE109" s="22"/>
      <c r="AF109" s="23"/>
    </row>
    <row r="110" spans="3:32" ht="15.75" customHeight="1">
      <c r="C110" s="24"/>
      <c r="D110" s="18"/>
      <c r="E110" s="18"/>
      <c r="F110" s="19"/>
      <c r="G110" s="19"/>
      <c r="H110" s="19"/>
      <c r="I110" s="18"/>
      <c r="J110" s="18"/>
      <c r="K110" s="18"/>
      <c r="L110" s="18"/>
      <c r="M110" s="20"/>
      <c r="N110" s="18"/>
      <c r="O110" s="18"/>
      <c r="P110" s="18"/>
      <c r="Q110" s="18"/>
      <c r="S110" s="21"/>
      <c r="T110" s="1"/>
      <c r="AC110" s="22"/>
      <c r="AD110" s="22"/>
      <c r="AE110" s="22"/>
      <c r="AF110" s="23"/>
    </row>
    <row r="111" spans="3:32" ht="15.75" customHeight="1">
      <c r="C111" s="24"/>
      <c r="D111" s="18"/>
      <c r="E111" s="18"/>
      <c r="F111" s="19"/>
      <c r="G111" s="19"/>
      <c r="H111" s="19"/>
      <c r="I111" s="18"/>
      <c r="J111" s="18"/>
      <c r="K111" s="18"/>
      <c r="L111" s="18"/>
      <c r="M111" s="20"/>
      <c r="N111" s="18"/>
      <c r="O111" s="18"/>
      <c r="P111" s="18"/>
      <c r="Q111" s="18"/>
      <c r="S111" s="21"/>
      <c r="T111" s="1"/>
      <c r="AC111" s="22"/>
      <c r="AD111" s="22"/>
      <c r="AE111" s="22"/>
      <c r="AF111" s="23"/>
    </row>
    <row r="112" spans="3:32" ht="15.75" customHeight="1">
      <c r="C112" s="24"/>
      <c r="D112" s="18"/>
      <c r="E112" s="18"/>
      <c r="F112" s="19"/>
      <c r="G112" s="19"/>
      <c r="H112" s="19"/>
      <c r="I112" s="18"/>
      <c r="J112" s="18"/>
      <c r="K112" s="18"/>
      <c r="L112" s="18"/>
      <c r="M112" s="20"/>
      <c r="N112" s="18"/>
      <c r="O112" s="18"/>
      <c r="P112" s="18"/>
      <c r="Q112" s="18"/>
      <c r="S112" s="21"/>
      <c r="T112" s="1"/>
      <c r="AC112" s="22"/>
      <c r="AD112" s="22"/>
      <c r="AE112" s="22"/>
      <c r="AF112" s="23"/>
    </row>
    <row r="113" spans="3:32" ht="15.75" customHeight="1">
      <c r="C113" s="24"/>
      <c r="D113" s="18"/>
      <c r="E113" s="18"/>
      <c r="F113" s="19"/>
      <c r="G113" s="19"/>
      <c r="H113" s="19"/>
      <c r="I113" s="18"/>
      <c r="J113" s="18"/>
      <c r="K113" s="18"/>
      <c r="L113" s="18"/>
      <c r="M113" s="20"/>
      <c r="N113" s="18"/>
      <c r="O113" s="18"/>
      <c r="P113" s="18"/>
      <c r="Q113" s="18"/>
      <c r="S113" s="21"/>
      <c r="T113" s="1"/>
      <c r="AC113" s="22"/>
      <c r="AD113" s="22"/>
      <c r="AE113" s="22"/>
      <c r="AF113" s="23"/>
    </row>
    <row r="114" spans="3:32" ht="15.75" customHeight="1">
      <c r="C114" s="24"/>
      <c r="D114" s="18"/>
      <c r="E114" s="18"/>
      <c r="F114" s="19"/>
      <c r="G114" s="19"/>
      <c r="H114" s="19"/>
      <c r="I114" s="18"/>
      <c r="J114" s="18"/>
      <c r="K114" s="18"/>
      <c r="L114" s="18"/>
      <c r="M114" s="20"/>
      <c r="N114" s="18"/>
      <c r="O114" s="18"/>
      <c r="P114" s="18"/>
      <c r="Q114" s="18"/>
      <c r="S114" s="21"/>
      <c r="T114" s="1"/>
      <c r="AC114" s="22"/>
      <c r="AD114" s="22"/>
      <c r="AE114" s="22"/>
      <c r="AF114" s="23"/>
    </row>
    <row r="115" spans="3:32" ht="15.75" customHeight="1">
      <c r="C115" s="24"/>
      <c r="D115" s="18"/>
      <c r="E115" s="18"/>
      <c r="F115" s="19"/>
      <c r="G115" s="19"/>
      <c r="H115" s="19"/>
      <c r="I115" s="18"/>
      <c r="J115" s="18"/>
      <c r="K115" s="18"/>
      <c r="L115" s="18"/>
      <c r="M115" s="20"/>
      <c r="N115" s="18"/>
      <c r="O115" s="18"/>
      <c r="P115" s="18"/>
      <c r="Q115" s="18"/>
      <c r="S115" s="21"/>
      <c r="T115" s="1"/>
      <c r="AC115" s="22"/>
      <c r="AD115" s="22"/>
      <c r="AE115" s="22"/>
      <c r="AF115" s="23"/>
    </row>
    <row r="116" spans="3:32" ht="15.75" customHeight="1">
      <c r="C116" s="24"/>
      <c r="D116" s="18"/>
      <c r="E116" s="18"/>
      <c r="F116" s="19"/>
      <c r="G116" s="19"/>
      <c r="H116" s="19"/>
      <c r="I116" s="18"/>
      <c r="J116" s="18"/>
      <c r="K116" s="18"/>
      <c r="L116" s="18"/>
      <c r="M116" s="20"/>
      <c r="N116" s="18"/>
      <c r="O116" s="18"/>
      <c r="P116" s="18"/>
      <c r="Q116" s="18"/>
      <c r="S116" s="21"/>
      <c r="T116" s="1"/>
      <c r="AC116" s="22"/>
      <c r="AD116" s="22"/>
      <c r="AE116" s="22"/>
      <c r="AF116" s="23"/>
    </row>
    <row r="117" spans="3:32" ht="15.75" customHeight="1">
      <c r="C117" s="24"/>
      <c r="D117" s="18"/>
      <c r="E117" s="18"/>
      <c r="F117" s="19"/>
      <c r="G117" s="19"/>
      <c r="H117" s="19"/>
      <c r="I117" s="18"/>
      <c r="J117" s="18"/>
      <c r="K117" s="18"/>
      <c r="L117" s="18"/>
      <c r="M117" s="20"/>
      <c r="N117" s="18"/>
      <c r="O117" s="18"/>
      <c r="P117" s="18"/>
      <c r="Q117" s="18"/>
      <c r="S117" s="21"/>
      <c r="T117" s="1"/>
      <c r="AC117" s="22"/>
      <c r="AD117" s="22"/>
      <c r="AE117" s="22"/>
      <c r="AF117" s="23"/>
    </row>
    <row r="118" spans="3:32" ht="15.75" customHeight="1">
      <c r="C118" s="24"/>
      <c r="D118" s="18"/>
      <c r="E118" s="18"/>
      <c r="F118" s="19"/>
      <c r="G118" s="19"/>
      <c r="H118" s="19"/>
      <c r="I118" s="18"/>
      <c r="J118" s="18"/>
      <c r="K118" s="18"/>
      <c r="L118" s="18"/>
      <c r="M118" s="20"/>
      <c r="N118" s="18"/>
      <c r="O118" s="18"/>
      <c r="P118" s="18"/>
      <c r="Q118" s="18"/>
      <c r="S118" s="21"/>
      <c r="T118" s="1"/>
      <c r="AC118" s="22"/>
      <c r="AD118" s="22"/>
      <c r="AE118" s="22"/>
      <c r="AF118" s="23"/>
    </row>
    <row r="119" spans="3:32" ht="15.75" customHeight="1">
      <c r="C119" s="24"/>
      <c r="D119" s="18"/>
      <c r="E119" s="18"/>
      <c r="F119" s="19"/>
      <c r="G119" s="19"/>
      <c r="H119" s="19"/>
      <c r="I119" s="18"/>
      <c r="J119" s="18"/>
      <c r="K119" s="18"/>
      <c r="L119" s="18"/>
      <c r="M119" s="20"/>
      <c r="N119" s="18"/>
      <c r="O119" s="18"/>
      <c r="P119" s="18"/>
      <c r="Q119" s="18"/>
      <c r="S119" s="21"/>
      <c r="T119" s="1"/>
      <c r="AC119" s="22"/>
      <c r="AD119" s="22"/>
      <c r="AE119" s="22"/>
      <c r="AF119" s="23"/>
    </row>
    <row r="120" spans="3:32" ht="15.75" customHeight="1">
      <c r="C120" s="24"/>
      <c r="D120" s="18"/>
      <c r="E120" s="18"/>
      <c r="F120" s="19"/>
      <c r="G120" s="19"/>
      <c r="H120" s="19"/>
      <c r="I120" s="18"/>
      <c r="J120" s="18"/>
      <c r="K120" s="18"/>
      <c r="L120" s="18"/>
      <c r="M120" s="20"/>
      <c r="N120" s="18"/>
      <c r="O120" s="18"/>
      <c r="P120" s="18"/>
      <c r="Q120" s="18"/>
      <c r="S120" s="21"/>
      <c r="T120" s="1"/>
      <c r="AC120" s="22"/>
      <c r="AD120" s="22"/>
      <c r="AE120" s="22"/>
      <c r="AF120" s="23"/>
    </row>
    <row r="121" spans="3:32" ht="15.75" customHeight="1">
      <c r="C121" s="24"/>
      <c r="D121" s="18"/>
      <c r="E121" s="18"/>
      <c r="F121" s="19"/>
      <c r="G121" s="19"/>
      <c r="H121" s="19"/>
      <c r="I121" s="18"/>
      <c r="J121" s="18"/>
      <c r="K121" s="18"/>
      <c r="L121" s="18"/>
      <c r="M121" s="20"/>
      <c r="N121" s="18"/>
      <c r="O121" s="18"/>
      <c r="P121" s="18"/>
      <c r="Q121" s="18"/>
      <c r="S121" s="21"/>
      <c r="T121" s="1"/>
      <c r="AC121" s="22"/>
      <c r="AD121" s="22"/>
      <c r="AE121" s="22"/>
      <c r="AF121" s="23"/>
    </row>
    <row r="122" spans="3:32" ht="15.75" customHeight="1">
      <c r="C122" s="24"/>
      <c r="D122" s="18"/>
      <c r="E122" s="18"/>
      <c r="F122" s="19"/>
      <c r="G122" s="19"/>
      <c r="H122" s="19"/>
      <c r="I122" s="18"/>
      <c r="J122" s="18"/>
      <c r="K122" s="18"/>
      <c r="L122" s="18"/>
      <c r="M122" s="20"/>
      <c r="N122" s="18"/>
      <c r="O122" s="18"/>
      <c r="P122" s="18"/>
      <c r="Q122" s="18"/>
      <c r="S122" s="21"/>
      <c r="T122" s="1"/>
      <c r="AC122" s="22"/>
      <c r="AD122" s="22"/>
      <c r="AE122" s="22"/>
      <c r="AF122" s="23"/>
    </row>
    <row r="123" spans="3:32" ht="15.75" customHeight="1">
      <c r="C123" s="24"/>
      <c r="D123" s="18"/>
      <c r="E123" s="18"/>
      <c r="F123" s="19"/>
      <c r="G123" s="19"/>
      <c r="H123" s="19"/>
      <c r="I123" s="18"/>
      <c r="J123" s="18"/>
      <c r="K123" s="18"/>
      <c r="L123" s="18"/>
      <c r="M123" s="20"/>
      <c r="N123" s="18"/>
      <c r="O123" s="18"/>
      <c r="P123" s="18"/>
      <c r="Q123" s="18"/>
      <c r="S123" s="21"/>
      <c r="T123" s="1"/>
      <c r="AC123" s="22"/>
      <c r="AD123" s="22"/>
      <c r="AE123" s="22"/>
      <c r="AF123" s="23"/>
    </row>
    <row r="124" spans="3:32" ht="15.75" customHeight="1">
      <c r="C124" s="24"/>
      <c r="D124" s="18"/>
      <c r="E124" s="18"/>
      <c r="F124" s="19"/>
      <c r="G124" s="19"/>
      <c r="H124" s="19"/>
      <c r="I124" s="18"/>
      <c r="J124" s="18"/>
      <c r="K124" s="18"/>
      <c r="L124" s="18"/>
      <c r="M124" s="20"/>
      <c r="N124" s="18"/>
      <c r="O124" s="18"/>
      <c r="P124" s="18"/>
      <c r="Q124" s="18"/>
      <c r="S124" s="21"/>
      <c r="T124" s="1"/>
      <c r="AC124" s="22"/>
      <c r="AD124" s="22"/>
      <c r="AE124" s="22"/>
      <c r="AF124" s="23"/>
    </row>
    <row r="125" spans="3:32" ht="15.75" customHeight="1">
      <c r="C125" s="24"/>
      <c r="D125" s="18"/>
      <c r="E125" s="18"/>
      <c r="F125" s="19"/>
      <c r="G125" s="19"/>
      <c r="H125" s="19"/>
      <c r="I125" s="18"/>
      <c r="J125" s="18"/>
      <c r="K125" s="18"/>
      <c r="L125" s="18"/>
      <c r="M125" s="20"/>
      <c r="N125" s="18"/>
      <c r="O125" s="18"/>
      <c r="P125" s="18"/>
      <c r="Q125" s="18"/>
      <c r="S125" s="21"/>
      <c r="T125" s="1"/>
      <c r="AC125" s="22"/>
      <c r="AD125" s="22"/>
      <c r="AE125" s="22"/>
      <c r="AF125" s="23"/>
    </row>
    <row r="126" spans="3:32" ht="15.75" customHeight="1">
      <c r="C126" s="24"/>
      <c r="D126" s="18"/>
      <c r="E126" s="18"/>
      <c r="F126" s="19"/>
      <c r="G126" s="19"/>
      <c r="H126" s="19"/>
      <c r="I126" s="18"/>
      <c r="J126" s="18"/>
      <c r="K126" s="18"/>
      <c r="L126" s="18"/>
      <c r="M126" s="20"/>
      <c r="N126" s="18"/>
      <c r="O126" s="18"/>
      <c r="P126" s="18"/>
      <c r="Q126" s="18"/>
      <c r="S126" s="21"/>
      <c r="T126" s="1"/>
      <c r="AC126" s="22"/>
      <c r="AD126" s="22"/>
      <c r="AE126" s="22"/>
      <c r="AF126" s="23"/>
    </row>
    <row r="127" spans="3:32" ht="15.75" customHeight="1">
      <c r="C127" s="24"/>
      <c r="D127" s="18"/>
      <c r="E127" s="18"/>
      <c r="F127" s="19"/>
      <c r="G127" s="19"/>
      <c r="H127" s="19"/>
      <c r="I127" s="18"/>
      <c r="J127" s="18"/>
      <c r="K127" s="18"/>
      <c r="L127" s="18"/>
      <c r="M127" s="20"/>
      <c r="N127" s="18"/>
      <c r="O127" s="18"/>
      <c r="P127" s="18"/>
      <c r="Q127" s="18"/>
      <c r="S127" s="21"/>
      <c r="T127" s="1"/>
      <c r="AC127" s="22"/>
      <c r="AD127" s="22"/>
      <c r="AE127" s="22"/>
      <c r="AF127" s="23"/>
    </row>
    <row r="128" spans="3:32" ht="15.75" customHeight="1">
      <c r="C128" s="24"/>
      <c r="D128" s="18"/>
      <c r="E128" s="18"/>
      <c r="F128" s="19"/>
      <c r="G128" s="19"/>
      <c r="H128" s="19"/>
      <c r="I128" s="18"/>
      <c r="J128" s="18"/>
      <c r="K128" s="18"/>
      <c r="L128" s="18"/>
      <c r="M128" s="20"/>
      <c r="N128" s="18"/>
      <c r="O128" s="18"/>
      <c r="P128" s="18"/>
      <c r="Q128" s="18"/>
      <c r="S128" s="21"/>
      <c r="T128" s="1"/>
      <c r="AC128" s="22"/>
      <c r="AD128" s="22"/>
      <c r="AE128" s="22"/>
      <c r="AF128" s="23"/>
    </row>
    <row r="129" spans="3:32" ht="15.75" customHeight="1">
      <c r="C129" s="24"/>
      <c r="D129" s="18"/>
      <c r="E129" s="18"/>
      <c r="F129" s="19"/>
      <c r="G129" s="19"/>
      <c r="H129" s="19"/>
      <c r="I129" s="18"/>
      <c r="J129" s="18"/>
      <c r="K129" s="18"/>
      <c r="L129" s="18"/>
      <c r="M129" s="20"/>
      <c r="N129" s="18"/>
      <c r="O129" s="18"/>
      <c r="P129" s="18"/>
      <c r="Q129" s="18"/>
      <c r="S129" s="21"/>
      <c r="T129" s="1"/>
      <c r="AC129" s="22"/>
      <c r="AD129" s="22"/>
      <c r="AE129" s="22"/>
      <c r="AF129" s="23"/>
    </row>
    <row r="130" spans="3:32" ht="15.75" customHeight="1">
      <c r="C130" s="24"/>
      <c r="D130" s="18"/>
      <c r="E130" s="18"/>
      <c r="F130" s="19"/>
      <c r="G130" s="19"/>
      <c r="H130" s="19"/>
      <c r="I130" s="18"/>
      <c r="J130" s="18"/>
      <c r="K130" s="18"/>
      <c r="L130" s="18"/>
      <c r="M130" s="20"/>
      <c r="N130" s="18"/>
      <c r="O130" s="18"/>
      <c r="P130" s="18"/>
      <c r="Q130" s="18"/>
      <c r="S130" s="21"/>
      <c r="T130" s="1"/>
      <c r="AC130" s="22"/>
      <c r="AD130" s="22"/>
      <c r="AE130" s="22"/>
      <c r="AF130" s="23"/>
    </row>
    <row r="131" spans="3:32" ht="15.75" customHeight="1">
      <c r="C131" s="24"/>
      <c r="D131" s="18"/>
      <c r="E131" s="18"/>
      <c r="F131" s="19"/>
      <c r="G131" s="19"/>
      <c r="H131" s="19"/>
      <c r="I131" s="18"/>
      <c r="J131" s="18"/>
      <c r="K131" s="18"/>
      <c r="L131" s="18"/>
      <c r="M131" s="20"/>
      <c r="N131" s="18"/>
      <c r="O131" s="18"/>
      <c r="P131" s="18"/>
      <c r="Q131" s="18"/>
      <c r="S131" s="21"/>
      <c r="T131" s="1"/>
      <c r="AC131" s="22"/>
      <c r="AD131" s="22"/>
      <c r="AE131" s="22"/>
      <c r="AF131" s="23"/>
    </row>
    <row r="132" spans="3:32" ht="15.75" customHeight="1">
      <c r="C132" s="24"/>
      <c r="D132" s="18"/>
      <c r="E132" s="18"/>
      <c r="F132" s="19"/>
      <c r="G132" s="19"/>
      <c r="H132" s="19"/>
      <c r="I132" s="18"/>
      <c r="J132" s="18"/>
      <c r="K132" s="18"/>
      <c r="L132" s="18"/>
      <c r="M132" s="20"/>
      <c r="N132" s="18"/>
      <c r="O132" s="18"/>
      <c r="P132" s="18"/>
      <c r="Q132" s="18"/>
      <c r="S132" s="21"/>
      <c r="T132" s="1"/>
      <c r="AC132" s="22"/>
      <c r="AD132" s="22"/>
      <c r="AE132" s="22"/>
      <c r="AF132" s="23"/>
    </row>
    <row r="133" spans="3:32" ht="15.75" customHeight="1">
      <c r="C133" s="24"/>
      <c r="D133" s="18"/>
      <c r="E133" s="18"/>
      <c r="F133" s="19"/>
      <c r="G133" s="19"/>
      <c r="H133" s="19"/>
      <c r="I133" s="18"/>
      <c r="J133" s="18"/>
      <c r="K133" s="18"/>
      <c r="L133" s="18"/>
      <c r="M133" s="20"/>
      <c r="N133" s="18"/>
      <c r="O133" s="18"/>
      <c r="P133" s="18"/>
      <c r="Q133" s="18"/>
      <c r="S133" s="21"/>
      <c r="T133" s="1"/>
      <c r="AC133" s="22"/>
      <c r="AD133" s="22"/>
      <c r="AE133" s="22"/>
      <c r="AF133" s="23"/>
    </row>
    <row r="134" spans="3:32" ht="15.75" customHeight="1">
      <c r="C134" s="24"/>
      <c r="D134" s="18"/>
      <c r="E134" s="18"/>
      <c r="F134" s="19"/>
      <c r="G134" s="19"/>
      <c r="H134" s="19"/>
      <c r="I134" s="18"/>
      <c r="J134" s="18"/>
      <c r="K134" s="18"/>
      <c r="L134" s="18"/>
      <c r="M134" s="20"/>
      <c r="N134" s="18"/>
      <c r="O134" s="18"/>
      <c r="P134" s="18"/>
      <c r="Q134" s="18"/>
      <c r="S134" s="21"/>
      <c r="T134" s="1"/>
      <c r="AC134" s="22"/>
      <c r="AD134" s="22"/>
      <c r="AE134" s="22"/>
      <c r="AF134" s="23"/>
    </row>
    <row r="135" spans="3:32" ht="15.75" customHeight="1">
      <c r="C135" s="24"/>
      <c r="D135" s="18"/>
      <c r="E135" s="18"/>
      <c r="F135" s="19"/>
      <c r="G135" s="19"/>
      <c r="H135" s="19"/>
      <c r="I135" s="18"/>
      <c r="J135" s="18"/>
      <c r="K135" s="18"/>
      <c r="L135" s="18"/>
      <c r="M135" s="20"/>
      <c r="N135" s="18"/>
      <c r="O135" s="18"/>
      <c r="P135" s="18"/>
      <c r="Q135" s="18"/>
      <c r="S135" s="21"/>
      <c r="T135" s="1"/>
      <c r="AC135" s="22"/>
      <c r="AD135" s="22"/>
      <c r="AE135" s="22"/>
      <c r="AF135" s="23"/>
    </row>
    <row r="136" spans="3:32" ht="15.75" customHeight="1">
      <c r="C136" s="24"/>
      <c r="D136" s="18"/>
      <c r="E136" s="18"/>
      <c r="F136" s="19"/>
      <c r="G136" s="19"/>
      <c r="H136" s="19"/>
      <c r="I136" s="18"/>
      <c r="J136" s="18"/>
      <c r="K136" s="18"/>
      <c r="L136" s="18"/>
      <c r="M136" s="20"/>
      <c r="N136" s="18"/>
      <c r="O136" s="18"/>
      <c r="P136" s="18"/>
      <c r="Q136" s="18"/>
      <c r="S136" s="21"/>
      <c r="T136" s="1"/>
      <c r="AC136" s="22"/>
      <c r="AD136" s="22"/>
      <c r="AE136" s="22"/>
      <c r="AF136" s="23"/>
    </row>
    <row r="137" spans="3:32" ht="15.75" customHeight="1">
      <c r="C137" s="24"/>
      <c r="D137" s="18"/>
      <c r="E137" s="18"/>
      <c r="F137" s="19"/>
      <c r="G137" s="19"/>
      <c r="H137" s="19"/>
      <c r="I137" s="18"/>
      <c r="J137" s="18"/>
      <c r="K137" s="18"/>
      <c r="L137" s="18"/>
      <c r="M137" s="20"/>
      <c r="N137" s="18"/>
      <c r="O137" s="18"/>
      <c r="P137" s="18"/>
      <c r="Q137" s="18"/>
      <c r="S137" s="21"/>
      <c r="T137" s="1"/>
      <c r="AC137" s="22"/>
      <c r="AD137" s="22"/>
      <c r="AE137" s="22"/>
      <c r="AF137" s="23"/>
    </row>
    <row r="138" spans="3:32" ht="15.75" customHeight="1">
      <c r="C138" s="24"/>
      <c r="D138" s="18"/>
      <c r="E138" s="18"/>
      <c r="F138" s="19"/>
      <c r="G138" s="19"/>
      <c r="H138" s="19"/>
      <c r="I138" s="18"/>
      <c r="J138" s="18"/>
      <c r="K138" s="18"/>
      <c r="L138" s="18"/>
      <c r="M138" s="20"/>
      <c r="N138" s="18"/>
      <c r="O138" s="18"/>
      <c r="P138" s="18"/>
      <c r="Q138" s="18"/>
      <c r="S138" s="21"/>
      <c r="T138" s="1"/>
      <c r="AC138" s="22"/>
      <c r="AD138" s="22"/>
      <c r="AE138" s="22"/>
      <c r="AF138" s="23"/>
    </row>
    <row r="139" spans="3:32" ht="15.75" customHeight="1">
      <c r="C139" s="24"/>
      <c r="D139" s="18"/>
      <c r="E139" s="18"/>
      <c r="F139" s="19"/>
      <c r="G139" s="19"/>
      <c r="H139" s="19"/>
      <c r="I139" s="18"/>
      <c r="J139" s="18"/>
      <c r="K139" s="18"/>
      <c r="L139" s="18"/>
      <c r="M139" s="20"/>
      <c r="N139" s="18"/>
      <c r="O139" s="18"/>
      <c r="P139" s="18"/>
      <c r="Q139" s="18"/>
      <c r="S139" s="21"/>
      <c r="T139" s="1"/>
      <c r="AC139" s="22"/>
      <c r="AD139" s="22"/>
      <c r="AE139" s="22"/>
      <c r="AF139" s="23"/>
    </row>
    <row r="140" spans="3:32" ht="15.75" customHeight="1">
      <c r="C140" s="24"/>
      <c r="D140" s="18"/>
      <c r="E140" s="18"/>
      <c r="F140" s="19"/>
      <c r="G140" s="19"/>
      <c r="H140" s="19"/>
      <c r="I140" s="18"/>
      <c r="J140" s="18"/>
      <c r="K140" s="18"/>
      <c r="L140" s="18"/>
      <c r="M140" s="20"/>
      <c r="N140" s="18"/>
      <c r="O140" s="18"/>
      <c r="P140" s="18"/>
      <c r="Q140" s="18"/>
      <c r="S140" s="21"/>
      <c r="T140" s="1"/>
      <c r="AC140" s="22"/>
      <c r="AD140" s="22"/>
      <c r="AE140" s="22"/>
      <c r="AF140" s="23"/>
    </row>
    <row r="141" spans="3:32" ht="15.75" customHeight="1">
      <c r="C141" s="24"/>
      <c r="D141" s="18"/>
      <c r="E141" s="18"/>
      <c r="F141" s="19"/>
      <c r="G141" s="19"/>
      <c r="H141" s="19"/>
      <c r="I141" s="18"/>
      <c r="J141" s="18"/>
      <c r="K141" s="18"/>
      <c r="L141" s="18"/>
      <c r="M141" s="20"/>
      <c r="N141" s="18"/>
      <c r="O141" s="18"/>
      <c r="P141" s="18"/>
      <c r="Q141" s="18"/>
      <c r="S141" s="21"/>
      <c r="T141" s="1"/>
      <c r="AC141" s="22"/>
      <c r="AD141" s="22"/>
      <c r="AE141" s="22"/>
      <c r="AF141" s="23"/>
    </row>
    <row r="142" spans="3:32" ht="15.75" customHeight="1">
      <c r="C142" s="24"/>
      <c r="D142" s="18"/>
      <c r="E142" s="18"/>
      <c r="F142" s="19"/>
      <c r="G142" s="19"/>
      <c r="H142" s="19"/>
      <c r="I142" s="18"/>
      <c r="J142" s="18"/>
      <c r="K142" s="18"/>
      <c r="L142" s="18"/>
      <c r="M142" s="20"/>
      <c r="N142" s="18"/>
      <c r="O142" s="18"/>
      <c r="P142" s="18"/>
      <c r="Q142" s="18"/>
      <c r="S142" s="21"/>
      <c r="T142" s="1"/>
      <c r="AC142" s="22"/>
      <c r="AD142" s="22"/>
      <c r="AE142" s="22"/>
      <c r="AF142" s="23"/>
    </row>
    <row r="143" spans="3:32" ht="15.75" customHeight="1">
      <c r="C143" s="24"/>
      <c r="D143" s="18"/>
      <c r="E143" s="18"/>
      <c r="F143" s="19"/>
      <c r="G143" s="19"/>
      <c r="H143" s="19"/>
      <c r="I143" s="18"/>
      <c r="J143" s="18"/>
      <c r="K143" s="18"/>
      <c r="L143" s="18"/>
      <c r="M143" s="20"/>
      <c r="N143" s="18"/>
      <c r="O143" s="18"/>
      <c r="P143" s="18"/>
      <c r="Q143" s="18"/>
      <c r="S143" s="21"/>
      <c r="T143" s="1"/>
      <c r="AC143" s="22"/>
      <c r="AD143" s="22"/>
      <c r="AE143" s="22"/>
      <c r="AF143" s="23"/>
    </row>
    <row r="144" spans="3:32" ht="15.75" customHeight="1">
      <c r="C144" s="24"/>
      <c r="D144" s="18"/>
      <c r="E144" s="18"/>
      <c r="F144" s="19"/>
      <c r="G144" s="19"/>
      <c r="H144" s="19"/>
      <c r="I144" s="18"/>
      <c r="J144" s="18"/>
      <c r="K144" s="18"/>
      <c r="L144" s="18"/>
      <c r="M144" s="20"/>
      <c r="N144" s="18"/>
      <c r="O144" s="18"/>
      <c r="P144" s="18"/>
      <c r="Q144" s="18"/>
      <c r="S144" s="21"/>
      <c r="T144" s="1"/>
      <c r="AC144" s="22"/>
      <c r="AD144" s="22"/>
      <c r="AE144" s="22"/>
      <c r="AF144" s="23"/>
    </row>
    <row r="145" spans="3:32" ht="15.75" customHeight="1">
      <c r="C145" s="24"/>
      <c r="D145" s="18"/>
      <c r="E145" s="18"/>
      <c r="F145" s="19"/>
      <c r="G145" s="19"/>
      <c r="H145" s="19"/>
      <c r="I145" s="18"/>
      <c r="J145" s="18"/>
      <c r="K145" s="18"/>
      <c r="L145" s="18"/>
      <c r="M145" s="20"/>
      <c r="N145" s="18"/>
      <c r="O145" s="18"/>
      <c r="P145" s="18"/>
      <c r="Q145" s="18"/>
      <c r="S145" s="21"/>
      <c r="T145" s="1"/>
      <c r="AC145" s="22"/>
      <c r="AD145" s="22"/>
      <c r="AE145" s="22"/>
      <c r="AF145" s="23"/>
    </row>
    <row r="146" spans="3:32" ht="15.75" customHeight="1">
      <c r="C146" s="24"/>
      <c r="D146" s="18"/>
      <c r="E146" s="18"/>
      <c r="F146" s="19"/>
      <c r="G146" s="19"/>
      <c r="H146" s="19"/>
      <c r="I146" s="18"/>
      <c r="J146" s="18"/>
      <c r="K146" s="18"/>
      <c r="L146" s="18"/>
      <c r="M146" s="20"/>
      <c r="N146" s="18"/>
      <c r="O146" s="18"/>
      <c r="P146" s="18"/>
      <c r="Q146" s="18"/>
      <c r="S146" s="21"/>
      <c r="T146" s="1"/>
      <c r="AC146" s="22"/>
      <c r="AD146" s="22"/>
      <c r="AE146" s="22"/>
      <c r="AF146" s="23"/>
    </row>
    <row r="147" spans="3:32" ht="15.75" customHeight="1">
      <c r="C147" s="24"/>
      <c r="D147" s="18"/>
      <c r="E147" s="18"/>
      <c r="F147" s="19"/>
      <c r="G147" s="19"/>
      <c r="H147" s="19"/>
      <c r="I147" s="18"/>
      <c r="J147" s="18"/>
      <c r="K147" s="18"/>
      <c r="L147" s="18"/>
      <c r="M147" s="20"/>
      <c r="N147" s="18"/>
      <c r="O147" s="18"/>
      <c r="P147" s="18"/>
      <c r="Q147" s="18"/>
      <c r="S147" s="21"/>
      <c r="T147" s="1"/>
      <c r="AC147" s="22"/>
      <c r="AD147" s="22"/>
      <c r="AE147" s="22"/>
      <c r="AF147" s="23"/>
    </row>
    <row r="148" spans="3:32" ht="15.75" customHeight="1">
      <c r="C148" s="24"/>
      <c r="D148" s="18"/>
      <c r="E148" s="18"/>
      <c r="F148" s="19"/>
      <c r="G148" s="19"/>
      <c r="H148" s="19"/>
      <c r="I148" s="18"/>
      <c r="J148" s="18"/>
      <c r="K148" s="18"/>
      <c r="L148" s="18"/>
      <c r="M148" s="20"/>
      <c r="N148" s="18"/>
      <c r="O148" s="18"/>
      <c r="P148" s="18"/>
      <c r="Q148" s="18"/>
      <c r="S148" s="21"/>
      <c r="T148" s="1"/>
      <c r="AC148" s="22"/>
      <c r="AD148" s="22"/>
      <c r="AE148" s="22"/>
      <c r="AF148" s="23"/>
    </row>
    <row r="149" spans="3:32" ht="15.75" customHeight="1">
      <c r="C149" s="24"/>
      <c r="D149" s="18"/>
      <c r="E149" s="18"/>
      <c r="F149" s="19"/>
      <c r="G149" s="19"/>
      <c r="H149" s="19"/>
      <c r="I149" s="18"/>
      <c r="J149" s="18"/>
      <c r="K149" s="18"/>
      <c r="L149" s="18"/>
      <c r="M149" s="20"/>
      <c r="N149" s="18"/>
      <c r="O149" s="18"/>
      <c r="P149" s="18"/>
      <c r="Q149" s="18"/>
      <c r="S149" s="21"/>
      <c r="T149" s="1"/>
      <c r="AC149" s="22"/>
      <c r="AD149" s="22"/>
      <c r="AE149" s="22"/>
      <c r="AF149" s="23"/>
    </row>
    <row r="150" spans="3:32" ht="15.75" customHeight="1">
      <c r="C150" s="24"/>
      <c r="D150" s="18"/>
      <c r="E150" s="18"/>
      <c r="F150" s="19"/>
      <c r="G150" s="19"/>
      <c r="H150" s="19"/>
      <c r="I150" s="18"/>
      <c r="J150" s="18"/>
      <c r="K150" s="18"/>
      <c r="L150" s="18"/>
      <c r="M150" s="20"/>
      <c r="N150" s="18"/>
      <c r="O150" s="18"/>
      <c r="P150" s="18"/>
      <c r="Q150" s="18"/>
      <c r="S150" s="21"/>
      <c r="T150" s="1"/>
      <c r="AC150" s="22"/>
      <c r="AD150" s="22"/>
      <c r="AE150" s="22"/>
      <c r="AF150" s="23"/>
    </row>
    <row r="151" spans="3:32" ht="15.75" customHeight="1">
      <c r="C151" s="3"/>
      <c r="D151" s="3"/>
      <c r="E151" s="3"/>
      <c r="F151" s="3"/>
      <c r="G151" s="3"/>
      <c r="H151" s="3"/>
      <c r="I151" s="3"/>
      <c r="J151" s="3"/>
      <c r="K151" s="3"/>
      <c r="L151" s="3"/>
      <c r="M151" s="3"/>
      <c r="N151" s="3"/>
      <c r="O151" s="3"/>
      <c r="P151" s="3"/>
      <c r="AF151" s="23"/>
    </row>
    <row r="152" spans="3:32" ht="15.75" customHeight="1">
      <c r="C152" s="3"/>
      <c r="D152" s="3"/>
      <c r="E152" s="3"/>
      <c r="F152" s="3"/>
      <c r="G152" s="3"/>
      <c r="H152" s="3"/>
      <c r="I152" s="3"/>
      <c r="J152" s="3"/>
      <c r="K152" s="3"/>
      <c r="L152" s="3"/>
      <c r="M152" s="3"/>
      <c r="N152" s="3"/>
      <c r="O152" s="3"/>
      <c r="P152" s="3"/>
      <c r="AF152" s="23"/>
    </row>
    <row r="153" spans="3:32" ht="15.75" customHeight="1">
      <c r="C153" s="3"/>
      <c r="D153" s="3"/>
      <c r="E153" s="3"/>
      <c r="F153" s="3"/>
      <c r="G153" s="3"/>
      <c r="H153" s="3"/>
      <c r="I153" s="3"/>
      <c r="J153" s="3"/>
      <c r="K153" s="3"/>
      <c r="L153" s="3"/>
      <c r="M153" s="3"/>
      <c r="N153" s="3"/>
      <c r="O153" s="3"/>
      <c r="P153" s="3"/>
      <c r="AF153" s="23"/>
    </row>
    <row r="154" spans="3:32" ht="15.75" customHeight="1">
      <c r="C154" s="3"/>
      <c r="D154" s="3"/>
      <c r="E154" s="3"/>
      <c r="F154" s="3"/>
      <c r="G154" s="3"/>
      <c r="H154" s="3"/>
      <c r="I154" s="3"/>
      <c r="J154" s="3"/>
      <c r="K154" s="3"/>
      <c r="L154" s="3"/>
      <c r="M154" s="3"/>
      <c r="N154" s="3"/>
      <c r="O154" s="3"/>
      <c r="P154" s="3"/>
      <c r="AF154" s="23"/>
    </row>
    <row r="155" spans="3:32" ht="15.75" customHeight="1">
      <c r="C155" s="3"/>
      <c r="D155" s="3"/>
      <c r="E155" s="3"/>
      <c r="F155" s="3"/>
      <c r="G155" s="3"/>
      <c r="H155" s="3"/>
      <c r="I155" s="3"/>
      <c r="J155" s="3"/>
      <c r="K155" s="3"/>
      <c r="L155" s="3"/>
      <c r="M155" s="3"/>
      <c r="N155" s="3"/>
      <c r="O155" s="3"/>
      <c r="P155" s="3"/>
      <c r="AF155" s="23"/>
    </row>
    <row r="156" spans="3:32" ht="15.75" customHeight="1">
      <c r="C156" s="3"/>
      <c r="D156" s="3"/>
      <c r="E156" s="3"/>
      <c r="F156" s="3"/>
      <c r="G156" s="3"/>
      <c r="H156" s="3"/>
      <c r="I156" s="3"/>
      <c r="J156" s="3"/>
      <c r="K156" s="3"/>
      <c r="L156" s="3"/>
      <c r="M156" s="3"/>
      <c r="N156" s="3"/>
      <c r="O156" s="3"/>
      <c r="P156" s="3"/>
      <c r="AF156" s="23"/>
    </row>
    <row r="157" spans="3:32" ht="15.75" customHeight="1">
      <c r="C157" s="3"/>
      <c r="D157" s="3"/>
      <c r="E157" s="3"/>
      <c r="F157" s="3"/>
      <c r="G157" s="3"/>
      <c r="H157" s="3"/>
      <c r="I157" s="3"/>
      <c r="J157" s="3"/>
      <c r="K157" s="3"/>
      <c r="L157" s="3"/>
      <c r="M157" s="3"/>
      <c r="N157" s="3"/>
      <c r="O157" s="3"/>
      <c r="P157" s="3"/>
      <c r="AF157" s="23"/>
    </row>
    <row r="158" spans="3:32" ht="15.75" customHeight="1">
      <c r="C158" s="3"/>
      <c r="D158" s="3"/>
      <c r="E158" s="3"/>
      <c r="F158" s="3"/>
      <c r="G158" s="3"/>
      <c r="H158" s="3"/>
      <c r="I158" s="3"/>
      <c r="J158" s="3"/>
      <c r="K158" s="3"/>
      <c r="L158" s="3"/>
      <c r="M158" s="3"/>
      <c r="N158" s="3"/>
      <c r="O158" s="3"/>
      <c r="P158" s="3"/>
      <c r="AF158" s="23"/>
    </row>
    <row r="159" spans="3:32" ht="15.75" customHeight="1">
      <c r="C159" s="3"/>
      <c r="D159" s="3"/>
      <c r="E159" s="3"/>
      <c r="F159" s="3"/>
      <c r="G159" s="3"/>
      <c r="H159" s="3"/>
      <c r="I159" s="3"/>
      <c r="J159" s="3"/>
      <c r="K159" s="3"/>
      <c r="L159" s="3"/>
      <c r="M159" s="3"/>
      <c r="N159" s="3"/>
      <c r="O159" s="3"/>
      <c r="P159" s="3"/>
      <c r="AF159" s="23"/>
    </row>
    <row r="160" spans="3:32" ht="15.75" customHeight="1">
      <c r="C160" s="3"/>
      <c r="D160" s="3"/>
      <c r="E160" s="3"/>
      <c r="F160" s="3"/>
      <c r="G160" s="3"/>
      <c r="H160" s="3"/>
      <c r="I160" s="3"/>
      <c r="J160" s="3"/>
      <c r="K160" s="3"/>
      <c r="L160" s="3"/>
      <c r="M160" s="3"/>
      <c r="N160" s="3"/>
      <c r="O160" s="3"/>
      <c r="P160" s="3"/>
      <c r="AF160" s="23"/>
    </row>
    <row r="161" spans="3:32" ht="15.75" customHeight="1">
      <c r="C161" s="3"/>
      <c r="D161" s="3"/>
      <c r="E161" s="3"/>
      <c r="F161" s="3"/>
      <c r="G161" s="3"/>
      <c r="H161" s="3"/>
      <c r="I161" s="3"/>
      <c r="J161" s="3"/>
      <c r="K161" s="3"/>
      <c r="L161" s="3"/>
      <c r="M161" s="3"/>
      <c r="N161" s="3"/>
      <c r="O161" s="3"/>
      <c r="P161" s="3"/>
      <c r="AF161" s="23"/>
    </row>
    <row r="162" spans="3:32" ht="15.75" customHeight="1">
      <c r="C162" s="3"/>
      <c r="D162" s="3"/>
      <c r="E162" s="3"/>
      <c r="F162" s="3"/>
      <c r="G162" s="3"/>
      <c r="H162" s="3"/>
      <c r="I162" s="3"/>
      <c r="J162" s="3"/>
      <c r="K162" s="3"/>
      <c r="L162" s="3"/>
      <c r="M162" s="3"/>
      <c r="N162" s="3"/>
      <c r="O162" s="3"/>
      <c r="P162" s="3"/>
      <c r="AF162" s="23"/>
    </row>
    <row r="163" spans="3:32" ht="15.75" customHeight="1">
      <c r="C163" s="3"/>
      <c r="D163" s="3"/>
      <c r="E163" s="3"/>
      <c r="F163" s="3"/>
      <c r="G163" s="3"/>
      <c r="H163" s="3"/>
      <c r="I163" s="3"/>
      <c r="J163" s="3"/>
      <c r="K163" s="3"/>
      <c r="L163" s="3"/>
      <c r="M163" s="3"/>
      <c r="N163" s="3"/>
      <c r="O163" s="3"/>
      <c r="P163" s="3"/>
      <c r="AF163" s="23"/>
    </row>
    <row r="164" spans="3:32" ht="15.75" customHeight="1">
      <c r="C164" s="3"/>
      <c r="D164" s="3"/>
      <c r="E164" s="3"/>
      <c r="F164" s="3"/>
      <c r="G164" s="3"/>
      <c r="H164" s="3"/>
      <c r="I164" s="3"/>
      <c r="J164" s="3"/>
      <c r="K164" s="3"/>
      <c r="L164" s="3"/>
      <c r="M164" s="3"/>
      <c r="N164" s="3"/>
      <c r="O164" s="3"/>
      <c r="P164" s="3"/>
      <c r="AF164" s="23"/>
    </row>
    <row r="165" spans="3:32" ht="15.75" customHeight="1">
      <c r="C165" s="3"/>
      <c r="D165" s="3"/>
      <c r="E165" s="3"/>
      <c r="F165" s="3"/>
      <c r="G165" s="3"/>
      <c r="H165" s="3"/>
      <c r="I165" s="3"/>
      <c r="J165" s="3"/>
      <c r="K165" s="3"/>
      <c r="L165" s="3"/>
      <c r="M165" s="3"/>
      <c r="N165" s="3"/>
      <c r="O165" s="3"/>
      <c r="P165" s="3"/>
      <c r="AF165" s="23"/>
    </row>
    <row r="166" spans="3:32" ht="15.75" customHeight="1">
      <c r="C166" s="3"/>
      <c r="D166" s="3"/>
      <c r="E166" s="3"/>
      <c r="F166" s="3"/>
      <c r="G166" s="3"/>
      <c r="H166" s="3"/>
      <c r="I166" s="3"/>
      <c r="J166" s="3"/>
      <c r="K166" s="3"/>
      <c r="L166" s="3"/>
      <c r="M166" s="3"/>
      <c r="N166" s="3"/>
      <c r="O166" s="3"/>
      <c r="P166" s="3"/>
      <c r="AF166" s="23"/>
    </row>
    <row r="167" spans="3:32" ht="15.75" customHeight="1">
      <c r="C167" s="3"/>
      <c r="D167" s="3"/>
      <c r="E167" s="3"/>
      <c r="F167" s="3"/>
      <c r="G167" s="3"/>
      <c r="H167" s="3"/>
      <c r="I167" s="3"/>
      <c r="J167" s="3"/>
      <c r="K167" s="3"/>
      <c r="L167" s="3"/>
      <c r="M167" s="3"/>
      <c r="N167" s="3"/>
      <c r="O167" s="3"/>
      <c r="P167" s="3"/>
      <c r="AF167" s="23"/>
    </row>
    <row r="168" spans="3:32" ht="15.75" customHeight="1">
      <c r="C168" s="3"/>
      <c r="D168" s="3"/>
      <c r="E168" s="3"/>
      <c r="F168" s="3"/>
      <c r="G168" s="3"/>
      <c r="H168" s="3"/>
      <c r="I168" s="3"/>
      <c r="J168" s="3"/>
      <c r="K168" s="3"/>
      <c r="L168" s="3"/>
      <c r="M168" s="3"/>
      <c r="N168" s="3"/>
      <c r="O168" s="3"/>
      <c r="P168" s="3"/>
      <c r="AF168" s="23"/>
    </row>
    <row r="169" spans="3:32" ht="15.75" customHeight="1">
      <c r="C169" s="3"/>
      <c r="D169" s="3"/>
      <c r="E169" s="3"/>
      <c r="F169" s="3"/>
      <c r="G169" s="3"/>
      <c r="H169" s="3"/>
      <c r="I169" s="3"/>
      <c r="J169" s="3"/>
      <c r="K169" s="3"/>
      <c r="L169" s="3"/>
      <c r="M169" s="3"/>
      <c r="N169" s="3"/>
      <c r="O169" s="3"/>
      <c r="P169" s="3"/>
      <c r="AF169" s="23"/>
    </row>
    <row r="170" spans="3:32" ht="15.75" customHeight="1">
      <c r="E170" s="2"/>
      <c r="P170" s="2"/>
      <c r="AF170" s="23"/>
    </row>
    <row r="171" spans="3:32" ht="15.75" customHeight="1">
      <c r="E171" s="2"/>
      <c r="P171" s="2"/>
      <c r="AF171" s="23"/>
    </row>
    <row r="172" spans="3:32" ht="15.75" customHeight="1">
      <c r="E172" s="2"/>
      <c r="P172" s="2"/>
      <c r="AF172" s="23"/>
    </row>
    <row r="173" spans="3:32" ht="15.75" customHeight="1">
      <c r="E173" s="2"/>
      <c r="P173" s="2"/>
      <c r="AF173" s="23"/>
    </row>
    <row r="174" spans="3:32" ht="15.75" customHeight="1">
      <c r="E174" s="2"/>
      <c r="P174" s="2"/>
      <c r="AF174" s="23"/>
    </row>
    <row r="175" spans="3:32" ht="15.75" customHeight="1">
      <c r="E175" s="2"/>
      <c r="P175" s="2"/>
      <c r="AF175" s="23"/>
    </row>
    <row r="176" spans="3:32" ht="15.75" customHeight="1">
      <c r="E176" s="2"/>
      <c r="P176" s="2"/>
      <c r="AF176" s="23"/>
    </row>
    <row r="177" spans="5:32" ht="15.75" customHeight="1">
      <c r="E177" s="2"/>
      <c r="P177" s="2"/>
      <c r="AF177" s="23"/>
    </row>
    <row r="178" spans="5:32" ht="15.75" customHeight="1">
      <c r="E178" s="2"/>
      <c r="P178" s="2"/>
      <c r="AF178" s="23"/>
    </row>
    <row r="179" spans="5:32" ht="15.75" customHeight="1">
      <c r="E179" s="2"/>
      <c r="P179" s="2"/>
      <c r="AF179" s="23"/>
    </row>
    <row r="180" spans="5:32" ht="15.75" customHeight="1">
      <c r="E180" s="2"/>
      <c r="P180" s="2"/>
      <c r="AF180" s="23"/>
    </row>
    <row r="181" spans="5:32" ht="15.75" customHeight="1">
      <c r="E181" s="2"/>
      <c r="P181" s="2"/>
      <c r="AF181" s="23"/>
    </row>
    <row r="182" spans="5:32" ht="15.75" customHeight="1">
      <c r="E182" s="2"/>
      <c r="P182" s="2"/>
      <c r="AF182" s="23"/>
    </row>
    <row r="183" spans="5:32" ht="15.75" customHeight="1">
      <c r="E183" s="2"/>
      <c r="P183" s="2"/>
      <c r="AF183" s="23"/>
    </row>
    <row r="184" spans="5:32" ht="15.75" customHeight="1">
      <c r="E184" s="2"/>
      <c r="P184" s="2"/>
      <c r="AF184" s="23"/>
    </row>
    <row r="185" spans="5:32" ht="15.75" customHeight="1">
      <c r="E185" s="2"/>
      <c r="P185" s="2"/>
      <c r="AF185" s="23"/>
    </row>
    <row r="186" spans="5:32" ht="15.75" customHeight="1">
      <c r="E186" s="2"/>
      <c r="P186" s="2"/>
      <c r="AF186" s="23"/>
    </row>
    <row r="187" spans="5:32" ht="15.75" customHeight="1">
      <c r="E187" s="2"/>
      <c r="P187" s="2"/>
      <c r="AF187" s="23"/>
    </row>
    <row r="188" spans="5:32" ht="15.75" customHeight="1">
      <c r="E188" s="2"/>
      <c r="P188" s="2"/>
      <c r="AF188" s="23"/>
    </row>
    <row r="189" spans="5:32" ht="15.75" customHeight="1">
      <c r="E189" s="2"/>
      <c r="P189" s="2"/>
      <c r="AF189" s="23"/>
    </row>
    <row r="190" spans="5:32" ht="15.75" customHeight="1">
      <c r="E190" s="2"/>
      <c r="P190" s="2"/>
      <c r="AF190" s="23"/>
    </row>
    <row r="191" spans="5:32" ht="15.75" customHeight="1">
      <c r="E191" s="2"/>
      <c r="P191" s="2"/>
      <c r="AF191" s="23"/>
    </row>
    <row r="192" spans="5: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236" priority="1" operator="lessThan">
      <formula>100</formula>
    </cfRule>
  </conditionalFormatting>
  <conditionalFormatting sqref="Q1:Q3 Q57:Q1000">
    <cfRule type="cellIs" dxfId="235" priority="2" operator="lessThan">
      <formula>100</formula>
    </cfRule>
  </conditionalFormatting>
  <conditionalFormatting sqref="I1:I3 I57:I1000">
    <cfRule type="cellIs" dxfId="234" priority="3" operator="lessThan">
      <formula>0.05</formula>
    </cfRule>
  </conditionalFormatting>
  <conditionalFormatting sqref="I4:I17">
    <cfRule type="cellIs" dxfId="233" priority="4" operator="lessThan">
      <formula>0.05</formula>
    </cfRule>
  </conditionalFormatting>
  <conditionalFormatting sqref="I18:I56">
    <cfRule type="cellIs" dxfId="232" priority="5" operator="lessThan">
      <formula>0.05</formula>
    </cfRule>
  </conditionalFormatting>
  <conditionalFormatting sqref="Q4:Q56">
    <cfRule type="cellIs" dxfId="231" priority="6" operator="lessThan">
      <formula>100</formula>
    </cfRule>
  </conditionalFormatting>
  <conditionalFormatting sqref="Q4:Q56">
    <cfRule type="cellIs" dxfId="230" priority="7" operator="lessThan">
      <formula>100</formula>
    </cfRule>
  </conditionalFormatting>
  <pageMargins left="0.7" right="0.7" top="0.75" bottom="0.75" header="0" footer="0"/>
  <pageSetup orientation="portrait"/>
  <legacy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1.332031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8.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Info!B1:BJ5000""),4,FALSE),"""")"),"Punchau Lawn Aerator Shoes w/Metal Buckles and 3 Straps - Heavy Duty Spiked Sandals for Aerating Your Lawn or Yard")</f>
        <v>Punchau Lawn Aerator Shoes w/Metal Buckles and 3 Straps - Heavy Duty Spiked Sandals for Aerating Your Lawn or Yard</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Info!B1:BJ5000""),3,FALSE),"""")"),"B00ZVKCSGI")</f>
        <v>B00ZVKCSGI</v>
      </c>
      <c r="B2" s="4" t="s">
        <v>903</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6.2166869281045649</v>
      </c>
      <c r="D3" s="8">
        <f>SUM(D4:D99819)</f>
        <v>4</v>
      </c>
      <c r="E3" s="8"/>
      <c r="F3" s="9">
        <f t="shared" ref="F3:G3" si="0">SUM(F4:F99819)</f>
        <v>59.96</v>
      </c>
      <c r="G3" s="9">
        <f t="shared" si="0"/>
        <v>-0.08</v>
      </c>
      <c r="H3" s="10">
        <f t="shared" ref="H3:H39" si="1">G3/F3*-1</f>
        <v>1.3342228152101402E-3</v>
      </c>
      <c r="I3" s="11">
        <f t="shared" ref="I3:I39" si="2">J3/F3</f>
        <v>0.12175780149729447</v>
      </c>
      <c r="J3" s="9">
        <f>SUM(J4:J99819)</f>
        <v>7.3005977777777762</v>
      </c>
      <c r="K3" s="9">
        <f t="shared" ref="K3:K39" si="3">J3/D3</f>
        <v>1.825149444444444</v>
      </c>
      <c r="L3" s="8"/>
      <c r="M3" s="12"/>
      <c r="N3" s="13"/>
      <c r="O3" s="8" t="str">
        <f ca="1">IFERROR(__xludf.DUMMYFUNCTION("IFERROR(VLOOKUP(B2,IMPORTRANGE(""https://docs.google.com/spreadsheets/d/1owCo6kL_VFQ5nPTdNogErmCBLjNiktT1m3SzTrxu3R0/edit#gid=2146806407"",""Second Star - Compiled!b1:g5000""),2,FALSE),"""")"),"8 - March
75 - April
55 - May
30 - Jun
15 - Jul
24.5 - Aug
24.5 - Sept
0 - Oct
0 - Nov
0 - Dec
0.1 - Jan
0.1 - Feb")</f>
        <v>8 - March
75 - April
55 - May
30 - Jun
15 - Jul
24.5 - Aug
24.5 - Sept
0 - Oct
0 - Nov
0 - Dec
0.1 - Jan
0.1 - Feb</v>
      </c>
      <c r="P3" s="8"/>
      <c r="Q3" s="14"/>
      <c r="R3" s="13"/>
      <c r="S3" s="13"/>
      <c r="T3" s="13"/>
      <c r="U3" s="8">
        <f>SUM(U4:U99819)</f>
        <v>0</v>
      </c>
      <c r="V3" s="10">
        <f>AVERAGE(V4:V99819)</f>
        <v>0</v>
      </c>
      <c r="W3" s="9">
        <f>ROUND(AVERAGE(W4:W99819),2)</f>
        <v>0</v>
      </c>
      <c r="X3" s="8"/>
      <c r="Y3" s="8"/>
      <c r="Z3" s="8"/>
      <c r="AA3" s="8"/>
      <c r="AB3" s="8"/>
      <c r="AC3" s="15"/>
      <c r="AD3" s="9"/>
      <c r="AE3" s="9">
        <f>SUM(AE4:AE99819)</f>
        <v>0</v>
      </c>
      <c r="AF3" s="16"/>
    </row>
    <row r="4" spans="1:32" s="57" customFormat="1" ht="16">
      <c r="A4" s="17" t="s">
        <v>48</v>
      </c>
      <c r="B4" s="17"/>
      <c r="C4" s="50" t="s">
        <v>397</v>
      </c>
      <c r="D4" s="51">
        <v>0</v>
      </c>
      <c r="E4" s="51">
        <v>0</v>
      </c>
      <c r="F4" s="51">
        <v>0</v>
      </c>
      <c r="G4" s="51">
        <v>0</v>
      </c>
      <c r="H4" s="51" t="e">
        <f t="shared" si="1"/>
        <v>#DIV/0!</v>
      </c>
      <c r="I4" s="51" t="e">
        <f t="shared" si="2"/>
        <v>#DIV/0!</v>
      </c>
      <c r="J4" s="51">
        <f t="shared" ref="J4:J38" si="4">F4*0.85+G4+AD4*D4+D4*AC4+AE4+AB4</f>
        <v>0</v>
      </c>
      <c r="K4" s="51" t="e">
        <f t="shared" si="3"/>
        <v>#DIV/0!</v>
      </c>
      <c r="L4" s="51">
        <v>0</v>
      </c>
      <c r="M4" s="51" t="str">
        <f t="shared" ref="M4:M39" si="5">IFERROR(D4/L4,"-")</f>
        <v>-</v>
      </c>
      <c r="N4" s="51">
        <v>2</v>
      </c>
      <c r="O4" s="51">
        <f t="shared" ref="O4:P4" si="6">D4/7</f>
        <v>0</v>
      </c>
      <c r="P4" s="51">
        <f t="shared" si="6"/>
        <v>0</v>
      </c>
      <c r="Q4" s="51" t="e">
        <f t="shared" ref="Q4:Q39" si="7">ROUNDDOWN(N4/(O4+P4),0)</f>
        <v>#DIV/0!</v>
      </c>
      <c r="R4" s="52">
        <v>0</v>
      </c>
      <c r="S4" s="53" t="s">
        <v>34</v>
      </c>
      <c r="T4" s="54" t="s">
        <v>34</v>
      </c>
      <c r="U4" s="52">
        <v>0</v>
      </c>
      <c r="V4" s="55">
        <f t="shared" ref="V4:V39" si="8">IFERROR(U4/D4,0)</f>
        <v>0</v>
      </c>
      <c r="W4" s="55">
        <f t="shared" ref="W4:W39" si="9">IFERROR(G4/(U4+X4)*-1,0)</f>
        <v>0</v>
      </c>
      <c r="X4" s="52">
        <v>0</v>
      </c>
      <c r="Y4" s="56" t="e">
        <v>#N/A</v>
      </c>
      <c r="Z4" s="56" t="e">
        <f t="shared" ref="Z4:Z10" si="10">IF(OR(Y4="UsLargeStandardSize",Y4="UsSmallStandardSize"),-0.69,-0.48)</f>
        <v>#N/A</v>
      </c>
      <c r="AA4" s="55" t="e">
        <v>#N/A</v>
      </c>
      <c r="AB4" s="55">
        <f t="shared" ref="AB4:AB17" si="11">IFERROR((Z4*AA4*N4)/4,0)</f>
        <v>0</v>
      </c>
      <c r="AC4" s="55">
        <v>0</v>
      </c>
      <c r="AD4" s="55">
        <v>-5.9366838888888882</v>
      </c>
      <c r="AE4" s="55">
        <v>0</v>
      </c>
      <c r="AF4" s="55"/>
    </row>
    <row r="5" spans="1:32" s="57" customFormat="1" ht="15.75" customHeight="1">
      <c r="A5" s="17" t="s">
        <v>49</v>
      </c>
      <c r="B5"/>
      <c r="C5" s="51" t="s">
        <v>397</v>
      </c>
      <c r="D5" s="51">
        <v>0</v>
      </c>
      <c r="E5" s="51">
        <v>0</v>
      </c>
      <c r="F5" s="51">
        <v>0</v>
      </c>
      <c r="G5" s="51">
        <v>0</v>
      </c>
      <c r="H5" s="51" t="e">
        <f t="shared" si="1"/>
        <v>#DIV/0!</v>
      </c>
      <c r="I5" s="51" t="e">
        <f t="shared" si="2"/>
        <v>#DIV/0!</v>
      </c>
      <c r="J5" s="51">
        <f t="shared" si="4"/>
        <v>0</v>
      </c>
      <c r="K5" s="51" t="e">
        <f t="shared" si="3"/>
        <v>#DIV/0!</v>
      </c>
      <c r="L5" s="51">
        <v>0</v>
      </c>
      <c r="M5" s="51" t="str">
        <f t="shared" si="5"/>
        <v>-</v>
      </c>
      <c r="N5" s="51">
        <v>2</v>
      </c>
      <c r="O5" s="51">
        <f t="shared" ref="O5:P5" si="12">D5/7</f>
        <v>0</v>
      </c>
      <c r="P5" s="51">
        <f t="shared" si="12"/>
        <v>0</v>
      </c>
      <c r="Q5" s="51" t="e">
        <f t="shared" si="7"/>
        <v>#DIV/0!</v>
      </c>
      <c r="R5" s="52">
        <v>0</v>
      </c>
      <c r="S5" s="53" t="s">
        <v>34</v>
      </c>
      <c r="T5" s="54" t="s">
        <v>34</v>
      </c>
      <c r="U5" s="52">
        <v>0</v>
      </c>
      <c r="V5" s="55">
        <f t="shared" si="8"/>
        <v>0</v>
      </c>
      <c r="W5" s="55">
        <f t="shared" si="9"/>
        <v>0</v>
      </c>
      <c r="X5" s="52">
        <v>0</v>
      </c>
      <c r="Y5" s="52" t="e">
        <v>#N/A</v>
      </c>
      <c r="Z5" s="56" t="e">
        <f t="shared" si="10"/>
        <v>#N/A</v>
      </c>
      <c r="AA5" s="55" t="e">
        <v>#N/A</v>
      </c>
      <c r="AB5" s="55">
        <f t="shared" si="11"/>
        <v>0</v>
      </c>
      <c r="AC5" s="55">
        <v>0</v>
      </c>
      <c r="AD5" s="55">
        <v>-5.9366838888888882</v>
      </c>
      <c r="AE5" s="55">
        <v>0</v>
      </c>
      <c r="AF5" s="55"/>
    </row>
    <row r="6" spans="1:32" s="57" customFormat="1" ht="15.75" customHeight="1">
      <c r="A6" s="17" t="s">
        <v>51</v>
      </c>
      <c r="B6"/>
      <c r="C6" s="51" t="s">
        <v>397</v>
      </c>
      <c r="D6" s="51">
        <v>0</v>
      </c>
      <c r="E6" s="51">
        <v>0</v>
      </c>
      <c r="F6" s="51">
        <v>0</v>
      </c>
      <c r="G6" s="51">
        <v>0</v>
      </c>
      <c r="H6" s="51" t="e">
        <f t="shared" si="1"/>
        <v>#DIV/0!</v>
      </c>
      <c r="I6" s="51" t="e">
        <f t="shared" si="2"/>
        <v>#DIV/0!</v>
      </c>
      <c r="J6" s="51">
        <f t="shared" si="4"/>
        <v>0</v>
      </c>
      <c r="K6" s="51" t="e">
        <f t="shared" si="3"/>
        <v>#DIV/0!</v>
      </c>
      <c r="L6" s="51">
        <v>0</v>
      </c>
      <c r="M6" s="51" t="str">
        <f t="shared" si="5"/>
        <v>-</v>
      </c>
      <c r="N6" s="51">
        <v>2</v>
      </c>
      <c r="O6" s="51">
        <f t="shared" ref="O6:P6" si="13">D6/7</f>
        <v>0</v>
      </c>
      <c r="P6" s="51">
        <f t="shared" si="13"/>
        <v>0</v>
      </c>
      <c r="Q6" s="51" t="e">
        <f t="shared" si="7"/>
        <v>#DIV/0!</v>
      </c>
      <c r="R6" s="52">
        <v>0</v>
      </c>
      <c r="S6" s="53" t="s">
        <v>34</v>
      </c>
      <c r="T6" s="54" t="s">
        <v>34</v>
      </c>
      <c r="U6" s="52">
        <v>0</v>
      </c>
      <c r="V6" s="55">
        <f t="shared" si="8"/>
        <v>0</v>
      </c>
      <c r="W6" s="55">
        <f t="shared" si="9"/>
        <v>0</v>
      </c>
      <c r="X6" s="52">
        <v>0</v>
      </c>
      <c r="Y6" s="52" t="e">
        <v>#N/A</v>
      </c>
      <c r="Z6" s="56" t="e">
        <f t="shared" si="10"/>
        <v>#N/A</v>
      </c>
      <c r="AA6" s="55" t="e">
        <v>#N/A</v>
      </c>
      <c r="AB6" s="55">
        <f t="shared" si="11"/>
        <v>0</v>
      </c>
      <c r="AC6" s="55">
        <v>0</v>
      </c>
      <c r="AD6" s="55">
        <v>-5.9366838888888882</v>
      </c>
      <c r="AE6" s="55">
        <v>0</v>
      </c>
      <c r="AF6" s="55"/>
    </row>
    <row r="7" spans="1:32" s="57" customFormat="1" ht="15.75" customHeight="1">
      <c r="A7" s="17" t="s">
        <v>53</v>
      </c>
      <c r="B7"/>
      <c r="C7" s="51">
        <v>14.99</v>
      </c>
      <c r="D7" s="51">
        <v>1</v>
      </c>
      <c r="E7" s="51">
        <v>0</v>
      </c>
      <c r="F7" s="51">
        <v>14.99</v>
      </c>
      <c r="G7" s="51">
        <v>0</v>
      </c>
      <c r="H7" s="51">
        <f t="shared" si="1"/>
        <v>0</v>
      </c>
      <c r="I7" s="51">
        <f t="shared" si="2"/>
        <v>0.14300529982951599</v>
      </c>
      <c r="J7" s="51">
        <f t="shared" si="4"/>
        <v>2.1436494444444447</v>
      </c>
      <c r="K7" s="51">
        <f t="shared" si="3"/>
        <v>2.1436494444444447</v>
      </c>
      <c r="L7" s="51">
        <v>30</v>
      </c>
      <c r="M7" s="51">
        <f t="shared" si="5"/>
        <v>3.3333333333333333E-2</v>
      </c>
      <c r="N7" s="51">
        <v>2</v>
      </c>
      <c r="O7" s="51">
        <f t="shared" ref="O7:P7" si="14">D7/7</f>
        <v>0.14285714285714285</v>
      </c>
      <c r="P7" s="51">
        <f t="shared" si="14"/>
        <v>0</v>
      </c>
      <c r="Q7" s="51">
        <f t="shared" si="7"/>
        <v>14</v>
      </c>
      <c r="R7" s="52">
        <v>0</v>
      </c>
      <c r="S7" s="53" t="s">
        <v>34</v>
      </c>
      <c r="T7" s="54" t="s">
        <v>34</v>
      </c>
      <c r="U7" s="52">
        <v>0</v>
      </c>
      <c r="V7" s="55">
        <f t="shared" si="8"/>
        <v>0</v>
      </c>
      <c r="W7" s="55">
        <f t="shared" si="9"/>
        <v>0</v>
      </c>
      <c r="X7" s="52">
        <v>0</v>
      </c>
      <c r="Y7" s="52" t="s">
        <v>35</v>
      </c>
      <c r="Z7" s="56">
        <f t="shared" si="10"/>
        <v>-0.69</v>
      </c>
      <c r="AA7" s="55">
        <v>0.15555555555555556</v>
      </c>
      <c r="AB7" s="55">
        <f t="shared" si="11"/>
        <v>-5.3666666666666661E-2</v>
      </c>
      <c r="AC7" s="55">
        <v>-5.26</v>
      </c>
      <c r="AD7" s="55">
        <v>-5.2841838888888892</v>
      </c>
      <c r="AE7" s="55">
        <v>0</v>
      </c>
      <c r="AF7" s="55"/>
    </row>
    <row r="8" spans="1:32" s="57" customFormat="1" ht="15.75" customHeight="1">
      <c r="A8" s="17" t="s">
        <v>54</v>
      </c>
      <c r="B8"/>
      <c r="C8" s="51" t="s">
        <v>397</v>
      </c>
      <c r="D8" s="51">
        <v>0</v>
      </c>
      <c r="E8" s="51">
        <v>0</v>
      </c>
      <c r="F8" s="51">
        <v>0</v>
      </c>
      <c r="G8" s="51">
        <v>0</v>
      </c>
      <c r="H8" s="51" t="e">
        <f t="shared" si="1"/>
        <v>#DIV/0!</v>
      </c>
      <c r="I8" s="51" t="e">
        <f t="shared" si="2"/>
        <v>#DIV/0!</v>
      </c>
      <c r="J8" s="51">
        <f t="shared" si="4"/>
        <v>0</v>
      </c>
      <c r="K8" s="51" t="e">
        <f t="shared" si="3"/>
        <v>#DIV/0!</v>
      </c>
      <c r="L8" s="51">
        <v>0</v>
      </c>
      <c r="M8" s="51" t="str">
        <f t="shared" si="5"/>
        <v>-</v>
      </c>
      <c r="N8" s="51">
        <v>2</v>
      </c>
      <c r="O8" s="51">
        <f t="shared" ref="O8:P8" si="15">D8/7</f>
        <v>0</v>
      </c>
      <c r="P8" s="51">
        <f t="shared" si="15"/>
        <v>0</v>
      </c>
      <c r="Q8" s="51" t="e">
        <f t="shared" si="7"/>
        <v>#DIV/0!</v>
      </c>
      <c r="R8" s="52">
        <v>0</v>
      </c>
      <c r="S8" s="53" t="s">
        <v>34</v>
      </c>
      <c r="T8" s="54" t="s">
        <v>34</v>
      </c>
      <c r="U8" s="52">
        <v>0</v>
      </c>
      <c r="V8" s="55">
        <f t="shared" si="8"/>
        <v>0</v>
      </c>
      <c r="W8" s="55">
        <f t="shared" si="9"/>
        <v>0</v>
      </c>
      <c r="X8" s="52">
        <v>0</v>
      </c>
      <c r="Y8" s="52" t="e">
        <v>#N/A</v>
      </c>
      <c r="Z8" s="56" t="e">
        <f t="shared" si="10"/>
        <v>#N/A</v>
      </c>
      <c r="AA8" s="55" t="e">
        <v>#N/A</v>
      </c>
      <c r="AB8" s="55">
        <f t="shared" si="11"/>
        <v>0</v>
      </c>
      <c r="AC8" s="55">
        <v>0</v>
      </c>
      <c r="AD8" s="55">
        <v>-5.2841838888888892</v>
      </c>
      <c r="AE8" s="55">
        <v>0</v>
      </c>
      <c r="AF8" s="55"/>
    </row>
    <row r="9" spans="1:32" s="57" customFormat="1" ht="15.75" customHeight="1">
      <c r="A9" s="17" t="s">
        <v>56</v>
      </c>
      <c r="B9"/>
      <c r="C9" s="51" t="s">
        <v>397</v>
      </c>
      <c r="D9" s="51">
        <v>0</v>
      </c>
      <c r="E9" s="51">
        <v>0</v>
      </c>
      <c r="F9" s="51">
        <v>0</v>
      </c>
      <c r="G9" s="51">
        <v>0</v>
      </c>
      <c r="H9" s="51" t="e">
        <f t="shared" si="1"/>
        <v>#DIV/0!</v>
      </c>
      <c r="I9" s="51" t="e">
        <f t="shared" si="2"/>
        <v>#DIV/0!</v>
      </c>
      <c r="J9" s="51">
        <f t="shared" si="4"/>
        <v>0</v>
      </c>
      <c r="K9" s="51" t="e">
        <f t="shared" si="3"/>
        <v>#DIV/0!</v>
      </c>
      <c r="L9" s="51">
        <v>0</v>
      </c>
      <c r="M9" s="51" t="str">
        <f t="shared" si="5"/>
        <v>-</v>
      </c>
      <c r="N9" s="51">
        <v>2</v>
      </c>
      <c r="O9" s="51">
        <f t="shared" ref="O9:P9" si="16">D9/7</f>
        <v>0</v>
      </c>
      <c r="P9" s="51">
        <f t="shared" si="16"/>
        <v>0</v>
      </c>
      <c r="Q9" s="51" t="e">
        <f t="shared" si="7"/>
        <v>#DIV/0!</v>
      </c>
      <c r="R9" s="52">
        <v>0</v>
      </c>
      <c r="S9" s="53" t="s">
        <v>34</v>
      </c>
      <c r="T9" s="54" t="s">
        <v>34</v>
      </c>
      <c r="U9" s="52">
        <v>0</v>
      </c>
      <c r="V9" s="55">
        <f t="shared" si="8"/>
        <v>0</v>
      </c>
      <c r="W9" s="55">
        <f t="shared" si="9"/>
        <v>0</v>
      </c>
      <c r="X9" s="52">
        <v>0</v>
      </c>
      <c r="Y9" s="52" t="e">
        <v>#N/A</v>
      </c>
      <c r="Z9" s="56" t="e">
        <f t="shared" si="10"/>
        <v>#N/A</v>
      </c>
      <c r="AA9" s="55" t="e">
        <v>#N/A</v>
      </c>
      <c r="AB9" s="55">
        <f t="shared" si="11"/>
        <v>0</v>
      </c>
      <c r="AC9" s="55">
        <v>0</v>
      </c>
      <c r="AD9" s="55">
        <v>-5.2841838888888892</v>
      </c>
      <c r="AE9" s="55">
        <v>0</v>
      </c>
      <c r="AF9" s="55"/>
    </row>
    <row r="10" spans="1:32" s="57" customFormat="1" ht="15.75" customHeight="1">
      <c r="A10" s="17" t="s">
        <v>58</v>
      </c>
      <c r="B10"/>
      <c r="C10" s="51" t="s">
        <v>397</v>
      </c>
      <c r="D10" s="51">
        <v>0</v>
      </c>
      <c r="E10" s="51">
        <v>0</v>
      </c>
      <c r="F10" s="51">
        <v>0</v>
      </c>
      <c r="G10" s="51">
        <v>0</v>
      </c>
      <c r="H10" s="51" t="e">
        <f t="shared" si="1"/>
        <v>#DIV/0!</v>
      </c>
      <c r="I10" s="51" t="e">
        <f t="shared" si="2"/>
        <v>#DIV/0!</v>
      </c>
      <c r="J10" s="51">
        <f t="shared" si="4"/>
        <v>0</v>
      </c>
      <c r="K10" s="51" t="e">
        <f t="shared" si="3"/>
        <v>#DIV/0!</v>
      </c>
      <c r="L10" s="51">
        <v>0</v>
      </c>
      <c r="M10" s="51" t="str">
        <f t="shared" si="5"/>
        <v>-</v>
      </c>
      <c r="N10" s="51">
        <v>2</v>
      </c>
      <c r="O10" s="51">
        <f t="shared" ref="O10:P10" si="17">D10/7</f>
        <v>0</v>
      </c>
      <c r="P10" s="51">
        <f t="shared" si="17"/>
        <v>0</v>
      </c>
      <c r="Q10" s="51" t="e">
        <f t="shared" si="7"/>
        <v>#DIV/0!</v>
      </c>
      <c r="R10" s="52">
        <v>0</v>
      </c>
      <c r="S10" s="53" t="s">
        <v>34</v>
      </c>
      <c r="T10" s="54" t="s">
        <v>34</v>
      </c>
      <c r="U10" s="52">
        <v>0</v>
      </c>
      <c r="V10" s="55">
        <f t="shared" si="8"/>
        <v>0</v>
      </c>
      <c r="W10" s="55">
        <f t="shared" si="9"/>
        <v>0</v>
      </c>
      <c r="X10" s="52">
        <v>0</v>
      </c>
      <c r="Y10" s="52" t="e">
        <v>#N/A</v>
      </c>
      <c r="Z10" s="56" t="e">
        <f t="shared" si="10"/>
        <v>#N/A</v>
      </c>
      <c r="AA10" s="55" t="e">
        <v>#N/A</v>
      </c>
      <c r="AB10" s="55">
        <f t="shared" si="11"/>
        <v>0</v>
      </c>
      <c r="AC10" s="55">
        <v>0</v>
      </c>
      <c r="AD10" s="55">
        <v>-5.2841838888888892</v>
      </c>
      <c r="AE10" s="55">
        <v>0</v>
      </c>
      <c r="AF10" s="55"/>
    </row>
    <row r="11" spans="1:32" s="57" customFormat="1" ht="15.75" customHeight="1">
      <c r="A11" s="17" t="s">
        <v>60</v>
      </c>
      <c r="B11"/>
      <c r="C11" s="51" t="s">
        <v>397</v>
      </c>
      <c r="D11" s="51">
        <v>0</v>
      </c>
      <c r="E11" s="51">
        <v>0</v>
      </c>
      <c r="F11" s="51">
        <v>0</v>
      </c>
      <c r="G11" s="51">
        <v>0</v>
      </c>
      <c r="H11" s="51" t="e">
        <f t="shared" si="1"/>
        <v>#DIV/0!</v>
      </c>
      <c r="I11" s="51" t="e">
        <f t="shared" si="2"/>
        <v>#DIV/0!</v>
      </c>
      <c r="J11" s="51">
        <f t="shared" si="4"/>
        <v>0</v>
      </c>
      <c r="K11" s="51" t="e">
        <f t="shared" si="3"/>
        <v>#DIV/0!</v>
      </c>
      <c r="L11" s="51">
        <v>0</v>
      </c>
      <c r="M11" s="51" t="str">
        <f t="shared" si="5"/>
        <v>-</v>
      </c>
      <c r="N11" s="51">
        <v>2</v>
      </c>
      <c r="O11" s="51">
        <f t="shared" ref="O11:P11" si="18">D11/7</f>
        <v>0</v>
      </c>
      <c r="P11" s="51">
        <f t="shared" si="18"/>
        <v>0</v>
      </c>
      <c r="Q11" s="51" t="e">
        <f t="shared" si="7"/>
        <v>#DIV/0!</v>
      </c>
      <c r="R11" s="52">
        <v>0</v>
      </c>
      <c r="S11" s="53" t="s">
        <v>34</v>
      </c>
      <c r="T11" s="54" t="s">
        <v>34</v>
      </c>
      <c r="U11" s="52">
        <v>0</v>
      </c>
      <c r="V11" s="55">
        <f t="shared" si="8"/>
        <v>0</v>
      </c>
      <c r="W11" s="55">
        <f t="shared" si="9"/>
        <v>0</v>
      </c>
      <c r="X11" s="52">
        <v>0</v>
      </c>
      <c r="Y11" s="52" t="e">
        <v>#N/A</v>
      </c>
      <c r="Z11" s="56" t="e">
        <f t="shared" ref="Z11:Z39" si="19">IF(OR(Y11="UsLargeStandardSize",Y11="UsSmallStandardSize"),-0.75,-0.48)</f>
        <v>#N/A</v>
      </c>
      <c r="AA11" s="55" t="e">
        <v>#N/A</v>
      </c>
      <c r="AB11" s="55">
        <f t="shared" si="11"/>
        <v>0</v>
      </c>
      <c r="AC11" s="55">
        <v>0</v>
      </c>
      <c r="AD11" s="55">
        <v>-5.2841838888888892</v>
      </c>
      <c r="AE11" s="55">
        <v>0</v>
      </c>
      <c r="AF11" s="55"/>
    </row>
    <row r="12" spans="1:32" s="57" customFormat="1" ht="15.75" customHeight="1">
      <c r="A12" s="17" t="s">
        <v>62</v>
      </c>
      <c r="B12"/>
      <c r="C12" s="51" t="s">
        <v>397</v>
      </c>
      <c r="D12" s="51">
        <v>0</v>
      </c>
      <c r="E12" s="51">
        <v>0</v>
      </c>
      <c r="F12" s="51">
        <v>0</v>
      </c>
      <c r="G12" s="51">
        <v>0</v>
      </c>
      <c r="H12" s="51" t="e">
        <f t="shared" si="1"/>
        <v>#DIV/0!</v>
      </c>
      <c r="I12" s="51" t="e">
        <f t="shared" si="2"/>
        <v>#DIV/0!</v>
      </c>
      <c r="J12" s="51">
        <f t="shared" si="4"/>
        <v>0</v>
      </c>
      <c r="K12" s="51" t="e">
        <f t="shared" si="3"/>
        <v>#DIV/0!</v>
      </c>
      <c r="L12" s="51">
        <v>0</v>
      </c>
      <c r="M12" s="51" t="str">
        <f t="shared" si="5"/>
        <v>-</v>
      </c>
      <c r="N12" s="51">
        <v>2</v>
      </c>
      <c r="O12" s="51">
        <f t="shared" ref="O12:P12" si="20">D12/7</f>
        <v>0</v>
      </c>
      <c r="P12" s="51">
        <f t="shared" si="20"/>
        <v>0</v>
      </c>
      <c r="Q12" s="51" t="e">
        <f t="shared" si="7"/>
        <v>#DIV/0!</v>
      </c>
      <c r="R12" s="52">
        <v>0</v>
      </c>
      <c r="S12" s="53" t="s">
        <v>34</v>
      </c>
      <c r="T12" s="54" t="s">
        <v>34</v>
      </c>
      <c r="U12" s="52">
        <v>0</v>
      </c>
      <c r="V12" s="55">
        <f t="shared" si="8"/>
        <v>0</v>
      </c>
      <c r="W12" s="55">
        <f t="shared" si="9"/>
        <v>0</v>
      </c>
      <c r="X12" s="52">
        <v>0</v>
      </c>
      <c r="Y12" s="52" t="e">
        <v>#N/A</v>
      </c>
      <c r="Z12" s="56" t="e">
        <f t="shared" si="19"/>
        <v>#N/A</v>
      </c>
      <c r="AA12" s="55" t="e">
        <v>#N/A</v>
      </c>
      <c r="AB12" s="55">
        <f t="shared" si="11"/>
        <v>0</v>
      </c>
      <c r="AC12" s="55">
        <v>0</v>
      </c>
      <c r="AD12" s="55">
        <v>-5.2841838888888892</v>
      </c>
      <c r="AE12" s="55">
        <v>0</v>
      </c>
      <c r="AF12" s="55"/>
    </row>
    <row r="13" spans="1:32" s="57" customFormat="1" ht="15.75" customHeight="1">
      <c r="A13" s="17" t="s">
        <v>63</v>
      </c>
      <c r="B13"/>
      <c r="C13" s="51" t="s">
        <v>397</v>
      </c>
      <c r="D13" s="51">
        <v>0</v>
      </c>
      <c r="E13" s="51">
        <v>0</v>
      </c>
      <c r="F13" s="51">
        <v>0</v>
      </c>
      <c r="G13" s="51">
        <v>0</v>
      </c>
      <c r="H13" s="51" t="e">
        <f t="shared" si="1"/>
        <v>#DIV/0!</v>
      </c>
      <c r="I13" s="51" t="e">
        <f t="shared" si="2"/>
        <v>#DIV/0!</v>
      </c>
      <c r="J13" s="51">
        <f t="shared" si="4"/>
        <v>0</v>
      </c>
      <c r="K13" s="51" t="e">
        <f t="shared" si="3"/>
        <v>#DIV/0!</v>
      </c>
      <c r="L13" s="51">
        <v>0</v>
      </c>
      <c r="M13" s="51" t="str">
        <f t="shared" si="5"/>
        <v>-</v>
      </c>
      <c r="N13" s="51">
        <v>2</v>
      </c>
      <c r="O13" s="51">
        <f t="shared" ref="O13:P13" si="21">D13/7</f>
        <v>0</v>
      </c>
      <c r="P13" s="51">
        <f t="shared" si="21"/>
        <v>0</v>
      </c>
      <c r="Q13" s="51" t="e">
        <f t="shared" si="7"/>
        <v>#DIV/0!</v>
      </c>
      <c r="R13" s="52">
        <v>0</v>
      </c>
      <c r="S13" s="53" t="s">
        <v>34</v>
      </c>
      <c r="T13" s="54" t="s">
        <v>34</v>
      </c>
      <c r="U13" s="52">
        <v>0</v>
      </c>
      <c r="V13" s="55">
        <f t="shared" si="8"/>
        <v>0</v>
      </c>
      <c r="W13" s="55">
        <f t="shared" si="9"/>
        <v>0</v>
      </c>
      <c r="X13" s="52">
        <v>0</v>
      </c>
      <c r="Y13" s="52" t="e">
        <v>#N/A</v>
      </c>
      <c r="Z13" s="56" t="e">
        <f t="shared" si="19"/>
        <v>#N/A</v>
      </c>
      <c r="AA13" s="55" t="e">
        <v>#N/A</v>
      </c>
      <c r="AB13" s="55">
        <f t="shared" si="11"/>
        <v>0</v>
      </c>
      <c r="AC13" s="55">
        <v>0</v>
      </c>
      <c r="AD13" s="55">
        <v>-5.2841838888888892</v>
      </c>
      <c r="AE13" s="55">
        <v>0</v>
      </c>
      <c r="AF13" s="55"/>
    </row>
    <row r="14" spans="1:32" s="57" customFormat="1" ht="15.75" customHeight="1">
      <c r="A14" s="17" t="s">
        <v>64</v>
      </c>
      <c r="B14"/>
      <c r="C14" s="51" t="s">
        <v>397</v>
      </c>
      <c r="D14" s="51">
        <v>0</v>
      </c>
      <c r="E14" s="51">
        <v>0</v>
      </c>
      <c r="F14" s="51">
        <v>0</v>
      </c>
      <c r="G14" s="51">
        <v>0</v>
      </c>
      <c r="H14" s="51" t="e">
        <f t="shared" si="1"/>
        <v>#DIV/0!</v>
      </c>
      <c r="I14" s="51" t="e">
        <f t="shared" si="2"/>
        <v>#DIV/0!</v>
      </c>
      <c r="J14" s="51">
        <f t="shared" si="4"/>
        <v>0</v>
      </c>
      <c r="K14" s="51" t="e">
        <f t="shared" si="3"/>
        <v>#DIV/0!</v>
      </c>
      <c r="L14" s="51">
        <v>0</v>
      </c>
      <c r="M14" s="51" t="str">
        <f t="shared" si="5"/>
        <v>-</v>
      </c>
      <c r="N14" s="51">
        <v>2</v>
      </c>
      <c r="O14" s="51">
        <f t="shared" ref="O14:P14" si="22">D14/7</f>
        <v>0</v>
      </c>
      <c r="P14" s="51">
        <f t="shared" si="22"/>
        <v>0</v>
      </c>
      <c r="Q14" s="51" t="e">
        <f t="shared" si="7"/>
        <v>#DIV/0!</v>
      </c>
      <c r="R14" s="52">
        <v>0</v>
      </c>
      <c r="S14" s="53" t="s">
        <v>34</v>
      </c>
      <c r="T14" s="54" t="s">
        <v>34</v>
      </c>
      <c r="U14" s="52">
        <v>0</v>
      </c>
      <c r="V14" s="55">
        <f t="shared" si="8"/>
        <v>0</v>
      </c>
      <c r="W14" s="55">
        <f t="shared" si="9"/>
        <v>0</v>
      </c>
      <c r="X14" s="52">
        <v>0</v>
      </c>
      <c r="Y14" s="52" t="e">
        <v>#N/A</v>
      </c>
      <c r="Z14" s="56" t="e">
        <f t="shared" si="19"/>
        <v>#N/A</v>
      </c>
      <c r="AA14" s="55" t="e">
        <v>#N/A</v>
      </c>
      <c r="AB14" s="55">
        <f t="shared" si="11"/>
        <v>0</v>
      </c>
      <c r="AC14" s="55">
        <v>0</v>
      </c>
      <c r="AD14" s="55">
        <v>-5.2841838888888892</v>
      </c>
      <c r="AE14" s="55">
        <v>0</v>
      </c>
      <c r="AF14" s="55"/>
    </row>
    <row r="15" spans="1:32" s="57" customFormat="1" ht="15.75" customHeight="1">
      <c r="A15" s="17" t="s">
        <v>65</v>
      </c>
      <c r="B15"/>
      <c r="C15" s="51">
        <v>14.99</v>
      </c>
      <c r="D15" s="51">
        <v>1</v>
      </c>
      <c r="E15" s="51">
        <v>0</v>
      </c>
      <c r="F15" s="51">
        <v>14.99</v>
      </c>
      <c r="G15" s="51">
        <v>0</v>
      </c>
      <c r="H15" s="51">
        <f t="shared" si="1"/>
        <v>0</v>
      </c>
      <c r="I15" s="51">
        <f t="shared" si="2"/>
        <v>0.13202019865095249</v>
      </c>
      <c r="J15" s="51">
        <f t="shared" si="4"/>
        <v>1.9789827777777778</v>
      </c>
      <c r="K15" s="51">
        <f t="shared" si="3"/>
        <v>1.9789827777777778</v>
      </c>
      <c r="L15" s="51">
        <v>46</v>
      </c>
      <c r="M15" s="51">
        <f t="shared" si="5"/>
        <v>2.1739130434782608E-2</v>
      </c>
      <c r="N15" s="51">
        <v>2</v>
      </c>
      <c r="O15" s="51">
        <f t="shared" ref="O15:P15" si="23">D15/7</f>
        <v>0.14285714285714285</v>
      </c>
      <c r="P15" s="51">
        <f t="shared" si="23"/>
        <v>0</v>
      </c>
      <c r="Q15" s="51">
        <f t="shared" si="7"/>
        <v>14</v>
      </c>
      <c r="R15" s="52">
        <v>0</v>
      </c>
      <c r="S15" s="53" t="s">
        <v>34</v>
      </c>
      <c r="T15" s="54" t="s">
        <v>34</v>
      </c>
      <c r="U15" s="52">
        <v>0</v>
      </c>
      <c r="V15" s="55">
        <f t="shared" si="8"/>
        <v>0</v>
      </c>
      <c r="W15" s="55">
        <f t="shared" si="9"/>
        <v>0</v>
      </c>
      <c r="X15" s="52">
        <v>0</v>
      </c>
      <c r="Y15" s="52" t="s">
        <v>35</v>
      </c>
      <c r="Z15" s="56">
        <f t="shared" si="19"/>
        <v>-0.75</v>
      </c>
      <c r="AA15" s="55">
        <v>0.15555555555555556</v>
      </c>
      <c r="AB15" s="55">
        <f t="shared" si="11"/>
        <v>-5.8333333333333334E-2</v>
      </c>
      <c r="AC15" s="55">
        <v>-5.42</v>
      </c>
      <c r="AD15" s="55">
        <v>-5.2841838888888892</v>
      </c>
      <c r="AE15" s="55">
        <v>0</v>
      </c>
      <c r="AF15" s="55"/>
    </row>
    <row r="16" spans="1:32" s="57" customFormat="1" ht="15.75" customHeight="1">
      <c r="A16" s="17" t="s">
        <v>66</v>
      </c>
      <c r="B16"/>
      <c r="C16" s="51">
        <v>14.99</v>
      </c>
      <c r="D16" s="51">
        <v>0</v>
      </c>
      <c r="E16" s="51">
        <v>0</v>
      </c>
      <c r="F16" s="51">
        <v>0</v>
      </c>
      <c r="G16" s="51">
        <v>0</v>
      </c>
      <c r="H16" s="51" t="e">
        <f t="shared" si="1"/>
        <v>#DIV/0!</v>
      </c>
      <c r="I16" s="51" t="e">
        <f t="shared" si="2"/>
        <v>#DIV/0!</v>
      </c>
      <c r="J16" s="51">
        <f t="shared" si="4"/>
        <v>-5.8333333333333334E-2</v>
      </c>
      <c r="K16" s="51" t="e">
        <f t="shared" si="3"/>
        <v>#DIV/0!</v>
      </c>
      <c r="L16" s="51">
        <v>0</v>
      </c>
      <c r="M16" s="51" t="str">
        <f t="shared" si="5"/>
        <v>-</v>
      </c>
      <c r="N16" s="51">
        <v>2</v>
      </c>
      <c r="O16" s="51">
        <f t="shared" ref="O16:P16" si="24">D16/7</f>
        <v>0</v>
      </c>
      <c r="P16" s="51">
        <f t="shared" si="24"/>
        <v>0</v>
      </c>
      <c r="Q16" s="51" t="e">
        <f t="shared" si="7"/>
        <v>#DIV/0!</v>
      </c>
      <c r="R16" s="52">
        <v>0</v>
      </c>
      <c r="S16" s="53" t="s">
        <v>34</v>
      </c>
      <c r="T16" s="54" t="s">
        <v>34</v>
      </c>
      <c r="U16" s="52">
        <v>0</v>
      </c>
      <c r="V16" s="55">
        <f t="shared" si="8"/>
        <v>0</v>
      </c>
      <c r="W16" s="55">
        <f t="shared" si="9"/>
        <v>0</v>
      </c>
      <c r="X16" s="52">
        <v>0</v>
      </c>
      <c r="Y16" s="52" t="s">
        <v>35</v>
      </c>
      <c r="Z16" s="56">
        <f t="shared" si="19"/>
        <v>-0.75</v>
      </c>
      <c r="AA16" s="55">
        <v>0.15555555555555556</v>
      </c>
      <c r="AB16" s="55">
        <f t="shared" si="11"/>
        <v>-5.8333333333333334E-2</v>
      </c>
      <c r="AC16" s="55">
        <v>-5.42</v>
      </c>
      <c r="AD16" s="55">
        <v>-5.2841838888888892</v>
      </c>
      <c r="AE16" s="55">
        <v>0</v>
      </c>
      <c r="AF16" s="55"/>
    </row>
    <row r="17" spans="1:32" s="57" customFormat="1" ht="15.75" customHeight="1">
      <c r="A17" s="17" t="s">
        <v>67</v>
      </c>
      <c r="B17"/>
      <c r="C17" s="51">
        <v>14.99</v>
      </c>
      <c r="D17" s="51">
        <v>0</v>
      </c>
      <c r="E17" s="51">
        <v>0</v>
      </c>
      <c r="F17" s="51">
        <v>0</v>
      </c>
      <c r="G17" s="51">
        <v>0</v>
      </c>
      <c r="H17" s="51" t="e">
        <f t="shared" si="1"/>
        <v>#DIV/0!</v>
      </c>
      <c r="I17" s="51" t="e">
        <f t="shared" si="2"/>
        <v>#DIV/0!</v>
      </c>
      <c r="J17" s="51">
        <f t="shared" si="4"/>
        <v>-5.8333333333333334E-2</v>
      </c>
      <c r="K17" s="51" t="e">
        <f t="shared" si="3"/>
        <v>#DIV/0!</v>
      </c>
      <c r="L17" s="51">
        <v>0</v>
      </c>
      <c r="M17" s="51" t="str">
        <f t="shared" si="5"/>
        <v>-</v>
      </c>
      <c r="N17" s="51">
        <v>2</v>
      </c>
      <c r="O17" s="51">
        <f t="shared" ref="O17:P17" si="25">D17/7</f>
        <v>0</v>
      </c>
      <c r="P17" s="51">
        <f t="shared" si="25"/>
        <v>0</v>
      </c>
      <c r="Q17" s="51" t="e">
        <f t="shared" si="7"/>
        <v>#DIV/0!</v>
      </c>
      <c r="R17" s="52">
        <v>0</v>
      </c>
      <c r="S17" s="53" t="s">
        <v>34</v>
      </c>
      <c r="T17" s="54" t="s">
        <v>34</v>
      </c>
      <c r="U17" s="52">
        <v>0</v>
      </c>
      <c r="V17" s="55">
        <f t="shared" si="8"/>
        <v>0</v>
      </c>
      <c r="W17" s="55">
        <f t="shared" si="9"/>
        <v>0</v>
      </c>
      <c r="X17" s="52">
        <v>0</v>
      </c>
      <c r="Y17" s="52" t="s">
        <v>35</v>
      </c>
      <c r="Z17" s="56">
        <f t="shared" si="19"/>
        <v>-0.75</v>
      </c>
      <c r="AA17" s="55">
        <v>0.15555555555555556</v>
      </c>
      <c r="AB17" s="55">
        <f t="shared" si="11"/>
        <v>-5.8333333333333334E-2</v>
      </c>
      <c r="AC17" s="55">
        <v>-5.42</v>
      </c>
      <c r="AD17" s="55">
        <v>-5.2841838888888892</v>
      </c>
      <c r="AE17" s="55">
        <v>0</v>
      </c>
      <c r="AF17" s="55"/>
    </row>
    <row r="18" spans="1:32" s="57" customFormat="1" ht="15.75" customHeight="1">
      <c r="A18" s="2" t="s">
        <v>69</v>
      </c>
      <c r="B18" s="2"/>
      <c r="C18" s="51">
        <v>14.99</v>
      </c>
      <c r="D18" s="51">
        <v>0</v>
      </c>
      <c r="E18" s="51">
        <v>0</v>
      </c>
      <c r="F18" s="51">
        <v>0</v>
      </c>
      <c r="G18" s="51">
        <v>0</v>
      </c>
      <c r="H18" s="51" t="e">
        <f t="shared" si="1"/>
        <v>#DIV/0!</v>
      </c>
      <c r="I18" s="51" t="e">
        <f t="shared" si="2"/>
        <v>#DIV/0!</v>
      </c>
      <c r="J18" s="51">
        <f t="shared" si="4"/>
        <v>0</v>
      </c>
      <c r="K18" s="51" t="e">
        <f t="shared" si="3"/>
        <v>#DIV/0!</v>
      </c>
      <c r="L18" s="51">
        <v>0</v>
      </c>
      <c r="M18" s="51" t="str">
        <f t="shared" si="5"/>
        <v>-</v>
      </c>
      <c r="N18" s="51">
        <v>2</v>
      </c>
      <c r="O18" s="51">
        <f t="shared" ref="O18:P18" si="26">D18/7</f>
        <v>0</v>
      </c>
      <c r="P18" s="51">
        <f t="shared" si="26"/>
        <v>0</v>
      </c>
      <c r="Q18" s="51" t="e">
        <f t="shared" si="7"/>
        <v>#DIV/0!</v>
      </c>
      <c r="R18" s="55">
        <v>0</v>
      </c>
      <c r="S18" s="53" t="s">
        <v>34</v>
      </c>
      <c r="T18" s="54" t="s">
        <v>34</v>
      </c>
      <c r="U18" s="55">
        <v>0</v>
      </c>
      <c r="V18" s="55">
        <f t="shared" si="8"/>
        <v>0</v>
      </c>
      <c r="W18" s="55">
        <f t="shared" si="9"/>
        <v>0</v>
      </c>
      <c r="X18" s="55">
        <v>0</v>
      </c>
      <c r="Y18" s="52" t="s">
        <v>35</v>
      </c>
      <c r="Z18" s="56">
        <f t="shared" si="19"/>
        <v>-0.75</v>
      </c>
      <c r="AA18" s="55">
        <v>0.15555555555555556</v>
      </c>
      <c r="AB18" s="58">
        <f t="shared" ref="AB18:AB39" si="27">IFERROR(Z18*AA18*D18*3,0)</f>
        <v>0</v>
      </c>
      <c r="AC18" s="55">
        <v>-5.42</v>
      </c>
      <c r="AD18" s="55">
        <v>-5.2841838888888892</v>
      </c>
      <c r="AE18" s="55">
        <v>0</v>
      </c>
      <c r="AF18" s="55"/>
    </row>
    <row r="19" spans="1:32" s="57" customFormat="1" ht="15.75" customHeight="1">
      <c r="A19" s="17" t="s">
        <v>71</v>
      </c>
      <c r="B19"/>
      <c r="C19" s="51">
        <v>14.99</v>
      </c>
      <c r="D19" s="51">
        <v>0</v>
      </c>
      <c r="E19" s="51">
        <v>0</v>
      </c>
      <c r="F19" s="51">
        <v>0</v>
      </c>
      <c r="G19" s="51">
        <v>0</v>
      </c>
      <c r="H19" s="51" t="e">
        <f t="shared" si="1"/>
        <v>#DIV/0!</v>
      </c>
      <c r="I19" s="51" t="e">
        <f t="shared" si="2"/>
        <v>#DIV/0!</v>
      </c>
      <c r="J19" s="51">
        <f t="shared" si="4"/>
        <v>0</v>
      </c>
      <c r="K19" s="51" t="e">
        <f t="shared" si="3"/>
        <v>#DIV/0!</v>
      </c>
      <c r="L19" s="51">
        <v>0</v>
      </c>
      <c r="M19" s="51" t="str">
        <f t="shared" si="5"/>
        <v>-</v>
      </c>
      <c r="N19" s="51">
        <v>2</v>
      </c>
      <c r="O19" s="51">
        <f t="shared" ref="O19:P19" si="28">D19/7</f>
        <v>0</v>
      </c>
      <c r="P19" s="51">
        <f t="shared" si="28"/>
        <v>0</v>
      </c>
      <c r="Q19" s="51" t="e">
        <f t="shared" si="7"/>
        <v>#DIV/0!</v>
      </c>
      <c r="R19" s="52">
        <v>0</v>
      </c>
      <c r="S19" s="53" t="s">
        <v>34</v>
      </c>
      <c r="T19" s="54" t="s">
        <v>34</v>
      </c>
      <c r="U19" s="55">
        <v>0</v>
      </c>
      <c r="V19" s="55">
        <f t="shared" si="8"/>
        <v>0</v>
      </c>
      <c r="W19" s="55">
        <f t="shared" si="9"/>
        <v>0</v>
      </c>
      <c r="X19" s="52">
        <v>0</v>
      </c>
      <c r="Y19" s="52" t="s">
        <v>35</v>
      </c>
      <c r="Z19" s="56">
        <f t="shared" si="19"/>
        <v>-0.75</v>
      </c>
      <c r="AA19" s="55">
        <v>0.15555555555555556</v>
      </c>
      <c r="AB19" s="55">
        <f t="shared" si="27"/>
        <v>0</v>
      </c>
      <c r="AC19" s="55">
        <v>-5.42</v>
      </c>
      <c r="AD19" s="55">
        <v>-5.2841838888888892</v>
      </c>
      <c r="AE19" s="55">
        <v>0</v>
      </c>
      <c r="AF19" s="55"/>
    </row>
    <row r="20" spans="1:32" s="57" customFormat="1" ht="15.75" customHeight="1">
      <c r="A20" s="17" t="s">
        <v>73</v>
      </c>
      <c r="B20"/>
      <c r="C20" s="51">
        <v>14.99</v>
      </c>
      <c r="D20" s="51">
        <v>0</v>
      </c>
      <c r="E20" s="51">
        <v>0</v>
      </c>
      <c r="F20" s="51">
        <v>0</v>
      </c>
      <c r="G20" s="51">
        <v>0</v>
      </c>
      <c r="H20" s="51" t="e">
        <f t="shared" si="1"/>
        <v>#DIV/0!</v>
      </c>
      <c r="I20" s="51" t="e">
        <f t="shared" si="2"/>
        <v>#DIV/0!</v>
      </c>
      <c r="J20" s="51">
        <f t="shared" si="4"/>
        <v>0</v>
      </c>
      <c r="K20" s="51" t="e">
        <f t="shared" si="3"/>
        <v>#DIV/0!</v>
      </c>
      <c r="L20" s="51">
        <v>0</v>
      </c>
      <c r="M20" s="51" t="str">
        <f t="shared" si="5"/>
        <v>-</v>
      </c>
      <c r="N20" s="51">
        <v>2</v>
      </c>
      <c r="O20" s="51">
        <f t="shared" ref="O20:P20" si="29">D20/7</f>
        <v>0</v>
      </c>
      <c r="P20" s="51">
        <f t="shared" si="29"/>
        <v>0</v>
      </c>
      <c r="Q20" s="51" t="e">
        <f t="shared" si="7"/>
        <v>#DIV/0!</v>
      </c>
      <c r="R20" s="52">
        <v>0</v>
      </c>
      <c r="S20" s="53" t="s">
        <v>34</v>
      </c>
      <c r="T20" s="54" t="s">
        <v>34</v>
      </c>
      <c r="U20" s="52">
        <v>0</v>
      </c>
      <c r="V20" s="55">
        <f t="shared" si="8"/>
        <v>0</v>
      </c>
      <c r="W20" s="55">
        <f t="shared" si="9"/>
        <v>0</v>
      </c>
      <c r="X20" s="52">
        <v>0</v>
      </c>
      <c r="Y20" s="52" t="s">
        <v>35</v>
      </c>
      <c r="Z20" s="56">
        <f t="shared" si="19"/>
        <v>-0.75</v>
      </c>
      <c r="AA20" s="55">
        <v>0.15555555555555556</v>
      </c>
      <c r="AB20" s="55">
        <f t="shared" si="27"/>
        <v>0</v>
      </c>
      <c r="AC20" s="55">
        <v>-5.42</v>
      </c>
      <c r="AD20" s="55">
        <v>-5.2841838888888892</v>
      </c>
      <c r="AE20" s="55">
        <v>0</v>
      </c>
      <c r="AF20" s="55"/>
    </row>
    <row r="21" spans="1:32" s="57" customFormat="1" ht="15.75" customHeight="1">
      <c r="A21" s="17" t="s">
        <v>75</v>
      </c>
      <c r="B21"/>
      <c r="C21" s="51">
        <v>14.99</v>
      </c>
      <c r="D21" s="51">
        <v>0</v>
      </c>
      <c r="E21" s="51">
        <v>0</v>
      </c>
      <c r="F21" s="51">
        <v>0</v>
      </c>
      <c r="G21" s="51">
        <v>0</v>
      </c>
      <c r="H21" s="51" t="e">
        <f t="shared" si="1"/>
        <v>#DIV/0!</v>
      </c>
      <c r="I21" s="51" t="e">
        <f t="shared" si="2"/>
        <v>#DIV/0!</v>
      </c>
      <c r="J21" s="51">
        <f t="shared" si="4"/>
        <v>0</v>
      </c>
      <c r="K21" s="51" t="e">
        <f t="shared" si="3"/>
        <v>#DIV/0!</v>
      </c>
      <c r="L21" s="51">
        <v>127</v>
      </c>
      <c r="M21" s="51">
        <f t="shared" si="5"/>
        <v>0</v>
      </c>
      <c r="N21" s="51">
        <v>2</v>
      </c>
      <c r="O21" s="51">
        <f t="shared" ref="O21:P21" si="30">D21/7</f>
        <v>0</v>
      </c>
      <c r="P21" s="51">
        <f t="shared" si="30"/>
        <v>0</v>
      </c>
      <c r="Q21" s="51" t="e">
        <f t="shared" si="7"/>
        <v>#DIV/0!</v>
      </c>
      <c r="R21" s="52">
        <v>0</v>
      </c>
      <c r="S21" s="53" t="s">
        <v>34</v>
      </c>
      <c r="T21" s="54" t="s">
        <v>34</v>
      </c>
      <c r="U21" s="52">
        <v>0</v>
      </c>
      <c r="V21" s="55">
        <f t="shared" si="8"/>
        <v>0</v>
      </c>
      <c r="W21" s="55">
        <f t="shared" si="9"/>
        <v>0</v>
      </c>
      <c r="X21" s="52">
        <v>0</v>
      </c>
      <c r="Y21" s="52" t="s">
        <v>35</v>
      </c>
      <c r="Z21" s="56">
        <f t="shared" si="19"/>
        <v>-0.75</v>
      </c>
      <c r="AA21" s="55">
        <v>0.15555555555555556</v>
      </c>
      <c r="AB21" s="55">
        <f t="shared" si="27"/>
        <v>0</v>
      </c>
      <c r="AC21" s="55">
        <v>-5.42</v>
      </c>
      <c r="AD21" s="55">
        <v>-5.2841838888888892</v>
      </c>
      <c r="AE21" s="55">
        <v>0</v>
      </c>
      <c r="AF21" s="55"/>
    </row>
    <row r="22" spans="1:32" s="57" customFormat="1" ht="15.75" customHeight="1">
      <c r="A22" s="17" t="s">
        <v>77</v>
      </c>
      <c r="B22"/>
      <c r="C22" s="51">
        <v>14.99</v>
      </c>
      <c r="D22" s="51">
        <v>1</v>
      </c>
      <c r="E22" s="51">
        <v>0</v>
      </c>
      <c r="F22" s="51">
        <v>14.99</v>
      </c>
      <c r="G22" s="51">
        <v>0</v>
      </c>
      <c r="H22" s="51">
        <f t="shared" si="1"/>
        <v>0</v>
      </c>
      <c r="I22" s="51">
        <f t="shared" si="2"/>
        <v>0.1125627825958046</v>
      </c>
      <c r="J22" s="51">
        <f t="shared" si="4"/>
        <v>1.687316111111111</v>
      </c>
      <c r="K22" s="51">
        <f t="shared" si="3"/>
        <v>1.687316111111111</v>
      </c>
      <c r="L22" s="51">
        <v>0</v>
      </c>
      <c r="M22" s="51" t="str">
        <f t="shared" si="5"/>
        <v>-</v>
      </c>
      <c r="N22" s="51">
        <v>2</v>
      </c>
      <c r="O22" s="51">
        <f t="shared" ref="O22:P22" si="31">D22/7</f>
        <v>0.14285714285714285</v>
      </c>
      <c r="P22" s="51">
        <f t="shared" si="31"/>
        <v>0</v>
      </c>
      <c r="Q22" s="51">
        <f t="shared" si="7"/>
        <v>14</v>
      </c>
      <c r="R22" s="52">
        <v>0</v>
      </c>
      <c r="S22" s="53" t="s">
        <v>34</v>
      </c>
      <c r="T22" s="54" t="s">
        <v>34</v>
      </c>
      <c r="U22" s="52">
        <v>0</v>
      </c>
      <c r="V22" s="55">
        <f t="shared" si="8"/>
        <v>0</v>
      </c>
      <c r="W22" s="55">
        <f t="shared" si="9"/>
        <v>0</v>
      </c>
      <c r="X22" s="52">
        <v>0</v>
      </c>
      <c r="Y22" s="52" t="s">
        <v>35</v>
      </c>
      <c r="Z22" s="56">
        <f t="shared" si="19"/>
        <v>-0.75</v>
      </c>
      <c r="AA22" s="55">
        <v>0.15555555555555556</v>
      </c>
      <c r="AB22" s="55">
        <f t="shared" si="27"/>
        <v>-0.35</v>
      </c>
      <c r="AC22" s="55">
        <v>-5.42</v>
      </c>
      <c r="AD22" s="55">
        <v>-5.2841838888888892</v>
      </c>
      <c r="AE22" s="55">
        <v>0</v>
      </c>
      <c r="AF22" s="55"/>
    </row>
    <row r="23" spans="1:32" s="57" customFormat="1" ht="15.75" customHeight="1">
      <c r="A23" s="17" t="s">
        <v>79</v>
      </c>
      <c r="B23"/>
      <c r="C23" s="51" t="s">
        <v>397</v>
      </c>
      <c r="D23" s="51">
        <v>0</v>
      </c>
      <c r="E23" s="51">
        <v>0</v>
      </c>
      <c r="F23" s="51">
        <v>0</v>
      </c>
      <c r="G23" s="51">
        <v>0</v>
      </c>
      <c r="H23" s="51" t="e">
        <f t="shared" si="1"/>
        <v>#DIV/0!</v>
      </c>
      <c r="I23" s="51" t="e">
        <f t="shared" si="2"/>
        <v>#DIV/0!</v>
      </c>
      <c r="J23" s="51">
        <f t="shared" si="4"/>
        <v>0</v>
      </c>
      <c r="K23" s="51" t="e">
        <f t="shared" si="3"/>
        <v>#DIV/0!</v>
      </c>
      <c r="L23" s="51">
        <v>0</v>
      </c>
      <c r="M23" s="51" t="str">
        <f t="shared" si="5"/>
        <v>-</v>
      </c>
      <c r="N23" s="51">
        <v>2</v>
      </c>
      <c r="O23" s="51">
        <f t="shared" ref="O23:P23" si="32">D23/7</f>
        <v>0</v>
      </c>
      <c r="P23" s="51">
        <f t="shared" si="32"/>
        <v>0</v>
      </c>
      <c r="Q23" s="51" t="e">
        <f t="shared" si="7"/>
        <v>#DIV/0!</v>
      </c>
      <c r="R23" s="52">
        <v>0</v>
      </c>
      <c r="S23" s="53" t="s">
        <v>34</v>
      </c>
      <c r="T23" s="54" t="s">
        <v>34</v>
      </c>
      <c r="U23" s="52">
        <v>0</v>
      </c>
      <c r="V23" s="55">
        <f t="shared" si="8"/>
        <v>0</v>
      </c>
      <c r="W23" s="55">
        <f t="shared" si="9"/>
        <v>0</v>
      </c>
      <c r="X23" s="52">
        <v>0</v>
      </c>
      <c r="Y23" s="52" t="e">
        <v>#N/A</v>
      </c>
      <c r="Z23" s="56" t="e">
        <f t="shared" si="19"/>
        <v>#N/A</v>
      </c>
      <c r="AA23" s="55" t="e">
        <v>#N/A</v>
      </c>
      <c r="AB23" s="55">
        <f t="shared" si="27"/>
        <v>0</v>
      </c>
      <c r="AC23" s="55">
        <v>0</v>
      </c>
      <c r="AD23" s="55">
        <v>-5.2841838888888892</v>
      </c>
      <c r="AE23" s="55">
        <v>0</v>
      </c>
      <c r="AF23" s="55"/>
    </row>
    <row r="24" spans="1:32" s="57" customFormat="1" ht="15.75" customHeight="1">
      <c r="A24" s="17" t="s">
        <v>80</v>
      </c>
      <c r="B24"/>
      <c r="C24" s="51"/>
      <c r="D24" s="51">
        <v>0</v>
      </c>
      <c r="E24" s="51">
        <v>0</v>
      </c>
      <c r="F24" s="51">
        <v>0</v>
      </c>
      <c r="G24" s="51">
        <v>0</v>
      </c>
      <c r="H24" s="51" t="e">
        <f t="shared" si="1"/>
        <v>#DIV/0!</v>
      </c>
      <c r="I24" s="51" t="e">
        <f t="shared" si="2"/>
        <v>#DIV/0!</v>
      </c>
      <c r="J24" s="51">
        <f t="shared" si="4"/>
        <v>0</v>
      </c>
      <c r="K24" s="51" t="e">
        <f t="shared" si="3"/>
        <v>#DIV/0!</v>
      </c>
      <c r="L24" s="51">
        <v>0</v>
      </c>
      <c r="M24" s="51" t="str">
        <f t="shared" si="5"/>
        <v>-</v>
      </c>
      <c r="N24" s="51">
        <v>2</v>
      </c>
      <c r="O24" s="51">
        <f t="shared" ref="O24:P24" si="33">D24/7</f>
        <v>0</v>
      </c>
      <c r="P24" s="51">
        <f t="shared" si="33"/>
        <v>0</v>
      </c>
      <c r="Q24" s="51" t="e">
        <f t="shared" si="7"/>
        <v>#DIV/0!</v>
      </c>
      <c r="R24" s="52">
        <v>0</v>
      </c>
      <c r="S24" s="53" t="s">
        <v>34</v>
      </c>
      <c r="T24" s="54" t="s">
        <v>34</v>
      </c>
      <c r="U24" s="52">
        <v>0</v>
      </c>
      <c r="V24" s="55">
        <f t="shared" si="8"/>
        <v>0</v>
      </c>
      <c r="W24" s="55">
        <f t="shared" si="9"/>
        <v>0</v>
      </c>
      <c r="X24" s="52">
        <v>0</v>
      </c>
      <c r="Y24" s="52" t="e">
        <v>#N/A</v>
      </c>
      <c r="Z24" s="56" t="e">
        <f t="shared" si="19"/>
        <v>#N/A</v>
      </c>
      <c r="AA24" s="55" t="e">
        <v>#N/A</v>
      </c>
      <c r="AB24" s="55">
        <f t="shared" si="27"/>
        <v>0</v>
      </c>
      <c r="AC24" s="55">
        <v>0</v>
      </c>
      <c r="AD24" s="55">
        <v>-5.2841838888888892</v>
      </c>
      <c r="AE24" s="55">
        <v>0</v>
      </c>
      <c r="AF24" s="55"/>
    </row>
    <row r="25" spans="1:32" s="57" customFormat="1" ht="15.75" customHeight="1">
      <c r="A25" s="17" t="s">
        <v>81</v>
      </c>
      <c r="B25"/>
      <c r="C25" s="51"/>
      <c r="D25" s="51">
        <v>0</v>
      </c>
      <c r="E25" s="51">
        <v>0</v>
      </c>
      <c r="F25" s="51">
        <v>0</v>
      </c>
      <c r="G25" s="51">
        <v>0</v>
      </c>
      <c r="H25" s="51" t="e">
        <f t="shared" si="1"/>
        <v>#DIV/0!</v>
      </c>
      <c r="I25" s="51" t="e">
        <f t="shared" si="2"/>
        <v>#DIV/0!</v>
      </c>
      <c r="J25" s="51">
        <f t="shared" si="4"/>
        <v>0</v>
      </c>
      <c r="K25" s="51" t="e">
        <f t="shared" si="3"/>
        <v>#DIV/0!</v>
      </c>
      <c r="L25" s="51">
        <v>0</v>
      </c>
      <c r="M25" s="51" t="str">
        <f t="shared" si="5"/>
        <v>-</v>
      </c>
      <c r="N25" s="51">
        <v>2</v>
      </c>
      <c r="O25" s="51">
        <f t="shared" ref="O25:P25" si="34">D25/7</f>
        <v>0</v>
      </c>
      <c r="P25" s="51">
        <f t="shared" si="34"/>
        <v>0</v>
      </c>
      <c r="Q25" s="51" t="e">
        <f t="shared" si="7"/>
        <v>#DIV/0!</v>
      </c>
      <c r="R25" s="52">
        <v>0</v>
      </c>
      <c r="S25" s="53" t="s">
        <v>34</v>
      </c>
      <c r="T25" s="54" t="s">
        <v>34</v>
      </c>
      <c r="U25" s="52">
        <v>0</v>
      </c>
      <c r="V25" s="55">
        <f t="shared" si="8"/>
        <v>0</v>
      </c>
      <c r="W25" s="55">
        <f t="shared" si="9"/>
        <v>0</v>
      </c>
      <c r="X25" s="52">
        <v>0</v>
      </c>
      <c r="Y25" s="52" t="e">
        <v>#N/A</v>
      </c>
      <c r="Z25" s="56" t="e">
        <f t="shared" si="19"/>
        <v>#N/A</v>
      </c>
      <c r="AA25" s="55" t="e">
        <v>#N/A</v>
      </c>
      <c r="AB25" s="55">
        <f t="shared" si="27"/>
        <v>0</v>
      </c>
      <c r="AC25" s="55">
        <v>0</v>
      </c>
      <c r="AD25" s="55">
        <v>-5.2841838888888892</v>
      </c>
      <c r="AE25" s="55">
        <v>0</v>
      </c>
      <c r="AF25" s="55"/>
    </row>
    <row r="26" spans="1:32" s="57" customFormat="1" ht="15.75" customHeight="1">
      <c r="A26" s="17" t="s">
        <v>83</v>
      </c>
      <c r="B26"/>
      <c r="C26" s="51" t="str">
        <f t="shared" ref="C26:C39" si="35">IFERROR(F26/D26," - ")</f>
        <v xml:space="preserve"> - </v>
      </c>
      <c r="D26" s="51">
        <v>0</v>
      </c>
      <c r="E26" s="51">
        <v>0</v>
      </c>
      <c r="F26" s="51">
        <v>0</v>
      </c>
      <c r="G26" s="51">
        <v>0</v>
      </c>
      <c r="H26" s="51" t="e">
        <f t="shared" si="1"/>
        <v>#DIV/0!</v>
      </c>
      <c r="I26" s="51" t="e">
        <f t="shared" si="2"/>
        <v>#DIV/0!</v>
      </c>
      <c r="J26" s="51">
        <f t="shared" si="4"/>
        <v>0</v>
      </c>
      <c r="K26" s="51" t="e">
        <f t="shared" si="3"/>
        <v>#DIV/0!</v>
      </c>
      <c r="L26" s="51">
        <v>0</v>
      </c>
      <c r="M26" s="51" t="str">
        <f t="shared" si="5"/>
        <v>-</v>
      </c>
      <c r="N26" s="51">
        <v>2</v>
      </c>
      <c r="O26" s="51">
        <f t="shared" ref="O26:P26" si="36">D26/7</f>
        <v>0</v>
      </c>
      <c r="P26" s="51">
        <f t="shared" si="36"/>
        <v>0</v>
      </c>
      <c r="Q26" s="51" t="e">
        <f t="shared" si="7"/>
        <v>#DIV/0!</v>
      </c>
      <c r="R26" s="52">
        <v>0</v>
      </c>
      <c r="S26" s="53" t="s">
        <v>34</v>
      </c>
      <c r="T26" s="54" t="s">
        <v>34</v>
      </c>
      <c r="U26" s="52">
        <v>0</v>
      </c>
      <c r="V26" s="55">
        <f t="shared" si="8"/>
        <v>0</v>
      </c>
      <c r="W26" s="55">
        <f t="shared" si="9"/>
        <v>0</v>
      </c>
      <c r="X26" s="52">
        <v>0</v>
      </c>
      <c r="Y26" s="52" t="e">
        <v>#N/A</v>
      </c>
      <c r="Z26" s="56" t="e">
        <f t="shared" si="19"/>
        <v>#N/A</v>
      </c>
      <c r="AA26" s="55" t="e">
        <v>#N/A</v>
      </c>
      <c r="AB26" s="55">
        <f t="shared" si="27"/>
        <v>0</v>
      </c>
      <c r="AC26" s="55">
        <v>0</v>
      </c>
      <c r="AD26" s="55">
        <v>-5.2841838888888892</v>
      </c>
      <c r="AE26" s="55">
        <v>0</v>
      </c>
      <c r="AF26" s="55"/>
    </row>
    <row r="27" spans="1:32" s="57" customFormat="1" ht="15.75" customHeight="1">
      <c r="A27" s="17" t="s">
        <v>84</v>
      </c>
      <c r="B27"/>
      <c r="C27" s="51" t="str">
        <f t="shared" si="35"/>
        <v xml:space="preserve"> - </v>
      </c>
      <c r="D27" s="51">
        <v>0</v>
      </c>
      <c r="E27" s="51">
        <v>0</v>
      </c>
      <c r="F27" s="51">
        <v>0</v>
      </c>
      <c r="G27" s="51">
        <v>0</v>
      </c>
      <c r="H27" s="51" t="e">
        <f t="shared" si="1"/>
        <v>#DIV/0!</v>
      </c>
      <c r="I27" s="51" t="e">
        <f t="shared" si="2"/>
        <v>#DIV/0!</v>
      </c>
      <c r="J27" s="51">
        <f t="shared" si="4"/>
        <v>0</v>
      </c>
      <c r="K27" s="51" t="e">
        <f t="shared" si="3"/>
        <v>#DIV/0!</v>
      </c>
      <c r="L27" s="51">
        <v>0</v>
      </c>
      <c r="M27" s="51" t="str">
        <f t="shared" si="5"/>
        <v>-</v>
      </c>
      <c r="N27" s="51">
        <v>2</v>
      </c>
      <c r="O27" s="51">
        <f t="shared" ref="O27:P27" si="37">D27/7</f>
        <v>0</v>
      </c>
      <c r="P27" s="51">
        <f t="shared" si="37"/>
        <v>0</v>
      </c>
      <c r="Q27" s="51" t="e">
        <f t="shared" si="7"/>
        <v>#DIV/0!</v>
      </c>
      <c r="R27" s="52">
        <v>0</v>
      </c>
      <c r="S27" s="53" t="s">
        <v>34</v>
      </c>
      <c r="T27" s="54" t="s">
        <v>34</v>
      </c>
      <c r="U27" s="52">
        <v>0</v>
      </c>
      <c r="V27" s="55">
        <f t="shared" si="8"/>
        <v>0</v>
      </c>
      <c r="W27" s="55">
        <f t="shared" si="9"/>
        <v>0</v>
      </c>
      <c r="X27" s="52">
        <v>0</v>
      </c>
      <c r="Y27" s="52" t="e">
        <v>#N/A</v>
      </c>
      <c r="Z27" s="56" t="e">
        <f t="shared" si="19"/>
        <v>#N/A</v>
      </c>
      <c r="AA27" s="55" t="e">
        <v>#N/A</v>
      </c>
      <c r="AB27" s="55">
        <f t="shared" si="27"/>
        <v>0</v>
      </c>
      <c r="AC27" s="55">
        <v>0</v>
      </c>
      <c r="AD27" s="55">
        <v>-5.2841838888888892</v>
      </c>
      <c r="AE27" s="55">
        <v>0</v>
      </c>
      <c r="AF27" s="55"/>
    </row>
    <row r="28" spans="1:32" s="57" customFormat="1" ht="15.75" customHeight="1">
      <c r="A28" s="17" t="s">
        <v>86</v>
      </c>
      <c r="B28"/>
      <c r="C28" s="51" t="str">
        <f t="shared" si="35"/>
        <v xml:space="preserve"> - </v>
      </c>
      <c r="D28" s="51">
        <v>0</v>
      </c>
      <c r="E28" s="51">
        <v>0</v>
      </c>
      <c r="F28" s="51">
        <v>0</v>
      </c>
      <c r="G28" s="51">
        <v>0</v>
      </c>
      <c r="H28" s="51" t="e">
        <f t="shared" si="1"/>
        <v>#DIV/0!</v>
      </c>
      <c r="I28" s="51" t="e">
        <f t="shared" si="2"/>
        <v>#DIV/0!</v>
      </c>
      <c r="J28" s="51">
        <f t="shared" si="4"/>
        <v>0</v>
      </c>
      <c r="K28" s="51" t="e">
        <f t="shared" si="3"/>
        <v>#DIV/0!</v>
      </c>
      <c r="L28" s="51">
        <v>0</v>
      </c>
      <c r="M28" s="51" t="str">
        <f t="shared" si="5"/>
        <v>-</v>
      </c>
      <c r="N28" s="51">
        <v>2</v>
      </c>
      <c r="O28" s="51">
        <f t="shared" ref="O28:P28" si="38">D28/7</f>
        <v>0</v>
      </c>
      <c r="P28" s="51">
        <f t="shared" si="38"/>
        <v>0</v>
      </c>
      <c r="Q28" s="51" t="e">
        <f t="shared" si="7"/>
        <v>#DIV/0!</v>
      </c>
      <c r="R28" s="52">
        <v>0</v>
      </c>
      <c r="S28" s="53" t="s">
        <v>34</v>
      </c>
      <c r="T28" s="54" t="s">
        <v>34</v>
      </c>
      <c r="U28" s="52">
        <v>0</v>
      </c>
      <c r="V28" s="55">
        <f t="shared" si="8"/>
        <v>0</v>
      </c>
      <c r="W28" s="55">
        <f t="shared" si="9"/>
        <v>0</v>
      </c>
      <c r="X28" s="52">
        <v>0</v>
      </c>
      <c r="Y28" s="52" t="e">
        <v>#N/A</v>
      </c>
      <c r="Z28" s="56" t="e">
        <f t="shared" si="19"/>
        <v>#N/A</v>
      </c>
      <c r="AA28" s="55" t="e">
        <v>#N/A</v>
      </c>
      <c r="AB28" s="55">
        <f t="shared" si="27"/>
        <v>0</v>
      </c>
      <c r="AC28" s="55">
        <v>0</v>
      </c>
      <c r="AD28" s="55">
        <v>-5.2841838888888892</v>
      </c>
      <c r="AE28" s="55">
        <v>0</v>
      </c>
      <c r="AF28" s="55"/>
    </row>
    <row r="29" spans="1:32" s="57" customFormat="1" ht="15.75" customHeight="1">
      <c r="A29" s="17" t="s">
        <v>87</v>
      </c>
      <c r="B29"/>
      <c r="C29" s="51" t="str">
        <f t="shared" si="35"/>
        <v xml:space="preserve"> - </v>
      </c>
      <c r="D29" s="51">
        <v>0</v>
      </c>
      <c r="E29" s="51">
        <v>0</v>
      </c>
      <c r="F29" s="51">
        <v>0</v>
      </c>
      <c r="G29" s="51">
        <v>0</v>
      </c>
      <c r="H29" s="51" t="e">
        <f t="shared" si="1"/>
        <v>#DIV/0!</v>
      </c>
      <c r="I29" s="51" t="e">
        <f t="shared" si="2"/>
        <v>#DIV/0!</v>
      </c>
      <c r="J29" s="51">
        <f t="shared" si="4"/>
        <v>0</v>
      </c>
      <c r="K29" s="51" t="e">
        <f t="shared" si="3"/>
        <v>#DIV/0!</v>
      </c>
      <c r="L29" s="51">
        <v>0</v>
      </c>
      <c r="M29" s="51" t="str">
        <f t="shared" si="5"/>
        <v>-</v>
      </c>
      <c r="N29" s="51">
        <v>2</v>
      </c>
      <c r="O29" s="51">
        <f t="shared" ref="O29:P29" si="39">D29/7</f>
        <v>0</v>
      </c>
      <c r="P29" s="51">
        <f t="shared" si="39"/>
        <v>0</v>
      </c>
      <c r="Q29" s="51" t="e">
        <f t="shared" si="7"/>
        <v>#DIV/0!</v>
      </c>
      <c r="R29" s="52">
        <v>0</v>
      </c>
      <c r="S29" s="53" t="s">
        <v>34</v>
      </c>
      <c r="T29" s="54" t="s">
        <v>34</v>
      </c>
      <c r="U29" s="52">
        <v>0</v>
      </c>
      <c r="V29" s="55">
        <f t="shared" si="8"/>
        <v>0</v>
      </c>
      <c r="W29" s="55">
        <f t="shared" si="9"/>
        <v>0</v>
      </c>
      <c r="X29" s="52">
        <v>0</v>
      </c>
      <c r="Y29" s="52" t="e">
        <v>#N/A</v>
      </c>
      <c r="Z29" s="56" t="e">
        <f t="shared" si="19"/>
        <v>#N/A</v>
      </c>
      <c r="AA29" s="55" t="e">
        <v>#N/A</v>
      </c>
      <c r="AB29" s="55">
        <f t="shared" si="27"/>
        <v>0</v>
      </c>
      <c r="AC29" s="55">
        <v>0</v>
      </c>
      <c r="AD29" s="55">
        <v>-5.2841838888888892</v>
      </c>
      <c r="AE29" s="55">
        <v>0</v>
      </c>
      <c r="AF29" s="55"/>
    </row>
    <row r="30" spans="1:32" s="57" customFormat="1" ht="15.75" customHeight="1">
      <c r="A30" s="17" t="s">
        <v>89</v>
      </c>
      <c r="B30"/>
      <c r="C30" s="51" t="str">
        <f t="shared" si="35"/>
        <v xml:space="preserve"> - </v>
      </c>
      <c r="D30" s="51">
        <v>0</v>
      </c>
      <c r="E30" s="51">
        <v>0</v>
      </c>
      <c r="F30" s="51">
        <v>0</v>
      </c>
      <c r="G30" s="51">
        <v>-0.08</v>
      </c>
      <c r="H30" s="51" t="e">
        <f t="shared" si="1"/>
        <v>#DIV/0!</v>
      </c>
      <c r="I30" s="51" t="e">
        <f t="shared" si="2"/>
        <v>#DIV/0!</v>
      </c>
      <c r="J30" s="51">
        <f t="shared" si="4"/>
        <v>-0.08</v>
      </c>
      <c r="K30" s="51" t="e">
        <f t="shared" si="3"/>
        <v>#DIV/0!</v>
      </c>
      <c r="L30" s="51">
        <v>73</v>
      </c>
      <c r="M30" s="51">
        <f t="shared" si="5"/>
        <v>0</v>
      </c>
      <c r="N30" s="51">
        <v>0</v>
      </c>
      <c r="O30" s="51">
        <f t="shared" ref="O30:P30" si="40">D30/7</f>
        <v>0</v>
      </c>
      <c r="P30" s="51">
        <f t="shared" si="40"/>
        <v>0</v>
      </c>
      <c r="Q30" s="51" t="e">
        <f t="shared" si="7"/>
        <v>#DIV/0!</v>
      </c>
      <c r="R30" s="52">
        <v>0</v>
      </c>
      <c r="S30" s="53" t="s">
        <v>34</v>
      </c>
      <c r="T30" s="54" t="s">
        <v>34</v>
      </c>
      <c r="U30" s="52">
        <v>0</v>
      </c>
      <c r="V30" s="55">
        <f t="shared" si="8"/>
        <v>0</v>
      </c>
      <c r="W30" s="55">
        <f t="shared" si="9"/>
        <v>0</v>
      </c>
      <c r="X30" s="52">
        <v>0</v>
      </c>
      <c r="Y30" s="52" t="e">
        <v>#N/A</v>
      </c>
      <c r="Z30" s="56" t="e">
        <f t="shared" si="19"/>
        <v>#N/A</v>
      </c>
      <c r="AA30" s="55" t="e">
        <v>#N/A</v>
      </c>
      <c r="AB30" s="55">
        <f t="shared" si="27"/>
        <v>0</v>
      </c>
      <c r="AC30" s="55">
        <v>0</v>
      </c>
      <c r="AD30" s="55">
        <v>-5.2841838888888892</v>
      </c>
      <c r="AE30" s="55">
        <v>0</v>
      </c>
      <c r="AF30" s="55"/>
    </row>
    <row r="31" spans="1:32" s="57" customFormat="1" ht="15.75" customHeight="1">
      <c r="A31" s="17" t="s">
        <v>90</v>
      </c>
      <c r="B31"/>
      <c r="C31" s="51" t="str">
        <f t="shared" si="35"/>
        <v xml:space="preserve"> - </v>
      </c>
      <c r="D31" s="51">
        <v>0</v>
      </c>
      <c r="E31" s="51">
        <v>0</v>
      </c>
      <c r="F31" s="51">
        <v>0</v>
      </c>
      <c r="G31" s="51">
        <v>0</v>
      </c>
      <c r="H31" s="51" t="e">
        <f t="shared" si="1"/>
        <v>#DIV/0!</v>
      </c>
      <c r="I31" s="51" t="e">
        <f t="shared" si="2"/>
        <v>#DIV/0!</v>
      </c>
      <c r="J31" s="51">
        <f t="shared" si="4"/>
        <v>0</v>
      </c>
      <c r="K31" s="51" t="e">
        <f t="shared" si="3"/>
        <v>#DIV/0!</v>
      </c>
      <c r="L31" s="51">
        <v>0</v>
      </c>
      <c r="M31" s="51" t="str">
        <f t="shared" si="5"/>
        <v>-</v>
      </c>
      <c r="N31" s="51">
        <v>0</v>
      </c>
      <c r="O31" s="51">
        <f t="shared" ref="O31:P31" si="41">D31/7</f>
        <v>0</v>
      </c>
      <c r="P31" s="51">
        <f t="shared" si="41"/>
        <v>0</v>
      </c>
      <c r="Q31" s="51" t="e">
        <f t="shared" si="7"/>
        <v>#DIV/0!</v>
      </c>
      <c r="R31" s="52">
        <v>0</v>
      </c>
      <c r="S31" s="53" t="s">
        <v>34</v>
      </c>
      <c r="T31" s="54" t="s">
        <v>34</v>
      </c>
      <c r="U31" s="52">
        <v>0</v>
      </c>
      <c r="V31" s="55">
        <f t="shared" si="8"/>
        <v>0</v>
      </c>
      <c r="W31" s="55">
        <f t="shared" si="9"/>
        <v>0</v>
      </c>
      <c r="X31" s="52">
        <v>0</v>
      </c>
      <c r="Y31" s="52" t="e">
        <v>#N/A</v>
      </c>
      <c r="Z31" s="56" t="e">
        <f t="shared" si="19"/>
        <v>#N/A</v>
      </c>
      <c r="AA31" s="55" t="e">
        <v>#N/A</v>
      </c>
      <c r="AB31" s="55">
        <f t="shared" si="27"/>
        <v>0</v>
      </c>
      <c r="AC31" s="55">
        <v>0</v>
      </c>
      <c r="AD31" s="55">
        <v>-5.2841838888888892</v>
      </c>
      <c r="AE31" s="55">
        <v>0</v>
      </c>
      <c r="AF31" s="55"/>
    </row>
    <row r="32" spans="1:32" s="57" customFormat="1" ht="15.75" customHeight="1">
      <c r="A32" s="17" t="s">
        <v>92</v>
      </c>
      <c r="B32"/>
      <c r="C32" s="51">
        <f t="shared" si="35"/>
        <v>14.99</v>
      </c>
      <c r="D32" s="51">
        <v>1</v>
      </c>
      <c r="E32" s="51">
        <v>0</v>
      </c>
      <c r="F32" s="51">
        <v>14.99</v>
      </c>
      <c r="G32" s="51">
        <v>0</v>
      </c>
      <c r="H32" s="51">
        <f t="shared" si="1"/>
        <v>0</v>
      </c>
      <c r="I32" s="51">
        <f t="shared" si="2"/>
        <v>0.1125627825958046</v>
      </c>
      <c r="J32" s="51">
        <f t="shared" si="4"/>
        <v>1.687316111111111</v>
      </c>
      <c r="K32" s="51">
        <f t="shared" si="3"/>
        <v>1.687316111111111</v>
      </c>
      <c r="L32" s="51">
        <v>0</v>
      </c>
      <c r="M32" s="51" t="str">
        <f t="shared" si="5"/>
        <v>-</v>
      </c>
      <c r="N32" s="51">
        <v>0</v>
      </c>
      <c r="O32" s="51">
        <f t="shared" ref="O32:P32" si="42">D32/7</f>
        <v>0.14285714285714285</v>
      </c>
      <c r="P32" s="51">
        <f t="shared" si="42"/>
        <v>0</v>
      </c>
      <c r="Q32" s="51">
        <f t="shared" si="7"/>
        <v>0</v>
      </c>
      <c r="R32" s="52">
        <v>0</v>
      </c>
      <c r="S32" s="53" t="s">
        <v>34</v>
      </c>
      <c r="T32" s="54" t="s">
        <v>34</v>
      </c>
      <c r="U32" s="52">
        <v>0</v>
      </c>
      <c r="V32" s="55">
        <f t="shared" si="8"/>
        <v>0</v>
      </c>
      <c r="W32" s="55">
        <f t="shared" si="9"/>
        <v>0</v>
      </c>
      <c r="X32" s="52">
        <v>0</v>
      </c>
      <c r="Y32" s="52" t="s">
        <v>35</v>
      </c>
      <c r="Z32" s="56">
        <f t="shared" si="19"/>
        <v>-0.75</v>
      </c>
      <c r="AA32" s="55">
        <v>0.15555555555555556</v>
      </c>
      <c r="AB32" s="55">
        <f t="shared" si="27"/>
        <v>-0.35</v>
      </c>
      <c r="AC32" s="55">
        <v>-5.42</v>
      </c>
      <c r="AD32" s="55">
        <v>-5.2841838888888892</v>
      </c>
      <c r="AE32" s="55">
        <v>0</v>
      </c>
      <c r="AF32" s="52" t="e">
        <v>#N/A</v>
      </c>
    </row>
    <row r="33" spans="1:32" s="57" customFormat="1" ht="15.75" customHeight="1">
      <c r="A33" s="17" t="s">
        <v>94</v>
      </c>
      <c r="B33"/>
      <c r="C33" s="51" t="str">
        <f t="shared" si="35"/>
        <v xml:space="preserve"> - </v>
      </c>
      <c r="D33" s="51">
        <v>0</v>
      </c>
      <c r="E33" s="51">
        <v>0</v>
      </c>
      <c r="F33" s="51">
        <v>0</v>
      </c>
      <c r="G33" s="51">
        <v>0</v>
      </c>
      <c r="H33" s="51" t="e">
        <f t="shared" si="1"/>
        <v>#DIV/0!</v>
      </c>
      <c r="I33" s="51" t="e">
        <f t="shared" si="2"/>
        <v>#DIV/0!</v>
      </c>
      <c r="J33" s="51">
        <f t="shared" si="4"/>
        <v>0</v>
      </c>
      <c r="K33" s="51" t="e">
        <f t="shared" si="3"/>
        <v>#DIV/0!</v>
      </c>
      <c r="L33" s="51">
        <v>0</v>
      </c>
      <c r="M33" s="51" t="str">
        <f t="shared" si="5"/>
        <v>-</v>
      </c>
      <c r="N33" s="51">
        <v>0</v>
      </c>
      <c r="O33" s="51">
        <f t="shared" ref="O33:P33" si="43">D33/7</f>
        <v>0</v>
      </c>
      <c r="P33" s="51">
        <f t="shared" si="43"/>
        <v>0</v>
      </c>
      <c r="Q33" s="51" t="e">
        <f t="shared" si="7"/>
        <v>#DIV/0!</v>
      </c>
      <c r="R33" s="52">
        <v>0</v>
      </c>
      <c r="S33" s="53" t="s">
        <v>34</v>
      </c>
      <c r="T33" s="54" t="s">
        <v>34</v>
      </c>
      <c r="U33" s="52">
        <v>0</v>
      </c>
      <c r="V33" s="55">
        <f t="shared" si="8"/>
        <v>0</v>
      </c>
      <c r="W33" s="55">
        <f t="shared" si="9"/>
        <v>0</v>
      </c>
      <c r="X33" s="52">
        <v>0</v>
      </c>
      <c r="Y33" s="52" t="e">
        <v>#N/A</v>
      </c>
      <c r="Z33" s="56" t="e">
        <f t="shared" si="19"/>
        <v>#N/A</v>
      </c>
      <c r="AA33" s="55" t="e">
        <v>#N/A</v>
      </c>
      <c r="AB33" s="55">
        <f t="shared" si="27"/>
        <v>0</v>
      </c>
      <c r="AC33" s="55">
        <v>0</v>
      </c>
      <c r="AD33" s="55">
        <v>-5.2841838888888892</v>
      </c>
      <c r="AE33" s="55">
        <v>0</v>
      </c>
      <c r="AF33" s="55" t="e">
        <v>#N/A</v>
      </c>
    </row>
    <row r="34" spans="1:32" s="57" customFormat="1" ht="15.75" customHeight="1">
      <c r="A34" s="17" t="s">
        <v>95</v>
      </c>
      <c r="B34"/>
      <c r="C34" s="51" t="str">
        <f t="shared" si="35"/>
        <v xml:space="preserve"> - </v>
      </c>
      <c r="D34" s="51">
        <v>0</v>
      </c>
      <c r="E34" s="51">
        <v>0</v>
      </c>
      <c r="F34" s="51">
        <v>0</v>
      </c>
      <c r="G34" s="51">
        <v>0</v>
      </c>
      <c r="H34" s="51" t="e">
        <f t="shared" si="1"/>
        <v>#DIV/0!</v>
      </c>
      <c r="I34" s="51" t="e">
        <f t="shared" si="2"/>
        <v>#DIV/0!</v>
      </c>
      <c r="J34" s="51">
        <f t="shared" si="4"/>
        <v>0</v>
      </c>
      <c r="K34" s="51" t="e">
        <f t="shared" si="3"/>
        <v>#DIV/0!</v>
      </c>
      <c r="L34" s="51">
        <v>0</v>
      </c>
      <c r="M34" s="51" t="str">
        <f t="shared" si="5"/>
        <v>-</v>
      </c>
      <c r="N34" s="51">
        <v>0</v>
      </c>
      <c r="O34" s="51">
        <f t="shared" ref="O34:P34" si="44">D34/7</f>
        <v>0</v>
      </c>
      <c r="P34" s="51">
        <f t="shared" si="44"/>
        <v>0</v>
      </c>
      <c r="Q34" s="51" t="e">
        <f t="shared" si="7"/>
        <v>#DIV/0!</v>
      </c>
      <c r="R34" s="55">
        <v>0</v>
      </c>
      <c r="S34" s="53" t="s">
        <v>34</v>
      </c>
      <c r="T34" s="54" t="s">
        <v>34</v>
      </c>
      <c r="U34" s="52">
        <v>0</v>
      </c>
      <c r="V34" s="55">
        <f t="shared" si="8"/>
        <v>0</v>
      </c>
      <c r="W34" s="55">
        <f t="shared" si="9"/>
        <v>0</v>
      </c>
      <c r="X34" s="52">
        <v>0</v>
      </c>
      <c r="Y34" s="52" t="e">
        <v>#N/A</v>
      </c>
      <c r="Z34" s="56" t="e">
        <f t="shared" si="19"/>
        <v>#N/A</v>
      </c>
      <c r="AA34" s="55" t="e">
        <v>#N/A</v>
      </c>
      <c r="AB34" s="55">
        <f t="shared" si="27"/>
        <v>0</v>
      </c>
      <c r="AC34" s="55">
        <v>0</v>
      </c>
      <c r="AD34" s="55">
        <v>-5.2841838888888892</v>
      </c>
      <c r="AE34" s="55">
        <v>0</v>
      </c>
      <c r="AF34" s="55" t="e">
        <v>#N/A</v>
      </c>
    </row>
    <row r="35" spans="1:32" s="57" customFormat="1" ht="15.75" customHeight="1">
      <c r="A35" s="17" t="s">
        <v>96</v>
      </c>
      <c r="B35"/>
      <c r="C35" s="51" t="str">
        <f t="shared" si="35"/>
        <v xml:space="preserve"> - </v>
      </c>
      <c r="D35" s="51">
        <v>0</v>
      </c>
      <c r="E35" s="51">
        <v>0</v>
      </c>
      <c r="F35" s="51">
        <v>0</v>
      </c>
      <c r="G35" s="51">
        <v>0</v>
      </c>
      <c r="H35" s="51" t="e">
        <f t="shared" si="1"/>
        <v>#DIV/0!</v>
      </c>
      <c r="I35" s="51" t="e">
        <f t="shared" si="2"/>
        <v>#DIV/0!</v>
      </c>
      <c r="J35" s="51">
        <f t="shared" si="4"/>
        <v>0</v>
      </c>
      <c r="K35" s="51" t="e">
        <f t="shared" si="3"/>
        <v>#DIV/0!</v>
      </c>
      <c r="L35" s="51">
        <v>0</v>
      </c>
      <c r="M35" s="51" t="str">
        <f t="shared" si="5"/>
        <v>-</v>
      </c>
      <c r="N35" s="51">
        <v>0</v>
      </c>
      <c r="O35" s="51">
        <f t="shared" ref="O35:P35" si="45">D35/7</f>
        <v>0</v>
      </c>
      <c r="P35" s="51">
        <f t="shared" si="45"/>
        <v>0</v>
      </c>
      <c r="Q35" s="51" t="e">
        <f t="shared" si="7"/>
        <v>#DIV/0!</v>
      </c>
      <c r="R35" s="55">
        <v>0</v>
      </c>
      <c r="S35" s="53" t="s">
        <v>34</v>
      </c>
      <c r="T35" s="54" t="s">
        <v>34</v>
      </c>
      <c r="U35" s="52">
        <v>0</v>
      </c>
      <c r="V35" s="55">
        <f t="shared" si="8"/>
        <v>0</v>
      </c>
      <c r="W35" s="55">
        <f t="shared" si="9"/>
        <v>0</v>
      </c>
      <c r="X35" s="52">
        <v>0</v>
      </c>
      <c r="Y35" s="52" t="e">
        <v>#N/A</v>
      </c>
      <c r="Z35" s="56" t="e">
        <f t="shared" si="19"/>
        <v>#N/A</v>
      </c>
      <c r="AA35" s="55" t="e">
        <v>#N/A</v>
      </c>
      <c r="AB35" s="55">
        <f t="shared" si="27"/>
        <v>0</v>
      </c>
      <c r="AC35" s="55">
        <v>0</v>
      </c>
      <c r="AD35" s="55">
        <v>-5.2841838888888892</v>
      </c>
      <c r="AE35" s="55">
        <v>0</v>
      </c>
      <c r="AF35" s="55" t="e">
        <v>#N/A</v>
      </c>
    </row>
    <row r="36" spans="1:32" s="57" customFormat="1" ht="15.75" customHeight="1">
      <c r="A36" s="17" t="s">
        <v>98</v>
      </c>
      <c r="B36"/>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v>0</v>
      </c>
      <c r="S36" s="53"/>
      <c r="T36" s="54" t="s">
        <v>34</v>
      </c>
      <c r="V36" s="55">
        <f t="shared" si="8"/>
        <v>0</v>
      </c>
      <c r="W36" s="55">
        <f t="shared" si="9"/>
        <v>0</v>
      </c>
      <c r="Y36" s="52" t="e">
        <v>#N/A</v>
      </c>
      <c r="Z36" s="56" t="e">
        <f t="shared" si="19"/>
        <v>#N/A</v>
      </c>
      <c r="AA36" s="55" t="e">
        <v>#N/A</v>
      </c>
      <c r="AB36" s="55">
        <f t="shared" si="27"/>
        <v>0</v>
      </c>
      <c r="AC36" s="55">
        <v>0</v>
      </c>
      <c r="AD36" s="55">
        <v>-5.2841838888888892</v>
      </c>
      <c r="AE36" s="55">
        <v>0</v>
      </c>
      <c r="AF36" s="55" t="e">
        <v>#N/A</v>
      </c>
    </row>
    <row r="37" spans="1:32" s="57" customFormat="1" ht="15.75" customHeight="1">
      <c r="A37" s="17" t="s">
        <v>99</v>
      </c>
      <c r="B37"/>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v>0</v>
      </c>
      <c r="S37" s="53" t="s">
        <v>34</v>
      </c>
      <c r="T37" s="54" t="s">
        <v>34</v>
      </c>
      <c r="U37" s="52">
        <v>0</v>
      </c>
      <c r="V37" s="55">
        <f t="shared" si="8"/>
        <v>0</v>
      </c>
      <c r="W37" s="55">
        <f t="shared" si="9"/>
        <v>0</v>
      </c>
      <c r="X37" s="52">
        <v>0</v>
      </c>
      <c r="Y37" s="52" t="e">
        <v>#N/A</v>
      </c>
      <c r="Z37" s="56" t="e">
        <f t="shared" si="19"/>
        <v>#N/A</v>
      </c>
      <c r="AA37" s="55" t="e">
        <v>#N/A</v>
      </c>
      <c r="AB37" s="55">
        <f t="shared" si="27"/>
        <v>0</v>
      </c>
      <c r="AC37" s="55">
        <v>0</v>
      </c>
      <c r="AD37" s="55">
        <v>-5.2841838888888892</v>
      </c>
      <c r="AE37" s="55">
        <v>0</v>
      </c>
      <c r="AF37" s="55" t="e">
        <v>#N/A</v>
      </c>
    </row>
    <row r="38" spans="1:32" s="57" customFormat="1" ht="15.75" customHeight="1">
      <c r="A38" s="17" t="s">
        <v>100</v>
      </c>
      <c r="B38"/>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2">
        <v>0</v>
      </c>
      <c r="S38" s="53"/>
      <c r="T38" s="54" t="s">
        <v>34</v>
      </c>
      <c r="U38" s="52">
        <v>0</v>
      </c>
      <c r="V38" s="55">
        <f t="shared" si="8"/>
        <v>0</v>
      </c>
      <c r="W38" s="55">
        <f t="shared" si="9"/>
        <v>0</v>
      </c>
      <c r="X38" s="52">
        <v>0</v>
      </c>
      <c r="Y38" s="52" t="e">
        <v>#N/A</v>
      </c>
      <c r="Z38" s="56" t="e">
        <f t="shared" si="19"/>
        <v>#N/A</v>
      </c>
      <c r="AA38" s="55" t="e">
        <v>#N/A</v>
      </c>
      <c r="AB38" s="55">
        <f t="shared" si="27"/>
        <v>0</v>
      </c>
      <c r="AC38" s="55">
        <v>0</v>
      </c>
      <c r="AD38" s="55">
        <v>-5.2841838888888892</v>
      </c>
      <c r="AE38" s="55">
        <v>0</v>
      </c>
      <c r="AF38" s="55" t="e">
        <v>#N/A</v>
      </c>
    </row>
    <row r="39" spans="1:32" s="57" customFormat="1" ht="15.75" customHeight="1">
      <c r="A39" s="17" t="s">
        <v>101</v>
      </c>
      <c r="B39"/>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0</v>
      </c>
      <c r="O39" s="51">
        <f t="shared" ref="O39:P39" si="49">D39/7</f>
        <v>0</v>
      </c>
      <c r="P39" s="51">
        <f t="shared" si="49"/>
        <v>0</v>
      </c>
      <c r="Q39" s="51" t="e">
        <f t="shared" si="7"/>
        <v>#DIV/0!</v>
      </c>
      <c r="R39" s="55">
        <v>0</v>
      </c>
      <c r="S39" s="53" t="s">
        <v>34</v>
      </c>
      <c r="T39" s="54" t="s">
        <v>34</v>
      </c>
      <c r="U39" s="52">
        <v>0</v>
      </c>
      <c r="V39" s="55">
        <f t="shared" si="8"/>
        <v>0</v>
      </c>
      <c r="W39" s="55">
        <f t="shared" si="9"/>
        <v>0</v>
      </c>
      <c r="X39" s="52">
        <v>0</v>
      </c>
      <c r="Y39" s="52" t="e">
        <v>#N/A</v>
      </c>
      <c r="Z39" s="56" t="e">
        <f t="shared" si="19"/>
        <v>#N/A</v>
      </c>
      <c r="AA39" s="52" t="e">
        <v>#N/A</v>
      </c>
      <c r="AB39" s="55">
        <f t="shared" si="27"/>
        <v>0</v>
      </c>
      <c r="AC39" s="55">
        <v>0</v>
      </c>
      <c r="AD39" s="55">
        <v>-5.2841838888888804</v>
      </c>
      <c r="AE39" s="55">
        <v>0</v>
      </c>
      <c r="AF39" s="55" t="e">
        <v>#N/A</v>
      </c>
    </row>
    <row r="40" spans="1:32" s="57" customFormat="1" ht="15.75" customHeight="1">
      <c r="A40" s="17" t="s">
        <v>102</v>
      </c>
      <c r="B40"/>
      <c r="C40" s="51" t="s">
        <v>103</v>
      </c>
      <c r="D40" s="51">
        <v>0</v>
      </c>
      <c r="E40" s="51">
        <v>0</v>
      </c>
      <c r="F40" s="51">
        <v>0</v>
      </c>
      <c r="G40" s="51">
        <v>0</v>
      </c>
      <c r="H40" s="51" t="e">
        <v>#DIV/0!</v>
      </c>
      <c r="I40" s="51" t="e">
        <v>#DIV/0!</v>
      </c>
      <c r="J40" s="51">
        <v>0</v>
      </c>
      <c r="K40" s="51" t="e">
        <v>#DIV/0!</v>
      </c>
      <c r="L40" s="51">
        <v>0</v>
      </c>
      <c r="M40" s="51" t="s">
        <v>104</v>
      </c>
      <c r="N40" s="51">
        <v>0</v>
      </c>
      <c r="O40" s="51">
        <v>0</v>
      </c>
      <c r="P40" s="51">
        <v>0</v>
      </c>
      <c r="Q40" s="51" t="e">
        <v>#DIV/0!</v>
      </c>
      <c r="R40" s="55">
        <v>0</v>
      </c>
      <c r="S40" s="53" t="s">
        <v>34</v>
      </c>
      <c r="T40" s="54" t="s">
        <v>34</v>
      </c>
      <c r="U40" s="52">
        <v>0</v>
      </c>
      <c r="V40" s="55">
        <v>0</v>
      </c>
      <c r="W40" s="55">
        <v>0</v>
      </c>
      <c r="X40" s="52">
        <v>0</v>
      </c>
      <c r="Y40" s="52" t="e">
        <v>#N/A</v>
      </c>
      <c r="Z40" s="56" t="e">
        <v>#N/A</v>
      </c>
      <c r="AA40" s="55" t="e">
        <v>#N/A</v>
      </c>
      <c r="AB40" s="55">
        <v>0</v>
      </c>
      <c r="AC40" s="55">
        <v>0</v>
      </c>
      <c r="AD40" s="55">
        <v>-5.2841838888888804</v>
      </c>
      <c r="AE40" s="55">
        <v>0</v>
      </c>
      <c r="AF40" s="55" t="e">
        <v>#N/A</v>
      </c>
    </row>
    <row r="41" spans="1:32" s="57" customFormat="1" ht="15.75" customHeight="1">
      <c r="A41" s="17" t="s">
        <v>105</v>
      </c>
      <c r="B41"/>
      <c r="C41" s="51" t="str">
        <f t="shared" ref="C41:C56" si="50">IFERROR(F41/D41," - ")</f>
        <v xml:space="preserve"> - </v>
      </c>
      <c r="D41" s="51">
        <v>0</v>
      </c>
      <c r="E41" s="51">
        <v>0</v>
      </c>
      <c r="F41" s="51">
        <v>0</v>
      </c>
      <c r="G41" s="51">
        <v>0</v>
      </c>
      <c r="H41" s="51" t="e">
        <f t="shared" ref="H41:H56" si="51">G41/F41*-1</f>
        <v>#DIV/0!</v>
      </c>
      <c r="I41" s="51" t="e">
        <f t="shared" ref="I41:I56" si="52">J41/F41</f>
        <v>#DIV/0!</v>
      </c>
      <c r="J41" s="51">
        <f t="shared" ref="J41:J48" si="53">F41*0.85+G41+AD41*D41+D41*AC41+AE42+AB41</f>
        <v>0</v>
      </c>
      <c r="K41" s="51" t="e">
        <f t="shared" ref="K41:K56" si="54">J41/D41</f>
        <v>#DIV/0!</v>
      </c>
      <c r="L41" s="51">
        <v>0</v>
      </c>
      <c r="M41" s="51" t="str">
        <f t="shared" ref="M41:M56" si="55">IFERROR(D41/L41,"-")</f>
        <v>-</v>
      </c>
      <c r="N41" s="51">
        <v>0</v>
      </c>
      <c r="O41" s="51">
        <f t="shared" ref="O41:P41" si="56">D41/7</f>
        <v>0</v>
      </c>
      <c r="P41" s="51">
        <f t="shared" si="56"/>
        <v>0</v>
      </c>
      <c r="Q41" s="51" t="e">
        <f t="shared" ref="Q41:Q56" si="57">ROUNDDOWN(N41/(O41+P41),0)</f>
        <v>#DIV/0!</v>
      </c>
      <c r="R41" s="55">
        <v>0</v>
      </c>
      <c r="S41" s="53" t="s">
        <v>34</v>
      </c>
      <c r="T41" s="54" t="s">
        <v>34</v>
      </c>
      <c r="U41" s="52">
        <v>0</v>
      </c>
      <c r="V41" s="55">
        <f t="shared" ref="V41:V56" si="58">IFERROR(U41/D41,0)</f>
        <v>0</v>
      </c>
      <c r="W41" s="55">
        <f t="shared" ref="W41:W56" si="59">IFERROR(G41/(U41+X41)*-1,0)</f>
        <v>0</v>
      </c>
      <c r="X41" s="52">
        <v>0</v>
      </c>
      <c r="Y41" s="52" t="e">
        <v>#N/A</v>
      </c>
      <c r="Z41" s="56" t="e">
        <f t="shared" ref="Z41:Z43" si="60">IF(OR(Y41="UsLargeStandardSize",Y41="UsSmallStandardSize"),-0.75,-0.48)</f>
        <v>#N/A</v>
      </c>
      <c r="AA41" s="55" t="e">
        <v>#N/A</v>
      </c>
      <c r="AB41" s="55">
        <f t="shared" ref="AB41:AB56" si="61">IFERROR(Z41*AA41*D41*3,0)</f>
        <v>0</v>
      </c>
      <c r="AC41" s="55">
        <v>0</v>
      </c>
      <c r="AD41" s="55">
        <v>-5.2841838888888804</v>
      </c>
      <c r="AE41" s="55">
        <v>0</v>
      </c>
      <c r="AF41" s="55" t="e">
        <v>#N/A</v>
      </c>
    </row>
    <row r="42" spans="1:32" s="57" customFormat="1" ht="15.75" customHeight="1">
      <c r="A42" s="17" t="s">
        <v>106</v>
      </c>
      <c r="B42"/>
      <c r="C42" s="51" t="str">
        <f t="shared" si="50"/>
        <v xml:space="preserve"> - </v>
      </c>
      <c r="D42" s="51">
        <v>0</v>
      </c>
      <c r="E42" s="51">
        <v>0</v>
      </c>
      <c r="F42" s="51">
        <v>0</v>
      </c>
      <c r="G42" s="51">
        <v>0</v>
      </c>
      <c r="H42" s="51" t="e">
        <f t="shared" si="51"/>
        <v>#DIV/0!</v>
      </c>
      <c r="I42" s="51" t="e">
        <f t="shared" si="52"/>
        <v>#DIV/0!</v>
      </c>
      <c r="J42" s="51">
        <f t="shared" si="53"/>
        <v>0</v>
      </c>
      <c r="K42" s="51" t="e">
        <f t="shared" si="54"/>
        <v>#DIV/0!</v>
      </c>
      <c r="L42" s="51">
        <v>0</v>
      </c>
      <c r="M42" s="51" t="str">
        <f t="shared" si="55"/>
        <v>-</v>
      </c>
      <c r="N42" s="51">
        <v>0</v>
      </c>
      <c r="O42" s="51">
        <f t="shared" ref="O42:P42" si="62">D42/7</f>
        <v>0</v>
      </c>
      <c r="P42" s="51">
        <f t="shared" si="62"/>
        <v>0</v>
      </c>
      <c r="Q42" s="51" t="e">
        <f t="shared" si="57"/>
        <v>#DIV/0!</v>
      </c>
      <c r="R42" s="55">
        <f ca="1">IFERROR(__xludf.DUMMYFUNCTION("IFERROR(VLOOKUP($B$2,IMPORTRANGE(""https://docs.google.com/spreadsheets/d/1iVgg6Mw12RULLujzHmfOFIY8Q_KaAD8anoZzgtVAQ74/edit#gid=1503384807"",""Second Star - Summary!A1:AD2000""),9,FALSE),"""")"),5010)</f>
        <v>5010</v>
      </c>
      <c r="S42" s="53">
        <f ca="1">IFERROR(__xludf.DUMMYFUNCTION("IFERROR(VLOOKUP($B$2,IMPORTRANGE(""https://docs.google.com/spreadsheets/d/1iVgg6Mw12RULLujzHmfOFIY8Q_KaAD8anoZzgtVAQ74/edit#gid=1503384807"",""Second Star - Summary!A1:AD2000""),28,FALSE),"""")"),2520)</f>
        <v>2520</v>
      </c>
      <c r="T42" s="54" t="str">
        <f ca="1">IFERROR(__xludf.DUMMYFUNCTION("IFERROR(VLOOKUP($B$2,IMPORTRANGE(""https://docs.google.com/spreadsheets/d/1iVgg6Mw12RULLujzHmfOFIY8Q_KaAD8anoZzgtVAQ74/edit#gid=1503384807"",""Second Star - Summary!A1:AD2000""),29,FALSE),"""")"),"")</f>
        <v/>
      </c>
      <c r="U42" s="52">
        <v>0</v>
      </c>
      <c r="V42" s="55">
        <f t="shared" si="58"/>
        <v>0</v>
      </c>
      <c r="W42" s="55">
        <f t="shared" si="59"/>
        <v>0</v>
      </c>
      <c r="X42" s="52">
        <v>0</v>
      </c>
      <c r="Y42" s="52" t="e">
        <v>#N/A</v>
      </c>
      <c r="Z42" s="56" t="e">
        <f t="shared" si="60"/>
        <v>#N/A</v>
      </c>
      <c r="AA42" s="55" t="e">
        <v>#N/A</v>
      </c>
      <c r="AB42" s="55">
        <f t="shared" si="61"/>
        <v>0</v>
      </c>
      <c r="AC42" s="55">
        <v>0</v>
      </c>
      <c r="AD42" s="55">
        <v>-5.2841838888888804</v>
      </c>
      <c r="AE42" s="55">
        <v>0</v>
      </c>
      <c r="AF42" s="55" t="e">
        <v>#N/A</v>
      </c>
    </row>
    <row r="43" spans="1:32" s="57" customFormat="1" ht="15.75" customHeight="1">
      <c r="A43" s="17" t="s">
        <v>107</v>
      </c>
      <c r="B43"/>
      <c r="C43" s="51" t="str">
        <f t="shared" si="50"/>
        <v xml:space="preserve"> - </v>
      </c>
      <c r="D43" s="51">
        <v>0</v>
      </c>
      <c r="E43" s="51">
        <v>0</v>
      </c>
      <c r="F43" s="51">
        <v>0</v>
      </c>
      <c r="G43" s="51">
        <v>0</v>
      </c>
      <c r="H43" s="51" t="e">
        <f t="shared" si="51"/>
        <v>#DIV/0!</v>
      </c>
      <c r="I43" s="51" t="e">
        <f t="shared" si="52"/>
        <v>#DIV/0!</v>
      </c>
      <c r="J43" s="51">
        <f t="shared" si="53"/>
        <v>0</v>
      </c>
      <c r="K43" s="51" t="e">
        <f t="shared" si="54"/>
        <v>#DIV/0!</v>
      </c>
      <c r="L43" s="51">
        <v>0</v>
      </c>
      <c r="M43" s="51" t="str">
        <f t="shared" si="55"/>
        <v>-</v>
      </c>
      <c r="N43" s="51">
        <v>0</v>
      </c>
      <c r="O43" s="51">
        <f t="shared" ref="O43:P43" si="63">D43/7</f>
        <v>0</v>
      </c>
      <c r="P43" s="51">
        <f t="shared" si="63"/>
        <v>0</v>
      </c>
      <c r="Q43" s="51" t="e">
        <f t="shared" si="57"/>
        <v>#DIV/0!</v>
      </c>
      <c r="R43" s="55">
        <v>0</v>
      </c>
      <c r="S43" s="53" t="s">
        <v>34</v>
      </c>
      <c r="T43" s="54" t="s">
        <v>34</v>
      </c>
      <c r="U43" s="52">
        <v>0</v>
      </c>
      <c r="V43" s="55">
        <f t="shared" si="58"/>
        <v>0</v>
      </c>
      <c r="W43" s="55">
        <f t="shared" si="59"/>
        <v>0</v>
      </c>
      <c r="X43" s="52">
        <v>0</v>
      </c>
      <c r="Y43" s="52" t="e">
        <v>#N/A</v>
      </c>
      <c r="Z43" s="56" t="e">
        <f t="shared" si="60"/>
        <v>#N/A</v>
      </c>
      <c r="AA43" s="55" t="e">
        <v>#N/A</v>
      </c>
      <c r="AB43" s="55">
        <f t="shared" si="61"/>
        <v>0</v>
      </c>
      <c r="AC43" s="55">
        <v>0</v>
      </c>
      <c r="AD43" s="55">
        <v>-5.2841838888888804</v>
      </c>
      <c r="AE43" s="55">
        <v>0</v>
      </c>
      <c r="AF43" s="55" t="e">
        <v>#N/A</v>
      </c>
    </row>
    <row r="44" spans="1:32" s="57" customFormat="1" ht="15.75" customHeight="1">
      <c r="A44" s="17" t="s">
        <v>108</v>
      </c>
      <c r="B44"/>
      <c r="C44" s="51" t="str">
        <f t="shared" si="50"/>
        <v xml:space="preserve"> - </v>
      </c>
      <c r="D44" s="51">
        <v>0</v>
      </c>
      <c r="E44" s="51">
        <v>0</v>
      </c>
      <c r="F44" s="51">
        <v>0</v>
      </c>
      <c r="G44" s="51">
        <v>0</v>
      </c>
      <c r="H44" s="51" t="e">
        <f t="shared" si="51"/>
        <v>#DIV/0!</v>
      </c>
      <c r="I44" s="51" t="e">
        <f t="shared" si="52"/>
        <v>#DIV/0!</v>
      </c>
      <c r="J44" s="51">
        <f t="shared" si="53"/>
        <v>0</v>
      </c>
      <c r="K44" s="51" t="e">
        <f t="shared" si="54"/>
        <v>#DIV/0!</v>
      </c>
      <c r="L44" s="51">
        <v>0</v>
      </c>
      <c r="M44" s="51" t="str">
        <f t="shared" si="55"/>
        <v>-</v>
      </c>
      <c r="N44" s="51">
        <v>0</v>
      </c>
      <c r="O44" s="51">
        <f t="shared" ref="O44:P44" si="64">D44/7</f>
        <v>0</v>
      </c>
      <c r="P44" s="51">
        <f t="shared" si="64"/>
        <v>0</v>
      </c>
      <c r="Q44" s="51" t="e">
        <f t="shared" si="57"/>
        <v>#DIV/0!</v>
      </c>
      <c r="R44" s="55">
        <v>0</v>
      </c>
      <c r="S44" s="53" t="s">
        <v>34</v>
      </c>
      <c r="T44" s="54" t="s">
        <v>34</v>
      </c>
      <c r="U44" s="52">
        <v>0</v>
      </c>
      <c r="V44" s="55">
        <f t="shared" si="58"/>
        <v>0</v>
      </c>
      <c r="W44" s="55">
        <f t="shared" si="59"/>
        <v>0</v>
      </c>
      <c r="X44" s="52">
        <v>0</v>
      </c>
      <c r="Y44" s="52" t="e">
        <v>#N/A</v>
      </c>
      <c r="Z44" s="56" t="e">
        <f t="shared" ref="Z44:Z56" si="65">IF(OR(Y44="UsLargeStandardSize",Y44="UsSmallStandardSize"),-2.4,-1.2)</f>
        <v>#N/A</v>
      </c>
      <c r="AA44" s="55" t="e">
        <v>#N/A</v>
      </c>
      <c r="AB44" s="55">
        <f t="shared" si="61"/>
        <v>0</v>
      </c>
      <c r="AC44" s="55">
        <v>0</v>
      </c>
      <c r="AD44" s="55">
        <v>-5.2841838888888804</v>
      </c>
      <c r="AE44" s="55">
        <v>0</v>
      </c>
      <c r="AF44" s="55" t="e">
        <v>#N/A</v>
      </c>
    </row>
    <row r="45" spans="1:32" s="57" customFormat="1" ht="15.75" customHeight="1">
      <c r="A45" s="17" t="s">
        <v>109</v>
      </c>
      <c r="B45"/>
      <c r="C45" s="51" t="str">
        <f t="shared" si="50"/>
        <v xml:space="preserve"> - </v>
      </c>
      <c r="D45" s="51">
        <v>0</v>
      </c>
      <c r="E45" s="51">
        <v>0</v>
      </c>
      <c r="F45" s="51">
        <v>0</v>
      </c>
      <c r="G45" s="51">
        <v>0</v>
      </c>
      <c r="H45" s="51" t="e">
        <f t="shared" si="51"/>
        <v>#DIV/0!</v>
      </c>
      <c r="I45" s="51" t="e">
        <f t="shared" si="52"/>
        <v>#DIV/0!</v>
      </c>
      <c r="J45" s="51">
        <f t="shared" si="53"/>
        <v>0</v>
      </c>
      <c r="K45" s="51" t="e">
        <f t="shared" si="54"/>
        <v>#DIV/0!</v>
      </c>
      <c r="L45" s="51">
        <v>0</v>
      </c>
      <c r="M45" s="51" t="str">
        <f t="shared" si="55"/>
        <v>-</v>
      </c>
      <c r="N45" s="51">
        <v>0</v>
      </c>
      <c r="O45" s="51">
        <f t="shared" ref="O45:P45" si="66">D45/7</f>
        <v>0</v>
      </c>
      <c r="P45" s="51">
        <f t="shared" si="66"/>
        <v>0</v>
      </c>
      <c r="Q45" s="51" t="e">
        <f t="shared" si="57"/>
        <v>#DIV/0!</v>
      </c>
      <c r="R45" s="55">
        <v>0</v>
      </c>
      <c r="S45" s="53" t="s">
        <v>34</v>
      </c>
      <c r="T45" s="54" t="s">
        <v>34</v>
      </c>
      <c r="U45" s="52">
        <v>0</v>
      </c>
      <c r="V45" s="55">
        <f t="shared" si="58"/>
        <v>0</v>
      </c>
      <c r="W45" s="55">
        <f t="shared" si="59"/>
        <v>0</v>
      </c>
      <c r="X45" s="52">
        <v>0</v>
      </c>
      <c r="Y45" s="52" t="e">
        <v>#N/A</v>
      </c>
      <c r="Z45" s="56" t="e">
        <f t="shared" si="65"/>
        <v>#N/A</v>
      </c>
      <c r="AA45" s="55" t="e">
        <v>#N/A</v>
      </c>
      <c r="AB45" s="55">
        <f t="shared" si="61"/>
        <v>0</v>
      </c>
      <c r="AC45" s="55">
        <v>0</v>
      </c>
      <c r="AD45" s="55">
        <v>-5.2841838888888804</v>
      </c>
      <c r="AE45" s="55">
        <v>0</v>
      </c>
      <c r="AF45" s="55" t="e">
        <v>#N/A</v>
      </c>
    </row>
    <row r="46" spans="1:32" s="57" customFormat="1" ht="15.75" customHeight="1">
      <c r="A46" s="17" t="s">
        <v>111</v>
      </c>
      <c r="B46"/>
      <c r="C46" s="51" t="str">
        <f t="shared" si="50"/>
        <v xml:space="preserve"> - </v>
      </c>
      <c r="D46" s="51">
        <v>0</v>
      </c>
      <c r="E46" s="51">
        <v>0</v>
      </c>
      <c r="F46" s="51">
        <v>0</v>
      </c>
      <c r="G46" s="51">
        <v>0</v>
      </c>
      <c r="H46" s="51" t="e">
        <f t="shared" si="51"/>
        <v>#DIV/0!</v>
      </c>
      <c r="I46" s="51" t="e">
        <f t="shared" si="52"/>
        <v>#DIV/0!</v>
      </c>
      <c r="J46" s="51">
        <f t="shared" si="53"/>
        <v>0</v>
      </c>
      <c r="K46" s="51" t="e">
        <f t="shared" si="54"/>
        <v>#DIV/0!</v>
      </c>
      <c r="L46" s="51">
        <v>0</v>
      </c>
      <c r="M46" s="51" t="str">
        <f t="shared" si="55"/>
        <v>-</v>
      </c>
      <c r="N46" s="51">
        <v>0</v>
      </c>
      <c r="O46" s="51">
        <f t="shared" ref="O46:P46" si="67">D46/7</f>
        <v>0</v>
      </c>
      <c r="P46" s="51">
        <f t="shared" si="67"/>
        <v>0</v>
      </c>
      <c r="Q46" s="51" t="e">
        <f t="shared" si="57"/>
        <v>#DIV/0!</v>
      </c>
      <c r="R46" s="55">
        <v>0</v>
      </c>
      <c r="S46" s="53" t="s">
        <v>34</v>
      </c>
      <c r="T46" s="54" t="s">
        <v>34</v>
      </c>
      <c r="U46" s="52">
        <v>0</v>
      </c>
      <c r="V46" s="55">
        <f t="shared" si="58"/>
        <v>0</v>
      </c>
      <c r="W46" s="55">
        <f t="shared" si="59"/>
        <v>0</v>
      </c>
      <c r="X46" s="52">
        <v>0</v>
      </c>
      <c r="Y46" s="52" t="e">
        <v>#N/A</v>
      </c>
      <c r="Z46" s="56" t="e">
        <f t="shared" si="65"/>
        <v>#N/A</v>
      </c>
      <c r="AA46" s="55" t="e">
        <v>#N/A</v>
      </c>
      <c r="AB46" s="55">
        <f t="shared" si="61"/>
        <v>0</v>
      </c>
      <c r="AC46" s="55">
        <v>0</v>
      </c>
      <c r="AD46" s="55">
        <v>-5.2841838888888804</v>
      </c>
      <c r="AE46" s="55">
        <v>0</v>
      </c>
      <c r="AF46" s="55" t="e">
        <v>#N/A</v>
      </c>
    </row>
    <row r="47" spans="1:32" s="57" customFormat="1" ht="15.75" customHeight="1">
      <c r="A47" s="17" t="s">
        <v>113</v>
      </c>
      <c r="B47"/>
      <c r="C47" s="51" t="str">
        <f t="shared" si="50"/>
        <v xml:space="preserve"> - </v>
      </c>
      <c r="D47" s="51">
        <v>0</v>
      </c>
      <c r="E47" s="51">
        <v>0</v>
      </c>
      <c r="F47" s="51">
        <v>0</v>
      </c>
      <c r="G47" s="51">
        <v>0</v>
      </c>
      <c r="H47" s="51" t="e">
        <f t="shared" si="51"/>
        <v>#DIV/0!</v>
      </c>
      <c r="I47" s="51" t="e">
        <f t="shared" si="52"/>
        <v>#DIV/0!</v>
      </c>
      <c r="J47" s="51">
        <f t="shared" si="53"/>
        <v>0</v>
      </c>
      <c r="K47" s="51" t="e">
        <f t="shared" si="54"/>
        <v>#DIV/0!</v>
      </c>
      <c r="L47" s="51">
        <v>0</v>
      </c>
      <c r="M47" s="51" t="str">
        <f t="shared" si="55"/>
        <v>-</v>
      </c>
      <c r="N47" s="51">
        <v>0</v>
      </c>
      <c r="O47" s="51">
        <f t="shared" ref="O47:P47" si="68">D47/7</f>
        <v>0</v>
      </c>
      <c r="P47" s="51">
        <f t="shared" si="68"/>
        <v>0</v>
      </c>
      <c r="Q47" s="51" t="e">
        <f t="shared" si="57"/>
        <v>#DIV/0!</v>
      </c>
      <c r="R47" s="55">
        <v>0</v>
      </c>
      <c r="S47" s="53" t="s">
        <v>34</v>
      </c>
      <c r="T47" s="54" t="s">
        <v>34</v>
      </c>
      <c r="U47" s="52">
        <v>0</v>
      </c>
      <c r="V47" s="55">
        <f t="shared" si="58"/>
        <v>0</v>
      </c>
      <c r="W47" s="55">
        <f t="shared" si="59"/>
        <v>0</v>
      </c>
      <c r="X47" s="52">
        <v>0</v>
      </c>
      <c r="Y47" s="52" t="e">
        <v>#N/A</v>
      </c>
      <c r="Z47" s="56" t="e">
        <f t="shared" si="65"/>
        <v>#N/A</v>
      </c>
      <c r="AA47" s="55" t="e">
        <v>#N/A</v>
      </c>
      <c r="AB47" s="55">
        <f t="shared" si="61"/>
        <v>0</v>
      </c>
      <c r="AC47" s="55">
        <v>0</v>
      </c>
      <c r="AD47" s="55">
        <v>-5.2841838888888804</v>
      </c>
      <c r="AE47" s="55">
        <v>0</v>
      </c>
      <c r="AF47" s="55" t="e">
        <v>#N/A</v>
      </c>
    </row>
    <row r="48" spans="1:32" s="57" customFormat="1" ht="15.75" customHeight="1">
      <c r="A48" s="17" t="s">
        <v>115</v>
      </c>
      <c r="B48"/>
      <c r="C48" s="51" t="str">
        <f t="shared" si="50"/>
        <v xml:space="preserve"> - </v>
      </c>
      <c r="D48" s="51">
        <v>0</v>
      </c>
      <c r="E48" s="51">
        <v>0</v>
      </c>
      <c r="F48" s="51">
        <v>0</v>
      </c>
      <c r="G48" s="51">
        <v>0</v>
      </c>
      <c r="H48" s="51" t="e">
        <f t="shared" si="51"/>
        <v>#DIV/0!</v>
      </c>
      <c r="I48" s="51" t="e">
        <f t="shared" si="52"/>
        <v>#DIV/0!</v>
      </c>
      <c r="J48" s="51">
        <f t="shared" si="53"/>
        <v>0</v>
      </c>
      <c r="K48" s="51" t="e">
        <f t="shared" si="54"/>
        <v>#DIV/0!</v>
      </c>
      <c r="L48" s="51">
        <v>0</v>
      </c>
      <c r="M48" s="51" t="str">
        <f t="shared" si="55"/>
        <v>-</v>
      </c>
      <c r="N48" s="51">
        <v>0</v>
      </c>
      <c r="O48" s="51">
        <f t="shared" ref="O48:P48" si="69">D48/7</f>
        <v>0</v>
      </c>
      <c r="P48" s="51">
        <f t="shared" si="69"/>
        <v>0</v>
      </c>
      <c r="Q48" s="51" t="e">
        <f t="shared" si="57"/>
        <v>#DIV/0!</v>
      </c>
      <c r="R48" s="55">
        <f ca="1">IFERROR(__xludf.DUMMYFUNCTION("IFERROR(VLOOKUP($B$2,IMPORTRANGE(""https://docs.google.com/spreadsheets/d/1iVgg6Mw12RULLujzHmfOFIY8Q_KaAD8anoZzgtVAQ74/edit#gid=1503384807"",""Second Star - Summary!A1:AD2000""),9,FALSE),"""")"),5010)</f>
        <v>5010</v>
      </c>
      <c r="S48" s="53">
        <f ca="1">IFERROR(__xludf.DUMMYFUNCTION("IFERROR(VLOOKUP($B$2,IMPORTRANGE(""https://docs.google.com/spreadsheets/d/1iVgg6Mw12RULLujzHmfOFIY8Q_KaAD8anoZzgtVAQ74/edit#gid=1503384807"",""Second Star - Summary!A1:AD2000""),28,FALSE),"""")"),2520)</f>
        <v>2520</v>
      </c>
      <c r="T48" s="54" t="str">
        <f ca="1">IFERROR(__xludf.DUMMYFUNCTION("IFERROR(VLOOKUP($B$2,IMPORTRANGE(""https://docs.google.com/spreadsheets/d/1iVgg6Mw12RULLujzHmfOFIY8Q_KaAD8anoZzgtVAQ74/edit#gid=1503384807"",""Second Star - Summary!A1:AD2000""),29,FALSE),"""")"),"")</f>
        <v/>
      </c>
      <c r="U48" s="52">
        <v>0</v>
      </c>
      <c r="V48" s="55">
        <f t="shared" si="58"/>
        <v>0</v>
      </c>
      <c r="W48" s="55">
        <f t="shared" si="59"/>
        <v>0</v>
      </c>
      <c r="X48" s="52">
        <v>0</v>
      </c>
      <c r="Y48" s="52" t="e">
        <v>#N/A</v>
      </c>
      <c r="Z48" s="56" t="e">
        <f t="shared" si="65"/>
        <v>#N/A</v>
      </c>
      <c r="AA48" s="55" t="e">
        <v>#N/A</v>
      </c>
      <c r="AB48" s="55">
        <f t="shared" si="61"/>
        <v>0</v>
      </c>
      <c r="AC48" s="55">
        <v>0</v>
      </c>
      <c r="AD48" s="55">
        <v>-5.2841838888888804</v>
      </c>
      <c r="AE48" s="55">
        <v>0</v>
      </c>
      <c r="AF48" s="55" t="e">
        <v>#N/A</v>
      </c>
    </row>
    <row r="49" spans="1:32" s="57" customFormat="1" ht="15.75" customHeight="1">
      <c r="A49" s="17" t="s">
        <v>117</v>
      </c>
      <c r="B49"/>
      <c r="C49" s="51" t="str">
        <f t="shared" si="50"/>
        <v xml:space="preserve"> - </v>
      </c>
      <c r="D49" s="51">
        <v>0</v>
      </c>
      <c r="E49" s="51">
        <v>0</v>
      </c>
      <c r="F49" s="51">
        <v>0</v>
      </c>
      <c r="G49" s="51">
        <v>0</v>
      </c>
      <c r="H49" s="51" t="e">
        <f t="shared" si="51"/>
        <v>#DIV/0!</v>
      </c>
      <c r="I49" s="51" t="e">
        <f t="shared" si="52"/>
        <v>#DIV/0!</v>
      </c>
      <c r="J49" s="51">
        <f t="shared" ref="J49:J56" si="70">F49*0.85+G49+AD49*D49+D49*AC49+AE49+AB49</f>
        <v>0</v>
      </c>
      <c r="K49" s="51" t="e">
        <f t="shared" si="54"/>
        <v>#DIV/0!</v>
      </c>
      <c r="L49" s="51">
        <v>0</v>
      </c>
      <c r="M49" s="51" t="str">
        <f t="shared" si="55"/>
        <v>-</v>
      </c>
      <c r="N49" s="51">
        <v>0</v>
      </c>
      <c r="O49" s="51">
        <f t="shared" ref="O49:P49" si="71">D49/7</f>
        <v>0</v>
      </c>
      <c r="P49" s="51">
        <f t="shared" si="71"/>
        <v>0</v>
      </c>
      <c r="Q49" s="51" t="e">
        <f t="shared" si="57"/>
        <v>#DIV/0!</v>
      </c>
      <c r="R49" s="55">
        <f ca="1">IFERROR(__xludf.DUMMYFUNCTION("IFERROR(VLOOKUP($B$2,IMPORTRANGE(""https://docs.google.com/spreadsheets/d/1iVgg6Mw12RULLujzHmfOFIY8Q_KaAD8anoZzgtVAQ74/edit#gid=1503384807"",""Second Star - Summary!A1:AD2000""),9,FALSE),"""")"),5010)</f>
        <v>5010</v>
      </c>
      <c r="S49" s="53">
        <f ca="1">IFERROR(__xludf.DUMMYFUNCTION("IFERROR(VLOOKUP($B$2,IMPORTRANGE(""https://docs.google.com/spreadsheets/d/1iVgg6Mw12RULLujzHmfOFIY8Q_KaAD8anoZzgtVAQ74/edit#gid=1503384807"",""Second Star - Summary!A1:AD2000""),28,FALSE),"""")"),2520)</f>
        <v>2520</v>
      </c>
      <c r="T49" s="54" t="str">
        <f ca="1">IFERROR(__xludf.DUMMYFUNCTION("IFERROR(VLOOKUP($B$2,IMPORTRANGE(""https://docs.google.com/spreadsheets/d/1iVgg6Mw12RULLujzHmfOFIY8Q_KaAD8anoZzgtVAQ74/edit#gid=1503384807"",""Second Star - Summary!A1:AD2000""),29,FALSE),"""")"),"")</f>
        <v/>
      </c>
      <c r="U49" s="52">
        <v>0</v>
      </c>
      <c r="V49" s="55">
        <f t="shared" si="58"/>
        <v>0</v>
      </c>
      <c r="W49" s="55">
        <f t="shared" si="59"/>
        <v>0</v>
      </c>
      <c r="X49" s="52">
        <v>0</v>
      </c>
      <c r="Y49" s="52" t="e">
        <v>#N/A</v>
      </c>
      <c r="Z49" s="56" t="e">
        <f t="shared" si="65"/>
        <v>#N/A</v>
      </c>
      <c r="AA49" s="55" t="e">
        <v>#N/A</v>
      </c>
      <c r="AB49" s="55">
        <f t="shared" si="61"/>
        <v>0</v>
      </c>
      <c r="AC49" s="55">
        <v>0</v>
      </c>
      <c r="AD49" s="55">
        <v>-5.2841838888888804</v>
      </c>
      <c r="AE49" s="55">
        <v>0</v>
      </c>
      <c r="AF49" s="55" t="e">
        <v>#N/A</v>
      </c>
    </row>
    <row r="50" spans="1:32" s="57" customFormat="1" ht="15.75" customHeight="1">
      <c r="A50" s="2" t="s">
        <v>119</v>
      </c>
      <c r="B50"/>
      <c r="C50" s="51" t="str">
        <f t="shared" si="50"/>
        <v xml:space="preserve"> - </v>
      </c>
      <c r="D50" s="51">
        <v>0</v>
      </c>
      <c r="E50" s="51">
        <v>0</v>
      </c>
      <c r="F50" s="51">
        <v>0</v>
      </c>
      <c r="G50" s="51">
        <v>0</v>
      </c>
      <c r="H50" s="51" t="e">
        <f t="shared" si="51"/>
        <v>#DIV/0!</v>
      </c>
      <c r="I50" s="51" t="e">
        <f t="shared" si="52"/>
        <v>#DIV/0!</v>
      </c>
      <c r="J50" s="51">
        <f t="shared" si="70"/>
        <v>0</v>
      </c>
      <c r="K50" s="51" t="e">
        <f t="shared" si="54"/>
        <v>#DIV/0!</v>
      </c>
      <c r="L50" s="51">
        <v>0</v>
      </c>
      <c r="M50" s="51" t="str">
        <f t="shared" si="55"/>
        <v>-</v>
      </c>
      <c r="N50" s="51">
        <v>0</v>
      </c>
      <c r="O50" s="51">
        <f t="shared" ref="O50:P50" si="72">D50/7</f>
        <v>0</v>
      </c>
      <c r="P50" s="51">
        <f t="shared" si="72"/>
        <v>0</v>
      </c>
      <c r="Q50" s="51" t="e">
        <f t="shared" si="57"/>
        <v>#DIV/0!</v>
      </c>
      <c r="R50" s="55">
        <f ca="1">IFERROR(__xludf.DUMMYFUNCTION("IFERROR(VLOOKUP($B$2,IMPORTRANGE(""https://docs.google.com/spreadsheets/d/1iVgg6Mw12RULLujzHmfOFIY8Q_KaAD8anoZzgtVAQ74/edit#gid=1503384807"",""Second Star - Summary!A1:AD2000""),9,FALSE),"""")"),5010)</f>
        <v>5010</v>
      </c>
      <c r="S50" s="53">
        <f ca="1">IFERROR(__xludf.DUMMYFUNCTION("IFERROR(VLOOKUP($B$2,IMPORTRANGE(""https://docs.google.com/spreadsheets/d/1iVgg6Mw12RULLujzHmfOFIY8Q_KaAD8anoZzgtVAQ74/edit#gid=1503384807"",""Second Star - Summary!A1:AD2000""),28,FALSE),"""")"),2520)</f>
        <v>2520</v>
      </c>
      <c r="T50" s="54" t="str">
        <f ca="1">IFERROR(__xludf.DUMMYFUNCTION("IFERROR(VLOOKUP($B$2,IMPORTRANGE(""https://docs.google.com/spreadsheets/d/1iVgg6Mw12RULLujzHmfOFIY8Q_KaAD8anoZzgtVAQ74/edit#gid=1503384807"",""Second Star - Summary!A1:AD2000""),29,FALSE),"""")"),"")</f>
        <v/>
      </c>
      <c r="U50" s="52">
        <v>0</v>
      </c>
      <c r="V50" s="55">
        <f t="shared" si="58"/>
        <v>0</v>
      </c>
      <c r="W50" s="55">
        <f t="shared" si="59"/>
        <v>0</v>
      </c>
      <c r="X50" s="52">
        <v>0</v>
      </c>
      <c r="Y50" s="52" t="e">
        <v>#N/A</v>
      </c>
      <c r="Z50" s="56" t="e">
        <f t="shared" si="65"/>
        <v>#N/A</v>
      </c>
      <c r="AA50" s="55" t="e">
        <v>#N/A</v>
      </c>
      <c r="AB50" s="55">
        <f t="shared" si="61"/>
        <v>0</v>
      </c>
      <c r="AC50" s="55">
        <v>0</v>
      </c>
      <c r="AD50" s="55">
        <v>-5.2841838888888804</v>
      </c>
      <c r="AE50" s="55">
        <v>0</v>
      </c>
      <c r="AF50" s="55" t="e">
        <v>#N/A</v>
      </c>
    </row>
    <row r="51" spans="1:32" s="57" customFormat="1" ht="15.75" customHeight="1">
      <c r="A51" s="2" t="s">
        <v>121</v>
      </c>
      <c r="B51"/>
      <c r="C51" s="51" t="str">
        <f t="shared" si="50"/>
        <v xml:space="preserve"> - </v>
      </c>
      <c r="D51" s="51">
        <v>0</v>
      </c>
      <c r="E51" s="51">
        <v>0</v>
      </c>
      <c r="F51" s="51">
        <v>0</v>
      </c>
      <c r="G51" s="51">
        <v>0</v>
      </c>
      <c r="H51" s="51" t="e">
        <f t="shared" si="51"/>
        <v>#DIV/0!</v>
      </c>
      <c r="I51" s="51" t="e">
        <f t="shared" si="52"/>
        <v>#DIV/0!</v>
      </c>
      <c r="J51" s="51">
        <f t="shared" si="70"/>
        <v>0</v>
      </c>
      <c r="K51" s="51" t="e">
        <f t="shared" si="54"/>
        <v>#DIV/0!</v>
      </c>
      <c r="L51" s="51">
        <v>0</v>
      </c>
      <c r="M51" s="51" t="str">
        <f t="shared" si="55"/>
        <v>-</v>
      </c>
      <c r="N51" s="51">
        <v>0</v>
      </c>
      <c r="O51" s="51">
        <f t="shared" ref="O51:P51" si="73">D51/7</f>
        <v>0</v>
      </c>
      <c r="P51" s="51">
        <f t="shared" si="73"/>
        <v>0</v>
      </c>
      <c r="Q51" s="51" t="e">
        <f t="shared" si="57"/>
        <v>#DIV/0!</v>
      </c>
      <c r="R51" s="55">
        <f ca="1">IFERROR(__xludf.DUMMYFUNCTION("IFERROR(VLOOKUP($B$2,IMPORTRANGE(""https://docs.google.com/spreadsheets/d/1iVgg6Mw12RULLujzHmfOFIY8Q_KaAD8anoZzgtVAQ74/edit#gid=1503384807"",""Second Star - Summary!A1:AD2000""),9,FALSE),"""")"),5010)</f>
        <v>5010</v>
      </c>
      <c r="S51" s="53">
        <f ca="1">IFERROR(__xludf.DUMMYFUNCTION("IFERROR(VLOOKUP($B$2,IMPORTRANGE(""https://docs.google.com/spreadsheets/d/1iVgg6Mw12RULLujzHmfOFIY8Q_KaAD8anoZzgtVAQ74/edit#gid=1503384807"",""Second Star - Summary!A1:AD2000""),28,FALSE),"""")"),2520)</f>
        <v>2520</v>
      </c>
      <c r="T51" s="54" t="str">
        <f ca="1">IFERROR(__xludf.DUMMYFUNCTION("IFERROR(VLOOKUP($B$2,IMPORTRANGE(""https://docs.google.com/spreadsheets/d/1iVgg6Mw12RULLujzHmfOFIY8Q_KaAD8anoZzgtVAQ74/edit#gid=1503384807"",""Second Star - Summary!A1:AD2000""),29,FALSE),"""")"),"")</f>
        <v/>
      </c>
      <c r="U51" s="52">
        <v>0</v>
      </c>
      <c r="V51" s="55">
        <f t="shared" si="58"/>
        <v>0</v>
      </c>
      <c r="W51" s="55">
        <f t="shared" si="59"/>
        <v>0</v>
      </c>
      <c r="X51" s="52">
        <v>0</v>
      </c>
      <c r="Y51" s="52" t="e">
        <v>#N/A</v>
      </c>
      <c r="Z51" s="56" t="e">
        <f t="shared" si="65"/>
        <v>#N/A</v>
      </c>
      <c r="AA51" s="55" t="e">
        <v>#N/A</v>
      </c>
      <c r="AB51" s="55">
        <f t="shared" si="61"/>
        <v>0</v>
      </c>
      <c r="AC51" s="55">
        <v>0</v>
      </c>
      <c r="AD51" s="55">
        <v>-5.2841838888888804</v>
      </c>
      <c r="AE51" s="55">
        <v>0</v>
      </c>
      <c r="AF51" s="55" t="e">
        <v>#N/A</v>
      </c>
    </row>
    <row r="52" spans="1:32" s="57" customFormat="1" ht="15.75" customHeight="1">
      <c r="A52" s="17" t="s">
        <v>123</v>
      </c>
      <c r="B52"/>
      <c r="C52" s="51" t="str">
        <f t="shared" si="50"/>
        <v xml:space="preserve"> - </v>
      </c>
      <c r="D52" s="51">
        <v>0</v>
      </c>
      <c r="E52" s="51">
        <v>0</v>
      </c>
      <c r="F52" s="51">
        <v>0</v>
      </c>
      <c r="G52" s="51">
        <v>0</v>
      </c>
      <c r="H52" s="51" t="e">
        <f t="shared" si="51"/>
        <v>#DIV/0!</v>
      </c>
      <c r="I52" s="51" t="e">
        <f t="shared" si="52"/>
        <v>#DIV/0!</v>
      </c>
      <c r="J52" s="51">
        <f t="shared" si="70"/>
        <v>0</v>
      </c>
      <c r="K52" s="51" t="e">
        <f t="shared" si="54"/>
        <v>#DIV/0!</v>
      </c>
      <c r="L52" s="51">
        <v>0</v>
      </c>
      <c r="M52" s="51" t="str">
        <f t="shared" si="55"/>
        <v>-</v>
      </c>
      <c r="N52" s="51">
        <v>0</v>
      </c>
      <c r="O52" s="51">
        <f t="shared" ref="O52:P52" si="74">D52/7</f>
        <v>0</v>
      </c>
      <c r="P52" s="51">
        <f t="shared" si="74"/>
        <v>0</v>
      </c>
      <c r="Q52" s="51" t="e">
        <f t="shared" si="57"/>
        <v>#DIV/0!</v>
      </c>
      <c r="R52" s="55">
        <f ca="1">IFERROR(__xludf.DUMMYFUNCTION("IFERROR(VLOOKUP($B$2,IMPORTRANGE(""https://docs.google.com/spreadsheets/d/1iVgg6Mw12RULLujzHmfOFIY8Q_KaAD8anoZzgtVAQ74/edit#gid=1503384807"",""Second Star - Summary!A1:AD2000""),9,FALSE),"""")"),5010)</f>
        <v>5010</v>
      </c>
      <c r="S52" s="53">
        <f ca="1">IFERROR(__xludf.DUMMYFUNCTION("IFERROR(VLOOKUP($B$2,IMPORTRANGE(""https://docs.google.com/spreadsheets/d/1iVgg6Mw12RULLujzHmfOFIY8Q_KaAD8anoZzgtVAQ74/edit#gid=1503384807"",""Second Star - Summary!A1:AD2000""),28,FALSE),"""")"),2520)</f>
        <v>2520</v>
      </c>
      <c r="T52" s="54" t="str">
        <f ca="1">IFERROR(__xludf.DUMMYFUNCTION("IFERROR(VLOOKUP($B$2,IMPORTRANGE(""https://docs.google.com/spreadsheets/d/1iVgg6Mw12RULLujzHmfOFIY8Q_KaAD8anoZzgtVAQ74/edit#gid=1503384807"",""Second Star - Summary!A1:AD2000""),29,FALSE),"""")"),"")</f>
        <v/>
      </c>
      <c r="U52" s="52">
        <v>0</v>
      </c>
      <c r="V52" s="55">
        <f t="shared" si="58"/>
        <v>0</v>
      </c>
      <c r="W52" s="55">
        <f t="shared" si="59"/>
        <v>0</v>
      </c>
      <c r="X52" s="52">
        <v>0</v>
      </c>
      <c r="Y52" s="52" t="e">
        <v>#N/A</v>
      </c>
      <c r="Z52" s="56" t="e">
        <f t="shared" si="65"/>
        <v>#N/A</v>
      </c>
      <c r="AA52" s="55" t="e">
        <v>#N/A</v>
      </c>
      <c r="AB52" s="55">
        <f t="shared" si="61"/>
        <v>0</v>
      </c>
      <c r="AC52" s="55">
        <v>0</v>
      </c>
      <c r="AD52" s="55">
        <v>-5.2841838888888804</v>
      </c>
      <c r="AE52" s="55">
        <v>0</v>
      </c>
      <c r="AF52" s="55">
        <v>0</v>
      </c>
    </row>
    <row r="53" spans="1:32" s="57" customFormat="1">
      <c r="A53" s="17" t="s">
        <v>38</v>
      </c>
      <c r="B53"/>
      <c r="C53" s="51" t="str">
        <f t="shared" si="50"/>
        <v xml:space="preserve"> - </v>
      </c>
      <c r="D53" s="51">
        <v>0</v>
      </c>
      <c r="E53" s="51">
        <v>0</v>
      </c>
      <c r="F53" s="51">
        <v>0</v>
      </c>
      <c r="G53" s="51">
        <v>0</v>
      </c>
      <c r="H53" s="51" t="e">
        <f t="shared" si="51"/>
        <v>#DIV/0!</v>
      </c>
      <c r="I53" s="51" t="e">
        <f t="shared" si="52"/>
        <v>#DIV/0!</v>
      </c>
      <c r="J53" s="51">
        <f t="shared" si="70"/>
        <v>0</v>
      </c>
      <c r="K53" s="51" t="e">
        <f t="shared" si="54"/>
        <v>#DIV/0!</v>
      </c>
      <c r="L53" s="51">
        <v>0</v>
      </c>
      <c r="M53" s="51" t="str">
        <f t="shared" si="55"/>
        <v>-</v>
      </c>
      <c r="N53" s="51">
        <v>0</v>
      </c>
      <c r="O53" s="51">
        <f t="shared" ref="O53:P53" si="75">D53/7</f>
        <v>0</v>
      </c>
      <c r="P53" s="51">
        <f t="shared" si="75"/>
        <v>0</v>
      </c>
      <c r="Q53" s="51" t="e">
        <f t="shared" si="57"/>
        <v>#DIV/0!</v>
      </c>
      <c r="R53" s="55">
        <f ca="1">IFERROR(__xludf.DUMMYFUNCTION("IFERROR(VLOOKUP($B$2,IMPORTRANGE(""https://docs.google.com/spreadsheets/d/1iVgg6Mw12RULLujzHmfOFIY8Q_KaAD8anoZzgtVAQ74/edit#gid=1503384807"",""Second Star - Summary!A1:AD2000""),9,FALSE),"""")"),5010)</f>
        <v>5010</v>
      </c>
      <c r="S53" s="53">
        <f ca="1">IFERROR(__xludf.DUMMYFUNCTION("IFERROR(VLOOKUP($B$2,IMPORTRANGE(""https://docs.google.com/spreadsheets/d/1iVgg6Mw12RULLujzHmfOFIY8Q_KaAD8anoZzgtVAQ74/edit#gid=1503384807"",""Second Star - Summary!A1:AD2000""),28,FALSE),"""")"),2520)</f>
        <v>2520</v>
      </c>
      <c r="T53" s="54" t="str">
        <f ca="1">IFERROR(__xludf.DUMMYFUNCTION("IFERROR(VLOOKUP($B$2,IMPORTRANGE(""https://docs.google.com/spreadsheets/d/1iVgg6Mw12RULLujzHmfOFIY8Q_KaAD8anoZzgtVAQ74/edit#gid=1503384807"",""Second Star - Summary!A1:AD2000""),29,FALSE),"""")"),"")</f>
        <v/>
      </c>
      <c r="U53" s="52">
        <v>0</v>
      </c>
      <c r="V53" s="55">
        <f t="shared" si="58"/>
        <v>0</v>
      </c>
      <c r="W53" s="55">
        <f t="shared" si="59"/>
        <v>0</v>
      </c>
      <c r="X53" s="52">
        <v>0</v>
      </c>
      <c r="Y53" s="52" t="e">
        <v>#N/A</v>
      </c>
      <c r="Z53" s="56" t="e">
        <f t="shared" si="65"/>
        <v>#N/A</v>
      </c>
      <c r="AA53" s="55" t="e">
        <v>#N/A</v>
      </c>
      <c r="AB53" s="55">
        <f t="shared" si="61"/>
        <v>0</v>
      </c>
      <c r="AC53" s="55">
        <v>0</v>
      </c>
      <c r="AD53" s="55">
        <v>-5.2841838888888804</v>
      </c>
      <c r="AE53" s="55">
        <v>0</v>
      </c>
      <c r="AF53" s="55">
        <v>0</v>
      </c>
    </row>
    <row r="54" spans="1:32" s="57" customFormat="1">
      <c r="A54" s="17" t="s">
        <v>40</v>
      </c>
      <c r="B54"/>
      <c r="C54" s="51" t="str">
        <f t="shared" si="50"/>
        <v xml:space="preserve"> - </v>
      </c>
      <c r="D54" s="51">
        <v>0</v>
      </c>
      <c r="E54" s="51">
        <v>0</v>
      </c>
      <c r="F54" s="51">
        <v>0</v>
      </c>
      <c r="G54" s="51">
        <v>0</v>
      </c>
      <c r="H54" s="51" t="e">
        <f t="shared" si="51"/>
        <v>#DIV/0!</v>
      </c>
      <c r="I54" s="51" t="e">
        <f t="shared" si="52"/>
        <v>#DIV/0!</v>
      </c>
      <c r="J54" s="51">
        <f t="shared" si="70"/>
        <v>0</v>
      </c>
      <c r="K54" s="51" t="e">
        <f t="shared" si="54"/>
        <v>#DIV/0!</v>
      </c>
      <c r="L54" s="51">
        <v>0</v>
      </c>
      <c r="M54" s="51" t="str">
        <f t="shared" si="55"/>
        <v>-</v>
      </c>
      <c r="N54" s="51">
        <v>0</v>
      </c>
      <c r="O54" s="51">
        <f t="shared" ref="O54:P54" si="76">D54/7</f>
        <v>0</v>
      </c>
      <c r="P54" s="51">
        <f t="shared" si="76"/>
        <v>0</v>
      </c>
      <c r="Q54" s="51" t="e">
        <f t="shared" si="57"/>
        <v>#DIV/0!</v>
      </c>
      <c r="R54" s="55">
        <f ca="1">IFERROR(__xludf.DUMMYFUNCTION("IFERROR(VLOOKUP($B$2,IMPORTRANGE(""https://docs.google.com/spreadsheets/d/1iVgg6Mw12RULLujzHmfOFIY8Q_KaAD8anoZzgtVAQ74/edit#gid=1503384807"",""Second Star - Summary!A1:AD2000""),9,FALSE),"""")"),5010)</f>
        <v>5010</v>
      </c>
      <c r="S54" s="53">
        <f ca="1">IFERROR(__xludf.DUMMYFUNCTION("IFERROR(VLOOKUP($B$2,IMPORTRANGE(""https://docs.google.com/spreadsheets/d/1iVgg6Mw12RULLujzHmfOFIY8Q_KaAD8anoZzgtVAQ74/edit#gid=1503384807"",""Second Star - Summary!A1:AD2000""),28,FALSE),"""")"),2520)</f>
        <v>2520</v>
      </c>
      <c r="T54" s="54" t="str">
        <f ca="1">IFERROR(__xludf.DUMMYFUNCTION("IFERROR(VLOOKUP($B$2,IMPORTRANGE(""https://docs.google.com/spreadsheets/d/1iVgg6Mw12RULLujzHmfOFIY8Q_KaAD8anoZzgtVAQ74/edit#gid=1503384807"",""Second Star - Summary!A1:AD2000""),29,FALSE),"""")"),"")</f>
        <v/>
      </c>
      <c r="U54" s="52">
        <v>0</v>
      </c>
      <c r="V54" s="55">
        <f t="shared" si="58"/>
        <v>0</v>
      </c>
      <c r="W54" s="55">
        <f t="shared" si="59"/>
        <v>0</v>
      </c>
      <c r="X54" s="52">
        <v>0</v>
      </c>
      <c r="Y54" s="52" t="e">
        <v>#N/A</v>
      </c>
      <c r="Z54" s="56" t="e">
        <f t="shared" si="65"/>
        <v>#N/A</v>
      </c>
      <c r="AA54" s="55" t="e">
        <v>#N/A</v>
      </c>
      <c r="AB54" s="55">
        <f t="shared" si="61"/>
        <v>0</v>
      </c>
      <c r="AC54" s="55">
        <v>0</v>
      </c>
      <c r="AD54" s="55">
        <v>-5.2841838888888804</v>
      </c>
      <c r="AE54" s="55">
        <v>0</v>
      </c>
      <c r="AF54" s="55">
        <v>0</v>
      </c>
    </row>
    <row r="55" spans="1:32" s="57" customFormat="1" ht="15.75" customHeight="1">
      <c r="A55" s="17" t="s">
        <v>32</v>
      </c>
      <c r="B55"/>
      <c r="C55" s="51" t="str">
        <f t="shared" si="50"/>
        <v xml:space="preserve"> - </v>
      </c>
      <c r="D55" s="51">
        <v>0</v>
      </c>
      <c r="E55" s="51">
        <v>0</v>
      </c>
      <c r="F55" s="51">
        <v>0</v>
      </c>
      <c r="G55" s="51">
        <v>0</v>
      </c>
      <c r="H55" s="51" t="e">
        <f t="shared" si="51"/>
        <v>#DIV/0!</v>
      </c>
      <c r="I55" s="51" t="e">
        <f t="shared" si="52"/>
        <v>#DIV/0!</v>
      </c>
      <c r="J55" s="51">
        <f t="shared" si="70"/>
        <v>0</v>
      </c>
      <c r="K55" s="51" t="e">
        <f t="shared" si="54"/>
        <v>#DIV/0!</v>
      </c>
      <c r="L55" s="51">
        <v>0</v>
      </c>
      <c r="M55" s="51" t="str">
        <f t="shared" si="55"/>
        <v>-</v>
      </c>
      <c r="N55" s="51">
        <v>0</v>
      </c>
      <c r="O55" s="51">
        <f t="shared" ref="O55:P55" si="77">D55/7</f>
        <v>0</v>
      </c>
      <c r="P55" s="51">
        <f t="shared" si="77"/>
        <v>0</v>
      </c>
      <c r="Q55" s="51" t="e">
        <f t="shared" si="57"/>
        <v>#DIV/0!</v>
      </c>
      <c r="R55" s="55">
        <v>5010</v>
      </c>
      <c r="S55" s="53" t="s">
        <v>34</v>
      </c>
      <c r="T55" s="54" t="s">
        <v>34</v>
      </c>
      <c r="U55" s="52">
        <v>0</v>
      </c>
      <c r="V55" s="55">
        <f t="shared" si="58"/>
        <v>0</v>
      </c>
      <c r="W55" s="55">
        <f t="shared" si="59"/>
        <v>0</v>
      </c>
      <c r="X55" s="52">
        <v>0</v>
      </c>
      <c r="Y55" s="52" t="e">
        <v>#N/A</v>
      </c>
      <c r="Z55" s="56" t="e">
        <f t="shared" si="65"/>
        <v>#N/A</v>
      </c>
      <c r="AA55" s="55" t="e">
        <v>#N/A</v>
      </c>
      <c r="AB55" s="55">
        <f t="shared" si="61"/>
        <v>0</v>
      </c>
      <c r="AC55" s="55">
        <v>0</v>
      </c>
      <c r="AD55" s="55">
        <v>-5.2841838888888804</v>
      </c>
      <c r="AE55" s="55">
        <v>0</v>
      </c>
      <c r="AF55" s="55" t="e">
        <v>#N/A</v>
      </c>
    </row>
    <row r="56" spans="1:32" s="57" customFormat="1" ht="15.75" customHeight="1">
      <c r="A56" s="30" t="s">
        <v>36</v>
      </c>
      <c r="B56"/>
      <c r="C56" s="51" t="str">
        <f t="shared" si="50"/>
        <v xml:space="preserve"> - </v>
      </c>
      <c r="D56" s="51">
        <v>0</v>
      </c>
      <c r="E56" s="51">
        <v>0</v>
      </c>
      <c r="F56" s="51">
        <v>0</v>
      </c>
      <c r="G56" s="51">
        <v>0</v>
      </c>
      <c r="H56" s="51" t="e">
        <f t="shared" si="51"/>
        <v>#DIV/0!</v>
      </c>
      <c r="I56" s="51" t="e">
        <f t="shared" si="52"/>
        <v>#DIV/0!</v>
      </c>
      <c r="J56" s="51">
        <f t="shared" si="70"/>
        <v>0</v>
      </c>
      <c r="K56" s="51" t="e">
        <f t="shared" si="54"/>
        <v>#DIV/0!</v>
      </c>
      <c r="L56" s="51">
        <v>0</v>
      </c>
      <c r="M56" s="51" t="str">
        <f t="shared" si="55"/>
        <v>-</v>
      </c>
      <c r="N56" s="51">
        <v>0</v>
      </c>
      <c r="O56" s="51">
        <f t="shared" ref="O56:P56" si="78">D56/7</f>
        <v>0</v>
      </c>
      <c r="P56" s="51">
        <f t="shared" si="78"/>
        <v>0</v>
      </c>
      <c r="Q56" s="51" t="e">
        <f t="shared" si="57"/>
        <v>#DIV/0!</v>
      </c>
      <c r="R56" s="55">
        <f ca="1">IFERROR(__xludf.DUMMYFUNCTION("IFERROR(VLOOKUP($B$2,IMPORTRANGE(""https://docs.google.com/spreadsheets/d/1iVgg6Mw12RULLujzHmfOFIY8Q_KaAD8anoZzgtVAQ74/edit#gid=1503384807"",""Second Star - Summary!A1:AD2000""),9,FALSE),"""")"),5010)</f>
        <v>5010</v>
      </c>
      <c r="S56" s="53">
        <f ca="1">IFERROR(__xludf.DUMMYFUNCTION("IFERROR(VLOOKUP($B$2,IMPORTRANGE(""https://docs.google.com/spreadsheets/d/1iVgg6Mw12RULLujzHmfOFIY8Q_KaAD8anoZzgtVAQ74/edit#gid=1503384807"",""Second Star - Summary!A1:AD2000""),28,FALSE),"""")"),2520)</f>
        <v>2520</v>
      </c>
      <c r="T56" s="54" t="str">
        <f ca="1">IFERROR(__xludf.DUMMYFUNCTION("IFERROR(VLOOKUP($B$2,IMPORTRANGE(""https://docs.google.com/spreadsheets/d/1iVgg6Mw12RULLujzHmfOFIY8Q_KaAD8anoZzgtVAQ74/edit#gid=1503384807"",""Second Star - Summary!A1:AD2000""),29,FALSE),"""")"),"")</f>
        <v/>
      </c>
      <c r="U56" s="59">
        <v>0</v>
      </c>
      <c r="V56" s="55">
        <f t="shared" si="58"/>
        <v>0</v>
      </c>
      <c r="W56" s="55">
        <f t="shared" si="59"/>
        <v>0</v>
      </c>
      <c r="X56" s="59">
        <v>0</v>
      </c>
      <c r="Y56" s="59" t="e">
        <v>#N/A</v>
      </c>
      <c r="Z56" s="56" t="e">
        <f t="shared" si="65"/>
        <v>#N/A</v>
      </c>
      <c r="AA56" s="55" t="e">
        <v>#N/A</v>
      </c>
      <c r="AB56" s="55">
        <f t="shared" si="61"/>
        <v>0</v>
      </c>
      <c r="AC56" s="55">
        <v>0</v>
      </c>
      <c r="AD56" s="55">
        <v>-5.2841838888888804</v>
      </c>
      <c r="AE56" s="55">
        <v>0</v>
      </c>
      <c r="AF56" s="55" t="e">
        <v>#N/A</v>
      </c>
    </row>
    <row r="57" spans="1:32" ht="15.75" customHeight="1">
      <c r="C57" s="24"/>
      <c r="D57" s="18"/>
      <c r="E57" s="18"/>
      <c r="F57" s="19"/>
      <c r="G57" s="19"/>
      <c r="H57" s="19"/>
      <c r="I57" s="18"/>
      <c r="J57" s="18"/>
      <c r="K57" s="18"/>
      <c r="L57" s="18"/>
      <c r="M57" s="20"/>
      <c r="N57" s="18"/>
      <c r="O57" s="18"/>
      <c r="P57" s="18"/>
      <c r="Q57" s="18"/>
      <c r="S57" s="21"/>
      <c r="T57" s="1"/>
      <c r="AC57" s="22"/>
      <c r="AD57" s="22"/>
      <c r="AE57" s="22"/>
      <c r="AF57" s="23"/>
    </row>
    <row r="58" spans="1:32" ht="15.75" customHeight="1">
      <c r="C58" s="24"/>
      <c r="D58" s="18"/>
      <c r="E58" s="18"/>
      <c r="F58" s="19"/>
      <c r="G58" s="19"/>
      <c r="H58" s="19"/>
      <c r="I58" s="18"/>
      <c r="J58" s="18"/>
      <c r="K58" s="18"/>
      <c r="L58" s="18"/>
      <c r="M58" s="20"/>
      <c r="N58" s="18"/>
      <c r="O58" s="18"/>
      <c r="P58" s="18"/>
      <c r="Q58" s="18"/>
      <c r="S58" s="21"/>
      <c r="T58" s="1"/>
      <c r="AC58" s="22"/>
      <c r="AD58" s="22"/>
      <c r="AE58" s="22"/>
      <c r="AF58" s="23"/>
    </row>
    <row r="59" spans="1:32" ht="15.75" customHeight="1">
      <c r="C59" s="24"/>
      <c r="D59" s="18"/>
      <c r="E59" s="18"/>
      <c r="F59" s="19"/>
      <c r="G59" s="19"/>
      <c r="H59" s="19"/>
      <c r="I59" s="18"/>
      <c r="J59" s="18"/>
      <c r="K59" s="18"/>
      <c r="L59" s="18"/>
      <c r="M59" s="20"/>
      <c r="N59" s="18"/>
      <c r="O59" s="18"/>
      <c r="P59" s="18"/>
      <c r="Q59" s="18"/>
      <c r="S59" s="21"/>
      <c r="T59" s="1"/>
      <c r="AC59" s="22"/>
      <c r="AD59" s="22"/>
      <c r="AE59" s="22"/>
      <c r="AF59" s="23"/>
    </row>
    <row r="60" spans="1:32" ht="15.75" customHeight="1">
      <c r="C60" s="24"/>
      <c r="D60" s="18"/>
      <c r="E60" s="18"/>
      <c r="F60" s="19"/>
      <c r="G60" s="19"/>
      <c r="H60" s="19"/>
      <c r="I60" s="18"/>
      <c r="J60" s="18"/>
      <c r="K60" s="18"/>
      <c r="L60" s="18"/>
      <c r="M60" s="20"/>
      <c r="N60" s="18"/>
      <c r="O60" s="18"/>
      <c r="P60" s="18"/>
      <c r="Q60" s="18"/>
      <c r="S60" s="21"/>
      <c r="T60" s="1"/>
      <c r="AC60" s="22"/>
      <c r="AD60" s="22"/>
      <c r="AE60" s="22"/>
      <c r="AF60" s="23"/>
    </row>
    <row r="61" spans="1:32" ht="15.75" customHeight="1">
      <c r="C61" s="24"/>
      <c r="D61" s="18"/>
      <c r="E61" s="18"/>
      <c r="F61" s="19"/>
      <c r="G61" s="19"/>
      <c r="H61" s="19"/>
      <c r="I61" s="18"/>
      <c r="J61" s="18"/>
      <c r="K61" s="18"/>
      <c r="L61" s="18"/>
      <c r="M61" s="20"/>
      <c r="N61" s="18"/>
      <c r="O61" s="18"/>
      <c r="P61" s="18"/>
      <c r="Q61" s="18"/>
      <c r="S61" s="21"/>
      <c r="T61" s="1"/>
      <c r="AC61" s="22"/>
      <c r="AD61" s="22"/>
      <c r="AE61" s="22"/>
      <c r="AF61" s="23"/>
    </row>
    <row r="62" spans="1:32" ht="15.75" customHeight="1">
      <c r="C62" s="24"/>
      <c r="D62" s="18"/>
      <c r="E62" s="18"/>
      <c r="F62" s="19"/>
      <c r="G62" s="19"/>
      <c r="H62" s="19"/>
      <c r="I62" s="18"/>
      <c r="J62" s="18"/>
      <c r="K62" s="18"/>
      <c r="L62" s="18"/>
      <c r="M62" s="20"/>
      <c r="N62" s="18"/>
      <c r="O62" s="18"/>
      <c r="P62" s="18"/>
      <c r="Q62" s="18"/>
      <c r="S62" s="21"/>
      <c r="T62" s="1"/>
      <c r="AC62" s="22"/>
      <c r="AD62" s="22"/>
      <c r="AE62" s="22"/>
      <c r="AF62" s="23"/>
    </row>
    <row r="63" spans="1:32" ht="15.75" customHeight="1">
      <c r="C63" s="24"/>
      <c r="D63" s="18"/>
      <c r="E63" s="18"/>
      <c r="F63" s="19"/>
      <c r="G63" s="19"/>
      <c r="H63" s="19"/>
      <c r="I63" s="18"/>
      <c r="J63" s="18"/>
      <c r="K63" s="18"/>
      <c r="L63" s="18"/>
      <c r="M63" s="20"/>
      <c r="N63" s="18"/>
      <c r="O63" s="18"/>
      <c r="P63" s="18"/>
      <c r="Q63" s="18"/>
      <c r="S63" s="21"/>
      <c r="T63" s="1"/>
      <c r="AC63" s="22"/>
      <c r="AD63" s="22"/>
      <c r="AE63" s="22"/>
      <c r="AF63" s="23"/>
    </row>
    <row r="64" spans="1:32" ht="15.75" customHeight="1">
      <c r="C64" s="24"/>
      <c r="D64" s="18"/>
      <c r="E64" s="18"/>
      <c r="F64" s="19"/>
      <c r="G64" s="19"/>
      <c r="H64" s="19"/>
      <c r="I64" s="18"/>
      <c r="J64" s="18"/>
      <c r="K64" s="18"/>
      <c r="L64" s="18"/>
      <c r="M64" s="20"/>
      <c r="N64" s="18"/>
      <c r="O64" s="18"/>
      <c r="P64" s="18"/>
      <c r="Q64" s="18"/>
      <c r="S64" s="21"/>
      <c r="T64" s="1"/>
      <c r="AC64" s="22"/>
      <c r="AD64" s="22"/>
      <c r="AE64" s="22"/>
      <c r="AF64" s="23"/>
    </row>
    <row r="65" spans="3:32" ht="15.75" customHeight="1">
      <c r="C65" s="24"/>
      <c r="D65" s="18"/>
      <c r="E65" s="18"/>
      <c r="F65" s="19"/>
      <c r="G65" s="19"/>
      <c r="H65" s="19"/>
      <c r="I65" s="18"/>
      <c r="J65" s="18"/>
      <c r="K65" s="18"/>
      <c r="L65" s="18"/>
      <c r="M65" s="20"/>
      <c r="N65" s="18"/>
      <c r="O65" s="18"/>
      <c r="P65" s="18"/>
      <c r="Q65" s="18"/>
      <c r="S65" s="21"/>
      <c r="T65" s="1"/>
      <c r="AC65" s="22"/>
      <c r="AD65" s="22"/>
      <c r="AE65" s="22"/>
      <c r="AF65" s="23"/>
    </row>
    <row r="66" spans="3:32" ht="15.75" customHeight="1">
      <c r="C66" s="24"/>
      <c r="D66" s="18"/>
      <c r="E66" s="18"/>
      <c r="F66" s="19"/>
      <c r="G66" s="19"/>
      <c r="H66" s="19"/>
      <c r="I66" s="18"/>
      <c r="J66" s="18"/>
      <c r="K66" s="18"/>
      <c r="L66" s="18"/>
      <c r="M66" s="20"/>
      <c r="N66" s="18"/>
      <c r="O66" s="18"/>
      <c r="P66" s="18"/>
      <c r="Q66" s="18"/>
      <c r="S66" s="21"/>
      <c r="T66" s="1"/>
      <c r="AC66" s="22"/>
      <c r="AD66" s="22"/>
      <c r="AE66" s="22"/>
      <c r="AF66" s="23"/>
    </row>
    <row r="67" spans="3:32" ht="15.75" customHeight="1">
      <c r="C67" s="24"/>
      <c r="D67" s="18"/>
      <c r="E67" s="18"/>
      <c r="F67" s="19"/>
      <c r="G67" s="19"/>
      <c r="H67" s="19"/>
      <c r="I67" s="18"/>
      <c r="J67" s="18"/>
      <c r="K67" s="18"/>
      <c r="L67" s="18"/>
      <c r="M67" s="20"/>
      <c r="N67" s="18"/>
      <c r="O67" s="18"/>
      <c r="P67" s="18"/>
      <c r="Q67" s="18"/>
      <c r="S67" s="21"/>
      <c r="T67" s="1"/>
      <c r="AC67" s="22"/>
      <c r="AD67" s="22"/>
      <c r="AE67" s="22"/>
      <c r="AF67" s="23"/>
    </row>
    <row r="68" spans="3:32" ht="15.75" customHeight="1">
      <c r="C68" s="24"/>
      <c r="D68" s="18"/>
      <c r="E68" s="18"/>
      <c r="F68" s="19"/>
      <c r="G68" s="19"/>
      <c r="H68" s="19"/>
      <c r="I68" s="18"/>
      <c r="J68" s="18"/>
      <c r="K68" s="18"/>
      <c r="L68" s="18"/>
      <c r="M68" s="20"/>
      <c r="N68" s="18"/>
      <c r="O68" s="18"/>
      <c r="P68" s="18"/>
      <c r="Q68" s="18"/>
      <c r="S68" s="21"/>
      <c r="T68" s="1"/>
      <c r="AC68" s="22"/>
      <c r="AD68" s="22"/>
      <c r="AE68" s="22"/>
      <c r="AF68" s="23"/>
    </row>
    <row r="69" spans="3:32" ht="15.75" customHeight="1">
      <c r="C69" s="24"/>
      <c r="D69" s="18"/>
      <c r="E69" s="18"/>
      <c r="F69" s="19"/>
      <c r="G69" s="19"/>
      <c r="H69" s="19"/>
      <c r="I69" s="18"/>
      <c r="J69" s="18"/>
      <c r="K69" s="18"/>
      <c r="L69" s="18"/>
      <c r="M69" s="20"/>
      <c r="N69" s="18"/>
      <c r="O69" s="18"/>
      <c r="P69" s="18"/>
      <c r="Q69" s="18"/>
      <c r="S69" s="21"/>
      <c r="T69" s="1"/>
      <c r="AC69" s="22"/>
      <c r="AD69" s="22"/>
      <c r="AE69" s="22"/>
      <c r="AF69" s="23"/>
    </row>
    <row r="70" spans="3:32" ht="15.75" customHeight="1">
      <c r="C70" s="24"/>
      <c r="D70" s="18"/>
      <c r="E70" s="18"/>
      <c r="F70" s="19"/>
      <c r="G70" s="19"/>
      <c r="H70" s="19"/>
      <c r="I70" s="18"/>
      <c r="J70" s="18"/>
      <c r="K70" s="18"/>
      <c r="L70" s="18"/>
      <c r="M70" s="20"/>
      <c r="N70" s="18"/>
      <c r="O70" s="18"/>
      <c r="P70" s="18"/>
      <c r="Q70" s="18"/>
      <c r="S70" s="21"/>
      <c r="T70" s="1"/>
      <c r="AC70" s="22"/>
      <c r="AD70" s="22"/>
      <c r="AE70" s="22"/>
      <c r="AF70" s="23"/>
    </row>
    <row r="71" spans="3:32" ht="15.75" customHeight="1">
      <c r="C71" s="24"/>
      <c r="D71" s="18"/>
      <c r="E71" s="18"/>
      <c r="F71" s="19"/>
      <c r="G71" s="19"/>
      <c r="H71" s="19"/>
      <c r="I71" s="18"/>
      <c r="J71" s="18"/>
      <c r="K71" s="18"/>
      <c r="L71" s="18"/>
      <c r="M71" s="20"/>
      <c r="N71" s="18"/>
      <c r="O71" s="18"/>
      <c r="P71" s="18"/>
      <c r="Q71" s="18"/>
      <c r="S71" s="21"/>
      <c r="T71" s="1"/>
      <c r="AC71" s="22"/>
      <c r="AD71" s="22"/>
      <c r="AE71" s="22"/>
      <c r="AF71" s="23"/>
    </row>
    <row r="72" spans="3:32" ht="15.75" customHeight="1">
      <c r="C72" s="24"/>
      <c r="D72" s="18"/>
      <c r="E72" s="18"/>
      <c r="F72" s="19"/>
      <c r="G72" s="19"/>
      <c r="H72" s="19"/>
      <c r="I72" s="18"/>
      <c r="J72" s="18"/>
      <c r="K72" s="18"/>
      <c r="L72" s="18"/>
      <c r="M72" s="20"/>
      <c r="N72" s="18"/>
      <c r="O72" s="18"/>
      <c r="P72" s="18"/>
      <c r="Q72" s="18"/>
      <c r="S72" s="21"/>
      <c r="T72" s="1"/>
      <c r="AC72" s="22"/>
      <c r="AD72" s="22"/>
      <c r="AE72" s="22"/>
      <c r="AF72" s="23"/>
    </row>
    <row r="73" spans="3:32" ht="15.75" customHeight="1">
      <c r="C73" s="24"/>
      <c r="D73" s="18"/>
      <c r="E73" s="18"/>
      <c r="F73" s="19"/>
      <c r="G73" s="19"/>
      <c r="H73" s="19"/>
      <c r="I73" s="18"/>
      <c r="J73" s="18"/>
      <c r="K73" s="18"/>
      <c r="L73" s="18"/>
      <c r="M73" s="20"/>
      <c r="N73" s="18"/>
      <c r="O73" s="18"/>
      <c r="P73" s="18"/>
      <c r="Q73" s="18"/>
      <c r="S73" s="21"/>
      <c r="T73" s="1"/>
      <c r="AC73" s="22"/>
      <c r="AD73" s="22"/>
      <c r="AE73" s="22"/>
      <c r="AF73" s="23"/>
    </row>
    <row r="74" spans="3:32" ht="15.75" customHeight="1">
      <c r="C74" s="24"/>
      <c r="D74" s="18"/>
      <c r="E74" s="18"/>
      <c r="F74" s="19"/>
      <c r="G74" s="19"/>
      <c r="H74" s="19"/>
      <c r="I74" s="18"/>
      <c r="J74" s="18"/>
      <c r="K74" s="18"/>
      <c r="L74" s="18"/>
      <c r="M74" s="20"/>
      <c r="N74" s="18"/>
      <c r="O74" s="18"/>
      <c r="P74" s="18"/>
      <c r="Q74" s="18"/>
      <c r="S74" s="21"/>
      <c r="T74" s="1"/>
      <c r="AC74" s="22"/>
      <c r="AD74" s="22"/>
      <c r="AE74" s="22"/>
      <c r="AF74" s="23"/>
    </row>
    <row r="75" spans="3:32" ht="15.75" customHeight="1">
      <c r="C75" s="24"/>
      <c r="D75" s="18"/>
      <c r="E75" s="18"/>
      <c r="F75" s="19"/>
      <c r="G75" s="19"/>
      <c r="H75" s="19"/>
      <c r="I75" s="18"/>
      <c r="J75" s="18"/>
      <c r="K75" s="18"/>
      <c r="L75" s="18"/>
      <c r="M75" s="20"/>
      <c r="N75" s="18"/>
      <c r="O75" s="18"/>
      <c r="P75" s="18"/>
      <c r="Q75" s="18"/>
      <c r="S75" s="21"/>
      <c r="T75" s="1"/>
      <c r="AC75" s="22"/>
      <c r="AD75" s="22"/>
      <c r="AE75" s="22"/>
      <c r="AF75" s="23"/>
    </row>
    <row r="76" spans="3:32" ht="15.75" customHeight="1">
      <c r="C76" s="24"/>
      <c r="D76" s="18"/>
      <c r="E76" s="18"/>
      <c r="F76" s="19"/>
      <c r="G76" s="19"/>
      <c r="H76" s="19"/>
      <c r="I76" s="18"/>
      <c r="J76" s="18"/>
      <c r="K76" s="18"/>
      <c r="L76" s="18"/>
      <c r="M76" s="20"/>
      <c r="N76" s="18"/>
      <c r="O76" s="18"/>
      <c r="P76" s="18"/>
      <c r="Q76" s="18"/>
      <c r="S76" s="21"/>
      <c r="T76" s="1"/>
      <c r="AC76" s="22"/>
      <c r="AD76" s="22"/>
      <c r="AE76" s="22"/>
      <c r="AF76" s="23"/>
    </row>
    <row r="77" spans="3:32" ht="15.75" customHeight="1">
      <c r="C77" s="24"/>
      <c r="D77" s="18"/>
      <c r="E77" s="18"/>
      <c r="F77" s="19"/>
      <c r="G77" s="19"/>
      <c r="H77" s="19"/>
      <c r="I77" s="18"/>
      <c r="J77" s="18"/>
      <c r="K77" s="18"/>
      <c r="L77" s="18"/>
      <c r="M77" s="20"/>
      <c r="N77" s="18"/>
      <c r="O77" s="18"/>
      <c r="P77" s="18"/>
      <c r="Q77" s="18"/>
      <c r="S77" s="21"/>
      <c r="T77" s="1"/>
      <c r="AC77" s="22"/>
      <c r="AD77" s="22"/>
      <c r="AE77" s="22"/>
      <c r="AF77" s="23"/>
    </row>
    <row r="78" spans="3:32" ht="15.75" customHeight="1">
      <c r="C78" s="24"/>
      <c r="D78" s="18"/>
      <c r="E78" s="18"/>
      <c r="F78" s="19"/>
      <c r="G78" s="19"/>
      <c r="H78" s="19"/>
      <c r="I78" s="18"/>
      <c r="J78" s="18"/>
      <c r="K78" s="18"/>
      <c r="L78" s="18"/>
      <c r="M78" s="20"/>
      <c r="N78" s="18"/>
      <c r="O78" s="18"/>
      <c r="P78" s="18"/>
      <c r="Q78" s="18"/>
      <c r="S78" s="21"/>
      <c r="T78" s="1"/>
      <c r="AC78" s="22"/>
      <c r="AD78" s="22"/>
      <c r="AE78" s="22"/>
      <c r="AF78" s="23"/>
    </row>
    <row r="79" spans="3:32" ht="15.75" customHeight="1">
      <c r="C79" s="24"/>
      <c r="D79" s="18"/>
      <c r="E79" s="18"/>
      <c r="F79" s="19"/>
      <c r="G79" s="19"/>
      <c r="H79" s="19"/>
      <c r="I79" s="18"/>
      <c r="J79" s="18"/>
      <c r="K79" s="18"/>
      <c r="L79" s="18"/>
      <c r="M79" s="20"/>
      <c r="N79" s="18"/>
      <c r="O79" s="18"/>
      <c r="P79" s="18"/>
      <c r="Q79" s="18"/>
      <c r="S79" s="21"/>
      <c r="T79" s="1"/>
      <c r="AC79" s="22"/>
      <c r="AD79" s="22"/>
      <c r="AE79" s="22"/>
      <c r="AF79" s="23"/>
    </row>
    <row r="80" spans="3:32" ht="15.75" customHeight="1">
      <c r="C80" s="24"/>
      <c r="D80" s="18"/>
      <c r="E80" s="18"/>
      <c r="F80" s="19"/>
      <c r="G80" s="19"/>
      <c r="H80" s="19"/>
      <c r="I80" s="18"/>
      <c r="J80" s="18"/>
      <c r="K80" s="18"/>
      <c r="L80" s="18"/>
      <c r="M80" s="20"/>
      <c r="N80" s="18"/>
      <c r="O80" s="18"/>
      <c r="P80" s="18"/>
      <c r="Q80" s="18"/>
      <c r="S80" s="21"/>
      <c r="T80" s="1"/>
      <c r="AC80" s="22"/>
      <c r="AD80" s="22"/>
      <c r="AE80" s="22"/>
      <c r="AF80" s="23"/>
    </row>
    <row r="81" spans="3:32" ht="15.75" customHeight="1">
      <c r="C81" s="24"/>
      <c r="D81" s="18"/>
      <c r="E81" s="18"/>
      <c r="F81" s="19"/>
      <c r="G81" s="19"/>
      <c r="H81" s="19"/>
      <c r="I81" s="18"/>
      <c r="J81" s="18"/>
      <c r="K81" s="18"/>
      <c r="L81" s="18"/>
      <c r="M81" s="20"/>
      <c r="N81" s="18"/>
      <c r="O81" s="18"/>
      <c r="P81" s="18"/>
      <c r="Q81" s="18"/>
      <c r="S81" s="21"/>
      <c r="T81" s="1"/>
      <c r="AC81" s="22"/>
      <c r="AD81" s="22"/>
      <c r="AE81" s="22"/>
      <c r="AF81" s="23"/>
    </row>
    <row r="82" spans="3:32" ht="15.75" customHeight="1">
      <c r="C82" s="24"/>
      <c r="D82" s="18"/>
      <c r="E82" s="18"/>
      <c r="F82" s="19"/>
      <c r="G82" s="19"/>
      <c r="H82" s="19"/>
      <c r="I82" s="18"/>
      <c r="J82" s="18"/>
      <c r="K82" s="18"/>
      <c r="L82" s="18"/>
      <c r="M82" s="20"/>
      <c r="N82" s="18"/>
      <c r="O82" s="18"/>
      <c r="P82" s="18"/>
      <c r="Q82" s="18"/>
      <c r="S82" s="21"/>
      <c r="T82" s="1"/>
      <c r="AC82" s="22"/>
      <c r="AD82" s="22"/>
      <c r="AE82" s="22"/>
      <c r="AF82" s="23"/>
    </row>
    <row r="83" spans="3:32" ht="15.75" customHeight="1">
      <c r="C83" s="24"/>
      <c r="D83" s="18"/>
      <c r="E83" s="18"/>
      <c r="F83" s="19"/>
      <c r="G83" s="19"/>
      <c r="H83" s="19"/>
      <c r="I83" s="18"/>
      <c r="J83" s="18"/>
      <c r="K83" s="18"/>
      <c r="L83" s="18"/>
      <c r="M83" s="20"/>
      <c r="N83" s="18"/>
      <c r="O83" s="18"/>
      <c r="P83" s="18"/>
      <c r="Q83" s="18"/>
      <c r="S83" s="21"/>
      <c r="T83" s="1"/>
      <c r="AC83" s="22"/>
      <c r="AD83" s="22"/>
      <c r="AE83" s="22"/>
      <c r="AF83" s="23"/>
    </row>
    <row r="84" spans="3:32" ht="15.75" customHeight="1">
      <c r="C84" s="24"/>
      <c r="D84" s="18"/>
      <c r="E84" s="18"/>
      <c r="F84" s="19"/>
      <c r="G84" s="19"/>
      <c r="H84" s="19"/>
      <c r="I84" s="18"/>
      <c r="J84" s="18"/>
      <c r="K84" s="18"/>
      <c r="L84" s="18"/>
      <c r="M84" s="20"/>
      <c r="N84" s="18"/>
      <c r="O84" s="18"/>
      <c r="P84" s="18"/>
      <c r="Q84" s="18"/>
      <c r="S84" s="21"/>
      <c r="T84" s="1"/>
      <c r="AC84" s="22"/>
      <c r="AD84" s="22"/>
      <c r="AE84" s="22"/>
      <c r="AF84" s="23"/>
    </row>
    <row r="85" spans="3:32" ht="15.75" customHeight="1">
      <c r="C85" s="24"/>
      <c r="D85" s="18"/>
      <c r="E85" s="18"/>
      <c r="F85" s="19"/>
      <c r="G85" s="19"/>
      <c r="H85" s="19"/>
      <c r="I85" s="18"/>
      <c r="J85" s="18"/>
      <c r="K85" s="18"/>
      <c r="L85" s="18"/>
      <c r="M85" s="20"/>
      <c r="N85" s="18"/>
      <c r="O85" s="18"/>
      <c r="P85" s="18"/>
      <c r="Q85" s="18"/>
      <c r="S85" s="21"/>
      <c r="T85" s="1"/>
      <c r="AC85" s="22"/>
      <c r="AD85" s="22"/>
      <c r="AE85" s="22"/>
      <c r="AF85" s="23"/>
    </row>
    <row r="86" spans="3:32" ht="15.75" customHeight="1">
      <c r="C86" s="24"/>
      <c r="D86" s="18"/>
      <c r="E86" s="18"/>
      <c r="F86" s="19"/>
      <c r="G86" s="19"/>
      <c r="H86" s="19"/>
      <c r="I86" s="18"/>
      <c r="J86" s="18"/>
      <c r="K86" s="18"/>
      <c r="L86" s="18"/>
      <c r="M86" s="20"/>
      <c r="N86" s="18"/>
      <c r="O86" s="18"/>
      <c r="P86" s="18"/>
      <c r="Q86" s="18"/>
      <c r="S86" s="21"/>
      <c r="T86" s="1"/>
      <c r="AC86" s="22"/>
      <c r="AD86" s="22"/>
      <c r="AE86" s="22"/>
      <c r="AF86" s="23"/>
    </row>
    <row r="87" spans="3:32" ht="15.75" customHeight="1">
      <c r="C87" s="24"/>
      <c r="D87" s="18"/>
      <c r="E87" s="18"/>
      <c r="F87" s="19"/>
      <c r="G87" s="19"/>
      <c r="H87" s="19"/>
      <c r="I87" s="18"/>
      <c r="J87" s="18"/>
      <c r="K87" s="18"/>
      <c r="L87" s="18"/>
      <c r="M87" s="20"/>
      <c r="N87" s="18"/>
      <c r="O87" s="18"/>
      <c r="P87" s="18"/>
      <c r="Q87" s="18"/>
      <c r="S87" s="21"/>
      <c r="T87" s="1"/>
      <c r="AC87" s="22"/>
      <c r="AD87" s="22"/>
      <c r="AE87" s="22"/>
      <c r="AF87" s="23"/>
    </row>
    <row r="88" spans="3:32" ht="15.75" customHeight="1">
      <c r="C88" s="24"/>
      <c r="D88" s="18"/>
      <c r="E88" s="18"/>
      <c r="F88" s="19"/>
      <c r="G88" s="19"/>
      <c r="H88" s="19"/>
      <c r="I88" s="18"/>
      <c r="J88" s="18"/>
      <c r="K88" s="18"/>
      <c r="L88" s="18"/>
      <c r="M88" s="20"/>
      <c r="N88" s="18"/>
      <c r="O88" s="18"/>
      <c r="P88" s="18"/>
      <c r="Q88" s="18"/>
      <c r="S88" s="21"/>
      <c r="T88" s="1"/>
      <c r="AC88" s="22"/>
      <c r="AD88" s="22"/>
      <c r="AE88" s="22"/>
      <c r="AF88" s="23"/>
    </row>
    <row r="89" spans="3:32" ht="15.75" customHeight="1">
      <c r="C89" s="24"/>
      <c r="D89" s="18"/>
      <c r="E89" s="18"/>
      <c r="F89" s="19"/>
      <c r="G89" s="19"/>
      <c r="H89" s="19"/>
      <c r="I89" s="18"/>
      <c r="J89" s="18"/>
      <c r="K89" s="18"/>
      <c r="L89" s="18"/>
      <c r="M89" s="20"/>
      <c r="N89" s="18"/>
      <c r="O89" s="18"/>
      <c r="P89" s="18"/>
      <c r="Q89" s="18"/>
      <c r="S89" s="21"/>
      <c r="T89" s="1"/>
      <c r="AC89" s="22"/>
      <c r="AD89" s="22"/>
      <c r="AE89" s="22"/>
      <c r="AF89" s="23"/>
    </row>
    <row r="90" spans="3:32" ht="15.75" customHeight="1">
      <c r="C90" s="24"/>
      <c r="D90" s="18"/>
      <c r="E90" s="18"/>
      <c r="F90" s="19"/>
      <c r="G90" s="19"/>
      <c r="H90" s="19"/>
      <c r="I90" s="18"/>
      <c r="J90" s="18"/>
      <c r="K90" s="18"/>
      <c r="L90" s="18"/>
      <c r="M90" s="20"/>
      <c r="N90" s="18"/>
      <c r="O90" s="18"/>
      <c r="P90" s="18"/>
      <c r="Q90" s="18"/>
      <c r="S90" s="21"/>
      <c r="T90" s="1"/>
      <c r="AC90" s="22"/>
      <c r="AD90" s="22"/>
      <c r="AE90" s="22"/>
      <c r="AF90" s="23"/>
    </row>
    <row r="91" spans="3:32" ht="15.75" customHeight="1">
      <c r="C91" s="24"/>
      <c r="D91" s="18"/>
      <c r="E91" s="18"/>
      <c r="F91" s="19"/>
      <c r="G91" s="19"/>
      <c r="H91" s="19"/>
      <c r="I91" s="18"/>
      <c r="J91" s="18"/>
      <c r="K91" s="18"/>
      <c r="L91" s="18"/>
      <c r="M91" s="20"/>
      <c r="N91" s="18"/>
      <c r="O91" s="18"/>
      <c r="P91" s="18"/>
      <c r="Q91" s="18"/>
      <c r="S91" s="21"/>
      <c r="T91" s="1"/>
      <c r="AC91" s="22"/>
      <c r="AD91" s="22"/>
      <c r="AE91" s="22"/>
      <c r="AF91" s="23"/>
    </row>
    <row r="92" spans="3:32" ht="15.75" customHeight="1">
      <c r="C92" s="24"/>
      <c r="D92" s="18"/>
      <c r="E92" s="18"/>
      <c r="F92" s="19"/>
      <c r="G92" s="19"/>
      <c r="H92" s="19"/>
      <c r="I92" s="18"/>
      <c r="J92" s="18"/>
      <c r="K92" s="18"/>
      <c r="L92" s="18"/>
      <c r="M92" s="20"/>
      <c r="N92" s="18"/>
      <c r="O92" s="18"/>
      <c r="P92" s="18"/>
      <c r="Q92" s="18"/>
      <c r="S92" s="21"/>
      <c r="T92" s="1"/>
      <c r="AC92" s="22"/>
      <c r="AD92" s="22"/>
      <c r="AE92" s="22"/>
      <c r="AF92" s="23"/>
    </row>
    <row r="93" spans="3:32" ht="15.75" customHeight="1">
      <c r="C93" s="24"/>
      <c r="D93" s="18"/>
      <c r="E93" s="18"/>
      <c r="F93" s="19"/>
      <c r="G93" s="19"/>
      <c r="H93" s="19"/>
      <c r="I93" s="18"/>
      <c r="J93" s="18"/>
      <c r="K93" s="18"/>
      <c r="L93" s="18"/>
      <c r="M93" s="20"/>
      <c r="N93" s="18"/>
      <c r="O93" s="18"/>
      <c r="P93" s="18"/>
      <c r="Q93" s="18"/>
      <c r="S93" s="21"/>
      <c r="T93" s="1"/>
      <c r="AC93" s="22"/>
      <c r="AD93" s="22"/>
      <c r="AE93" s="22"/>
      <c r="AF93" s="23"/>
    </row>
    <row r="94" spans="3:32" ht="15.75" customHeight="1">
      <c r="C94" s="24"/>
      <c r="D94" s="18"/>
      <c r="E94" s="18"/>
      <c r="F94" s="19"/>
      <c r="G94" s="19"/>
      <c r="H94" s="19"/>
      <c r="I94" s="18"/>
      <c r="J94" s="18"/>
      <c r="K94" s="18"/>
      <c r="L94" s="18"/>
      <c r="M94" s="20"/>
      <c r="N94" s="18"/>
      <c r="O94" s="18"/>
      <c r="P94" s="18"/>
      <c r="Q94" s="18"/>
      <c r="S94" s="21"/>
      <c r="T94" s="1"/>
      <c r="AC94" s="22"/>
      <c r="AD94" s="22"/>
      <c r="AE94" s="22"/>
      <c r="AF94" s="23"/>
    </row>
    <row r="95" spans="3:32" ht="15.75" customHeight="1">
      <c r="C95" s="24"/>
      <c r="D95" s="18"/>
      <c r="E95" s="18"/>
      <c r="F95" s="19"/>
      <c r="G95" s="19"/>
      <c r="H95" s="19"/>
      <c r="I95" s="18"/>
      <c r="J95" s="18"/>
      <c r="K95" s="18"/>
      <c r="L95" s="18"/>
      <c r="M95" s="20"/>
      <c r="N95" s="18"/>
      <c r="O95" s="18"/>
      <c r="P95" s="18"/>
      <c r="Q95" s="18"/>
      <c r="S95" s="21"/>
      <c r="T95" s="1"/>
      <c r="AC95" s="22"/>
      <c r="AD95" s="22"/>
      <c r="AE95" s="22"/>
      <c r="AF95" s="23"/>
    </row>
    <row r="96" spans="3:32" ht="15.75" customHeight="1">
      <c r="C96" s="24"/>
      <c r="D96" s="18"/>
      <c r="E96" s="18"/>
      <c r="F96" s="19"/>
      <c r="G96" s="19"/>
      <c r="H96" s="19"/>
      <c r="I96" s="18"/>
      <c r="J96" s="18"/>
      <c r="K96" s="18"/>
      <c r="L96" s="18"/>
      <c r="M96" s="20"/>
      <c r="N96" s="18"/>
      <c r="O96" s="18"/>
      <c r="P96" s="18"/>
      <c r="Q96" s="18"/>
      <c r="S96" s="21"/>
      <c r="T96" s="1"/>
      <c r="AC96" s="22"/>
      <c r="AD96" s="22"/>
      <c r="AE96" s="22"/>
      <c r="AF96" s="23"/>
    </row>
    <row r="97" spans="3:32" ht="15.75" customHeight="1">
      <c r="C97" s="24"/>
      <c r="D97" s="18"/>
      <c r="E97" s="18"/>
      <c r="F97" s="19"/>
      <c r="G97" s="19"/>
      <c r="H97" s="19"/>
      <c r="I97" s="18"/>
      <c r="J97" s="18"/>
      <c r="K97" s="18"/>
      <c r="L97" s="18"/>
      <c r="M97" s="20"/>
      <c r="N97" s="18"/>
      <c r="O97" s="18"/>
      <c r="P97" s="18"/>
      <c r="Q97" s="18"/>
      <c r="S97" s="21"/>
      <c r="T97" s="1"/>
      <c r="AC97" s="22"/>
      <c r="AD97" s="22"/>
      <c r="AE97" s="22"/>
      <c r="AF97" s="23"/>
    </row>
    <row r="98" spans="3:32" ht="15.75" customHeight="1">
      <c r="C98" s="24"/>
      <c r="D98" s="18"/>
      <c r="E98" s="18"/>
      <c r="F98" s="19"/>
      <c r="G98" s="19"/>
      <c r="H98" s="19"/>
      <c r="I98" s="18"/>
      <c r="J98" s="18"/>
      <c r="K98" s="18"/>
      <c r="L98" s="18"/>
      <c r="M98" s="20"/>
      <c r="N98" s="18"/>
      <c r="O98" s="18"/>
      <c r="P98" s="18"/>
      <c r="Q98" s="18"/>
      <c r="S98" s="21"/>
      <c r="T98" s="1"/>
      <c r="AC98" s="22"/>
      <c r="AD98" s="22"/>
      <c r="AE98" s="22"/>
      <c r="AF98" s="23"/>
    </row>
    <row r="99" spans="3:32" ht="15.75" customHeight="1">
      <c r="C99" s="24"/>
      <c r="D99" s="18"/>
      <c r="E99" s="18"/>
      <c r="F99" s="19"/>
      <c r="G99" s="19"/>
      <c r="H99" s="19"/>
      <c r="I99" s="18"/>
      <c r="J99" s="18"/>
      <c r="K99" s="18"/>
      <c r="L99" s="18"/>
      <c r="M99" s="20"/>
      <c r="N99" s="18"/>
      <c r="O99" s="18"/>
      <c r="P99" s="18"/>
      <c r="Q99" s="18"/>
      <c r="S99" s="21"/>
      <c r="T99" s="1"/>
      <c r="AC99" s="22"/>
      <c r="AD99" s="22"/>
      <c r="AE99" s="22"/>
      <c r="AF99" s="23"/>
    </row>
    <row r="100" spans="3:32" ht="15.75" customHeight="1">
      <c r="C100" s="24"/>
      <c r="D100" s="18"/>
      <c r="E100" s="18"/>
      <c r="F100" s="19"/>
      <c r="G100" s="19"/>
      <c r="H100" s="19"/>
      <c r="I100" s="18"/>
      <c r="J100" s="18"/>
      <c r="K100" s="18"/>
      <c r="L100" s="18"/>
      <c r="M100" s="20"/>
      <c r="N100" s="18"/>
      <c r="O100" s="18"/>
      <c r="P100" s="18"/>
      <c r="Q100" s="18"/>
      <c r="S100" s="21"/>
      <c r="T100" s="1"/>
      <c r="AC100" s="22"/>
      <c r="AD100" s="22"/>
      <c r="AE100" s="22"/>
      <c r="AF100" s="23"/>
    </row>
    <row r="101" spans="3:32" ht="15.75" customHeight="1">
      <c r="C101" s="24"/>
      <c r="D101" s="18"/>
      <c r="E101" s="18"/>
      <c r="F101" s="19"/>
      <c r="G101" s="19"/>
      <c r="H101" s="19"/>
      <c r="I101" s="18"/>
      <c r="J101" s="18"/>
      <c r="K101" s="18"/>
      <c r="L101" s="18"/>
      <c r="M101" s="20"/>
      <c r="N101" s="18"/>
      <c r="O101" s="18"/>
      <c r="P101" s="18"/>
      <c r="Q101" s="18"/>
      <c r="S101" s="21"/>
      <c r="T101" s="1"/>
      <c r="AC101" s="22"/>
      <c r="AD101" s="22"/>
      <c r="AE101" s="22"/>
      <c r="AF101" s="23"/>
    </row>
    <row r="102" spans="3:32" ht="15.75" customHeight="1">
      <c r="C102" s="24"/>
      <c r="D102" s="18"/>
      <c r="E102" s="18"/>
      <c r="F102" s="19"/>
      <c r="G102" s="19"/>
      <c r="H102" s="19"/>
      <c r="I102" s="18"/>
      <c r="J102" s="18"/>
      <c r="K102" s="18"/>
      <c r="L102" s="18"/>
      <c r="M102" s="20"/>
      <c r="N102" s="18"/>
      <c r="O102" s="18"/>
      <c r="P102" s="18"/>
      <c r="Q102" s="18"/>
      <c r="S102" s="21"/>
      <c r="T102" s="1"/>
      <c r="AC102" s="22"/>
      <c r="AD102" s="22"/>
      <c r="AE102" s="22"/>
      <c r="AF102" s="23"/>
    </row>
    <row r="103" spans="3:32" ht="15.75" customHeight="1">
      <c r="C103" s="24"/>
      <c r="D103" s="18"/>
      <c r="E103" s="18"/>
      <c r="F103" s="19"/>
      <c r="G103" s="19"/>
      <c r="H103" s="19"/>
      <c r="I103" s="18"/>
      <c r="J103" s="18"/>
      <c r="K103" s="18"/>
      <c r="L103" s="18"/>
      <c r="M103" s="20"/>
      <c r="N103" s="18"/>
      <c r="O103" s="18"/>
      <c r="P103" s="18"/>
      <c r="Q103" s="18"/>
      <c r="S103" s="21"/>
      <c r="T103" s="1"/>
      <c r="AC103" s="22"/>
      <c r="AD103" s="22"/>
      <c r="AE103" s="22"/>
      <c r="AF103" s="23"/>
    </row>
    <row r="104" spans="3:32" ht="15.75" customHeight="1">
      <c r="C104" s="24"/>
      <c r="D104" s="18"/>
      <c r="E104" s="18"/>
      <c r="F104" s="19"/>
      <c r="G104" s="19"/>
      <c r="H104" s="19"/>
      <c r="I104" s="18"/>
      <c r="J104" s="18"/>
      <c r="K104" s="18"/>
      <c r="L104" s="18"/>
      <c r="M104" s="20"/>
      <c r="N104" s="18"/>
      <c r="O104" s="18"/>
      <c r="P104" s="18"/>
      <c r="Q104" s="18"/>
      <c r="S104" s="21"/>
      <c r="T104" s="1"/>
      <c r="AC104" s="22"/>
      <c r="AD104" s="22"/>
      <c r="AE104" s="22"/>
      <c r="AF104" s="23"/>
    </row>
    <row r="105" spans="3:32" ht="15.75" customHeight="1">
      <c r="C105" s="24"/>
      <c r="D105" s="18"/>
      <c r="E105" s="18"/>
      <c r="F105" s="19"/>
      <c r="G105" s="19"/>
      <c r="H105" s="19"/>
      <c r="I105" s="18"/>
      <c r="J105" s="18"/>
      <c r="K105" s="18"/>
      <c r="L105" s="18"/>
      <c r="M105" s="20"/>
      <c r="N105" s="18"/>
      <c r="O105" s="18"/>
      <c r="P105" s="18"/>
      <c r="Q105" s="18"/>
      <c r="S105" s="21"/>
      <c r="T105" s="1"/>
      <c r="AC105" s="22"/>
      <c r="AD105" s="22"/>
      <c r="AE105" s="22"/>
      <c r="AF105" s="23"/>
    </row>
    <row r="106" spans="3:32" ht="15.75" customHeight="1">
      <c r="C106" s="24"/>
      <c r="D106" s="18"/>
      <c r="E106" s="18"/>
      <c r="F106" s="19"/>
      <c r="G106" s="19"/>
      <c r="H106" s="19"/>
      <c r="I106" s="18"/>
      <c r="J106" s="18"/>
      <c r="K106" s="18"/>
      <c r="L106" s="18"/>
      <c r="M106" s="20"/>
      <c r="N106" s="18"/>
      <c r="O106" s="18"/>
      <c r="P106" s="18"/>
      <c r="Q106" s="18"/>
      <c r="S106" s="21"/>
      <c r="T106" s="1"/>
      <c r="AC106" s="22"/>
      <c r="AD106" s="22"/>
      <c r="AE106" s="22"/>
      <c r="AF106" s="23"/>
    </row>
    <row r="107" spans="3:32" ht="15.75" customHeight="1">
      <c r="C107" s="24"/>
      <c r="D107" s="18"/>
      <c r="E107" s="18"/>
      <c r="F107" s="19"/>
      <c r="G107" s="19"/>
      <c r="H107" s="19"/>
      <c r="I107" s="18"/>
      <c r="J107" s="18"/>
      <c r="K107" s="18"/>
      <c r="L107" s="18"/>
      <c r="M107" s="20"/>
      <c r="N107" s="18"/>
      <c r="O107" s="18"/>
      <c r="P107" s="18"/>
      <c r="Q107" s="18"/>
      <c r="S107" s="21"/>
      <c r="T107" s="1"/>
      <c r="AC107" s="22"/>
      <c r="AD107" s="22"/>
      <c r="AE107" s="22"/>
      <c r="AF107" s="23"/>
    </row>
    <row r="108" spans="3:32" ht="15.75" customHeight="1">
      <c r="C108" s="24"/>
      <c r="D108" s="18"/>
      <c r="E108" s="18"/>
      <c r="F108" s="19"/>
      <c r="G108" s="19"/>
      <c r="H108" s="19"/>
      <c r="I108" s="18"/>
      <c r="J108" s="18"/>
      <c r="K108" s="18"/>
      <c r="L108" s="18"/>
      <c r="M108" s="20"/>
      <c r="N108" s="18"/>
      <c r="O108" s="18"/>
      <c r="P108" s="18"/>
      <c r="Q108" s="18"/>
      <c r="S108" s="21"/>
      <c r="T108" s="1"/>
      <c r="AC108" s="22"/>
      <c r="AD108" s="22"/>
      <c r="AE108" s="22"/>
      <c r="AF108" s="23"/>
    </row>
    <row r="109" spans="3:32" ht="15.75" customHeight="1">
      <c r="C109" s="24"/>
      <c r="D109" s="18"/>
      <c r="E109" s="18"/>
      <c r="F109" s="19"/>
      <c r="G109" s="19"/>
      <c r="H109" s="19"/>
      <c r="I109" s="18"/>
      <c r="J109" s="18"/>
      <c r="K109" s="18"/>
      <c r="L109" s="18"/>
      <c r="M109" s="20"/>
      <c r="N109" s="18"/>
      <c r="O109" s="18"/>
      <c r="P109" s="18"/>
      <c r="Q109" s="18"/>
      <c r="S109" s="21"/>
      <c r="T109" s="1"/>
      <c r="AC109" s="22"/>
      <c r="AD109" s="22"/>
      <c r="AE109" s="22"/>
      <c r="AF109" s="23"/>
    </row>
    <row r="110" spans="3:32" ht="15.75" customHeight="1">
      <c r="C110" s="24"/>
      <c r="D110" s="18"/>
      <c r="E110" s="18"/>
      <c r="F110" s="19"/>
      <c r="G110" s="19"/>
      <c r="H110" s="19"/>
      <c r="I110" s="18"/>
      <c r="J110" s="18"/>
      <c r="K110" s="18"/>
      <c r="L110" s="18"/>
      <c r="M110" s="20"/>
      <c r="N110" s="18"/>
      <c r="O110" s="18"/>
      <c r="P110" s="18"/>
      <c r="Q110" s="18"/>
      <c r="S110" s="21"/>
      <c r="T110" s="1"/>
      <c r="AC110" s="22"/>
      <c r="AD110" s="22"/>
      <c r="AE110" s="22"/>
      <c r="AF110" s="23"/>
    </row>
    <row r="111" spans="3:32" ht="15.75" customHeight="1">
      <c r="C111" s="24"/>
      <c r="D111" s="18"/>
      <c r="E111" s="18"/>
      <c r="F111" s="19"/>
      <c r="G111" s="19"/>
      <c r="H111" s="19"/>
      <c r="I111" s="18"/>
      <c r="J111" s="18"/>
      <c r="K111" s="18"/>
      <c r="L111" s="18"/>
      <c r="M111" s="20"/>
      <c r="N111" s="18"/>
      <c r="O111" s="18"/>
      <c r="P111" s="18"/>
      <c r="Q111" s="18"/>
      <c r="S111" s="21"/>
      <c r="T111" s="1"/>
      <c r="AC111" s="22"/>
      <c r="AD111" s="22"/>
      <c r="AE111" s="22"/>
      <c r="AF111" s="23"/>
    </row>
    <row r="112" spans="3:32" ht="15.75" customHeight="1">
      <c r="C112" s="24"/>
      <c r="D112" s="18"/>
      <c r="E112" s="18"/>
      <c r="F112" s="19"/>
      <c r="G112" s="19"/>
      <c r="H112" s="19"/>
      <c r="I112" s="18"/>
      <c r="J112" s="18"/>
      <c r="K112" s="18"/>
      <c r="L112" s="18"/>
      <c r="M112" s="20"/>
      <c r="N112" s="18"/>
      <c r="O112" s="18"/>
      <c r="P112" s="18"/>
      <c r="Q112" s="18"/>
      <c r="S112" s="21"/>
      <c r="T112" s="1"/>
      <c r="AC112" s="22"/>
      <c r="AD112" s="22"/>
      <c r="AE112" s="22"/>
      <c r="AF112" s="23"/>
    </row>
    <row r="113" spans="3:32" ht="15.75" customHeight="1">
      <c r="C113" s="24"/>
      <c r="D113" s="18"/>
      <c r="E113" s="18"/>
      <c r="F113" s="19"/>
      <c r="G113" s="19"/>
      <c r="H113" s="19"/>
      <c r="I113" s="18"/>
      <c r="J113" s="18"/>
      <c r="K113" s="18"/>
      <c r="L113" s="18"/>
      <c r="M113" s="20"/>
      <c r="N113" s="18"/>
      <c r="O113" s="18"/>
      <c r="P113" s="18"/>
      <c r="Q113" s="18"/>
      <c r="S113" s="21"/>
      <c r="T113" s="1"/>
      <c r="AC113" s="22"/>
      <c r="AD113" s="22"/>
      <c r="AE113" s="22"/>
      <c r="AF113" s="23"/>
    </row>
    <row r="114" spans="3:32" ht="15.75" customHeight="1">
      <c r="C114" s="24"/>
      <c r="D114" s="18"/>
      <c r="E114" s="18"/>
      <c r="F114" s="19"/>
      <c r="G114" s="19"/>
      <c r="H114" s="19"/>
      <c r="I114" s="18"/>
      <c r="J114" s="18"/>
      <c r="K114" s="18"/>
      <c r="L114" s="18"/>
      <c r="M114" s="20"/>
      <c r="N114" s="18"/>
      <c r="O114" s="18"/>
      <c r="P114" s="18"/>
      <c r="Q114" s="18"/>
      <c r="S114" s="21"/>
      <c r="T114" s="1"/>
      <c r="AC114" s="22"/>
      <c r="AD114" s="22"/>
      <c r="AE114" s="22"/>
      <c r="AF114" s="23"/>
    </row>
    <row r="115" spans="3:32" ht="15.75" customHeight="1">
      <c r="C115" s="24"/>
      <c r="D115" s="18"/>
      <c r="E115" s="18"/>
      <c r="F115" s="19"/>
      <c r="G115" s="19"/>
      <c r="H115" s="19"/>
      <c r="I115" s="18"/>
      <c r="J115" s="18"/>
      <c r="K115" s="18"/>
      <c r="L115" s="18"/>
      <c r="M115" s="20"/>
      <c r="N115" s="18"/>
      <c r="O115" s="18"/>
      <c r="P115" s="18"/>
      <c r="Q115" s="18"/>
      <c r="S115" s="21"/>
      <c r="T115" s="1"/>
      <c r="AC115" s="22"/>
      <c r="AD115" s="22"/>
      <c r="AE115" s="22"/>
      <c r="AF115" s="23"/>
    </row>
    <row r="116" spans="3:32" ht="15.75" customHeight="1">
      <c r="C116" s="24"/>
      <c r="D116" s="18"/>
      <c r="E116" s="18"/>
      <c r="F116" s="19"/>
      <c r="G116" s="19"/>
      <c r="H116" s="19"/>
      <c r="I116" s="18"/>
      <c r="J116" s="18"/>
      <c r="K116" s="18"/>
      <c r="L116" s="18"/>
      <c r="M116" s="20"/>
      <c r="N116" s="18"/>
      <c r="O116" s="18"/>
      <c r="P116" s="18"/>
      <c r="Q116" s="18"/>
      <c r="S116" s="21"/>
      <c r="T116" s="1"/>
      <c r="AC116" s="22"/>
      <c r="AD116" s="22"/>
      <c r="AE116" s="22"/>
      <c r="AF116" s="23"/>
    </row>
    <row r="117" spans="3:32" ht="15.75" customHeight="1">
      <c r="C117" s="24"/>
      <c r="D117" s="18"/>
      <c r="E117" s="18"/>
      <c r="F117" s="19"/>
      <c r="G117" s="19"/>
      <c r="H117" s="19"/>
      <c r="I117" s="18"/>
      <c r="J117" s="18"/>
      <c r="K117" s="18"/>
      <c r="L117" s="18"/>
      <c r="M117" s="20"/>
      <c r="N117" s="18"/>
      <c r="O117" s="18"/>
      <c r="P117" s="18"/>
      <c r="Q117" s="18"/>
      <c r="S117" s="21"/>
      <c r="T117" s="1"/>
      <c r="AC117" s="22"/>
      <c r="AD117" s="22"/>
      <c r="AE117" s="22"/>
      <c r="AF117" s="23"/>
    </row>
    <row r="118" spans="3:32" ht="15.75" customHeight="1">
      <c r="C118" s="24"/>
      <c r="D118" s="18"/>
      <c r="E118" s="18"/>
      <c r="F118" s="19"/>
      <c r="G118" s="19"/>
      <c r="H118" s="19"/>
      <c r="I118" s="18"/>
      <c r="J118" s="18"/>
      <c r="K118" s="18"/>
      <c r="L118" s="18"/>
      <c r="M118" s="20"/>
      <c r="N118" s="18"/>
      <c r="O118" s="18"/>
      <c r="P118" s="18"/>
      <c r="Q118" s="18"/>
      <c r="S118" s="21"/>
      <c r="T118" s="1"/>
      <c r="AC118" s="22"/>
      <c r="AD118" s="22"/>
      <c r="AE118" s="22"/>
      <c r="AF118" s="23"/>
    </row>
    <row r="119" spans="3:32" ht="15.75" customHeight="1">
      <c r="C119" s="24"/>
      <c r="D119" s="18"/>
      <c r="E119" s="18"/>
      <c r="F119" s="19"/>
      <c r="G119" s="19"/>
      <c r="H119" s="19"/>
      <c r="I119" s="18"/>
      <c r="J119" s="18"/>
      <c r="K119" s="18"/>
      <c r="L119" s="18"/>
      <c r="M119" s="20"/>
      <c r="N119" s="18"/>
      <c r="O119" s="18"/>
      <c r="P119" s="18"/>
      <c r="Q119" s="18"/>
      <c r="S119" s="21"/>
      <c r="T119" s="1"/>
      <c r="AC119" s="22"/>
      <c r="AD119" s="22"/>
      <c r="AE119" s="22"/>
      <c r="AF119" s="23"/>
    </row>
    <row r="120" spans="3:32" ht="15.75" customHeight="1">
      <c r="C120" s="24"/>
      <c r="D120" s="18"/>
      <c r="E120" s="18"/>
      <c r="F120" s="19"/>
      <c r="G120" s="19"/>
      <c r="H120" s="19"/>
      <c r="I120" s="18"/>
      <c r="J120" s="18"/>
      <c r="K120" s="18"/>
      <c r="L120" s="18"/>
      <c r="M120" s="20"/>
      <c r="N120" s="18"/>
      <c r="O120" s="18"/>
      <c r="P120" s="18"/>
      <c r="Q120" s="18"/>
      <c r="S120" s="21"/>
      <c r="T120" s="1"/>
      <c r="AC120" s="22"/>
      <c r="AD120" s="22"/>
      <c r="AE120" s="22"/>
      <c r="AF120" s="23"/>
    </row>
    <row r="121" spans="3:32" ht="15.75" customHeight="1">
      <c r="C121" s="24"/>
      <c r="D121" s="18"/>
      <c r="E121" s="18"/>
      <c r="F121" s="19"/>
      <c r="G121" s="19"/>
      <c r="H121" s="19"/>
      <c r="I121" s="18"/>
      <c r="J121" s="18"/>
      <c r="K121" s="18"/>
      <c r="L121" s="18"/>
      <c r="M121" s="20"/>
      <c r="N121" s="18"/>
      <c r="O121" s="18"/>
      <c r="P121" s="18"/>
      <c r="Q121" s="18"/>
      <c r="S121" s="21"/>
      <c r="T121" s="1"/>
      <c r="AC121" s="22"/>
      <c r="AD121" s="22"/>
      <c r="AE121" s="22"/>
      <c r="AF121" s="23"/>
    </row>
    <row r="122" spans="3:32" ht="15.75" customHeight="1">
      <c r="C122" s="24"/>
      <c r="D122" s="18"/>
      <c r="E122" s="18"/>
      <c r="F122" s="19"/>
      <c r="G122" s="19"/>
      <c r="H122" s="19"/>
      <c r="I122" s="18"/>
      <c r="J122" s="18"/>
      <c r="K122" s="18"/>
      <c r="L122" s="18"/>
      <c r="M122" s="20"/>
      <c r="N122" s="18"/>
      <c r="O122" s="18"/>
      <c r="P122" s="18"/>
      <c r="Q122" s="18"/>
      <c r="S122" s="21"/>
      <c r="T122" s="1"/>
      <c r="AC122" s="22"/>
      <c r="AD122" s="22"/>
      <c r="AE122" s="22"/>
      <c r="AF122" s="23"/>
    </row>
    <row r="123" spans="3:32" ht="15.75" customHeight="1">
      <c r="C123" s="24"/>
      <c r="D123" s="18"/>
      <c r="E123" s="18"/>
      <c r="F123" s="19"/>
      <c r="G123" s="19"/>
      <c r="H123" s="19"/>
      <c r="I123" s="18"/>
      <c r="J123" s="18"/>
      <c r="K123" s="18"/>
      <c r="L123" s="18"/>
      <c r="M123" s="20"/>
      <c r="N123" s="18"/>
      <c r="O123" s="18"/>
      <c r="P123" s="18"/>
      <c r="Q123" s="18"/>
      <c r="S123" s="21"/>
      <c r="T123" s="1"/>
      <c r="AC123" s="22"/>
      <c r="AD123" s="22"/>
      <c r="AE123" s="22"/>
      <c r="AF123" s="23"/>
    </row>
    <row r="124" spans="3:32" ht="15.75" customHeight="1">
      <c r="C124" s="24"/>
      <c r="D124" s="18"/>
      <c r="E124" s="18"/>
      <c r="F124" s="19"/>
      <c r="G124" s="19"/>
      <c r="H124" s="19"/>
      <c r="I124" s="18"/>
      <c r="J124" s="18"/>
      <c r="K124" s="18"/>
      <c r="L124" s="18"/>
      <c r="M124" s="20"/>
      <c r="N124" s="18"/>
      <c r="O124" s="18"/>
      <c r="P124" s="18"/>
      <c r="Q124" s="18"/>
      <c r="S124" s="21"/>
      <c r="T124" s="1"/>
      <c r="AC124" s="22"/>
      <c r="AD124" s="22"/>
      <c r="AE124" s="22"/>
      <c r="AF124" s="23"/>
    </row>
    <row r="125" spans="3:32" ht="15.75" customHeight="1">
      <c r="C125" s="24"/>
      <c r="D125" s="18"/>
      <c r="E125" s="18"/>
      <c r="F125" s="19"/>
      <c r="G125" s="19"/>
      <c r="H125" s="19"/>
      <c r="I125" s="18"/>
      <c r="J125" s="18"/>
      <c r="K125" s="18"/>
      <c r="L125" s="18"/>
      <c r="M125" s="20"/>
      <c r="N125" s="18"/>
      <c r="O125" s="18"/>
      <c r="P125" s="18"/>
      <c r="Q125" s="18"/>
      <c r="S125" s="21"/>
      <c r="T125" s="1"/>
      <c r="AC125" s="22"/>
      <c r="AD125" s="22"/>
      <c r="AE125" s="22"/>
      <c r="AF125" s="23"/>
    </row>
    <row r="126" spans="3:32" ht="15.75" customHeight="1">
      <c r="C126" s="24"/>
      <c r="D126" s="18"/>
      <c r="E126" s="18"/>
      <c r="F126" s="19"/>
      <c r="G126" s="19"/>
      <c r="H126" s="19"/>
      <c r="I126" s="18"/>
      <c r="J126" s="18"/>
      <c r="K126" s="18"/>
      <c r="L126" s="18"/>
      <c r="M126" s="20"/>
      <c r="N126" s="18"/>
      <c r="O126" s="18"/>
      <c r="P126" s="18"/>
      <c r="Q126" s="18"/>
      <c r="S126" s="21"/>
      <c r="T126" s="1"/>
      <c r="AC126" s="22"/>
      <c r="AD126" s="22"/>
      <c r="AE126" s="22"/>
      <c r="AF126" s="23"/>
    </row>
    <row r="127" spans="3:32" ht="15.75" customHeight="1">
      <c r="C127" s="24"/>
      <c r="D127" s="18"/>
      <c r="E127" s="18"/>
      <c r="F127" s="19"/>
      <c r="G127" s="19"/>
      <c r="H127" s="19"/>
      <c r="I127" s="18"/>
      <c r="J127" s="18"/>
      <c r="K127" s="18"/>
      <c r="L127" s="18"/>
      <c r="M127" s="20"/>
      <c r="N127" s="18"/>
      <c r="O127" s="18"/>
      <c r="P127" s="18"/>
      <c r="Q127" s="18"/>
      <c r="S127" s="21"/>
      <c r="T127" s="1"/>
      <c r="AC127" s="22"/>
      <c r="AD127" s="22"/>
      <c r="AE127" s="22"/>
      <c r="AF127" s="23"/>
    </row>
    <row r="128" spans="3:32" ht="15.75" customHeight="1">
      <c r="C128" s="24"/>
      <c r="D128" s="18"/>
      <c r="E128" s="18"/>
      <c r="F128" s="19"/>
      <c r="G128" s="19"/>
      <c r="H128" s="19"/>
      <c r="I128" s="18"/>
      <c r="J128" s="18"/>
      <c r="K128" s="18"/>
      <c r="L128" s="18"/>
      <c r="M128" s="20"/>
      <c r="N128" s="18"/>
      <c r="O128" s="18"/>
      <c r="P128" s="18"/>
      <c r="Q128" s="18"/>
      <c r="S128" s="21"/>
      <c r="T128" s="1"/>
      <c r="AC128" s="22"/>
      <c r="AD128" s="22"/>
      <c r="AE128" s="22"/>
      <c r="AF128" s="23"/>
    </row>
    <row r="129" spans="3:32" ht="15.75" customHeight="1">
      <c r="C129" s="24"/>
      <c r="D129" s="18"/>
      <c r="E129" s="18"/>
      <c r="F129" s="19"/>
      <c r="G129" s="19"/>
      <c r="H129" s="19"/>
      <c r="I129" s="18"/>
      <c r="J129" s="18"/>
      <c r="K129" s="18"/>
      <c r="L129" s="18"/>
      <c r="M129" s="20"/>
      <c r="N129" s="18"/>
      <c r="O129" s="18"/>
      <c r="P129" s="18"/>
      <c r="Q129" s="18"/>
      <c r="S129" s="21"/>
      <c r="T129" s="1"/>
      <c r="AC129" s="22"/>
      <c r="AD129" s="22"/>
      <c r="AE129" s="22"/>
      <c r="AF129" s="23"/>
    </row>
    <row r="130" spans="3:32" ht="15.75" customHeight="1">
      <c r="C130" s="24"/>
      <c r="D130" s="18"/>
      <c r="E130" s="18"/>
      <c r="F130" s="19"/>
      <c r="G130" s="19"/>
      <c r="H130" s="19"/>
      <c r="I130" s="18"/>
      <c r="J130" s="18"/>
      <c r="K130" s="18"/>
      <c r="L130" s="18"/>
      <c r="M130" s="20"/>
      <c r="N130" s="18"/>
      <c r="O130" s="18"/>
      <c r="P130" s="18"/>
      <c r="Q130" s="18"/>
      <c r="S130" s="21"/>
      <c r="T130" s="1"/>
      <c r="AC130" s="22"/>
      <c r="AD130" s="22"/>
      <c r="AE130" s="22"/>
      <c r="AF130" s="23"/>
    </row>
    <row r="131" spans="3:32" ht="15.75" customHeight="1">
      <c r="C131" s="24"/>
      <c r="D131" s="18"/>
      <c r="E131" s="18"/>
      <c r="F131" s="19"/>
      <c r="G131" s="19"/>
      <c r="H131" s="19"/>
      <c r="I131" s="18"/>
      <c r="J131" s="18"/>
      <c r="K131" s="18"/>
      <c r="L131" s="18"/>
      <c r="M131" s="20"/>
      <c r="N131" s="18"/>
      <c r="O131" s="18"/>
      <c r="P131" s="18"/>
      <c r="Q131" s="18"/>
      <c r="S131" s="21"/>
      <c r="T131" s="1"/>
      <c r="AC131" s="22"/>
      <c r="AD131" s="22"/>
      <c r="AE131" s="22"/>
      <c r="AF131" s="23"/>
    </row>
    <row r="132" spans="3:32" ht="15.75" customHeight="1">
      <c r="C132" s="24"/>
      <c r="D132" s="18"/>
      <c r="E132" s="18"/>
      <c r="F132" s="19"/>
      <c r="G132" s="19"/>
      <c r="H132" s="19"/>
      <c r="I132" s="18"/>
      <c r="J132" s="18"/>
      <c r="K132" s="18"/>
      <c r="L132" s="18"/>
      <c r="M132" s="20"/>
      <c r="N132" s="18"/>
      <c r="O132" s="18"/>
      <c r="P132" s="18"/>
      <c r="Q132" s="18"/>
      <c r="S132" s="21"/>
      <c r="T132" s="1"/>
      <c r="AC132" s="22"/>
      <c r="AD132" s="22"/>
      <c r="AE132" s="22"/>
      <c r="AF132" s="23"/>
    </row>
    <row r="133" spans="3:32" ht="15.75" customHeight="1">
      <c r="C133" s="24"/>
      <c r="D133" s="18"/>
      <c r="E133" s="18"/>
      <c r="F133" s="19"/>
      <c r="G133" s="19"/>
      <c r="H133" s="19"/>
      <c r="I133" s="18"/>
      <c r="J133" s="18"/>
      <c r="K133" s="18"/>
      <c r="L133" s="18"/>
      <c r="M133" s="20"/>
      <c r="N133" s="18"/>
      <c r="O133" s="18"/>
      <c r="P133" s="18"/>
      <c r="Q133" s="18"/>
      <c r="S133" s="21"/>
      <c r="T133" s="1"/>
      <c r="AC133" s="22"/>
      <c r="AD133" s="22"/>
      <c r="AE133" s="22"/>
      <c r="AF133" s="23"/>
    </row>
    <row r="134" spans="3:32" ht="15.75" customHeight="1">
      <c r="C134" s="24"/>
      <c r="D134" s="18"/>
      <c r="E134" s="18"/>
      <c r="F134" s="19"/>
      <c r="G134" s="19"/>
      <c r="H134" s="19"/>
      <c r="I134" s="18"/>
      <c r="J134" s="18"/>
      <c r="K134" s="18"/>
      <c r="L134" s="18"/>
      <c r="M134" s="20"/>
      <c r="N134" s="18"/>
      <c r="O134" s="18"/>
      <c r="P134" s="18"/>
      <c r="Q134" s="18"/>
      <c r="S134" s="21"/>
      <c r="T134" s="1"/>
      <c r="AC134" s="22"/>
      <c r="AD134" s="22"/>
      <c r="AE134" s="22"/>
      <c r="AF134" s="23"/>
    </row>
    <row r="135" spans="3:32" ht="15.75" customHeight="1">
      <c r="C135" s="24"/>
      <c r="D135" s="18"/>
      <c r="E135" s="18"/>
      <c r="F135" s="19"/>
      <c r="G135" s="19"/>
      <c r="H135" s="19"/>
      <c r="I135" s="18"/>
      <c r="J135" s="18"/>
      <c r="K135" s="18"/>
      <c r="L135" s="18"/>
      <c r="M135" s="20"/>
      <c r="N135" s="18"/>
      <c r="O135" s="18"/>
      <c r="P135" s="18"/>
      <c r="Q135" s="18"/>
      <c r="S135" s="21"/>
      <c r="T135" s="1"/>
      <c r="AC135" s="22"/>
      <c r="AD135" s="22"/>
      <c r="AE135" s="22"/>
      <c r="AF135" s="23"/>
    </row>
    <row r="136" spans="3:32" ht="15.75" customHeight="1">
      <c r="C136" s="24"/>
      <c r="D136" s="18"/>
      <c r="E136" s="18"/>
      <c r="F136" s="19"/>
      <c r="G136" s="19"/>
      <c r="H136" s="19"/>
      <c r="I136" s="18"/>
      <c r="J136" s="18"/>
      <c r="K136" s="18"/>
      <c r="L136" s="18"/>
      <c r="M136" s="20"/>
      <c r="N136" s="18"/>
      <c r="O136" s="18"/>
      <c r="P136" s="18"/>
      <c r="Q136" s="18"/>
      <c r="S136" s="21"/>
      <c r="T136" s="1"/>
      <c r="AC136" s="22"/>
      <c r="AD136" s="22"/>
      <c r="AE136" s="22"/>
      <c r="AF136" s="23"/>
    </row>
    <row r="137" spans="3:32" ht="15.75" customHeight="1">
      <c r="C137" s="24"/>
      <c r="D137" s="18"/>
      <c r="E137" s="18"/>
      <c r="F137" s="19"/>
      <c r="G137" s="19"/>
      <c r="H137" s="19"/>
      <c r="I137" s="18"/>
      <c r="J137" s="18"/>
      <c r="K137" s="18"/>
      <c r="L137" s="18"/>
      <c r="M137" s="20"/>
      <c r="N137" s="18"/>
      <c r="O137" s="18"/>
      <c r="P137" s="18"/>
      <c r="Q137" s="18"/>
      <c r="S137" s="21"/>
      <c r="T137" s="1"/>
      <c r="AC137" s="22"/>
      <c r="AD137" s="22"/>
      <c r="AE137" s="22"/>
      <c r="AF137" s="23"/>
    </row>
    <row r="138" spans="3:32" ht="15.75" customHeight="1">
      <c r="C138" s="24"/>
      <c r="D138" s="18"/>
      <c r="E138" s="18"/>
      <c r="F138" s="19"/>
      <c r="G138" s="19"/>
      <c r="H138" s="19"/>
      <c r="I138" s="18"/>
      <c r="J138" s="18"/>
      <c r="K138" s="18"/>
      <c r="L138" s="18"/>
      <c r="M138" s="20"/>
      <c r="N138" s="18"/>
      <c r="O138" s="18"/>
      <c r="P138" s="18"/>
      <c r="Q138" s="18"/>
      <c r="S138" s="21"/>
      <c r="T138" s="1"/>
      <c r="AC138" s="22"/>
      <c r="AD138" s="22"/>
      <c r="AE138" s="22"/>
      <c r="AF138" s="23"/>
    </row>
    <row r="139" spans="3:32" ht="15.75" customHeight="1">
      <c r="C139" s="24"/>
      <c r="D139" s="18"/>
      <c r="E139" s="18"/>
      <c r="F139" s="19"/>
      <c r="G139" s="19"/>
      <c r="H139" s="19"/>
      <c r="I139" s="18"/>
      <c r="J139" s="18"/>
      <c r="K139" s="18"/>
      <c r="L139" s="18"/>
      <c r="M139" s="20"/>
      <c r="N139" s="18"/>
      <c r="O139" s="18"/>
      <c r="P139" s="18"/>
      <c r="Q139" s="18"/>
      <c r="S139" s="21"/>
      <c r="T139" s="1"/>
      <c r="AC139" s="22"/>
      <c r="AD139" s="22"/>
      <c r="AE139" s="22"/>
      <c r="AF139" s="23"/>
    </row>
    <row r="140" spans="3:32" ht="15.75" customHeight="1">
      <c r="C140" s="24"/>
      <c r="D140" s="18"/>
      <c r="E140" s="18"/>
      <c r="F140" s="19"/>
      <c r="G140" s="19"/>
      <c r="H140" s="19"/>
      <c r="I140" s="18"/>
      <c r="J140" s="18"/>
      <c r="K140" s="18"/>
      <c r="L140" s="18"/>
      <c r="M140" s="20"/>
      <c r="N140" s="18"/>
      <c r="O140" s="18"/>
      <c r="P140" s="18"/>
      <c r="Q140" s="18"/>
      <c r="S140" s="21"/>
      <c r="T140" s="1"/>
      <c r="AC140" s="22"/>
      <c r="AD140" s="22"/>
      <c r="AE140" s="22"/>
      <c r="AF140" s="23"/>
    </row>
    <row r="141" spans="3:32" ht="15.75" customHeight="1">
      <c r="C141" s="24"/>
      <c r="D141" s="18"/>
      <c r="E141" s="18"/>
      <c r="F141" s="19"/>
      <c r="G141" s="19"/>
      <c r="H141" s="19"/>
      <c r="I141" s="18"/>
      <c r="J141" s="18"/>
      <c r="K141" s="18"/>
      <c r="L141" s="18"/>
      <c r="M141" s="20"/>
      <c r="N141" s="18"/>
      <c r="O141" s="18"/>
      <c r="P141" s="18"/>
      <c r="Q141" s="18"/>
      <c r="S141" s="21"/>
      <c r="T141" s="1"/>
      <c r="AC141" s="22"/>
      <c r="AD141" s="22"/>
      <c r="AE141" s="22"/>
      <c r="AF141" s="23"/>
    </row>
    <row r="142" spans="3:32" ht="15.75" customHeight="1">
      <c r="C142" s="24"/>
      <c r="D142" s="18"/>
      <c r="E142" s="18"/>
      <c r="F142" s="19"/>
      <c r="G142" s="19"/>
      <c r="H142" s="19"/>
      <c r="I142" s="18"/>
      <c r="J142" s="18"/>
      <c r="K142" s="18"/>
      <c r="L142" s="18"/>
      <c r="M142" s="20"/>
      <c r="N142" s="18"/>
      <c r="O142" s="18"/>
      <c r="P142" s="18"/>
      <c r="Q142" s="18"/>
      <c r="S142" s="21"/>
      <c r="T142" s="1"/>
      <c r="AC142" s="22"/>
      <c r="AD142" s="22"/>
      <c r="AE142" s="22"/>
      <c r="AF142" s="23"/>
    </row>
    <row r="143" spans="3:32" ht="15.75" customHeight="1">
      <c r="C143" s="24"/>
      <c r="D143" s="18"/>
      <c r="E143" s="18"/>
      <c r="F143" s="19"/>
      <c r="G143" s="19"/>
      <c r="H143" s="19"/>
      <c r="I143" s="18"/>
      <c r="J143" s="18"/>
      <c r="K143" s="18"/>
      <c r="L143" s="18"/>
      <c r="M143" s="20"/>
      <c r="N143" s="18"/>
      <c r="O143" s="18"/>
      <c r="P143" s="18"/>
      <c r="Q143" s="18"/>
      <c r="S143" s="21"/>
      <c r="T143" s="1"/>
      <c r="AC143" s="22"/>
      <c r="AD143" s="22"/>
      <c r="AE143" s="22"/>
      <c r="AF143" s="23"/>
    </row>
    <row r="144" spans="3:32" ht="15.75" customHeight="1">
      <c r="C144" s="24"/>
      <c r="D144" s="18"/>
      <c r="E144" s="18"/>
      <c r="F144" s="19"/>
      <c r="G144" s="19"/>
      <c r="H144" s="19"/>
      <c r="I144" s="18"/>
      <c r="J144" s="18"/>
      <c r="K144" s="18"/>
      <c r="L144" s="18"/>
      <c r="M144" s="20"/>
      <c r="N144" s="18"/>
      <c r="O144" s="18"/>
      <c r="P144" s="18"/>
      <c r="Q144" s="18"/>
      <c r="S144" s="21"/>
      <c r="T144" s="1"/>
      <c r="AC144" s="22"/>
      <c r="AD144" s="22"/>
      <c r="AE144" s="22"/>
      <c r="AF144" s="23"/>
    </row>
    <row r="145" spans="3:32" ht="15.75" customHeight="1">
      <c r="C145" s="24"/>
      <c r="D145" s="18"/>
      <c r="E145" s="18"/>
      <c r="F145" s="19"/>
      <c r="G145" s="19"/>
      <c r="H145" s="19"/>
      <c r="I145" s="18"/>
      <c r="J145" s="18"/>
      <c r="K145" s="18"/>
      <c r="L145" s="18"/>
      <c r="M145" s="20"/>
      <c r="N145" s="18"/>
      <c r="O145" s="18"/>
      <c r="P145" s="18"/>
      <c r="Q145" s="18"/>
      <c r="S145" s="21"/>
      <c r="T145" s="1"/>
      <c r="AC145" s="22"/>
      <c r="AD145" s="22"/>
      <c r="AE145" s="22"/>
      <c r="AF145" s="23"/>
    </row>
    <row r="146" spans="3:32" ht="15.75" customHeight="1">
      <c r="C146" s="24"/>
      <c r="D146" s="18"/>
      <c r="E146" s="18"/>
      <c r="F146" s="19"/>
      <c r="G146" s="19"/>
      <c r="H146" s="19"/>
      <c r="I146" s="18"/>
      <c r="J146" s="18"/>
      <c r="K146" s="18"/>
      <c r="L146" s="18"/>
      <c r="M146" s="20"/>
      <c r="N146" s="18"/>
      <c r="O146" s="18"/>
      <c r="P146" s="18"/>
      <c r="Q146" s="18"/>
      <c r="S146" s="21"/>
      <c r="T146" s="1"/>
      <c r="AC146" s="22"/>
      <c r="AD146" s="22"/>
      <c r="AE146" s="22"/>
      <c r="AF146" s="23"/>
    </row>
    <row r="147" spans="3:32" ht="15.75" customHeight="1">
      <c r="C147" s="24"/>
      <c r="D147" s="18"/>
      <c r="E147" s="18"/>
      <c r="F147" s="19"/>
      <c r="G147" s="19"/>
      <c r="H147" s="19"/>
      <c r="I147" s="18"/>
      <c r="J147" s="18"/>
      <c r="K147" s="18"/>
      <c r="L147" s="18"/>
      <c r="M147" s="20"/>
      <c r="N147" s="18"/>
      <c r="O147" s="18"/>
      <c r="P147" s="18"/>
      <c r="Q147" s="18"/>
      <c r="S147" s="21"/>
      <c r="T147" s="1"/>
      <c r="AC147" s="22"/>
      <c r="AD147" s="22"/>
      <c r="AE147" s="22"/>
      <c r="AF147" s="23"/>
    </row>
    <row r="148" spans="3:32" ht="15.75" customHeight="1">
      <c r="C148" s="24"/>
      <c r="D148" s="18"/>
      <c r="E148" s="18"/>
      <c r="F148" s="19"/>
      <c r="G148" s="19"/>
      <c r="H148" s="19"/>
      <c r="I148" s="18"/>
      <c r="J148" s="18"/>
      <c r="K148" s="18"/>
      <c r="L148" s="18"/>
      <c r="M148" s="20"/>
      <c r="N148" s="18"/>
      <c r="O148" s="18"/>
      <c r="P148" s="18"/>
      <c r="Q148" s="18"/>
      <c r="S148" s="21"/>
      <c r="T148" s="1"/>
      <c r="AC148" s="22"/>
      <c r="AD148" s="22"/>
      <c r="AE148" s="22"/>
      <c r="AF148" s="23"/>
    </row>
    <row r="149" spans="3:32" ht="15.75" customHeight="1">
      <c r="C149" s="24"/>
      <c r="D149" s="18"/>
      <c r="E149" s="18"/>
      <c r="F149" s="19"/>
      <c r="G149" s="19"/>
      <c r="H149" s="19"/>
      <c r="I149" s="18"/>
      <c r="J149" s="18"/>
      <c r="K149" s="18"/>
      <c r="L149" s="18"/>
      <c r="M149" s="20"/>
      <c r="N149" s="18"/>
      <c r="O149" s="18"/>
      <c r="P149" s="18"/>
      <c r="Q149" s="18"/>
      <c r="S149" s="21"/>
      <c r="T149" s="1"/>
      <c r="AC149" s="22"/>
      <c r="AD149" s="22"/>
      <c r="AE149" s="22"/>
      <c r="AF149" s="23"/>
    </row>
    <row r="150" spans="3:32" ht="15.75" customHeight="1">
      <c r="C150" s="24"/>
      <c r="D150" s="18"/>
      <c r="E150" s="18"/>
      <c r="F150" s="19"/>
      <c r="G150" s="19"/>
      <c r="H150" s="19"/>
      <c r="I150" s="18"/>
      <c r="J150" s="18"/>
      <c r="K150" s="18"/>
      <c r="L150" s="18"/>
      <c r="M150" s="20"/>
      <c r="N150" s="18"/>
      <c r="O150" s="18"/>
      <c r="P150" s="18"/>
      <c r="Q150" s="18"/>
      <c r="S150" s="21"/>
      <c r="T150" s="1"/>
      <c r="AC150" s="22"/>
      <c r="AD150" s="22"/>
      <c r="AE150" s="22"/>
      <c r="AF150" s="23"/>
    </row>
    <row r="151" spans="3:32" ht="15.75" customHeight="1">
      <c r="C151" s="3"/>
      <c r="D151" s="3"/>
      <c r="E151" s="3"/>
      <c r="F151" s="3"/>
      <c r="G151" s="3"/>
      <c r="H151" s="3"/>
      <c r="I151" s="3"/>
      <c r="J151" s="3"/>
      <c r="K151" s="3"/>
      <c r="L151" s="3"/>
      <c r="M151" s="3"/>
      <c r="N151" s="3"/>
      <c r="O151" s="3"/>
      <c r="P151" s="3"/>
      <c r="AF151" s="23"/>
    </row>
    <row r="152" spans="3:32" ht="15.75" customHeight="1">
      <c r="C152" s="3"/>
      <c r="D152" s="3"/>
      <c r="E152" s="3"/>
      <c r="F152" s="3"/>
      <c r="G152" s="3"/>
      <c r="H152" s="3"/>
      <c r="I152" s="3"/>
      <c r="J152" s="3"/>
      <c r="K152" s="3"/>
      <c r="L152" s="3"/>
      <c r="M152" s="3"/>
      <c r="N152" s="3"/>
      <c r="O152" s="3"/>
      <c r="P152" s="3"/>
      <c r="AF152" s="23"/>
    </row>
    <row r="153" spans="3:32" ht="15.75" customHeight="1">
      <c r="C153" s="3"/>
      <c r="D153" s="3"/>
      <c r="E153" s="3"/>
      <c r="F153" s="3"/>
      <c r="G153" s="3"/>
      <c r="H153" s="3"/>
      <c r="I153" s="3"/>
      <c r="J153" s="3"/>
      <c r="K153" s="3"/>
      <c r="L153" s="3"/>
      <c r="M153" s="3"/>
      <c r="N153" s="3"/>
      <c r="O153" s="3"/>
      <c r="P153" s="3"/>
      <c r="AF153" s="23"/>
    </row>
    <row r="154" spans="3:32" ht="15.75" customHeight="1">
      <c r="C154" s="3"/>
      <c r="D154" s="3"/>
      <c r="E154" s="3"/>
      <c r="F154" s="3"/>
      <c r="G154" s="3"/>
      <c r="H154" s="3"/>
      <c r="I154" s="3"/>
      <c r="J154" s="3"/>
      <c r="K154" s="3"/>
      <c r="L154" s="3"/>
      <c r="M154" s="3"/>
      <c r="N154" s="3"/>
      <c r="O154" s="3"/>
      <c r="P154" s="3"/>
      <c r="AF154" s="23"/>
    </row>
    <row r="155" spans="3:32" ht="15.75" customHeight="1">
      <c r="C155" s="3"/>
      <c r="D155" s="3"/>
      <c r="E155" s="3"/>
      <c r="F155" s="3"/>
      <c r="G155" s="3"/>
      <c r="H155" s="3"/>
      <c r="I155" s="3"/>
      <c r="J155" s="3"/>
      <c r="K155" s="3"/>
      <c r="L155" s="3"/>
      <c r="M155" s="3"/>
      <c r="N155" s="3"/>
      <c r="O155" s="3"/>
      <c r="P155" s="3"/>
      <c r="AF155" s="23"/>
    </row>
    <row r="156" spans="3:32" ht="15.75" customHeight="1">
      <c r="C156" s="3"/>
      <c r="D156" s="3"/>
      <c r="E156" s="3"/>
      <c r="F156" s="3"/>
      <c r="G156" s="3"/>
      <c r="H156" s="3"/>
      <c r="I156" s="3"/>
      <c r="J156" s="3"/>
      <c r="K156" s="3"/>
      <c r="L156" s="3"/>
      <c r="M156" s="3"/>
      <c r="N156" s="3"/>
      <c r="O156" s="3"/>
      <c r="P156" s="3"/>
      <c r="AF156" s="23"/>
    </row>
    <row r="157" spans="3:32" ht="15.75" customHeight="1">
      <c r="C157" s="3"/>
      <c r="D157" s="3"/>
      <c r="E157" s="3"/>
      <c r="F157" s="3"/>
      <c r="G157" s="3"/>
      <c r="H157" s="3"/>
      <c r="I157" s="3"/>
      <c r="J157" s="3"/>
      <c r="K157" s="3"/>
      <c r="L157" s="3"/>
      <c r="M157" s="3"/>
      <c r="N157" s="3"/>
      <c r="O157" s="3"/>
      <c r="P157" s="3"/>
      <c r="AF157" s="23"/>
    </row>
    <row r="158" spans="3:32" ht="15.75" customHeight="1">
      <c r="C158" s="3"/>
      <c r="D158" s="3"/>
      <c r="E158" s="3"/>
      <c r="F158" s="3"/>
      <c r="G158" s="3"/>
      <c r="H158" s="3"/>
      <c r="I158" s="3"/>
      <c r="J158" s="3"/>
      <c r="K158" s="3"/>
      <c r="L158" s="3"/>
      <c r="M158" s="3"/>
      <c r="N158" s="3"/>
      <c r="O158" s="3"/>
      <c r="P158" s="3"/>
      <c r="AF158" s="23"/>
    </row>
    <row r="159" spans="3:32" ht="15.75" customHeight="1">
      <c r="C159" s="3"/>
      <c r="D159" s="3"/>
      <c r="E159" s="3"/>
      <c r="F159" s="3"/>
      <c r="G159" s="3"/>
      <c r="H159" s="3"/>
      <c r="I159" s="3"/>
      <c r="J159" s="3"/>
      <c r="K159" s="3"/>
      <c r="L159" s="3"/>
      <c r="M159" s="3"/>
      <c r="N159" s="3"/>
      <c r="O159" s="3"/>
      <c r="P159" s="3"/>
      <c r="AF159" s="23"/>
    </row>
    <row r="160" spans="3:32" ht="15.75" customHeight="1">
      <c r="C160" s="3"/>
      <c r="D160" s="3"/>
      <c r="E160" s="3"/>
      <c r="F160" s="3"/>
      <c r="G160" s="3"/>
      <c r="H160" s="3"/>
      <c r="I160" s="3"/>
      <c r="J160" s="3"/>
      <c r="K160" s="3"/>
      <c r="L160" s="3"/>
      <c r="M160" s="3"/>
      <c r="N160" s="3"/>
      <c r="O160" s="3"/>
      <c r="P160" s="3"/>
      <c r="AF160" s="23"/>
    </row>
    <row r="161" spans="3:32" ht="15.75" customHeight="1">
      <c r="C161" s="3"/>
      <c r="D161" s="3"/>
      <c r="E161" s="3"/>
      <c r="F161" s="3"/>
      <c r="G161" s="3"/>
      <c r="H161" s="3"/>
      <c r="I161" s="3"/>
      <c r="J161" s="3"/>
      <c r="K161" s="3"/>
      <c r="L161" s="3"/>
      <c r="M161" s="3"/>
      <c r="N161" s="3"/>
      <c r="O161" s="3"/>
      <c r="P161" s="3"/>
      <c r="AF161" s="23"/>
    </row>
    <row r="162" spans="3:32" ht="15.75" customHeight="1">
      <c r="C162" s="3"/>
      <c r="D162" s="3"/>
      <c r="E162" s="3"/>
      <c r="F162" s="3"/>
      <c r="G162" s="3"/>
      <c r="H162" s="3"/>
      <c r="I162" s="3"/>
      <c r="J162" s="3"/>
      <c r="K162" s="3"/>
      <c r="L162" s="3"/>
      <c r="M162" s="3"/>
      <c r="N162" s="3"/>
      <c r="O162" s="3"/>
      <c r="P162" s="3"/>
      <c r="AF162" s="23"/>
    </row>
    <row r="163" spans="3:32" ht="15.75" customHeight="1">
      <c r="C163" s="3"/>
      <c r="D163" s="3"/>
      <c r="E163" s="3"/>
      <c r="F163" s="3"/>
      <c r="G163" s="3"/>
      <c r="H163" s="3"/>
      <c r="I163" s="3"/>
      <c r="J163" s="3"/>
      <c r="K163" s="3"/>
      <c r="L163" s="3"/>
      <c r="M163" s="3"/>
      <c r="N163" s="3"/>
      <c r="O163" s="3"/>
      <c r="P163" s="3"/>
      <c r="AF163" s="23"/>
    </row>
    <row r="164" spans="3:32" ht="15.75" customHeight="1">
      <c r="C164" s="3"/>
      <c r="D164" s="3"/>
      <c r="E164" s="3"/>
      <c r="F164" s="3"/>
      <c r="G164" s="3"/>
      <c r="H164" s="3"/>
      <c r="I164" s="3"/>
      <c r="J164" s="3"/>
      <c r="K164" s="3"/>
      <c r="L164" s="3"/>
      <c r="M164" s="3"/>
      <c r="N164" s="3"/>
      <c r="O164" s="3"/>
      <c r="P164" s="3"/>
      <c r="AF164" s="23"/>
    </row>
    <row r="165" spans="3:32" ht="15.75" customHeight="1">
      <c r="C165" s="3"/>
      <c r="D165" s="3"/>
      <c r="E165" s="3"/>
      <c r="F165" s="3"/>
      <c r="G165" s="3"/>
      <c r="H165" s="3"/>
      <c r="I165" s="3"/>
      <c r="J165" s="3"/>
      <c r="K165" s="3"/>
      <c r="L165" s="3"/>
      <c r="M165" s="3"/>
      <c r="N165" s="3"/>
      <c r="O165" s="3"/>
      <c r="P165" s="3"/>
      <c r="AF165" s="23"/>
    </row>
    <row r="166" spans="3:32" ht="15.75" customHeight="1">
      <c r="C166" s="3"/>
      <c r="D166" s="3"/>
      <c r="E166" s="3"/>
      <c r="F166" s="3"/>
      <c r="G166" s="3"/>
      <c r="H166" s="3"/>
      <c r="I166" s="3"/>
      <c r="J166" s="3"/>
      <c r="K166" s="3"/>
      <c r="L166" s="3"/>
      <c r="M166" s="3"/>
      <c r="N166" s="3"/>
      <c r="O166" s="3"/>
      <c r="P166" s="3"/>
      <c r="AF166" s="23"/>
    </row>
    <row r="167" spans="3:32" ht="15.75" customHeight="1">
      <c r="C167" s="3"/>
      <c r="D167" s="3"/>
      <c r="E167" s="3"/>
      <c r="F167" s="3"/>
      <c r="G167" s="3"/>
      <c r="H167" s="3"/>
      <c r="I167" s="3"/>
      <c r="J167" s="3"/>
      <c r="K167" s="3"/>
      <c r="L167" s="3"/>
      <c r="M167" s="3"/>
      <c r="N167" s="3"/>
      <c r="O167" s="3"/>
      <c r="P167" s="3"/>
      <c r="AF167" s="23"/>
    </row>
    <row r="168" spans="3:32" ht="15.75" customHeight="1">
      <c r="C168" s="3"/>
      <c r="D168" s="3"/>
      <c r="E168" s="3"/>
      <c r="F168" s="3"/>
      <c r="G168" s="3"/>
      <c r="H168" s="3"/>
      <c r="I168" s="3"/>
      <c r="J168" s="3"/>
      <c r="K168" s="3"/>
      <c r="L168" s="3"/>
      <c r="M168" s="3"/>
      <c r="N168" s="3"/>
      <c r="O168" s="3"/>
      <c r="P168" s="3"/>
      <c r="AF168" s="23"/>
    </row>
    <row r="169" spans="3:32" ht="15.75" customHeight="1">
      <c r="C169" s="3"/>
      <c r="D169" s="3"/>
      <c r="E169" s="3"/>
      <c r="F169" s="3"/>
      <c r="G169" s="3"/>
      <c r="H169" s="3"/>
      <c r="I169" s="3"/>
      <c r="J169" s="3"/>
      <c r="K169" s="3"/>
      <c r="L169" s="3"/>
      <c r="M169" s="3"/>
      <c r="N169" s="3"/>
      <c r="O169" s="3"/>
      <c r="P169" s="3"/>
      <c r="AF169" s="23"/>
    </row>
    <row r="170" spans="3:32" ht="15.75" customHeight="1">
      <c r="E170" s="2"/>
      <c r="P170" s="2"/>
      <c r="AF170" s="23"/>
    </row>
    <row r="171" spans="3:32" ht="15.75" customHeight="1">
      <c r="E171" s="2"/>
      <c r="P171" s="2"/>
      <c r="AF171" s="23"/>
    </row>
    <row r="172" spans="3:32" ht="15.75" customHeight="1">
      <c r="E172" s="2"/>
      <c r="P172" s="2"/>
      <c r="AF172" s="23"/>
    </row>
    <row r="173" spans="3:32" ht="15.75" customHeight="1">
      <c r="E173" s="2"/>
      <c r="P173" s="2"/>
      <c r="AF173" s="23"/>
    </row>
    <row r="174" spans="3:32" ht="15.75" customHeight="1">
      <c r="E174" s="2"/>
      <c r="P174" s="2"/>
      <c r="AF174" s="23"/>
    </row>
    <row r="175" spans="3:32" ht="15.75" customHeight="1">
      <c r="E175" s="2"/>
      <c r="P175" s="2"/>
      <c r="AF175" s="23"/>
    </row>
    <row r="176" spans="3:32" ht="15.75" customHeight="1">
      <c r="E176" s="2"/>
      <c r="P176" s="2"/>
      <c r="AF176" s="23"/>
    </row>
    <row r="177" spans="5:32" ht="15.75" customHeight="1">
      <c r="E177" s="2"/>
      <c r="P177" s="2"/>
      <c r="AF177" s="23"/>
    </row>
    <row r="178" spans="5:32" ht="15.75" customHeight="1">
      <c r="E178" s="2"/>
      <c r="P178" s="2"/>
      <c r="AF178" s="23"/>
    </row>
    <row r="179" spans="5:32" ht="15.75" customHeight="1">
      <c r="E179" s="2"/>
      <c r="P179" s="2"/>
      <c r="AF179" s="23"/>
    </row>
    <row r="180" spans="5:32" ht="15.75" customHeight="1">
      <c r="E180" s="2"/>
      <c r="P180" s="2"/>
      <c r="AF180" s="23"/>
    </row>
    <row r="181" spans="5:32" ht="15.75" customHeight="1">
      <c r="E181" s="2"/>
      <c r="P181" s="2"/>
      <c r="AF181" s="23"/>
    </row>
    <row r="182" spans="5:32" ht="15.75" customHeight="1">
      <c r="E182" s="2"/>
      <c r="P182" s="2"/>
      <c r="AF182" s="23"/>
    </row>
    <row r="183" spans="5:32" ht="15.75" customHeight="1">
      <c r="E183" s="2"/>
      <c r="P183" s="2"/>
      <c r="AF183" s="23"/>
    </row>
    <row r="184" spans="5:32" ht="15.75" customHeight="1">
      <c r="E184" s="2"/>
      <c r="P184" s="2"/>
      <c r="AF184" s="23"/>
    </row>
    <row r="185" spans="5:32" ht="15.75" customHeight="1">
      <c r="E185" s="2"/>
      <c r="P185" s="2"/>
      <c r="AF185" s="23"/>
    </row>
    <row r="186" spans="5:32" ht="15.75" customHeight="1">
      <c r="E186" s="2"/>
      <c r="P186" s="2"/>
      <c r="AF186" s="23"/>
    </row>
    <row r="187" spans="5:32" ht="15.75" customHeight="1">
      <c r="E187" s="2"/>
      <c r="P187" s="2"/>
      <c r="AF187" s="23"/>
    </row>
    <row r="188" spans="5:32" ht="15.75" customHeight="1">
      <c r="E188" s="2"/>
      <c r="P188" s="2"/>
      <c r="AF188" s="23"/>
    </row>
    <row r="189" spans="5:32" ht="15.75" customHeight="1">
      <c r="E189" s="2"/>
      <c r="P189" s="2"/>
      <c r="AF189" s="23"/>
    </row>
    <row r="190" spans="5:32" ht="15.75" customHeight="1">
      <c r="E190" s="2"/>
      <c r="P190" s="2"/>
      <c r="AF190" s="23"/>
    </row>
    <row r="191" spans="5:32" ht="15.75" customHeight="1">
      <c r="E191" s="2"/>
      <c r="P191" s="2"/>
      <c r="AF191" s="23"/>
    </row>
    <row r="192" spans="5: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229" priority="1" operator="lessThan">
      <formula>100</formula>
    </cfRule>
  </conditionalFormatting>
  <conditionalFormatting sqref="Q1:Q3 Q57:Q1000">
    <cfRule type="cellIs" dxfId="228" priority="2" operator="lessThan">
      <formula>100</formula>
    </cfRule>
  </conditionalFormatting>
  <conditionalFormatting sqref="I1:I3 I57:I1000">
    <cfRule type="cellIs" dxfId="227" priority="3" operator="lessThan">
      <formula>0.05</formula>
    </cfRule>
  </conditionalFormatting>
  <conditionalFormatting sqref="I4:I17">
    <cfRule type="cellIs" dxfId="226" priority="4" operator="lessThan">
      <formula>0.05</formula>
    </cfRule>
  </conditionalFormatting>
  <conditionalFormatting sqref="I18:I56">
    <cfRule type="cellIs" dxfId="225" priority="5" operator="lessThan">
      <formula>0.05</formula>
    </cfRule>
  </conditionalFormatting>
  <conditionalFormatting sqref="Q4:Q56">
    <cfRule type="cellIs" dxfId="224" priority="6" operator="lessThan">
      <formula>100</formula>
    </cfRule>
  </conditionalFormatting>
  <conditionalFormatting sqref="Q4:Q56">
    <cfRule type="cellIs" dxfId="223" priority="7" operator="lessThan">
      <formula>100</formula>
    </cfRule>
  </conditionalFormatting>
  <pageMargins left="0.7" right="0.7" top="0.75" bottom="0.75" header="0" footer="0"/>
  <pageSetup orientation="portrait"/>
  <legacyDrawing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22.1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Info!B1:BJ5000""),4,FALSE),"""")"),"Punchau Lawn Aerator Shoes w/Metal Buckles and 3 Straps - Heavy Duty Spiked Sandals for Aerating Your Lawn or Yard")</f>
        <v>Punchau Lawn Aerator Shoes w/Metal Buckles and 3 Straps - Heavy Duty Spiked Sandals for Aerating Your Lawn or Yard</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Info!B1:BJ5000""),3,FALSE),"""")"),"B07VHK1YHG")</f>
        <v>B07VHK1YHG</v>
      </c>
      <c r="B2" s="4" t="s">
        <v>904</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6.8787166918049181</v>
      </c>
      <c r="D3" s="8">
        <f>SUM(D4:D99819)</f>
        <v>140</v>
      </c>
      <c r="E3" s="8"/>
      <c r="F3" s="9">
        <f t="shared" ref="F3:G3" si="0">SUM(F4:F99819)</f>
        <v>1936.6000000000006</v>
      </c>
      <c r="G3" s="9">
        <f t="shared" si="0"/>
        <v>-0.13</v>
      </c>
      <c r="H3" s="10">
        <f t="shared" ref="H3:H39" si="1">G3/F3*-1</f>
        <v>6.7127956211917775E-5</v>
      </c>
      <c r="I3" s="11">
        <f t="shared" ref="I3:I39" si="2">J3/F3</f>
        <v>3.9039187842204837E-2</v>
      </c>
      <c r="J3" s="9">
        <f>SUM(J4:J99819)</f>
        <v>75.603291175213911</v>
      </c>
      <c r="K3" s="9">
        <f t="shared" ref="K3:K39" si="3">J3/D3</f>
        <v>0.54002350839438507</v>
      </c>
      <c r="L3" s="8"/>
      <c r="M3" s="12"/>
      <c r="N3" s="13"/>
      <c r="O3" s="8" t="str">
        <f ca="1">IFERROR(__xludf.DUMMYFUNCTION("IFERROR(VLOOKUP(B2,IMPORTRANGE(""https://docs.google.com/spreadsheets/d/1owCo6kL_VFQ5nPTdNogErmCBLjNiktT1m3SzTrxu3R0/edit#gid=2146806407"",""Second Star - Compiled!b1:g5000""),2,FALSE),"""")"),"")</f>
        <v/>
      </c>
      <c r="P3" s="8"/>
      <c r="Q3" s="14"/>
      <c r="R3" s="13"/>
      <c r="S3" s="13"/>
      <c r="T3" s="13"/>
      <c r="U3" s="8">
        <f>SUM(U4:U99819)</f>
        <v>0</v>
      </c>
      <c r="V3" s="10">
        <f>AVERAGE(V4:V99819)</f>
        <v>0</v>
      </c>
      <c r="W3" s="9">
        <f>ROUND(AVERAGE(W4:W99819),2)</f>
        <v>0</v>
      </c>
      <c r="X3" s="8"/>
      <c r="Y3" s="8"/>
      <c r="Z3" s="8"/>
      <c r="AA3" s="8"/>
      <c r="AB3" s="8"/>
      <c r="AC3" s="15"/>
      <c r="AD3" s="9"/>
      <c r="AE3" s="9">
        <f>SUM(AE4:AE99819)</f>
        <v>0</v>
      </c>
      <c r="AF3" s="16"/>
    </row>
    <row r="4" spans="1:32" s="57" customFormat="1">
      <c r="A4" s="17" t="s">
        <v>48</v>
      </c>
      <c r="B4" s="2" t="s">
        <v>824</v>
      </c>
      <c r="C4" s="50">
        <v>10.99</v>
      </c>
      <c r="D4" s="51">
        <v>13</v>
      </c>
      <c r="E4" s="51">
        <v>0</v>
      </c>
      <c r="F4" s="51">
        <v>142.86999999999998</v>
      </c>
      <c r="G4" s="51">
        <v>0</v>
      </c>
      <c r="H4" s="51">
        <f t="shared" si="1"/>
        <v>0</v>
      </c>
      <c r="I4" s="51">
        <f t="shared" si="2"/>
        <v>-0.17883227176220809</v>
      </c>
      <c r="J4" s="51">
        <f t="shared" ref="J4:J38" si="4">F4*0.85+G4+AD4*D4+D4*AC4+AE4+AB4</f>
        <v>-25.549766666666667</v>
      </c>
      <c r="K4" s="51">
        <f t="shared" si="3"/>
        <v>-1.9653666666666667</v>
      </c>
      <c r="L4" s="51">
        <v>64</v>
      </c>
      <c r="M4" s="51">
        <f t="shared" ref="M4:M39" si="5">IFERROR(D4/L4,"-")</f>
        <v>0.203125</v>
      </c>
      <c r="N4" s="51">
        <v>80</v>
      </c>
      <c r="O4" s="51">
        <f t="shared" ref="O4:P4" si="6">D4/7</f>
        <v>1.8571428571428572</v>
      </c>
      <c r="P4" s="51">
        <f t="shared" si="6"/>
        <v>0</v>
      </c>
      <c r="Q4" s="51">
        <f t="shared" ref="Q4:Q39" si="7">ROUNDDOWN(N4/(O4+P4),0)</f>
        <v>43</v>
      </c>
      <c r="R4" s="52">
        <v>1005</v>
      </c>
      <c r="S4" s="53" t="s">
        <v>34</v>
      </c>
      <c r="T4" s="54" t="s">
        <v>34</v>
      </c>
      <c r="U4" s="52">
        <v>0</v>
      </c>
      <c r="V4" s="55">
        <f t="shared" ref="V4:V39" si="8">IFERROR(U4/D4,0)</f>
        <v>0</v>
      </c>
      <c r="W4" s="55">
        <f t="shared" ref="W4:W39" si="9">IFERROR(G4/(U4+X4)*-1,0)</f>
        <v>0</v>
      </c>
      <c r="X4" s="52">
        <v>0</v>
      </c>
      <c r="Y4" s="56" t="s">
        <v>35</v>
      </c>
      <c r="Z4" s="56">
        <f t="shared" ref="Z4:Z10" si="10">IF(OR(Y4="UsLargeStandardSize",Y4="UsSmallStandardSize"),-0.69,-0.48)</f>
        <v>-0.69</v>
      </c>
      <c r="AA4" s="55">
        <v>0.18836574074074069</v>
      </c>
      <c r="AB4" s="55">
        <f t="shared" ref="AB4:AB17" si="11">IFERROR((Z4*AA4*N4)/4,0)</f>
        <v>-2.5994472222222216</v>
      </c>
      <c r="AC4" s="55">
        <v>-5.26</v>
      </c>
      <c r="AD4" s="55">
        <v>-5.8469091880341875</v>
      </c>
      <c r="AE4" s="55">
        <v>0</v>
      </c>
      <c r="AF4" s="55"/>
    </row>
    <row r="5" spans="1:32" s="57" customFormat="1" ht="15.75" customHeight="1">
      <c r="A5" s="2" t="s">
        <v>49</v>
      </c>
      <c r="B5" s="2" t="s">
        <v>905</v>
      </c>
      <c r="C5" s="51">
        <v>11.99</v>
      </c>
      <c r="D5" s="51">
        <v>16</v>
      </c>
      <c r="E5" s="51">
        <v>0</v>
      </c>
      <c r="F5" s="51">
        <v>182.84</v>
      </c>
      <c r="G5" s="51">
        <v>0</v>
      </c>
      <c r="H5" s="51">
        <f t="shared" si="1"/>
        <v>0</v>
      </c>
      <c r="I5" s="51">
        <f t="shared" si="2"/>
        <v>-0.13491874096928891</v>
      </c>
      <c r="J5" s="51">
        <f t="shared" si="4"/>
        <v>-24.668542598824786</v>
      </c>
      <c r="K5" s="51">
        <f t="shared" si="3"/>
        <v>-1.5417839124265491</v>
      </c>
      <c r="L5" s="51">
        <v>84</v>
      </c>
      <c r="M5" s="51">
        <f t="shared" si="5"/>
        <v>0.19047619047619047</v>
      </c>
      <c r="N5" s="51">
        <v>73</v>
      </c>
      <c r="O5" s="51">
        <f t="shared" ref="O5:P5" si="12">D5/7</f>
        <v>2.2857142857142856</v>
      </c>
      <c r="P5" s="51">
        <f t="shared" si="12"/>
        <v>0</v>
      </c>
      <c r="Q5" s="51">
        <f t="shared" si="7"/>
        <v>31</v>
      </c>
      <c r="R5" s="55">
        <v>1005</v>
      </c>
      <c r="S5" s="53" t="s">
        <v>34</v>
      </c>
      <c r="T5" s="54" t="s">
        <v>34</v>
      </c>
      <c r="U5" s="55">
        <v>0</v>
      </c>
      <c r="V5" s="55">
        <f t="shared" si="8"/>
        <v>0</v>
      </c>
      <c r="W5" s="55">
        <f t="shared" si="9"/>
        <v>0</v>
      </c>
      <c r="X5" s="55">
        <v>0</v>
      </c>
      <c r="Y5" s="55" t="s">
        <v>35</v>
      </c>
      <c r="Z5" s="56">
        <f t="shared" si="10"/>
        <v>-0.69</v>
      </c>
      <c r="AA5" s="55">
        <v>0.18836574074074069</v>
      </c>
      <c r="AB5" s="55">
        <f t="shared" si="11"/>
        <v>-2.371995590277777</v>
      </c>
      <c r="AC5" s="55">
        <v>-5.26</v>
      </c>
      <c r="AD5" s="55">
        <v>-5.8469091880341875</v>
      </c>
      <c r="AE5" s="55">
        <v>0</v>
      </c>
      <c r="AF5" s="55"/>
    </row>
    <row r="6" spans="1:32" s="57" customFormat="1" ht="15.75" customHeight="1">
      <c r="A6" s="2" t="s">
        <v>51</v>
      </c>
      <c r="B6" s="2" t="s">
        <v>906</v>
      </c>
      <c r="C6" s="51">
        <v>11.99</v>
      </c>
      <c r="D6" s="51">
        <v>22</v>
      </c>
      <c r="E6" s="51">
        <v>0</v>
      </c>
      <c r="F6" s="51">
        <v>263.78000000000009</v>
      </c>
      <c r="G6" s="51">
        <v>0</v>
      </c>
      <c r="H6" s="51">
        <f t="shared" si="1"/>
        <v>0</v>
      </c>
      <c r="I6" s="51">
        <f t="shared" si="2"/>
        <v>-8.102865860682236E-2</v>
      </c>
      <c r="J6" s="51">
        <f t="shared" si="4"/>
        <v>-21.373739567307609</v>
      </c>
      <c r="K6" s="51">
        <f t="shared" si="3"/>
        <v>-0.97153361669580041</v>
      </c>
      <c r="L6" s="51">
        <v>119</v>
      </c>
      <c r="M6" s="51">
        <f t="shared" si="5"/>
        <v>0.18487394957983194</v>
      </c>
      <c r="N6" s="51">
        <v>38</v>
      </c>
      <c r="O6" s="51">
        <f t="shared" ref="O6:P6" si="13">D6/7</f>
        <v>3.1428571428571428</v>
      </c>
      <c r="P6" s="51">
        <f t="shared" si="13"/>
        <v>0</v>
      </c>
      <c r="Q6" s="51">
        <f t="shared" si="7"/>
        <v>12</v>
      </c>
      <c r="R6" s="55">
        <v>1005</v>
      </c>
      <c r="S6" s="53" t="s">
        <v>34</v>
      </c>
      <c r="T6" s="54" t="s">
        <v>34</v>
      </c>
      <c r="U6" s="55">
        <v>0</v>
      </c>
      <c r="V6" s="55">
        <f t="shared" si="8"/>
        <v>0</v>
      </c>
      <c r="W6" s="55">
        <f t="shared" si="9"/>
        <v>0</v>
      </c>
      <c r="X6" s="55">
        <v>0</v>
      </c>
      <c r="Y6" s="55" t="s">
        <v>35</v>
      </c>
      <c r="Z6" s="56">
        <f t="shared" si="10"/>
        <v>-0.69</v>
      </c>
      <c r="AA6" s="55">
        <v>0.18836574074074069</v>
      </c>
      <c r="AB6" s="55">
        <f t="shared" si="11"/>
        <v>-1.2347374305555552</v>
      </c>
      <c r="AC6" s="55">
        <v>-5.26</v>
      </c>
      <c r="AD6" s="55">
        <v>-5.8469091880341875</v>
      </c>
      <c r="AE6" s="55">
        <v>0</v>
      </c>
      <c r="AF6" s="55"/>
    </row>
    <row r="7" spans="1:32" s="57" customFormat="1" ht="15.75" customHeight="1">
      <c r="A7" s="2" t="s">
        <v>53</v>
      </c>
      <c r="B7" s="2" t="s">
        <v>810</v>
      </c>
      <c r="C7" s="51">
        <v>15.99</v>
      </c>
      <c r="D7" s="51">
        <v>19</v>
      </c>
      <c r="E7" s="51">
        <v>0</v>
      </c>
      <c r="F7" s="51">
        <v>239.81000000000006</v>
      </c>
      <c r="G7" s="51">
        <v>0</v>
      </c>
      <c r="H7" s="51">
        <f t="shared" si="1"/>
        <v>0</v>
      </c>
      <c r="I7" s="51">
        <f t="shared" si="2"/>
        <v>-3.3787503025008554E-2</v>
      </c>
      <c r="J7" s="51">
        <f t="shared" si="4"/>
        <v>-8.1025811004273027</v>
      </c>
      <c r="K7" s="51">
        <f t="shared" si="3"/>
        <v>-0.42645163686459486</v>
      </c>
      <c r="L7" s="51">
        <v>91</v>
      </c>
      <c r="M7" s="51">
        <f t="shared" si="5"/>
        <v>0.2087912087912088</v>
      </c>
      <c r="N7" s="51">
        <v>28</v>
      </c>
      <c r="O7" s="51">
        <f t="shared" ref="O7:P7" si="14">D7/7</f>
        <v>2.7142857142857144</v>
      </c>
      <c r="P7" s="51">
        <f t="shared" si="14"/>
        <v>0</v>
      </c>
      <c r="Q7" s="51">
        <f t="shared" si="7"/>
        <v>10</v>
      </c>
      <c r="R7" s="55">
        <v>1005</v>
      </c>
      <c r="S7" s="53" t="s">
        <v>34</v>
      </c>
      <c r="T7" s="54" t="s">
        <v>34</v>
      </c>
      <c r="U7" s="55">
        <v>0</v>
      </c>
      <c r="V7" s="55">
        <f t="shared" si="8"/>
        <v>0</v>
      </c>
      <c r="W7" s="55">
        <f t="shared" si="9"/>
        <v>0</v>
      </c>
      <c r="X7" s="55">
        <v>0</v>
      </c>
      <c r="Y7" s="55" t="s">
        <v>35</v>
      </c>
      <c r="Z7" s="56">
        <f t="shared" si="10"/>
        <v>-0.69</v>
      </c>
      <c r="AA7" s="55">
        <v>0.18836574074074069</v>
      </c>
      <c r="AB7" s="55">
        <f t="shared" si="11"/>
        <v>-0.90980652777777749</v>
      </c>
      <c r="AC7" s="55">
        <v>-5.26</v>
      </c>
      <c r="AD7" s="55">
        <v>-5.8469091880341875</v>
      </c>
      <c r="AE7" s="55">
        <v>0</v>
      </c>
      <c r="AF7" s="55"/>
    </row>
    <row r="8" spans="1:32" s="57" customFormat="1" ht="15.75" customHeight="1">
      <c r="A8" s="2" t="s">
        <v>54</v>
      </c>
      <c r="B8" s="2" t="s">
        <v>907</v>
      </c>
      <c r="C8" s="51">
        <v>16.989999999999998</v>
      </c>
      <c r="D8" s="51">
        <v>11</v>
      </c>
      <c r="E8" s="51">
        <v>0</v>
      </c>
      <c r="F8" s="51">
        <v>173.89000000000001</v>
      </c>
      <c r="G8" s="51">
        <v>0</v>
      </c>
      <c r="H8" s="51">
        <f t="shared" si="1"/>
        <v>0</v>
      </c>
      <c r="I8" s="51">
        <f t="shared" si="2"/>
        <v>0.1447788582881997</v>
      </c>
      <c r="J8" s="51">
        <f t="shared" si="4"/>
        <v>25.175595667735045</v>
      </c>
      <c r="K8" s="51">
        <f t="shared" si="3"/>
        <v>2.2886905152486405</v>
      </c>
      <c r="L8" s="51">
        <v>63</v>
      </c>
      <c r="M8" s="51">
        <f t="shared" si="5"/>
        <v>0.17460317460317459</v>
      </c>
      <c r="N8" s="51">
        <v>14</v>
      </c>
      <c r="O8" s="51">
        <f t="shared" ref="O8:P8" si="15">D8/7</f>
        <v>1.5714285714285714</v>
      </c>
      <c r="P8" s="51">
        <f t="shared" si="15"/>
        <v>0</v>
      </c>
      <c r="Q8" s="51">
        <f t="shared" si="7"/>
        <v>8</v>
      </c>
      <c r="R8" s="55">
        <v>1005</v>
      </c>
      <c r="S8" s="53" t="s">
        <v>34</v>
      </c>
      <c r="T8" s="54" t="s">
        <v>34</v>
      </c>
      <c r="U8" s="55">
        <v>0</v>
      </c>
      <c r="V8" s="55">
        <f t="shared" si="8"/>
        <v>0</v>
      </c>
      <c r="W8" s="55">
        <f t="shared" si="9"/>
        <v>0</v>
      </c>
      <c r="X8" s="55">
        <v>0</v>
      </c>
      <c r="Y8" s="55" t="s">
        <v>35</v>
      </c>
      <c r="Z8" s="56">
        <f t="shared" si="10"/>
        <v>-0.69</v>
      </c>
      <c r="AA8" s="55">
        <v>0.18836574074074069</v>
      </c>
      <c r="AB8" s="55">
        <f t="shared" si="11"/>
        <v>-0.45490326388888874</v>
      </c>
      <c r="AC8" s="55">
        <v>-5.26</v>
      </c>
      <c r="AD8" s="55">
        <v>-5.8469091880341875</v>
      </c>
      <c r="AE8" s="55">
        <v>0</v>
      </c>
      <c r="AF8" s="55"/>
    </row>
    <row r="9" spans="1:32" s="57" customFormat="1" ht="15.75" customHeight="1">
      <c r="A9" s="2" t="s">
        <v>56</v>
      </c>
      <c r="B9" s="2" t="s">
        <v>907</v>
      </c>
      <c r="C9" s="51">
        <v>15.99</v>
      </c>
      <c r="D9" s="51">
        <v>8</v>
      </c>
      <c r="E9" s="51">
        <v>0</v>
      </c>
      <c r="F9" s="51">
        <v>126.91999999999997</v>
      </c>
      <c r="G9" s="51">
        <v>0</v>
      </c>
      <c r="H9" s="51">
        <f t="shared" si="1"/>
        <v>0</v>
      </c>
      <c r="I9" s="51">
        <f t="shared" si="2"/>
        <v>0.14735105257602196</v>
      </c>
      <c r="J9" s="51">
        <f t="shared" si="4"/>
        <v>18.701795592948702</v>
      </c>
      <c r="K9" s="51">
        <f t="shared" si="3"/>
        <v>2.3377244491185878</v>
      </c>
      <c r="L9" s="51">
        <v>82</v>
      </c>
      <c r="M9" s="51">
        <f t="shared" si="5"/>
        <v>9.7560975609756101E-2</v>
      </c>
      <c r="N9" s="51">
        <v>10</v>
      </c>
      <c r="O9" s="51">
        <f t="shared" ref="O9:P9" si="16">D9/7</f>
        <v>1.1428571428571428</v>
      </c>
      <c r="P9" s="51">
        <f t="shared" si="16"/>
        <v>0</v>
      </c>
      <c r="Q9" s="51">
        <f t="shared" si="7"/>
        <v>8</v>
      </c>
      <c r="R9" s="55">
        <v>1005</v>
      </c>
      <c r="S9" s="53" t="s">
        <v>34</v>
      </c>
      <c r="T9" s="54" t="s">
        <v>34</v>
      </c>
      <c r="U9" s="55">
        <v>0</v>
      </c>
      <c r="V9" s="55">
        <f t="shared" si="8"/>
        <v>0</v>
      </c>
      <c r="W9" s="55">
        <f t="shared" si="9"/>
        <v>0</v>
      </c>
      <c r="X9" s="55">
        <v>0</v>
      </c>
      <c r="Y9" s="55" t="s">
        <v>35</v>
      </c>
      <c r="Z9" s="56">
        <f t="shared" si="10"/>
        <v>-0.69</v>
      </c>
      <c r="AA9" s="55">
        <v>0.18836574074074069</v>
      </c>
      <c r="AB9" s="55">
        <f t="shared" si="11"/>
        <v>-0.3249309027777777</v>
      </c>
      <c r="AC9" s="55">
        <v>-5.26</v>
      </c>
      <c r="AD9" s="55">
        <v>-5.8469091880341875</v>
      </c>
      <c r="AE9" s="55">
        <v>0</v>
      </c>
      <c r="AF9" s="55"/>
    </row>
    <row r="10" spans="1:32" s="57" customFormat="1" ht="15.75" customHeight="1">
      <c r="A10" s="2" t="s">
        <v>58</v>
      </c>
      <c r="B10" s="2"/>
      <c r="C10" s="51">
        <v>17.989999999999998</v>
      </c>
      <c r="D10" s="51">
        <v>10</v>
      </c>
      <c r="E10" s="51">
        <v>0</v>
      </c>
      <c r="F10" s="51">
        <v>173.9</v>
      </c>
      <c r="G10" s="51">
        <v>0</v>
      </c>
      <c r="H10" s="51">
        <f t="shared" si="1"/>
        <v>0</v>
      </c>
      <c r="I10" s="51">
        <f t="shared" si="2"/>
        <v>0.21130481954950042</v>
      </c>
      <c r="J10" s="51">
        <f t="shared" si="4"/>
        <v>36.745908119658125</v>
      </c>
      <c r="K10" s="51">
        <f t="shared" si="3"/>
        <v>3.6745908119658126</v>
      </c>
      <c r="L10" s="51">
        <v>75</v>
      </c>
      <c r="M10" s="51">
        <f t="shared" si="5"/>
        <v>0.13333333333333333</v>
      </c>
      <c r="N10" s="51">
        <v>0</v>
      </c>
      <c r="O10" s="51">
        <f t="shared" ref="O10:P10" si="17">D10/7</f>
        <v>1.4285714285714286</v>
      </c>
      <c r="P10" s="51">
        <f t="shared" si="17"/>
        <v>0</v>
      </c>
      <c r="Q10" s="51">
        <f t="shared" si="7"/>
        <v>0</v>
      </c>
      <c r="R10" s="55">
        <v>1005</v>
      </c>
      <c r="S10" s="53" t="s">
        <v>34</v>
      </c>
      <c r="T10" s="54" t="s">
        <v>34</v>
      </c>
      <c r="U10" s="55">
        <v>0</v>
      </c>
      <c r="V10" s="55">
        <f t="shared" si="8"/>
        <v>0</v>
      </c>
      <c r="W10" s="55">
        <f t="shared" si="9"/>
        <v>0</v>
      </c>
      <c r="X10" s="55">
        <v>0</v>
      </c>
      <c r="Y10" s="55" t="s">
        <v>35</v>
      </c>
      <c r="Z10" s="56">
        <f t="shared" si="10"/>
        <v>-0.69</v>
      </c>
      <c r="AA10" s="55">
        <v>0.18836574074074069</v>
      </c>
      <c r="AB10" s="55">
        <f t="shared" si="11"/>
        <v>0</v>
      </c>
      <c r="AC10" s="55">
        <v>-5.26</v>
      </c>
      <c r="AD10" s="55">
        <v>-5.8469091880341875</v>
      </c>
      <c r="AE10" s="55">
        <v>0</v>
      </c>
      <c r="AF10" s="55"/>
    </row>
    <row r="11" spans="1:32" s="57" customFormat="1" ht="15.75" customHeight="1">
      <c r="A11" s="2" t="s">
        <v>60</v>
      </c>
      <c r="B11" s="2"/>
      <c r="C11" s="51" t="s">
        <v>397</v>
      </c>
      <c r="D11" s="51">
        <v>0</v>
      </c>
      <c r="E11" s="51">
        <v>0</v>
      </c>
      <c r="F11" s="51">
        <v>0</v>
      </c>
      <c r="G11" s="51">
        <v>0</v>
      </c>
      <c r="H11" s="51" t="e">
        <f t="shared" si="1"/>
        <v>#DIV/0!</v>
      </c>
      <c r="I11" s="51" t="e">
        <f t="shared" si="2"/>
        <v>#DIV/0!</v>
      </c>
      <c r="J11" s="51">
        <f t="shared" si="4"/>
        <v>0</v>
      </c>
      <c r="K11" s="51" t="e">
        <f t="shared" si="3"/>
        <v>#DIV/0!</v>
      </c>
      <c r="L11" s="51">
        <v>0</v>
      </c>
      <c r="M11" s="51" t="str">
        <f t="shared" si="5"/>
        <v>-</v>
      </c>
      <c r="N11" s="51">
        <v>0</v>
      </c>
      <c r="O11" s="51">
        <f t="shared" ref="O11:P11" si="18">D11/7</f>
        <v>0</v>
      </c>
      <c r="P11" s="51">
        <f t="shared" si="18"/>
        <v>0</v>
      </c>
      <c r="Q11" s="51" t="e">
        <f t="shared" si="7"/>
        <v>#DIV/0!</v>
      </c>
      <c r="R11" s="55">
        <v>1005</v>
      </c>
      <c r="S11" s="53" t="s">
        <v>34</v>
      </c>
      <c r="T11" s="54" t="s">
        <v>34</v>
      </c>
      <c r="U11" s="55">
        <v>0</v>
      </c>
      <c r="V11" s="55">
        <f t="shared" si="8"/>
        <v>0</v>
      </c>
      <c r="W11" s="55">
        <f t="shared" si="9"/>
        <v>0</v>
      </c>
      <c r="X11" s="55">
        <v>0</v>
      </c>
      <c r="Y11" s="55" t="e">
        <v>#N/A</v>
      </c>
      <c r="Z11" s="56" t="e">
        <f t="shared" ref="Z11:Z39" si="19">IF(OR(Y11="UsLargeStandardSize",Y11="UsSmallStandardSize"),-0.75,-0.48)</f>
        <v>#N/A</v>
      </c>
      <c r="AA11" s="55" t="e">
        <v>#N/A</v>
      </c>
      <c r="AB11" s="55">
        <f t="shared" si="11"/>
        <v>0</v>
      </c>
      <c r="AC11" s="55">
        <v>0</v>
      </c>
      <c r="AD11" s="55">
        <v>-5.8469091880341875</v>
      </c>
      <c r="AE11" s="55">
        <v>0</v>
      </c>
      <c r="AF11" s="55"/>
    </row>
    <row r="12" spans="1:32" s="57" customFormat="1" ht="15.75" customHeight="1">
      <c r="A12" s="2" t="s">
        <v>62</v>
      </c>
      <c r="B12" s="2"/>
      <c r="C12" s="51" t="s">
        <v>397</v>
      </c>
      <c r="D12" s="51">
        <v>0</v>
      </c>
      <c r="E12" s="51">
        <v>0</v>
      </c>
      <c r="F12" s="51">
        <v>0</v>
      </c>
      <c r="G12" s="51">
        <v>0</v>
      </c>
      <c r="H12" s="51" t="e">
        <f t="shared" si="1"/>
        <v>#DIV/0!</v>
      </c>
      <c r="I12" s="51" t="e">
        <f t="shared" si="2"/>
        <v>#DIV/0!</v>
      </c>
      <c r="J12" s="51">
        <f t="shared" si="4"/>
        <v>0</v>
      </c>
      <c r="K12" s="51" t="e">
        <f t="shared" si="3"/>
        <v>#DIV/0!</v>
      </c>
      <c r="L12" s="51">
        <v>0</v>
      </c>
      <c r="M12" s="51" t="str">
        <f t="shared" si="5"/>
        <v>-</v>
      </c>
      <c r="N12" s="51">
        <v>0</v>
      </c>
      <c r="O12" s="51">
        <f t="shared" ref="O12:P12" si="20">D12/7</f>
        <v>0</v>
      </c>
      <c r="P12" s="51">
        <f t="shared" si="20"/>
        <v>0</v>
      </c>
      <c r="Q12" s="51" t="e">
        <f t="shared" si="7"/>
        <v>#DIV/0!</v>
      </c>
      <c r="R12" s="55">
        <v>1005</v>
      </c>
      <c r="S12" s="53" t="s">
        <v>34</v>
      </c>
      <c r="T12" s="54" t="s">
        <v>34</v>
      </c>
      <c r="U12" s="55">
        <v>0</v>
      </c>
      <c r="V12" s="55">
        <f t="shared" si="8"/>
        <v>0</v>
      </c>
      <c r="W12" s="55">
        <f t="shared" si="9"/>
        <v>0</v>
      </c>
      <c r="X12" s="55">
        <v>0</v>
      </c>
      <c r="Y12" s="55" t="e">
        <v>#N/A</v>
      </c>
      <c r="Z12" s="56" t="e">
        <f t="shared" si="19"/>
        <v>#N/A</v>
      </c>
      <c r="AA12" s="55" t="e">
        <v>#N/A</v>
      </c>
      <c r="AB12" s="55">
        <f t="shared" si="11"/>
        <v>0</v>
      </c>
      <c r="AC12" s="55">
        <v>0</v>
      </c>
      <c r="AD12" s="55">
        <v>-5.8469091880341875</v>
      </c>
      <c r="AE12" s="55">
        <v>0</v>
      </c>
      <c r="AF12" s="55"/>
    </row>
    <row r="13" spans="1:32" s="57" customFormat="1" ht="15.75" customHeight="1">
      <c r="A13" s="2" t="s">
        <v>63</v>
      </c>
      <c r="B13" s="2"/>
      <c r="C13" s="51" t="s">
        <v>397</v>
      </c>
      <c r="D13" s="51">
        <v>0</v>
      </c>
      <c r="E13" s="51">
        <v>0</v>
      </c>
      <c r="F13" s="51">
        <v>0</v>
      </c>
      <c r="G13" s="51">
        <v>0</v>
      </c>
      <c r="H13" s="51" t="e">
        <f t="shared" si="1"/>
        <v>#DIV/0!</v>
      </c>
      <c r="I13" s="51" t="e">
        <f t="shared" si="2"/>
        <v>#DIV/0!</v>
      </c>
      <c r="J13" s="51">
        <f t="shared" si="4"/>
        <v>0</v>
      </c>
      <c r="K13" s="51" t="e">
        <f t="shared" si="3"/>
        <v>#DIV/0!</v>
      </c>
      <c r="L13" s="51">
        <v>0</v>
      </c>
      <c r="M13" s="51" t="str">
        <f t="shared" si="5"/>
        <v>-</v>
      </c>
      <c r="N13" s="51">
        <v>0</v>
      </c>
      <c r="O13" s="51">
        <f t="shared" ref="O13:P13" si="21">D13/7</f>
        <v>0</v>
      </c>
      <c r="P13" s="51">
        <f t="shared" si="21"/>
        <v>0</v>
      </c>
      <c r="Q13" s="51" t="e">
        <f t="shared" si="7"/>
        <v>#DIV/0!</v>
      </c>
      <c r="R13" s="55">
        <v>1005</v>
      </c>
      <c r="S13" s="53" t="s">
        <v>34</v>
      </c>
      <c r="T13" s="54" t="s">
        <v>34</v>
      </c>
      <c r="U13" s="55">
        <v>0</v>
      </c>
      <c r="V13" s="55">
        <f t="shared" si="8"/>
        <v>0</v>
      </c>
      <c r="W13" s="55">
        <f t="shared" si="9"/>
        <v>0</v>
      </c>
      <c r="X13" s="55">
        <v>0</v>
      </c>
      <c r="Y13" s="55" t="e">
        <v>#N/A</v>
      </c>
      <c r="Z13" s="56" t="e">
        <f t="shared" si="19"/>
        <v>#N/A</v>
      </c>
      <c r="AA13" s="55" t="e">
        <v>#N/A</v>
      </c>
      <c r="AB13" s="55">
        <f t="shared" si="11"/>
        <v>0</v>
      </c>
      <c r="AC13" s="55">
        <v>0</v>
      </c>
      <c r="AD13" s="55">
        <v>-5.8469091880341875</v>
      </c>
      <c r="AE13" s="55">
        <v>0</v>
      </c>
      <c r="AF13" s="55"/>
    </row>
    <row r="14" spans="1:32" s="57" customFormat="1" ht="15.75" customHeight="1">
      <c r="A14" s="2" t="s">
        <v>64</v>
      </c>
      <c r="B14" s="2"/>
      <c r="C14" s="51">
        <v>15.99</v>
      </c>
      <c r="D14" s="51">
        <v>20</v>
      </c>
      <c r="E14" s="51">
        <v>0</v>
      </c>
      <c r="F14" s="51">
        <v>310.80000000000007</v>
      </c>
      <c r="G14" s="51">
        <v>0</v>
      </c>
      <c r="H14" s="51">
        <f t="shared" si="1"/>
        <v>0</v>
      </c>
      <c r="I14" s="51">
        <f t="shared" si="2"/>
        <v>0.12451911819099337</v>
      </c>
      <c r="J14" s="51">
        <f t="shared" si="4"/>
        <v>38.700541933760746</v>
      </c>
      <c r="K14" s="51">
        <f t="shared" si="3"/>
        <v>1.9350270966880374</v>
      </c>
      <c r="L14" s="51">
        <v>115</v>
      </c>
      <c r="M14" s="51">
        <f t="shared" si="5"/>
        <v>0.17391304347826086</v>
      </c>
      <c r="N14" s="51">
        <v>4</v>
      </c>
      <c r="O14" s="51">
        <f t="shared" ref="O14:P14" si="22">D14/7</f>
        <v>2.8571428571428572</v>
      </c>
      <c r="P14" s="51">
        <f t="shared" si="22"/>
        <v>0</v>
      </c>
      <c r="Q14" s="51">
        <f t="shared" si="7"/>
        <v>1</v>
      </c>
      <c r="R14" s="55">
        <v>1005</v>
      </c>
      <c r="S14" s="53" t="s">
        <v>34</v>
      </c>
      <c r="T14" s="54" t="s">
        <v>34</v>
      </c>
      <c r="U14" s="55">
        <v>0</v>
      </c>
      <c r="V14" s="55">
        <f t="shared" si="8"/>
        <v>0</v>
      </c>
      <c r="W14" s="55">
        <f t="shared" si="9"/>
        <v>0</v>
      </c>
      <c r="X14" s="55">
        <v>0</v>
      </c>
      <c r="Y14" s="55" t="s">
        <v>35</v>
      </c>
      <c r="Z14" s="56">
        <f t="shared" si="19"/>
        <v>-0.75</v>
      </c>
      <c r="AA14" s="55">
        <v>0.18836574074074069</v>
      </c>
      <c r="AB14" s="55">
        <f t="shared" si="11"/>
        <v>-0.14127430555555553</v>
      </c>
      <c r="AC14" s="55">
        <v>-5.42</v>
      </c>
      <c r="AD14" s="55">
        <v>-5.8469091880341875</v>
      </c>
      <c r="AE14" s="55">
        <v>0</v>
      </c>
      <c r="AF14" s="55"/>
    </row>
    <row r="15" spans="1:32" s="57" customFormat="1" ht="15.75" customHeight="1">
      <c r="A15" s="2" t="s">
        <v>65</v>
      </c>
      <c r="B15" s="2" t="s">
        <v>810</v>
      </c>
      <c r="C15" s="51">
        <v>14.99</v>
      </c>
      <c r="D15" s="51">
        <v>7</v>
      </c>
      <c r="E15" s="51">
        <v>0</v>
      </c>
      <c r="F15" s="51">
        <v>106.92999999999999</v>
      </c>
      <c r="G15" s="51">
        <v>0</v>
      </c>
      <c r="H15" s="51">
        <f t="shared" si="1"/>
        <v>0</v>
      </c>
      <c r="I15" s="51">
        <f t="shared" si="2"/>
        <v>0.10879670198712152</v>
      </c>
      <c r="J15" s="51">
        <f t="shared" si="4"/>
        <v>11.633631343482904</v>
      </c>
      <c r="K15" s="51">
        <f t="shared" si="3"/>
        <v>1.6619473347832721</v>
      </c>
      <c r="L15" s="51">
        <v>73</v>
      </c>
      <c r="M15" s="51">
        <f t="shared" si="5"/>
        <v>9.5890410958904104E-2</v>
      </c>
      <c r="N15" s="51">
        <v>11</v>
      </c>
      <c r="O15" s="51">
        <f t="shared" ref="O15:P15" si="23">D15/7</f>
        <v>1</v>
      </c>
      <c r="P15" s="51">
        <f t="shared" si="23"/>
        <v>0</v>
      </c>
      <c r="Q15" s="51">
        <f t="shared" si="7"/>
        <v>11</v>
      </c>
      <c r="R15" s="55">
        <v>1005</v>
      </c>
      <c r="S15" s="53" t="s">
        <v>34</v>
      </c>
      <c r="T15" s="54" t="s">
        <v>34</v>
      </c>
      <c r="U15" s="55">
        <v>0</v>
      </c>
      <c r="V15" s="55">
        <f t="shared" si="8"/>
        <v>0</v>
      </c>
      <c r="W15" s="55">
        <f t="shared" si="9"/>
        <v>0</v>
      </c>
      <c r="X15" s="55">
        <v>0</v>
      </c>
      <c r="Y15" s="55" t="s">
        <v>35</v>
      </c>
      <c r="Z15" s="56">
        <f t="shared" si="19"/>
        <v>-0.75</v>
      </c>
      <c r="AA15" s="55">
        <v>0.18836574074074069</v>
      </c>
      <c r="AB15" s="55">
        <f t="shared" si="11"/>
        <v>-0.38850434027777769</v>
      </c>
      <c r="AC15" s="55">
        <v>-5.42</v>
      </c>
      <c r="AD15" s="55">
        <v>-5.8469091880341875</v>
      </c>
      <c r="AE15" s="55">
        <v>0</v>
      </c>
      <c r="AF15" s="55"/>
    </row>
    <row r="16" spans="1:32" s="57" customFormat="1" ht="15.75" customHeight="1">
      <c r="A16" s="2" t="s">
        <v>66</v>
      </c>
      <c r="B16" s="2"/>
      <c r="C16" s="51">
        <v>14.99</v>
      </c>
      <c r="D16" s="51">
        <v>13</v>
      </c>
      <c r="E16" s="51">
        <v>0</v>
      </c>
      <c r="F16" s="51">
        <v>200.87000000000003</v>
      </c>
      <c r="G16" s="51">
        <v>0</v>
      </c>
      <c r="H16" s="51">
        <f t="shared" si="1"/>
        <v>0</v>
      </c>
      <c r="I16" s="51">
        <f t="shared" si="2"/>
        <v>0.12082282349557222</v>
      </c>
      <c r="J16" s="51">
        <f t="shared" si="4"/>
        <v>24.269680555555595</v>
      </c>
      <c r="K16" s="51">
        <f t="shared" si="3"/>
        <v>1.8668985042735073</v>
      </c>
      <c r="L16" s="51">
        <v>43</v>
      </c>
      <c r="M16" s="51">
        <f t="shared" si="5"/>
        <v>0.30232558139534882</v>
      </c>
      <c r="N16" s="51">
        <v>0</v>
      </c>
      <c r="O16" s="51">
        <f t="shared" ref="O16:P16" si="24">D16/7</f>
        <v>1.8571428571428572</v>
      </c>
      <c r="P16" s="51">
        <f t="shared" si="24"/>
        <v>0</v>
      </c>
      <c r="Q16" s="51">
        <f t="shared" si="7"/>
        <v>0</v>
      </c>
      <c r="R16" s="55">
        <v>1005</v>
      </c>
      <c r="S16" s="53" t="s">
        <v>34</v>
      </c>
      <c r="T16" s="54" t="s">
        <v>34</v>
      </c>
      <c r="U16" s="55">
        <v>0</v>
      </c>
      <c r="V16" s="55">
        <f t="shared" si="8"/>
        <v>0</v>
      </c>
      <c r="W16" s="55">
        <f t="shared" si="9"/>
        <v>0</v>
      </c>
      <c r="X16" s="55">
        <v>0</v>
      </c>
      <c r="Y16" s="55" t="s">
        <v>35</v>
      </c>
      <c r="Z16" s="56">
        <f t="shared" si="19"/>
        <v>-0.75</v>
      </c>
      <c r="AA16" s="55">
        <v>0.18836574074074069</v>
      </c>
      <c r="AB16" s="55">
        <f t="shared" si="11"/>
        <v>0</v>
      </c>
      <c r="AC16" s="55">
        <v>-5.42</v>
      </c>
      <c r="AD16" s="55">
        <v>-5.8469091880341875</v>
      </c>
      <c r="AE16" s="55">
        <v>0</v>
      </c>
      <c r="AF16" s="55"/>
    </row>
    <row r="17" spans="1:32" s="57" customFormat="1" ht="15.75" customHeight="1">
      <c r="A17" s="2" t="s">
        <v>67</v>
      </c>
      <c r="B17" s="2"/>
      <c r="C17" s="51" t="s">
        <v>397</v>
      </c>
      <c r="D17" s="51">
        <v>0</v>
      </c>
      <c r="E17" s="51">
        <v>0</v>
      </c>
      <c r="F17" s="51">
        <v>0</v>
      </c>
      <c r="G17" s="51">
        <v>0</v>
      </c>
      <c r="H17" s="51" t="e">
        <f t="shared" si="1"/>
        <v>#DIV/0!</v>
      </c>
      <c r="I17" s="51" t="e">
        <f t="shared" si="2"/>
        <v>#DIV/0!</v>
      </c>
      <c r="J17" s="51">
        <f t="shared" si="4"/>
        <v>0</v>
      </c>
      <c r="K17" s="51" t="e">
        <f t="shared" si="3"/>
        <v>#DIV/0!</v>
      </c>
      <c r="L17" s="51">
        <v>0</v>
      </c>
      <c r="M17" s="51" t="str">
        <f t="shared" si="5"/>
        <v>-</v>
      </c>
      <c r="N17" s="51">
        <v>0</v>
      </c>
      <c r="O17" s="51">
        <f t="shared" ref="O17:P17" si="25">D17/7</f>
        <v>0</v>
      </c>
      <c r="P17" s="51">
        <f t="shared" si="25"/>
        <v>0</v>
      </c>
      <c r="Q17" s="51" t="e">
        <f t="shared" si="7"/>
        <v>#DIV/0!</v>
      </c>
      <c r="R17" s="55">
        <v>1005</v>
      </c>
      <c r="S17" s="53" t="s">
        <v>34</v>
      </c>
      <c r="T17" s="54" t="s">
        <v>34</v>
      </c>
      <c r="U17" s="55">
        <v>0</v>
      </c>
      <c r="V17" s="55">
        <f t="shared" si="8"/>
        <v>0</v>
      </c>
      <c r="W17" s="55">
        <f t="shared" si="9"/>
        <v>0</v>
      </c>
      <c r="X17" s="55">
        <v>0</v>
      </c>
      <c r="Y17" s="55" t="e">
        <v>#N/A</v>
      </c>
      <c r="Z17" s="56" t="e">
        <f t="shared" si="19"/>
        <v>#N/A</v>
      </c>
      <c r="AA17" s="55" t="e">
        <v>#N/A</v>
      </c>
      <c r="AB17" s="55">
        <f t="shared" si="11"/>
        <v>0</v>
      </c>
      <c r="AC17" s="55">
        <v>0</v>
      </c>
      <c r="AD17" s="55">
        <v>-5.8469091880341875</v>
      </c>
      <c r="AE17" s="55">
        <v>0</v>
      </c>
      <c r="AF17" s="55"/>
    </row>
    <row r="18" spans="1:32" s="57" customFormat="1" ht="15.75" customHeight="1">
      <c r="A18" s="2" t="s">
        <v>69</v>
      </c>
      <c r="B18" s="2"/>
      <c r="C18" s="51" t="s">
        <v>397</v>
      </c>
      <c r="D18" s="51">
        <v>0</v>
      </c>
      <c r="E18" s="51">
        <v>0</v>
      </c>
      <c r="F18" s="51">
        <v>0</v>
      </c>
      <c r="G18" s="51">
        <v>0</v>
      </c>
      <c r="H18" s="51" t="e">
        <f t="shared" si="1"/>
        <v>#DIV/0!</v>
      </c>
      <c r="I18" s="51" t="e">
        <f t="shared" si="2"/>
        <v>#DIV/0!</v>
      </c>
      <c r="J18" s="51">
        <f t="shared" si="4"/>
        <v>0</v>
      </c>
      <c r="K18" s="51" t="e">
        <f t="shared" si="3"/>
        <v>#DIV/0!</v>
      </c>
      <c r="L18" s="51">
        <v>0</v>
      </c>
      <c r="M18" s="51" t="str">
        <f t="shared" si="5"/>
        <v>-</v>
      </c>
      <c r="N18" s="51">
        <v>0</v>
      </c>
      <c r="O18" s="51">
        <f t="shared" ref="O18:P18" si="26">D18/7</f>
        <v>0</v>
      </c>
      <c r="P18" s="51">
        <f t="shared" si="26"/>
        <v>0</v>
      </c>
      <c r="Q18" s="51" t="e">
        <f t="shared" si="7"/>
        <v>#DIV/0!</v>
      </c>
      <c r="R18" s="55">
        <v>0</v>
      </c>
      <c r="S18" s="53" t="s">
        <v>34</v>
      </c>
      <c r="T18" s="54" t="s">
        <v>34</v>
      </c>
      <c r="U18" s="55">
        <v>0</v>
      </c>
      <c r="V18" s="55">
        <f t="shared" si="8"/>
        <v>0</v>
      </c>
      <c r="W18" s="55">
        <f t="shared" si="9"/>
        <v>0</v>
      </c>
      <c r="X18" s="55">
        <v>0</v>
      </c>
      <c r="Y18" s="55" t="e">
        <v>#N/A</v>
      </c>
      <c r="Z18" s="56" t="e">
        <f t="shared" si="19"/>
        <v>#N/A</v>
      </c>
      <c r="AA18" s="55" t="e">
        <v>#N/A</v>
      </c>
      <c r="AB18" s="58">
        <f t="shared" ref="AB18:AB39" si="27">IFERROR(Z18*AA18*D18*3,0)</f>
        <v>0</v>
      </c>
      <c r="AC18" s="55">
        <v>0</v>
      </c>
      <c r="AD18" s="55">
        <v>-5.8469091880341875</v>
      </c>
      <c r="AE18" s="55">
        <v>0</v>
      </c>
      <c r="AF18" s="55"/>
    </row>
    <row r="19" spans="1:32" s="57" customFormat="1" ht="15.75" customHeight="1">
      <c r="A19" s="2" t="s">
        <v>71</v>
      </c>
      <c r="B19" s="2"/>
      <c r="C19" s="51" t="s">
        <v>397</v>
      </c>
      <c r="D19" s="51">
        <v>0</v>
      </c>
      <c r="E19" s="51">
        <v>0</v>
      </c>
      <c r="F19" s="51">
        <v>0</v>
      </c>
      <c r="G19" s="51">
        <v>0</v>
      </c>
      <c r="H19" s="51" t="e">
        <f t="shared" si="1"/>
        <v>#DIV/0!</v>
      </c>
      <c r="I19" s="51" t="e">
        <f t="shared" si="2"/>
        <v>#DIV/0!</v>
      </c>
      <c r="J19" s="51">
        <f t="shared" si="4"/>
        <v>0</v>
      </c>
      <c r="K19" s="51" t="e">
        <f t="shared" si="3"/>
        <v>#DIV/0!</v>
      </c>
      <c r="L19" s="51">
        <v>0</v>
      </c>
      <c r="M19" s="51" t="str">
        <f t="shared" si="5"/>
        <v>-</v>
      </c>
      <c r="N19" s="51">
        <v>0</v>
      </c>
      <c r="O19" s="51">
        <f t="shared" ref="O19:P19" si="28">D19/7</f>
        <v>0</v>
      </c>
      <c r="P19" s="51">
        <f t="shared" si="28"/>
        <v>0</v>
      </c>
      <c r="Q19" s="51" t="e">
        <f t="shared" si="7"/>
        <v>#DIV/0!</v>
      </c>
      <c r="R19" s="55">
        <v>0</v>
      </c>
      <c r="S19" s="53" t="s">
        <v>34</v>
      </c>
      <c r="T19" s="54" t="s">
        <v>34</v>
      </c>
      <c r="U19" s="55">
        <v>0</v>
      </c>
      <c r="V19" s="55">
        <f t="shared" si="8"/>
        <v>0</v>
      </c>
      <c r="W19" s="55">
        <f t="shared" si="9"/>
        <v>0</v>
      </c>
      <c r="X19" s="55">
        <v>0</v>
      </c>
      <c r="Y19" s="55" t="e">
        <v>#N/A</v>
      </c>
      <c r="Z19" s="56" t="e">
        <f t="shared" si="19"/>
        <v>#N/A</v>
      </c>
      <c r="AA19" s="55" t="e">
        <v>#N/A</v>
      </c>
      <c r="AB19" s="55">
        <f t="shared" si="27"/>
        <v>0</v>
      </c>
      <c r="AC19" s="55">
        <v>0</v>
      </c>
      <c r="AD19" s="55">
        <v>-5.8469091880341875</v>
      </c>
      <c r="AE19" s="55">
        <v>0</v>
      </c>
      <c r="AF19" s="55"/>
    </row>
    <row r="20" spans="1:32" s="57" customFormat="1" ht="15.75" customHeight="1">
      <c r="A20" s="2" t="s">
        <v>73</v>
      </c>
      <c r="B20" s="2"/>
      <c r="C20" s="51" t="s">
        <v>397</v>
      </c>
      <c r="D20" s="51">
        <v>0</v>
      </c>
      <c r="E20" s="51">
        <v>0</v>
      </c>
      <c r="F20" s="51">
        <v>0</v>
      </c>
      <c r="G20" s="51">
        <v>0</v>
      </c>
      <c r="H20" s="51" t="e">
        <f t="shared" si="1"/>
        <v>#DIV/0!</v>
      </c>
      <c r="I20" s="51" t="e">
        <f t="shared" si="2"/>
        <v>#DIV/0!</v>
      </c>
      <c r="J20" s="51">
        <f t="shared" si="4"/>
        <v>0</v>
      </c>
      <c r="K20" s="51" t="e">
        <f t="shared" si="3"/>
        <v>#DIV/0!</v>
      </c>
      <c r="L20" s="51">
        <v>0</v>
      </c>
      <c r="M20" s="51" t="str">
        <f t="shared" si="5"/>
        <v>-</v>
      </c>
      <c r="N20" s="51">
        <v>0</v>
      </c>
      <c r="O20" s="51">
        <f t="shared" ref="O20:P20" si="29">D20/7</f>
        <v>0</v>
      </c>
      <c r="P20" s="51">
        <f t="shared" si="29"/>
        <v>0</v>
      </c>
      <c r="Q20" s="51" t="e">
        <f t="shared" si="7"/>
        <v>#DIV/0!</v>
      </c>
      <c r="R20" s="55">
        <v>0</v>
      </c>
      <c r="S20" s="53" t="s">
        <v>34</v>
      </c>
      <c r="T20" s="54" t="s">
        <v>34</v>
      </c>
      <c r="U20" s="55">
        <v>0</v>
      </c>
      <c r="V20" s="55">
        <f t="shared" si="8"/>
        <v>0</v>
      </c>
      <c r="W20" s="55">
        <f t="shared" si="9"/>
        <v>0</v>
      </c>
      <c r="X20" s="55">
        <v>0</v>
      </c>
      <c r="Y20" s="55" t="e">
        <v>#N/A</v>
      </c>
      <c r="Z20" s="56" t="e">
        <f t="shared" si="19"/>
        <v>#N/A</v>
      </c>
      <c r="AA20" s="55" t="e">
        <v>#N/A</v>
      </c>
      <c r="AB20" s="55">
        <f t="shared" si="27"/>
        <v>0</v>
      </c>
      <c r="AC20" s="55">
        <v>0</v>
      </c>
      <c r="AD20" s="55">
        <v>-5.8469091880341875</v>
      </c>
      <c r="AE20" s="55">
        <v>0</v>
      </c>
      <c r="AF20" s="55"/>
    </row>
    <row r="21" spans="1:32" s="57" customFormat="1" ht="15.75" customHeight="1">
      <c r="A21" s="2" t="s">
        <v>75</v>
      </c>
      <c r="B21" s="2"/>
      <c r="C21" s="51" t="s">
        <v>397</v>
      </c>
      <c r="D21" s="51">
        <v>0</v>
      </c>
      <c r="E21" s="51">
        <v>0</v>
      </c>
      <c r="F21" s="51">
        <v>0</v>
      </c>
      <c r="G21" s="51">
        <v>0</v>
      </c>
      <c r="H21" s="51" t="e">
        <f t="shared" si="1"/>
        <v>#DIV/0!</v>
      </c>
      <c r="I21" s="51" t="e">
        <f t="shared" si="2"/>
        <v>#DIV/0!</v>
      </c>
      <c r="J21" s="51">
        <f t="shared" si="4"/>
        <v>0</v>
      </c>
      <c r="K21" s="51" t="e">
        <f t="shared" si="3"/>
        <v>#DIV/0!</v>
      </c>
      <c r="L21" s="51">
        <v>0</v>
      </c>
      <c r="M21" s="51" t="str">
        <f t="shared" si="5"/>
        <v>-</v>
      </c>
      <c r="N21" s="51">
        <v>0</v>
      </c>
      <c r="O21" s="51">
        <f t="shared" ref="O21:P21" si="30">D21/7</f>
        <v>0</v>
      </c>
      <c r="P21" s="51">
        <f t="shared" si="30"/>
        <v>0</v>
      </c>
      <c r="Q21" s="51" t="e">
        <f t="shared" si="7"/>
        <v>#DIV/0!</v>
      </c>
      <c r="R21" s="55">
        <v>0</v>
      </c>
      <c r="S21" s="53" t="s">
        <v>34</v>
      </c>
      <c r="T21" s="54" t="s">
        <v>34</v>
      </c>
      <c r="U21" s="55">
        <v>0</v>
      </c>
      <c r="V21" s="55">
        <f t="shared" si="8"/>
        <v>0</v>
      </c>
      <c r="W21" s="55">
        <f t="shared" si="9"/>
        <v>0</v>
      </c>
      <c r="X21" s="55">
        <v>0</v>
      </c>
      <c r="Y21" s="55" t="e">
        <v>#N/A</v>
      </c>
      <c r="Z21" s="56" t="e">
        <f t="shared" si="19"/>
        <v>#N/A</v>
      </c>
      <c r="AA21" s="55" t="e">
        <v>#N/A</v>
      </c>
      <c r="AB21" s="55">
        <f t="shared" si="27"/>
        <v>0</v>
      </c>
      <c r="AC21" s="55">
        <v>0</v>
      </c>
      <c r="AD21" s="55">
        <v>-5.8469091880341875</v>
      </c>
      <c r="AE21" s="55">
        <v>0</v>
      </c>
      <c r="AF21" s="55"/>
    </row>
    <row r="22" spans="1:32" s="57" customFormat="1" ht="15.75" customHeight="1">
      <c r="A22" s="2" t="s">
        <v>77</v>
      </c>
      <c r="B22" s="2"/>
      <c r="C22" s="51" t="s">
        <v>397</v>
      </c>
      <c r="D22" s="51">
        <v>0</v>
      </c>
      <c r="E22" s="51">
        <v>0</v>
      </c>
      <c r="F22" s="51">
        <v>0</v>
      </c>
      <c r="G22" s="51">
        <v>-0.13</v>
      </c>
      <c r="H22" s="51" t="e">
        <f t="shared" si="1"/>
        <v>#DIV/0!</v>
      </c>
      <c r="I22" s="51" t="e">
        <f t="shared" si="2"/>
        <v>#DIV/0!</v>
      </c>
      <c r="J22" s="51">
        <f t="shared" si="4"/>
        <v>-0.13</v>
      </c>
      <c r="K22" s="51" t="e">
        <f t="shared" si="3"/>
        <v>#DIV/0!</v>
      </c>
      <c r="L22" s="51">
        <v>41</v>
      </c>
      <c r="M22" s="51">
        <f t="shared" si="5"/>
        <v>0</v>
      </c>
      <c r="N22" s="51">
        <v>1</v>
      </c>
      <c r="O22" s="51">
        <f t="shared" ref="O22:P22" si="31">D22/7</f>
        <v>0</v>
      </c>
      <c r="P22" s="51">
        <f t="shared" si="31"/>
        <v>0</v>
      </c>
      <c r="Q22" s="51" t="e">
        <f t="shared" si="7"/>
        <v>#DIV/0!</v>
      </c>
      <c r="R22" s="55">
        <v>0</v>
      </c>
      <c r="S22" s="53" t="s">
        <v>34</v>
      </c>
      <c r="T22" s="54" t="s">
        <v>34</v>
      </c>
      <c r="U22" s="55">
        <v>0</v>
      </c>
      <c r="V22" s="55">
        <f t="shared" si="8"/>
        <v>0</v>
      </c>
      <c r="W22" s="55">
        <f t="shared" si="9"/>
        <v>0</v>
      </c>
      <c r="X22" s="55">
        <v>0</v>
      </c>
      <c r="Y22" s="55" t="e">
        <v>#N/A</v>
      </c>
      <c r="Z22" s="56" t="e">
        <f t="shared" si="19"/>
        <v>#N/A</v>
      </c>
      <c r="AA22" s="55" t="e">
        <v>#N/A</v>
      </c>
      <c r="AB22" s="55">
        <f t="shared" si="27"/>
        <v>0</v>
      </c>
      <c r="AC22" s="55">
        <v>0</v>
      </c>
      <c r="AD22" s="55">
        <v>-5.8469091880341875</v>
      </c>
      <c r="AE22" s="55">
        <v>0</v>
      </c>
      <c r="AF22" s="55"/>
    </row>
    <row r="23" spans="1:32" s="57" customFormat="1" ht="15.75" customHeight="1">
      <c r="A23" s="2" t="s">
        <v>79</v>
      </c>
      <c r="B23" s="2"/>
      <c r="C23" s="51">
        <v>13.99</v>
      </c>
      <c r="D23" s="51">
        <v>1</v>
      </c>
      <c r="E23" s="51">
        <v>0</v>
      </c>
      <c r="F23" s="51">
        <v>13.99</v>
      </c>
      <c r="G23" s="51">
        <v>0</v>
      </c>
      <c r="H23" s="51">
        <f t="shared" si="1"/>
        <v>0</v>
      </c>
      <c r="I23" s="51">
        <f t="shared" si="2"/>
        <v>1.4350814531747436E-2</v>
      </c>
      <c r="J23" s="51">
        <f t="shared" si="4"/>
        <v>0.20076789529914663</v>
      </c>
      <c r="K23" s="51">
        <f t="shared" si="3"/>
        <v>0.20076789529914663</v>
      </c>
      <c r="L23" s="51">
        <v>0</v>
      </c>
      <c r="M23" s="51" t="str">
        <f t="shared" si="5"/>
        <v>-</v>
      </c>
      <c r="N23" s="51">
        <v>0</v>
      </c>
      <c r="O23" s="51">
        <f t="shared" ref="O23:P23" si="32">D23/7</f>
        <v>0.14285714285714285</v>
      </c>
      <c r="P23" s="51">
        <f t="shared" si="32"/>
        <v>0</v>
      </c>
      <c r="Q23" s="51">
        <f t="shared" si="7"/>
        <v>0</v>
      </c>
      <c r="R23" s="55">
        <v>0</v>
      </c>
      <c r="S23" s="53" t="s">
        <v>34</v>
      </c>
      <c r="T23" s="54" t="s">
        <v>34</v>
      </c>
      <c r="U23" s="55">
        <v>0</v>
      </c>
      <c r="V23" s="55">
        <f t="shared" si="8"/>
        <v>0</v>
      </c>
      <c r="W23" s="55">
        <f t="shared" si="9"/>
        <v>0</v>
      </c>
      <c r="X23" s="55">
        <v>0</v>
      </c>
      <c r="Y23" s="55" t="s">
        <v>35</v>
      </c>
      <c r="Z23" s="56">
        <f t="shared" si="19"/>
        <v>-0.75</v>
      </c>
      <c r="AA23" s="55">
        <v>0.18836574074074069</v>
      </c>
      <c r="AB23" s="55">
        <f t="shared" si="27"/>
        <v>-0.4238229166666666</v>
      </c>
      <c r="AC23" s="55">
        <v>-5.42</v>
      </c>
      <c r="AD23" s="55">
        <v>-5.8469091880341875</v>
      </c>
      <c r="AE23" s="55">
        <v>0</v>
      </c>
      <c r="AF23" s="55"/>
    </row>
    <row r="24" spans="1:32" s="57" customFormat="1" ht="15.75" customHeight="1">
      <c r="A24" s="2" t="s">
        <v>80</v>
      </c>
      <c r="B24" s="2"/>
      <c r="C24" s="51"/>
      <c r="D24" s="51">
        <v>0</v>
      </c>
      <c r="E24" s="51">
        <v>0</v>
      </c>
      <c r="F24" s="51">
        <v>0</v>
      </c>
      <c r="G24" s="51">
        <v>0</v>
      </c>
      <c r="H24" s="51" t="e">
        <f t="shared" si="1"/>
        <v>#DIV/0!</v>
      </c>
      <c r="I24" s="51" t="e">
        <f t="shared" si="2"/>
        <v>#DIV/0!</v>
      </c>
      <c r="J24" s="51">
        <f t="shared" si="4"/>
        <v>0</v>
      </c>
      <c r="K24" s="51" t="e">
        <f t="shared" si="3"/>
        <v>#DIV/0!</v>
      </c>
      <c r="L24" s="51">
        <v>0</v>
      </c>
      <c r="M24" s="51" t="str">
        <f t="shared" si="5"/>
        <v>-</v>
      </c>
      <c r="N24" s="51">
        <v>0</v>
      </c>
      <c r="O24" s="51">
        <f t="shared" ref="O24:P24" si="33">D24/7</f>
        <v>0</v>
      </c>
      <c r="P24" s="51">
        <f t="shared" si="33"/>
        <v>0</v>
      </c>
      <c r="Q24" s="51" t="e">
        <f t="shared" si="7"/>
        <v>#DIV/0!</v>
      </c>
      <c r="R24" s="55">
        <v>0</v>
      </c>
      <c r="S24" s="53" t="s">
        <v>34</v>
      </c>
      <c r="T24" s="54" t="s">
        <v>34</v>
      </c>
      <c r="U24" s="55">
        <v>0</v>
      </c>
      <c r="V24" s="55">
        <f t="shared" si="8"/>
        <v>0</v>
      </c>
      <c r="W24" s="55">
        <f t="shared" si="9"/>
        <v>0</v>
      </c>
      <c r="X24" s="55">
        <v>0</v>
      </c>
      <c r="Y24" s="55" t="e">
        <v>#N/A</v>
      </c>
      <c r="Z24" s="56" t="e">
        <f t="shared" si="19"/>
        <v>#N/A</v>
      </c>
      <c r="AA24" s="55" t="e">
        <v>#N/A</v>
      </c>
      <c r="AB24" s="55">
        <f t="shared" si="27"/>
        <v>0</v>
      </c>
      <c r="AC24" s="55">
        <v>0</v>
      </c>
      <c r="AD24" s="55">
        <v>-5.8469091880341875</v>
      </c>
      <c r="AE24" s="55">
        <v>0</v>
      </c>
      <c r="AF24" s="55"/>
    </row>
    <row r="25" spans="1:32" s="57" customFormat="1" ht="15.75" customHeight="1">
      <c r="A25" s="2" t="s">
        <v>81</v>
      </c>
      <c r="B25" s="2"/>
      <c r="C25" s="51"/>
      <c r="D25" s="51">
        <v>0</v>
      </c>
      <c r="E25" s="51">
        <v>0</v>
      </c>
      <c r="F25" s="51">
        <v>0</v>
      </c>
      <c r="G25" s="51">
        <v>0</v>
      </c>
      <c r="H25" s="51" t="e">
        <f t="shared" si="1"/>
        <v>#DIV/0!</v>
      </c>
      <c r="I25" s="51" t="e">
        <f t="shared" si="2"/>
        <v>#DIV/0!</v>
      </c>
      <c r="J25" s="51">
        <f t="shared" si="4"/>
        <v>0</v>
      </c>
      <c r="K25" s="51" t="e">
        <f t="shared" si="3"/>
        <v>#DIV/0!</v>
      </c>
      <c r="L25" s="51">
        <v>0</v>
      </c>
      <c r="M25" s="51" t="str">
        <f t="shared" si="5"/>
        <v>-</v>
      </c>
      <c r="N25" s="51">
        <v>0</v>
      </c>
      <c r="O25" s="51">
        <f t="shared" ref="O25:P25" si="34">D25/7</f>
        <v>0</v>
      </c>
      <c r="P25" s="51">
        <f t="shared" si="34"/>
        <v>0</v>
      </c>
      <c r="Q25" s="51" t="e">
        <f t="shared" si="7"/>
        <v>#DIV/0!</v>
      </c>
      <c r="R25" s="55">
        <v>0</v>
      </c>
      <c r="S25" s="53" t="s">
        <v>34</v>
      </c>
      <c r="T25" s="54" t="s">
        <v>34</v>
      </c>
      <c r="U25" s="55">
        <v>0</v>
      </c>
      <c r="V25" s="55">
        <f t="shared" si="8"/>
        <v>0</v>
      </c>
      <c r="W25" s="55">
        <f t="shared" si="9"/>
        <v>0</v>
      </c>
      <c r="X25" s="55">
        <v>0</v>
      </c>
      <c r="Y25" s="55" t="e">
        <v>#N/A</v>
      </c>
      <c r="Z25" s="56" t="e">
        <f t="shared" si="19"/>
        <v>#N/A</v>
      </c>
      <c r="AA25" s="55" t="e">
        <v>#N/A</v>
      </c>
      <c r="AB25" s="55">
        <f t="shared" si="27"/>
        <v>0</v>
      </c>
      <c r="AC25" s="55">
        <v>0</v>
      </c>
      <c r="AD25" s="55">
        <v>-5.8469091880341875</v>
      </c>
      <c r="AE25" s="55">
        <v>0</v>
      </c>
      <c r="AF25" s="55"/>
    </row>
    <row r="26" spans="1:32" s="57" customFormat="1" ht="15.75" customHeight="1">
      <c r="A26" s="2" t="s">
        <v>83</v>
      </c>
      <c r="B26" s="2"/>
      <c r="C26" s="51" t="str">
        <f t="shared" ref="C26:C39" si="35">IFERROR(F26/D26," - ")</f>
        <v xml:space="preserve"> - </v>
      </c>
      <c r="D26" s="51">
        <v>0</v>
      </c>
      <c r="E26" s="51">
        <v>0</v>
      </c>
      <c r="F26" s="51">
        <v>0</v>
      </c>
      <c r="G26" s="51">
        <v>0</v>
      </c>
      <c r="H26" s="51" t="e">
        <f t="shared" si="1"/>
        <v>#DIV/0!</v>
      </c>
      <c r="I26" s="51" t="e">
        <f t="shared" si="2"/>
        <v>#DIV/0!</v>
      </c>
      <c r="J26" s="51">
        <f t="shared" si="4"/>
        <v>0</v>
      </c>
      <c r="K26" s="51" t="e">
        <f t="shared" si="3"/>
        <v>#DIV/0!</v>
      </c>
      <c r="L26" s="51">
        <v>0</v>
      </c>
      <c r="M26" s="51" t="str">
        <f t="shared" si="5"/>
        <v>-</v>
      </c>
      <c r="N26" s="51">
        <v>0</v>
      </c>
      <c r="O26" s="51">
        <f t="shared" ref="O26:P26" si="36">D26/7</f>
        <v>0</v>
      </c>
      <c r="P26" s="51">
        <f t="shared" si="36"/>
        <v>0</v>
      </c>
      <c r="Q26" s="51" t="e">
        <f t="shared" si="7"/>
        <v>#DIV/0!</v>
      </c>
      <c r="R26" s="55">
        <v>0</v>
      </c>
      <c r="S26" s="53" t="s">
        <v>34</v>
      </c>
      <c r="T26" s="54" t="s">
        <v>34</v>
      </c>
      <c r="U26" s="55">
        <v>0</v>
      </c>
      <c r="V26" s="55">
        <f t="shared" si="8"/>
        <v>0</v>
      </c>
      <c r="W26" s="55">
        <f t="shared" si="9"/>
        <v>0</v>
      </c>
      <c r="X26" s="55">
        <v>0</v>
      </c>
      <c r="Y26" s="55" t="e">
        <v>#N/A</v>
      </c>
      <c r="Z26" s="56" t="e">
        <f t="shared" si="19"/>
        <v>#N/A</v>
      </c>
      <c r="AA26" s="55" t="e">
        <v>#N/A</v>
      </c>
      <c r="AB26" s="55">
        <f t="shared" si="27"/>
        <v>0</v>
      </c>
      <c r="AC26" s="55">
        <v>0</v>
      </c>
      <c r="AD26" s="55">
        <v>-5.8469091880341875</v>
      </c>
      <c r="AE26" s="55">
        <v>0</v>
      </c>
      <c r="AF26" s="55"/>
    </row>
    <row r="27" spans="1:32" s="57" customFormat="1" ht="15.75" customHeight="1">
      <c r="A27" s="2" t="s">
        <v>84</v>
      </c>
      <c r="B27" s="2"/>
      <c r="C27" s="51" t="str">
        <f t="shared" si="35"/>
        <v xml:space="preserve"> - </v>
      </c>
      <c r="D27" s="51">
        <v>0</v>
      </c>
      <c r="E27" s="51">
        <v>0</v>
      </c>
      <c r="F27" s="51">
        <v>0</v>
      </c>
      <c r="G27" s="51">
        <v>0</v>
      </c>
      <c r="H27" s="51" t="e">
        <f t="shared" si="1"/>
        <v>#DIV/0!</v>
      </c>
      <c r="I27" s="51" t="e">
        <f t="shared" si="2"/>
        <v>#DIV/0!</v>
      </c>
      <c r="J27" s="51">
        <f t="shared" si="4"/>
        <v>0</v>
      </c>
      <c r="K27" s="51" t="e">
        <f t="shared" si="3"/>
        <v>#DIV/0!</v>
      </c>
      <c r="L27" s="51">
        <v>0</v>
      </c>
      <c r="M27" s="51" t="str">
        <f t="shared" si="5"/>
        <v>-</v>
      </c>
      <c r="N27" s="51">
        <v>0</v>
      </c>
      <c r="O27" s="51">
        <f t="shared" ref="O27:P27" si="37">D27/7</f>
        <v>0</v>
      </c>
      <c r="P27" s="51">
        <f t="shared" si="37"/>
        <v>0</v>
      </c>
      <c r="Q27" s="51" t="e">
        <f t="shared" si="7"/>
        <v>#DIV/0!</v>
      </c>
      <c r="R27" s="55">
        <v>0</v>
      </c>
      <c r="S27" s="53" t="s">
        <v>34</v>
      </c>
      <c r="T27" s="54" t="s">
        <v>34</v>
      </c>
      <c r="U27" s="55">
        <v>0</v>
      </c>
      <c r="V27" s="55">
        <f t="shared" si="8"/>
        <v>0</v>
      </c>
      <c r="W27" s="55">
        <f t="shared" si="9"/>
        <v>0</v>
      </c>
      <c r="X27" s="55">
        <v>0</v>
      </c>
      <c r="Y27" s="55" t="e">
        <v>#N/A</v>
      </c>
      <c r="Z27" s="56" t="e">
        <f t="shared" si="19"/>
        <v>#N/A</v>
      </c>
      <c r="AA27" s="55" t="e">
        <v>#N/A</v>
      </c>
      <c r="AB27" s="55">
        <f t="shared" si="27"/>
        <v>0</v>
      </c>
      <c r="AC27" s="55">
        <v>0</v>
      </c>
      <c r="AD27" s="55">
        <v>-5.8469091880341875</v>
      </c>
      <c r="AE27" s="55">
        <v>0</v>
      </c>
      <c r="AF27" s="55"/>
    </row>
    <row r="28" spans="1:32" s="57" customFormat="1" ht="15.75" customHeight="1">
      <c r="A28" s="2" t="s">
        <v>86</v>
      </c>
      <c r="B28" s="2"/>
      <c r="C28" s="51" t="str">
        <f t="shared" si="35"/>
        <v xml:space="preserve"> - </v>
      </c>
      <c r="D28" s="51">
        <v>0</v>
      </c>
      <c r="E28" s="51">
        <v>0</v>
      </c>
      <c r="F28" s="51">
        <v>0</v>
      </c>
      <c r="G28" s="51">
        <v>0</v>
      </c>
      <c r="H28" s="51" t="e">
        <f t="shared" si="1"/>
        <v>#DIV/0!</v>
      </c>
      <c r="I28" s="51" t="e">
        <f t="shared" si="2"/>
        <v>#DIV/0!</v>
      </c>
      <c r="J28" s="51">
        <f t="shared" si="4"/>
        <v>0</v>
      </c>
      <c r="K28" s="51" t="e">
        <f t="shared" si="3"/>
        <v>#DIV/0!</v>
      </c>
      <c r="L28" s="51">
        <v>0</v>
      </c>
      <c r="M28" s="51" t="str">
        <f t="shared" si="5"/>
        <v>-</v>
      </c>
      <c r="N28" s="51">
        <v>0</v>
      </c>
      <c r="O28" s="51">
        <f t="shared" ref="O28:P28" si="38">D28/7</f>
        <v>0</v>
      </c>
      <c r="P28" s="51">
        <f t="shared" si="38"/>
        <v>0</v>
      </c>
      <c r="Q28" s="51" t="e">
        <f t="shared" si="7"/>
        <v>#DIV/0!</v>
      </c>
      <c r="R28" s="55">
        <v>0</v>
      </c>
      <c r="S28" s="53" t="s">
        <v>34</v>
      </c>
      <c r="T28" s="54" t="s">
        <v>34</v>
      </c>
      <c r="U28" s="55">
        <v>0</v>
      </c>
      <c r="V28" s="55">
        <f t="shared" si="8"/>
        <v>0</v>
      </c>
      <c r="W28" s="55">
        <f t="shared" si="9"/>
        <v>0</v>
      </c>
      <c r="X28" s="55">
        <v>0</v>
      </c>
      <c r="Y28" s="55" t="e">
        <v>#N/A</v>
      </c>
      <c r="Z28" s="56" t="e">
        <f t="shared" si="19"/>
        <v>#N/A</v>
      </c>
      <c r="AA28" s="55" t="e">
        <v>#N/A</v>
      </c>
      <c r="AB28" s="55">
        <f t="shared" si="27"/>
        <v>0</v>
      </c>
      <c r="AC28" s="55">
        <v>0</v>
      </c>
      <c r="AD28" s="55">
        <v>-5.8469091880341875</v>
      </c>
      <c r="AE28" s="55">
        <v>0</v>
      </c>
      <c r="AF28" s="55"/>
    </row>
    <row r="29" spans="1:32" s="57" customFormat="1" ht="15.75" customHeight="1">
      <c r="A29" s="2" t="s">
        <v>87</v>
      </c>
      <c r="B29" s="2"/>
      <c r="C29" s="51" t="str">
        <f t="shared" si="35"/>
        <v xml:space="preserve"> - </v>
      </c>
      <c r="D29" s="51">
        <v>0</v>
      </c>
      <c r="E29" s="51">
        <v>0</v>
      </c>
      <c r="F29" s="51">
        <v>0</v>
      </c>
      <c r="G29" s="51">
        <v>0</v>
      </c>
      <c r="H29" s="51" t="e">
        <f t="shared" si="1"/>
        <v>#DIV/0!</v>
      </c>
      <c r="I29" s="51" t="e">
        <f t="shared" si="2"/>
        <v>#DIV/0!</v>
      </c>
      <c r="J29" s="51">
        <f t="shared" si="4"/>
        <v>0</v>
      </c>
      <c r="K29" s="51" t="e">
        <f t="shared" si="3"/>
        <v>#DIV/0!</v>
      </c>
      <c r="L29" s="51">
        <v>0</v>
      </c>
      <c r="M29" s="51" t="str">
        <f t="shared" si="5"/>
        <v>-</v>
      </c>
      <c r="N29" s="51">
        <v>0</v>
      </c>
      <c r="O29" s="51">
        <f t="shared" ref="O29:P29" si="39">D29/7</f>
        <v>0</v>
      </c>
      <c r="P29" s="51">
        <f t="shared" si="39"/>
        <v>0</v>
      </c>
      <c r="Q29" s="51" t="e">
        <f t="shared" si="7"/>
        <v>#DIV/0!</v>
      </c>
      <c r="R29" s="55">
        <v>0</v>
      </c>
      <c r="S29" s="53" t="s">
        <v>34</v>
      </c>
      <c r="T29" s="54" t="s">
        <v>34</v>
      </c>
      <c r="U29" s="55">
        <v>0</v>
      </c>
      <c r="V29" s="55">
        <f t="shared" si="8"/>
        <v>0</v>
      </c>
      <c r="W29" s="55">
        <f t="shared" si="9"/>
        <v>0</v>
      </c>
      <c r="X29" s="55">
        <v>0</v>
      </c>
      <c r="Y29" s="55" t="e">
        <v>#N/A</v>
      </c>
      <c r="Z29" s="56" t="e">
        <f t="shared" si="19"/>
        <v>#N/A</v>
      </c>
      <c r="AA29" s="55" t="e">
        <v>#N/A</v>
      </c>
      <c r="AB29" s="55">
        <f t="shared" si="27"/>
        <v>0</v>
      </c>
      <c r="AC29" s="55">
        <v>0</v>
      </c>
      <c r="AD29" s="55">
        <v>-5.8469091880341875</v>
      </c>
      <c r="AE29" s="55">
        <v>0</v>
      </c>
      <c r="AF29" s="55"/>
    </row>
    <row r="30" spans="1:32" s="57" customFormat="1" ht="15.75" customHeight="1">
      <c r="A30" s="2" t="s">
        <v>89</v>
      </c>
      <c r="B30" s="2"/>
      <c r="C30" s="51" t="str">
        <f t="shared" si="35"/>
        <v xml:space="preserve"> - </v>
      </c>
      <c r="D30" s="51">
        <v>0</v>
      </c>
      <c r="E30" s="51">
        <v>0</v>
      </c>
      <c r="F30" s="51">
        <v>0</v>
      </c>
      <c r="G30" s="51">
        <v>0</v>
      </c>
      <c r="H30" s="51" t="e">
        <f t="shared" si="1"/>
        <v>#DIV/0!</v>
      </c>
      <c r="I30" s="51" t="e">
        <f t="shared" si="2"/>
        <v>#DIV/0!</v>
      </c>
      <c r="J30" s="51">
        <f t="shared" si="4"/>
        <v>0</v>
      </c>
      <c r="K30" s="51" t="e">
        <f t="shared" si="3"/>
        <v>#DIV/0!</v>
      </c>
      <c r="L30" s="51">
        <v>0</v>
      </c>
      <c r="M30" s="51" t="str">
        <f t="shared" si="5"/>
        <v>-</v>
      </c>
      <c r="N30" s="51">
        <v>0</v>
      </c>
      <c r="O30" s="51">
        <f t="shared" ref="O30:P30" si="40">D30/7</f>
        <v>0</v>
      </c>
      <c r="P30" s="51">
        <f t="shared" si="40"/>
        <v>0</v>
      </c>
      <c r="Q30" s="51" t="e">
        <f t="shared" si="7"/>
        <v>#DIV/0!</v>
      </c>
      <c r="R30" s="55">
        <v>0</v>
      </c>
      <c r="S30" s="53" t="s">
        <v>34</v>
      </c>
      <c r="T30" s="54" t="s">
        <v>34</v>
      </c>
      <c r="U30" s="55">
        <v>0</v>
      </c>
      <c r="V30" s="55">
        <f t="shared" si="8"/>
        <v>0</v>
      </c>
      <c r="W30" s="55">
        <f t="shared" si="9"/>
        <v>0</v>
      </c>
      <c r="X30" s="55">
        <v>0</v>
      </c>
      <c r="Y30" s="55" t="e">
        <v>#N/A</v>
      </c>
      <c r="Z30" s="56" t="e">
        <f t="shared" si="19"/>
        <v>#N/A</v>
      </c>
      <c r="AA30" s="55" t="e">
        <v>#N/A</v>
      </c>
      <c r="AB30" s="55">
        <f t="shared" si="27"/>
        <v>0</v>
      </c>
      <c r="AC30" s="55">
        <v>0</v>
      </c>
      <c r="AD30" s="55">
        <v>-5.8469091880341875</v>
      </c>
      <c r="AE30" s="55">
        <v>0</v>
      </c>
      <c r="AF30" s="55"/>
    </row>
    <row r="31" spans="1:32" s="57" customFormat="1" ht="15.75" customHeight="1">
      <c r="A31" s="2" t="s">
        <v>90</v>
      </c>
      <c r="B31" s="2"/>
      <c r="C31" s="51" t="str">
        <f t="shared" si="35"/>
        <v xml:space="preserve"> - </v>
      </c>
      <c r="D31" s="51">
        <v>0</v>
      </c>
      <c r="E31" s="51">
        <v>0</v>
      </c>
      <c r="F31" s="51">
        <v>0</v>
      </c>
      <c r="G31" s="51">
        <v>0</v>
      </c>
      <c r="H31" s="51" t="e">
        <f t="shared" si="1"/>
        <v>#DIV/0!</v>
      </c>
      <c r="I31" s="51" t="e">
        <f t="shared" si="2"/>
        <v>#DIV/0!</v>
      </c>
      <c r="J31" s="51">
        <f t="shared" si="4"/>
        <v>0</v>
      </c>
      <c r="K31" s="51" t="e">
        <f t="shared" si="3"/>
        <v>#DIV/0!</v>
      </c>
      <c r="L31" s="51">
        <v>0</v>
      </c>
      <c r="M31" s="51" t="str">
        <f t="shared" si="5"/>
        <v>-</v>
      </c>
      <c r="N31" s="51">
        <v>0</v>
      </c>
      <c r="O31" s="51">
        <f t="shared" ref="O31:P31" si="41">D31/7</f>
        <v>0</v>
      </c>
      <c r="P31" s="51">
        <f t="shared" si="41"/>
        <v>0</v>
      </c>
      <c r="Q31" s="51" t="e">
        <f t="shared" si="7"/>
        <v>#DIV/0!</v>
      </c>
      <c r="R31" s="55">
        <v>0</v>
      </c>
      <c r="S31" s="53" t="s">
        <v>34</v>
      </c>
      <c r="T31" s="54" t="s">
        <v>34</v>
      </c>
      <c r="U31" s="55">
        <v>0</v>
      </c>
      <c r="V31" s="55">
        <f t="shared" si="8"/>
        <v>0</v>
      </c>
      <c r="W31" s="55">
        <f t="shared" si="9"/>
        <v>0</v>
      </c>
      <c r="X31" s="55">
        <v>0</v>
      </c>
      <c r="Y31" s="55" t="e">
        <v>#N/A</v>
      </c>
      <c r="Z31" s="56" t="e">
        <f t="shared" si="19"/>
        <v>#N/A</v>
      </c>
      <c r="AA31" s="55" t="e">
        <v>#N/A</v>
      </c>
      <c r="AB31" s="55">
        <f t="shared" si="27"/>
        <v>0</v>
      </c>
      <c r="AC31" s="55">
        <v>0</v>
      </c>
      <c r="AD31" s="55">
        <v>-5.8469091880341875</v>
      </c>
      <c r="AE31" s="55">
        <v>0</v>
      </c>
      <c r="AF31" s="55"/>
    </row>
    <row r="32" spans="1:32" s="57" customFormat="1" ht="15.75" customHeight="1">
      <c r="A32" s="2" t="s">
        <v>92</v>
      </c>
      <c r="B32" s="2"/>
      <c r="C32" s="51" t="str">
        <f t="shared" si="35"/>
        <v xml:space="preserve"> - </v>
      </c>
      <c r="D32" s="51">
        <v>0</v>
      </c>
      <c r="E32" s="51">
        <v>0</v>
      </c>
      <c r="F32" s="51">
        <v>0</v>
      </c>
      <c r="G32" s="51">
        <v>0</v>
      </c>
      <c r="H32" s="51" t="e">
        <f t="shared" si="1"/>
        <v>#DIV/0!</v>
      </c>
      <c r="I32" s="51" t="e">
        <f t="shared" si="2"/>
        <v>#DIV/0!</v>
      </c>
      <c r="J32" s="51">
        <f t="shared" si="4"/>
        <v>0</v>
      </c>
      <c r="K32" s="51" t="e">
        <f t="shared" si="3"/>
        <v>#DIV/0!</v>
      </c>
      <c r="L32" s="51">
        <v>0</v>
      </c>
      <c r="M32" s="51" t="str">
        <f t="shared" si="5"/>
        <v>-</v>
      </c>
      <c r="N32" s="51">
        <v>0</v>
      </c>
      <c r="O32" s="51">
        <f t="shared" ref="O32:P32" si="42">D32/7</f>
        <v>0</v>
      </c>
      <c r="P32" s="51">
        <f t="shared" si="42"/>
        <v>0</v>
      </c>
      <c r="Q32" s="51" t="e">
        <f t="shared" si="7"/>
        <v>#DIV/0!</v>
      </c>
      <c r="R32" s="55">
        <v>0</v>
      </c>
      <c r="S32" s="53" t="s">
        <v>34</v>
      </c>
      <c r="T32" s="54" t="s">
        <v>34</v>
      </c>
      <c r="U32" s="55">
        <v>0</v>
      </c>
      <c r="V32" s="55">
        <f t="shared" si="8"/>
        <v>0</v>
      </c>
      <c r="W32" s="55">
        <f t="shared" si="9"/>
        <v>0</v>
      </c>
      <c r="X32" s="55">
        <v>0</v>
      </c>
      <c r="Y32" s="55" t="e">
        <v>#N/A</v>
      </c>
      <c r="Z32" s="56" t="e">
        <f t="shared" si="19"/>
        <v>#N/A</v>
      </c>
      <c r="AA32" s="55" t="e">
        <v>#N/A</v>
      </c>
      <c r="AB32" s="55">
        <f t="shared" si="27"/>
        <v>0</v>
      </c>
      <c r="AC32" s="55">
        <v>0</v>
      </c>
      <c r="AD32" s="55">
        <v>-5.8469091880341875</v>
      </c>
      <c r="AE32" s="55">
        <v>0</v>
      </c>
      <c r="AF32" s="52" t="e">
        <v>#N/A</v>
      </c>
    </row>
    <row r="33" spans="1:32" s="57" customFormat="1" ht="15.75" customHeight="1">
      <c r="A33" s="2" t="s">
        <v>94</v>
      </c>
      <c r="B33" s="2"/>
      <c r="C33" s="51" t="str">
        <f t="shared" si="35"/>
        <v xml:space="preserve"> - </v>
      </c>
      <c r="D33" s="51">
        <v>0</v>
      </c>
      <c r="E33" s="51">
        <v>0</v>
      </c>
      <c r="F33" s="51">
        <v>0</v>
      </c>
      <c r="G33" s="51">
        <v>0</v>
      </c>
      <c r="H33" s="51" t="e">
        <f t="shared" si="1"/>
        <v>#DIV/0!</v>
      </c>
      <c r="I33" s="51" t="e">
        <f t="shared" si="2"/>
        <v>#DIV/0!</v>
      </c>
      <c r="J33" s="51">
        <f t="shared" si="4"/>
        <v>0</v>
      </c>
      <c r="K33" s="51" t="e">
        <f t="shared" si="3"/>
        <v>#DIV/0!</v>
      </c>
      <c r="L33" s="51">
        <v>0</v>
      </c>
      <c r="M33" s="51" t="str">
        <f t="shared" si="5"/>
        <v>-</v>
      </c>
      <c r="N33" s="51">
        <v>0</v>
      </c>
      <c r="O33" s="51">
        <f t="shared" ref="O33:P33" si="43">D33/7</f>
        <v>0</v>
      </c>
      <c r="P33" s="51">
        <f t="shared" si="43"/>
        <v>0</v>
      </c>
      <c r="Q33" s="51" t="e">
        <f t="shared" si="7"/>
        <v>#DIV/0!</v>
      </c>
      <c r="R33" s="55">
        <v>0</v>
      </c>
      <c r="S33" s="53" t="s">
        <v>34</v>
      </c>
      <c r="T33" s="54" t="s">
        <v>34</v>
      </c>
      <c r="U33" s="55">
        <v>0</v>
      </c>
      <c r="V33" s="55">
        <f t="shared" si="8"/>
        <v>0</v>
      </c>
      <c r="W33" s="55">
        <f t="shared" si="9"/>
        <v>0</v>
      </c>
      <c r="X33" s="55">
        <v>0</v>
      </c>
      <c r="Y33" s="55" t="e">
        <v>#N/A</v>
      </c>
      <c r="Z33" s="56" t="e">
        <f t="shared" si="19"/>
        <v>#N/A</v>
      </c>
      <c r="AA33" s="55" t="e">
        <v>#N/A</v>
      </c>
      <c r="AB33" s="55">
        <f t="shared" si="27"/>
        <v>0</v>
      </c>
      <c r="AC33" s="55">
        <v>0</v>
      </c>
      <c r="AD33" s="55">
        <v>-5.8469091880341875</v>
      </c>
      <c r="AE33" s="55">
        <v>0</v>
      </c>
      <c r="AF33" s="55" t="e">
        <v>#N/A</v>
      </c>
    </row>
    <row r="34" spans="1:32" s="57" customFormat="1" ht="15.75" customHeight="1">
      <c r="A34" s="2" t="s">
        <v>95</v>
      </c>
      <c r="B34" s="2"/>
      <c r="C34" s="51" t="str">
        <f t="shared" si="35"/>
        <v xml:space="preserve"> - </v>
      </c>
      <c r="D34" s="51">
        <v>0</v>
      </c>
      <c r="E34" s="51">
        <v>0</v>
      </c>
      <c r="F34" s="51">
        <v>0</v>
      </c>
      <c r="G34" s="51">
        <v>0</v>
      </c>
      <c r="H34" s="51" t="e">
        <f t="shared" si="1"/>
        <v>#DIV/0!</v>
      </c>
      <c r="I34" s="51" t="e">
        <f t="shared" si="2"/>
        <v>#DIV/0!</v>
      </c>
      <c r="J34" s="51">
        <f t="shared" si="4"/>
        <v>0</v>
      </c>
      <c r="K34" s="51" t="e">
        <f t="shared" si="3"/>
        <v>#DIV/0!</v>
      </c>
      <c r="L34" s="51">
        <v>0</v>
      </c>
      <c r="M34" s="51" t="str">
        <f t="shared" si="5"/>
        <v>-</v>
      </c>
      <c r="N34" s="51">
        <v>0</v>
      </c>
      <c r="O34" s="51">
        <f t="shared" ref="O34:P34" si="44">D34/7</f>
        <v>0</v>
      </c>
      <c r="P34" s="51">
        <f t="shared" si="44"/>
        <v>0</v>
      </c>
      <c r="Q34" s="51" t="e">
        <f t="shared" si="7"/>
        <v>#DIV/0!</v>
      </c>
      <c r="R34" s="55">
        <v>0</v>
      </c>
      <c r="S34" s="53" t="s">
        <v>34</v>
      </c>
      <c r="T34" s="54" t="s">
        <v>34</v>
      </c>
      <c r="U34" s="55">
        <v>0</v>
      </c>
      <c r="V34" s="55">
        <f t="shared" si="8"/>
        <v>0</v>
      </c>
      <c r="W34" s="55">
        <f t="shared" si="9"/>
        <v>0</v>
      </c>
      <c r="X34" s="55">
        <v>0</v>
      </c>
      <c r="Y34" s="55" t="e">
        <v>#N/A</v>
      </c>
      <c r="Z34" s="56" t="e">
        <f t="shared" si="19"/>
        <v>#N/A</v>
      </c>
      <c r="AA34" s="55" t="e">
        <v>#N/A</v>
      </c>
      <c r="AB34" s="55">
        <f t="shared" si="27"/>
        <v>0</v>
      </c>
      <c r="AC34" s="55">
        <v>0</v>
      </c>
      <c r="AD34" s="55">
        <v>-5.8469091880341875</v>
      </c>
      <c r="AE34" s="55">
        <v>0</v>
      </c>
      <c r="AF34" s="55" t="e">
        <v>#N/A</v>
      </c>
    </row>
    <row r="35" spans="1:32" s="57" customFormat="1" ht="15.75" customHeight="1">
      <c r="A35" s="2" t="s">
        <v>96</v>
      </c>
      <c r="B35" s="2"/>
      <c r="C35" s="51" t="str">
        <f t="shared" si="35"/>
        <v xml:space="preserve"> - </v>
      </c>
      <c r="D35" s="51">
        <v>0</v>
      </c>
      <c r="E35" s="51">
        <v>0</v>
      </c>
      <c r="F35" s="51">
        <v>0</v>
      </c>
      <c r="G35" s="51">
        <v>0</v>
      </c>
      <c r="H35" s="51" t="e">
        <f t="shared" si="1"/>
        <v>#DIV/0!</v>
      </c>
      <c r="I35" s="51" t="e">
        <f t="shared" si="2"/>
        <v>#DIV/0!</v>
      </c>
      <c r="J35" s="51">
        <f t="shared" si="4"/>
        <v>0</v>
      </c>
      <c r="K35" s="51" t="e">
        <f t="shared" si="3"/>
        <v>#DIV/0!</v>
      </c>
      <c r="L35" s="51">
        <v>0</v>
      </c>
      <c r="M35" s="51" t="str">
        <f t="shared" si="5"/>
        <v>-</v>
      </c>
      <c r="N35" s="51">
        <v>0</v>
      </c>
      <c r="O35" s="51">
        <f t="shared" ref="O35:P35" si="45">D35/7</f>
        <v>0</v>
      </c>
      <c r="P35" s="51">
        <f t="shared" si="45"/>
        <v>0</v>
      </c>
      <c r="Q35" s="51" t="e">
        <f t="shared" si="7"/>
        <v>#DIV/0!</v>
      </c>
      <c r="R35" s="55">
        <v>0</v>
      </c>
      <c r="S35" s="53" t="s">
        <v>34</v>
      </c>
      <c r="T35" s="54" t="s">
        <v>34</v>
      </c>
      <c r="U35" s="55">
        <v>0</v>
      </c>
      <c r="V35" s="55">
        <f t="shared" si="8"/>
        <v>0</v>
      </c>
      <c r="W35" s="55">
        <f t="shared" si="9"/>
        <v>0</v>
      </c>
      <c r="X35" s="55">
        <v>0</v>
      </c>
      <c r="Y35" s="55" t="e">
        <v>#N/A</v>
      </c>
      <c r="Z35" s="56" t="e">
        <f t="shared" si="19"/>
        <v>#N/A</v>
      </c>
      <c r="AA35" s="55" t="e">
        <v>#N/A</v>
      </c>
      <c r="AB35" s="55">
        <f t="shared" si="27"/>
        <v>0</v>
      </c>
      <c r="AC35" s="55">
        <v>0</v>
      </c>
      <c r="AD35" s="55">
        <v>-5.8469091880341875</v>
      </c>
      <c r="AE35" s="55">
        <v>0</v>
      </c>
      <c r="AF35" s="55" t="e">
        <v>#N/A</v>
      </c>
    </row>
    <row r="36" spans="1:32" s="57" customFormat="1" ht="15.75" customHeight="1">
      <c r="A36" s="2" t="s">
        <v>98</v>
      </c>
      <c r="B36" s="2"/>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v>0</v>
      </c>
      <c r="S36" s="53"/>
      <c r="T36" s="54" t="s">
        <v>34</v>
      </c>
      <c r="U36" s="55"/>
      <c r="V36" s="55">
        <f t="shared" si="8"/>
        <v>0</v>
      </c>
      <c r="W36" s="55">
        <f t="shared" si="9"/>
        <v>0</v>
      </c>
      <c r="X36" s="55"/>
      <c r="Y36" s="55" t="e">
        <v>#N/A</v>
      </c>
      <c r="Z36" s="56" t="e">
        <f t="shared" si="19"/>
        <v>#N/A</v>
      </c>
      <c r="AA36" s="55" t="e">
        <v>#N/A</v>
      </c>
      <c r="AB36" s="55">
        <f t="shared" si="27"/>
        <v>0</v>
      </c>
      <c r="AC36" s="55">
        <v>0</v>
      </c>
      <c r="AD36" s="55">
        <v>-5.8469091880341875</v>
      </c>
      <c r="AE36" s="55">
        <v>0</v>
      </c>
      <c r="AF36" s="55" t="e">
        <v>#N/A</v>
      </c>
    </row>
    <row r="37" spans="1:32" s="57" customFormat="1" ht="15.75" customHeight="1">
      <c r="A37" s="2" t="s">
        <v>99</v>
      </c>
      <c r="B37" s="2"/>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v>0</v>
      </c>
      <c r="S37" s="53" t="s">
        <v>34</v>
      </c>
      <c r="T37" s="54" t="s">
        <v>34</v>
      </c>
      <c r="U37" s="55">
        <v>0</v>
      </c>
      <c r="V37" s="55">
        <f t="shared" si="8"/>
        <v>0</v>
      </c>
      <c r="W37" s="55">
        <f t="shared" si="9"/>
        <v>0</v>
      </c>
      <c r="X37" s="55">
        <v>0</v>
      </c>
      <c r="Y37" s="55" t="e">
        <v>#N/A</v>
      </c>
      <c r="Z37" s="56" t="e">
        <f t="shared" si="19"/>
        <v>#N/A</v>
      </c>
      <c r="AA37" s="55" t="e">
        <v>#N/A</v>
      </c>
      <c r="AB37" s="55">
        <f t="shared" si="27"/>
        <v>0</v>
      </c>
      <c r="AC37" s="55">
        <v>0</v>
      </c>
      <c r="AD37" s="55">
        <v>-5.8469091880341875</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5">
        <v>0</v>
      </c>
      <c r="S38" s="53"/>
      <c r="T38" s="54" t="s">
        <v>34</v>
      </c>
      <c r="U38" s="55">
        <v>0</v>
      </c>
      <c r="V38" s="55">
        <f t="shared" si="8"/>
        <v>0</v>
      </c>
      <c r="W38" s="55">
        <f t="shared" si="9"/>
        <v>0</v>
      </c>
      <c r="X38" s="55">
        <v>0</v>
      </c>
      <c r="Y38" s="55" t="e">
        <v>#N/A</v>
      </c>
      <c r="Z38" s="56" t="e">
        <f t="shared" si="19"/>
        <v>#N/A</v>
      </c>
      <c r="AA38" s="55" t="e">
        <v>#N/A</v>
      </c>
      <c r="AB38" s="55">
        <f t="shared" si="27"/>
        <v>0</v>
      </c>
      <c r="AC38" s="55">
        <v>0</v>
      </c>
      <c r="AD38" s="55">
        <v>-5.8469091880341875</v>
      </c>
      <c r="AE38" s="55">
        <v>0</v>
      </c>
      <c r="AF38" s="55" t="e">
        <v>#N/A</v>
      </c>
    </row>
    <row r="39" spans="1:32" s="57" customFormat="1" ht="15.75" customHeight="1">
      <c r="A39" s="2" t="s">
        <v>101</v>
      </c>
      <c r="B39" s="2"/>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0</v>
      </c>
      <c r="O39" s="51">
        <f t="shared" ref="O39:P39" si="49">D39/7</f>
        <v>0</v>
      </c>
      <c r="P39" s="51">
        <f t="shared" si="49"/>
        <v>0</v>
      </c>
      <c r="Q39" s="51" t="e">
        <f t="shared" si="7"/>
        <v>#DIV/0!</v>
      </c>
      <c r="R39" s="55">
        <v>0</v>
      </c>
      <c r="S39" s="53" t="s">
        <v>34</v>
      </c>
      <c r="T39" s="54" t="s">
        <v>34</v>
      </c>
      <c r="U39" s="55">
        <v>0</v>
      </c>
      <c r="V39" s="55">
        <f t="shared" si="8"/>
        <v>0</v>
      </c>
      <c r="W39" s="55">
        <f t="shared" si="9"/>
        <v>0</v>
      </c>
      <c r="X39" s="55">
        <v>0</v>
      </c>
      <c r="Y39" s="55" t="e">
        <v>#N/A</v>
      </c>
      <c r="Z39" s="56" t="e">
        <f t="shared" si="19"/>
        <v>#N/A</v>
      </c>
      <c r="AA39" s="55" t="e">
        <v>#N/A</v>
      </c>
      <c r="AB39" s="55">
        <f t="shared" si="27"/>
        <v>0</v>
      </c>
      <c r="AC39" s="55">
        <v>0</v>
      </c>
      <c r="AD39" s="55">
        <v>-5.8469091880341804</v>
      </c>
      <c r="AE39" s="55">
        <v>0</v>
      </c>
      <c r="AF39" s="55" t="e">
        <v>#N/A</v>
      </c>
    </row>
    <row r="40" spans="1:32" s="57" customFormat="1" ht="15.75" customHeight="1">
      <c r="A40" s="2" t="s">
        <v>102</v>
      </c>
      <c r="B40" s="2"/>
      <c r="C40" s="51" t="s">
        <v>103</v>
      </c>
      <c r="D40" s="51">
        <v>0</v>
      </c>
      <c r="E40" s="51">
        <v>0</v>
      </c>
      <c r="F40" s="51">
        <v>0</v>
      </c>
      <c r="G40" s="51">
        <v>0</v>
      </c>
      <c r="H40" s="51" t="e">
        <v>#DIV/0!</v>
      </c>
      <c r="I40" s="51" t="e">
        <v>#DIV/0!</v>
      </c>
      <c r="J40" s="51">
        <v>0</v>
      </c>
      <c r="K40" s="51" t="e">
        <v>#DIV/0!</v>
      </c>
      <c r="L40" s="51">
        <v>0</v>
      </c>
      <c r="M40" s="51" t="s">
        <v>104</v>
      </c>
      <c r="N40" s="51">
        <v>0</v>
      </c>
      <c r="O40" s="51">
        <v>0</v>
      </c>
      <c r="P40" s="51">
        <v>0</v>
      </c>
      <c r="Q40" s="51" t="e">
        <v>#DIV/0!</v>
      </c>
      <c r="R40" s="55">
        <v>0</v>
      </c>
      <c r="S40" s="53" t="s">
        <v>34</v>
      </c>
      <c r="T40" s="54" t="s">
        <v>34</v>
      </c>
      <c r="U40" s="55">
        <v>0</v>
      </c>
      <c r="V40" s="55">
        <v>0</v>
      </c>
      <c r="W40" s="55">
        <v>0</v>
      </c>
      <c r="X40" s="55">
        <v>0</v>
      </c>
      <c r="Y40" s="55" t="e">
        <v>#N/A</v>
      </c>
      <c r="Z40" s="56" t="e">
        <v>#N/A</v>
      </c>
      <c r="AA40" s="55" t="e">
        <v>#N/A</v>
      </c>
      <c r="AB40" s="55">
        <v>0</v>
      </c>
      <c r="AC40" s="55">
        <v>0</v>
      </c>
      <c r="AD40" s="55">
        <v>-5.8469091880341804</v>
      </c>
      <c r="AE40" s="55">
        <v>0</v>
      </c>
      <c r="AF40" s="55" t="e">
        <v>#N/A</v>
      </c>
    </row>
    <row r="41" spans="1:32" s="57" customFormat="1" ht="15.75" customHeight="1">
      <c r="A41" s="2" t="s">
        <v>105</v>
      </c>
      <c r="B41" s="2"/>
      <c r="C41" s="51" t="str">
        <f t="shared" ref="C41:C56" si="50">IFERROR(F41/D41," - ")</f>
        <v xml:space="preserve"> - </v>
      </c>
      <c r="D41" s="51">
        <v>0</v>
      </c>
      <c r="E41" s="51">
        <v>0</v>
      </c>
      <c r="F41" s="51">
        <v>0</v>
      </c>
      <c r="G41" s="51">
        <v>0</v>
      </c>
      <c r="H41" s="51" t="e">
        <f t="shared" ref="H41:H56" si="51">G41/F41*-1</f>
        <v>#DIV/0!</v>
      </c>
      <c r="I41" s="51" t="e">
        <f t="shared" ref="I41:I56" si="52">J41/F41</f>
        <v>#DIV/0!</v>
      </c>
      <c r="J41" s="51">
        <f t="shared" ref="J41:J48" si="53">F41*0.85+G41+AD41*D41+D41*AC41+AE42+AB41</f>
        <v>0</v>
      </c>
      <c r="K41" s="51" t="e">
        <f t="shared" ref="K41:K56" si="54">J41/D41</f>
        <v>#DIV/0!</v>
      </c>
      <c r="L41" s="51">
        <v>0</v>
      </c>
      <c r="M41" s="51" t="str">
        <f t="shared" ref="M41:M56" si="55">IFERROR(D41/L41,"-")</f>
        <v>-</v>
      </c>
      <c r="N41" s="51">
        <v>0</v>
      </c>
      <c r="O41" s="51">
        <f t="shared" ref="O41:P41" si="56">D41/7</f>
        <v>0</v>
      </c>
      <c r="P41" s="51">
        <f t="shared" si="56"/>
        <v>0</v>
      </c>
      <c r="Q41" s="51" t="e">
        <f t="shared" ref="Q41:Q56" si="57">ROUNDDOWN(N41/(O41+P41),0)</f>
        <v>#DIV/0!</v>
      </c>
      <c r="R41" s="55">
        <v>0</v>
      </c>
      <c r="S41" s="53" t="s">
        <v>34</v>
      </c>
      <c r="T41" s="54" t="s">
        <v>34</v>
      </c>
      <c r="U41" s="55">
        <v>0</v>
      </c>
      <c r="V41" s="55">
        <f t="shared" ref="V41:V56" si="58">IFERROR(U41/D41,0)</f>
        <v>0</v>
      </c>
      <c r="W41" s="55">
        <f t="shared" ref="W41:W56" si="59">IFERROR(G41/(U41+X41)*-1,0)</f>
        <v>0</v>
      </c>
      <c r="X41" s="55">
        <v>0</v>
      </c>
      <c r="Y41" s="52" t="e">
        <v>#N/A</v>
      </c>
      <c r="Z41" s="56" t="e">
        <f t="shared" ref="Z41:Z43" si="60">IF(OR(Y41="UsLargeStandardSize",Y41="UsSmallStandardSize"),-0.75,-0.48)</f>
        <v>#N/A</v>
      </c>
      <c r="AA41" s="55" t="e">
        <v>#N/A</v>
      </c>
      <c r="AB41" s="55">
        <f t="shared" ref="AB41:AB56" si="61">IFERROR(Z41*AA41*D41*3,0)</f>
        <v>0</v>
      </c>
      <c r="AC41" s="55">
        <v>0</v>
      </c>
      <c r="AD41" s="55">
        <v>-5.8469091880341804</v>
      </c>
      <c r="AE41" s="55">
        <v>0</v>
      </c>
      <c r="AF41" s="55" t="e">
        <v>#N/A</v>
      </c>
    </row>
    <row r="42" spans="1:32" s="57" customFormat="1" ht="15.75" customHeight="1">
      <c r="A42" s="2" t="s">
        <v>106</v>
      </c>
      <c r="B42" s="2"/>
      <c r="C42" s="51" t="str">
        <f t="shared" si="50"/>
        <v xml:space="preserve"> - </v>
      </c>
      <c r="D42" s="51">
        <v>0</v>
      </c>
      <c r="E42" s="51">
        <v>0</v>
      </c>
      <c r="F42" s="51">
        <v>0</v>
      </c>
      <c r="G42" s="51">
        <v>0</v>
      </c>
      <c r="H42" s="51" t="e">
        <f t="shared" si="51"/>
        <v>#DIV/0!</v>
      </c>
      <c r="I42" s="51" t="e">
        <f t="shared" si="52"/>
        <v>#DIV/0!</v>
      </c>
      <c r="J42" s="51">
        <f t="shared" si="53"/>
        <v>0</v>
      </c>
      <c r="K42" s="51" t="e">
        <f t="shared" si="54"/>
        <v>#DIV/0!</v>
      </c>
      <c r="L42" s="51">
        <v>0</v>
      </c>
      <c r="M42" s="51" t="str">
        <f t="shared" si="55"/>
        <v>-</v>
      </c>
      <c r="N42" s="51">
        <v>0</v>
      </c>
      <c r="O42" s="51">
        <f t="shared" ref="O42:P42" si="62">D42/7</f>
        <v>0</v>
      </c>
      <c r="P42" s="51">
        <f t="shared" si="62"/>
        <v>0</v>
      </c>
      <c r="Q42" s="51" t="e">
        <f t="shared" si="57"/>
        <v>#DIV/0!</v>
      </c>
      <c r="R42" s="55">
        <f ca="1">IFERROR(__xludf.DUMMYFUNCTION("IFERROR(VLOOKUP($B$2,IMPORTRANGE(""https://docs.google.com/spreadsheets/d/1iVgg6Mw12RULLujzHmfOFIY8Q_KaAD8anoZzgtVAQ74/edit#gid=1503384807"",""Second Star - Summary!A1:AD2000""),9,FALSE),"""")"),1005)</f>
        <v>1005</v>
      </c>
      <c r="S42" s="53">
        <f ca="1">IFERROR(__xludf.DUMMYFUNCTION("IFERROR(VLOOKUP($B$2,IMPORTRANGE(""https://docs.google.com/spreadsheets/d/1iVgg6Mw12RULLujzHmfOFIY8Q_KaAD8anoZzgtVAQ74/edit#gid=1503384807"",""Second Star - Summary!A1:AD2000""),28,FALSE),"""")"),30)</f>
        <v>30</v>
      </c>
      <c r="T42" s="54" t="str">
        <f ca="1">IFERROR(__xludf.DUMMYFUNCTION("IFERROR(VLOOKUP($B$2,IMPORTRANGE(""https://docs.google.com/spreadsheets/d/1iVgg6Mw12RULLujzHmfOFIY8Q_KaAD8anoZzgtVAQ74/edit#gid=1503384807"",""Second Star - Summary!A1:AD2000""),29,FALSE),"""")"),"")</f>
        <v/>
      </c>
      <c r="U42" s="55">
        <v>0</v>
      </c>
      <c r="V42" s="55">
        <f t="shared" si="58"/>
        <v>0</v>
      </c>
      <c r="W42" s="55">
        <f t="shared" si="59"/>
        <v>0</v>
      </c>
      <c r="X42" s="55">
        <v>0</v>
      </c>
      <c r="Y42" s="55" t="e">
        <v>#N/A</v>
      </c>
      <c r="Z42" s="56" t="e">
        <f t="shared" si="60"/>
        <v>#N/A</v>
      </c>
      <c r="AA42" s="55" t="e">
        <v>#N/A</v>
      </c>
      <c r="AB42" s="55">
        <f t="shared" si="61"/>
        <v>0</v>
      </c>
      <c r="AC42" s="55">
        <v>0</v>
      </c>
      <c r="AD42" s="55">
        <v>-5.8469091880341804</v>
      </c>
      <c r="AE42" s="55">
        <v>0</v>
      </c>
      <c r="AF42" s="55" t="e">
        <v>#N/A</v>
      </c>
    </row>
    <row r="43" spans="1:32" s="57" customFormat="1" ht="15.75" customHeight="1">
      <c r="A43" s="2" t="s">
        <v>107</v>
      </c>
      <c r="B43" s="2"/>
      <c r="C43" s="51" t="str">
        <f t="shared" si="50"/>
        <v xml:space="preserve"> - </v>
      </c>
      <c r="D43" s="51">
        <v>0</v>
      </c>
      <c r="E43" s="51">
        <v>0</v>
      </c>
      <c r="F43" s="51">
        <v>0</v>
      </c>
      <c r="G43" s="51">
        <v>0</v>
      </c>
      <c r="H43" s="51" t="e">
        <f t="shared" si="51"/>
        <v>#DIV/0!</v>
      </c>
      <c r="I43" s="51" t="e">
        <f t="shared" si="52"/>
        <v>#DIV/0!</v>
      </c>
      <c r="J43" s="51">
        <f t="shared" si="53"/>
        <v>0</v>
      </c>
      <c r="K43" s="51" t="e">
        <f t="shared" si="54"/>
        <v>#DIV/0!</v>
      </c>
      <c r="L43" s="51">
        <v>0</v>
      </c>
      <c r="M43" s="51" t="str">
        <f t="shared" si="55"/>
        <v>-</v>
      </c>
      <c r="N43" s="51">
        <v>0</v>
      </c>
      <c r="O43" s="51">
        <f t="shared" ref="O43:P43" si="63">D43/7</f>
        <v>0</v>
      </c>
      <c r="P43" s="51">
        <f t="shared" si="63"/>
        <v>0</v>
      </c>
      <c r="Q43" s="51" t="e">
        <f t="shared" si="57"/>
        <v>#DIV/0!</v>
      </c>
      <c r="R43" s="55">
        <v>0</v>
      </c>
      <c r="S43" s="53" t="s">
        <v>34</v>
      </c>
      <c r="T43" s="54" t="s">
        <v>34</v>
      </c>
      <c r="U43" s="55">
        <v>0</v>
      </c>
      <c r="V43" s="55">
        <f t="shared" si="58"/>
        <v>0</v>
      </c>
      <c r="W43" s="55">
        <f t="shared" si="59"/>
        <v>0</v>
      </c>
      <c r="X43" s="55">
        <v>0</v>
      </c>
      <c r="Y43" s="55" t="e">
        <v>#N/A</v>
      </c>
      <c r="Z43" s="56" t="e">
        <f t="shared" si="60"/>
        <v>#N/A</v>
      </c>
      <c r="AA43" s="55" t="e">
        <v>#N/A</v>
      </c>
      <c r="AB43" s="55">
        <f t="shared" si="61"/>
        <v>0</v>
      </c>
      <c r="AC43" s="55">
        <v>0</v>
      </c>
      <c r="AD43" s="55">
        <v>-5.8469091880341804</v>
      </c>
      <c r="AE43" s="55">
        <v>0</v>
      </c>
      <c r="AF43" s="55" t="e">
        <v>#N/A</v>
      </c>
    </row>
    <row r="44" spans="1:32" s="57" customFormat="1" ht="15.75" customHeight="1">
      <c r="A44" s="2" t="s">
        <v>108</v>
      </c>
      <c r="B44" s="2"/>
      <c r="C44" s="51" t="str">
        <f t="shared" si="50"/>
        <v xml:space="preserve"> - </v>
      </c>
      <c r="D44" s="51">
        <v>0</v>
      </c>
      <c r="E44" s="51">
        <v>0</v>
      </c>
      <c r="F44" s="51">
        <v>0</v>
      </c>
      <c r="G44" s="51">
        <v>0</v>
      </c>
      <c r="H44" s="51" t="e">
        <f t="shared" si="51"/>
        <v>#DIV/0!</v>
      </c>
      <c r="I44" s="51" t="e">
        <f t="shared" si="52"/>
        <v>#DIV/0!</v>
      </c>
      <c r="J44" s="51">
        <f t="shared" si="53"/>
        <v>0</v>
      </c>
      <c r="K44" s="51" t="e">
        <f t="shared" si="54"/>
        <v>#DIV/0!</v>
      </c>
      <c r="L44" s="51">
        <v>0</v>
      </c>
      <c r="M44" s="51" t="str">
        <f t="shared" si="55"/>
        <v>-</v>
      </c>
      <c r="N44" s="51">
        <v>0</v>
      </c>
      <c r="O44" s="51">
        <f t="shared" ref="O44:P44" si="64">D44/7</f>
        <v>0</v>
      </c>
      <c r="P44" s="51">
        <f t="shared" si="64"/>
        <v>0</v>
      </c>
      <c r="Q44" s="51" t="e">
        <f t="shared" si="57"/>
        <v>#DIV/0!</v>
      </c>
      <c r="R44" s="55">
        <v>0</v>
      </c>
      <c r="S44" s="53" t="s">
        <v>34</v>
      </c>
      <c r="T44" s="54" t="s">
        <v>34</v>
      </c>
      <c r="U44" s="55">
        <v>0</v>
      </c>
      <c r="V44" s="55">
        <f t="shared" si="58"/>
        <v>0</v>
      </c>
      <c r="W44" s="55">
        <f t="shared" si="59"/>
        <v>0</v>
      </c>
      <c r="X44" s="55">
        <v>0</v>
      </c>
      <c r="Y44" s="55" t="e">
        <v>#N/A</v>
      </c>
      <c r="Z44" s="56" t="e">
        <f t="shared" ref="Z44:Z56" si="65">IF(OR(Y44="UsLargeStandardSize",Y44="UsSmallStandardSize"),-2.4,-1.2)</f>
        <v>#N/A</v>
      </c>
      <c r="AA44" s="55" t="e">
        <v>#N/A</v>
      </c>
      <c r="AB44" s="55">
        <f t="shared" si="61"/>
        <v>0</v>
      </c>
      <c r="AC44" s="55">
        <v>0</v>
      </c>
      <c r="AD44" s="55">
        <v>-5.8469091880341804</v>
      </c>
      <c r="AE44" s="55">
        <v>0</v>
      </c>
      <c r="AF44" s="55" t="e">
        <v>#N/A</v>
      </c>
    </row>
    <row r="45" spans="1:32" s="57" customFormat="1" ht="15.75" customHeight="1">
      <c r="A45" s="2" t="s">
        <v>109</v>
      </c>
      <c r="B45" s="2"/>
      <c r="C45" s="51" t="str">
        <f t="shared" si="50"/>
        <v xml:space="preserve"> - </v>
      </c>
      <c r="D45" s="51">
        <v>0</v>
      </c>
      <c r="E45" s="51">
        <v>0</v>
      </c>
      <c r="F45" s="51">
        <v>0</v>
      </c>
      <c r="G45" s="51">
        <v>0</v>
      </c>
      <c r="H45" s="51" t="e">
        <f t="shared" si="51"/>
        <v>#DIV/0!</v>
      </c>
      <c r="I45" s="51" t="e">
        <f t="shared" si="52"/>
        <v>#DIV/0!</v>
      </c>
      <c r="J45" s="51">
        <f t="shared" si="53"/>
        <v>0</v>
      </c>
      <c r="K45" s="51" t="e">
        <f t="shared" si="54"/>
        <v>#DIV/0!</v>
      </c>
      <c r="L45" s="51">
        <v>0</v>
      </c>
      <c r="M45" s="51" t="str">
        <f t="shared" si="55"/>
        <v>-</v>
      </c>
      <c r="N45" s="51">
        <v>0</v>
      </c>
      <c r="O45" s="51">
        <f t="shared" ref="O45:P45" si="66">D45/7</f>
        <v>0</v>
      </c>
      <c r="P45" s="51">
        <f t="shared" si="66"/>
        <v>0</v>
      </c>
      <c r="Q45" s="51" t="e">
        <f t="shared" si="57"/>
        <v>#DIV/0!</v>
      </c>
      <c r="R45" s="55">
        <v>0</v>
      </c>
      <c r="S45" s="53" t="s">
        <v>34</v>
      </c>
      <c r="T45" s="54" t="s">
        <v>34</v>
      </c>
      <c r="U45" s="55">
        <v>0</v>
      </c>
      <c r="V45" s="55">
        <f t="shared" si="58"/>
        <v>0</v>
      </c>
      <c r="W45" s="55">
        <f t="shared" si="59"/>
        <v>0</v>
      </c>
      <c r="X45" s="55">
        <v>0</v>
      </c>
      <c r="Y45" s="55" t="e">
        <v>#N/A</v>
      </c>
      <c r="Z45" s="56" t="e">
        <f t="shared" si="65"/>
        <v>#N/A</v>
      </c>
      <c r="AA45" s="55" t="e">
        <v>#N/A</v>
      </c>
      <c r="AB45" s="55">
        <f t="shared" si="61"/>
        <v>0</v>
      </c>
      <c r="AC45" s="55">
        <v>0</v>
      </c>
      <c r="AD45" s="55">
        <v>-5.8469091880341804</v>
      </c>
      <c r="AE45" s="55">
        <v>0</v>
      </c>
      <c r="AF45" s="55" t="e">
        <v>#N/A</v>
      </c>
    </row>
    <row r="46" spans="1:32" s="57" customFormat="1" ht="15.75" customHeight="1">
      <c r="A46" s="2" t="s">
        <v>111</v>
      </c>
      <c r="B46" s="2"/>
      <c r="C46" s="51" t="str">
        <f t="shared" si="50"/>
        <v xml:space="preserve"> - </v>
      </c>
      <c r="D46" s="51">
        <v>0</v>
      </c>
      <c r="E46" s="51">
        <v>0</v>
      </c>
      <c r="F46" s="51">
        <v>0</v>
      </c>
      <c r="G46" s="51">
        <v>0</v>
      </c>
      <c r="H46" s="51" t="e">
        <f t="shared" si="51"/>
        <v>#DIV/0!</v>
      </c>
      <c r="I46" s="51" t="e">
        <f t="shared" si="52"/>
        <v>#DIV/0!</v>
      </c>
      <c r="J46" s="51">
        <f t="shared" si="53"/>
        <v>0</v>
      </c>
      <c r="K46" s="51" t="e">
        <f t="shared" si="54"/>
        <v>#DIV/0!</v>
      </c>
      <c r="L46" s="51">
        <v>0</v>
      </c>
      <c r="M46" s="51" t="str">
        <f t="shared" si="55"/>
        <v>-</v>
      </c>
      <c r="N46" s="51">
        <v>0</v>
      </c>
      <c r="O46" s="51">
        <f t="shared" ref="O46:P46" si="67">D46/7</f>
        <v>0</v>
      </c>
      <c r="P46" s="51">
        <f t="shared" si="67"/>
        <v>0</v>
      </c>
      <c r="Q46" s="51" t="e">
        <f t="shared" si="57"/>
        <v>#DIV/0!</v>
      </c>
      <c r="R46" s="55">
        <v>0</v>
      </c>
      <c r="S46" s="53" t="s">
        <v>34</v>
      </c>
      <c r="T46" s="54" t="s">
        <v>34</v>
      </c>
      <c r="U46" s="55">
        <v>0</v>
      </c>
      <c r="V46" s="55">
        <f t="shared" si="58"/>
        <v>0</v>
      </c>
      <c r="W46" s="55">
        <f t="shared" si="59"/>
        <v>0</v>
      </c>
      <c r="X46" s="55">
        <v>0</v>
      </c>
      <c r="Y46" s="55" t="e">
        <v>#N/A</v>
      </c>
      <c r="Z46" s="56" t="e">
        <f t="shared" si="65"/>
        <v>#N/A</v>
      </c>
      <c r="AA46" s="55" t="e">
        <v>#N/A</v>
      </c>
      <c r="AB46" s="55">
        <f t="shared" si="61"/>
        <v>0</v>
      </c>
      <c r="AC46" s="55">
        <v>0</v>
      </c>
      <c r="AD46" s="55">
        <v>-5.8469091880341804</v>
      </c>
      <c r="AE46" s="55">
        <v>0</v>
      </c>
      <c r="AF46" s="55" t="e">
        <v>#N/A</v>
      </c>
    </row>
    <row r="47" spans="1:32" s="57" customFormat="1" ht="15.75" customHeight="1">
      <c r="A47" s="2" t="s">
        <v>113</v>
      </c>
      <c r="B47" s="2"/>
      <c r="C47" s="51" t="str">
        <f t="shared" si="50"/>
        <v xml:space="preserve"> - </v>
      </c>
      <c r="D47" s="51">
        <v>0</v>
      </c>
      <c r="E47" s="51">
        <v>0</v>
      </c>
      <c r="F47" s="51">
        <v>0</v>
      </c>
      <c r="G47" s="51">
        <v>0</v>
      </c>
      <c r="H47" s="51" t="e">
        <f t="shared" si="51"/>
        <v>#DIV/0!</v>
      </c>
      <c r="I47" s="51" t="e">
        <f t="shared" si="52"/>
        <v>#DIV/0!</v>
      </c>
      <c r="J47" s="51">
        <f t="shared" si="53"/>
        <v>0</v>
      </c>
      <c r="K47" s="51" t="e">
        <f t="shared" si="54"/>
        <v>#DIV/0!</v>
      </c>
      <c r="L47" s="51">
        <v>0</v>
      </c>
      <c r="M47" s="51" t="str">
        <f t="shared" si="55"/>
        <v>-</v>
      </c>
      <c r="N47" s="51">
        <v>0</v>
      </c>
      <c r="O47" s="51">
        <f t="shared" ref="O47:P47" si="68">D47/7</f>
        <v>0</v>
      </c>
      <c r="P47" s="51">
        <f t="shared" si="68"/>
        <v>0</v>
      </c>
      <c r="Q47" s="51" t="e">
        <f t="shared" si="57"/>
        <v>#DIV/0!</v>
      </c>
      <c r="R47" s="55">
        <v>0</v>
      </c>
      <c r="S47" s="53" t="s">
        <v>34</v>
      </c>
      <c r="T47" s="54" t="s">
        <v>34</v>
      </c>
      <c r="U47" s="55">
        <v>0</v>
      </c>
      <c r="V47" s="55">
        <f t="shared" si="58"/>
        <v>0</v>
      </c>
      <c r="W47" s="55">
        <f t="shared" si="59"/>
        <v>0</v>
      </c>
      <c r="X47" s="55">
        <v>0</v>
      </c>
      <c r="Y47" s="55" t="e">
        <v>#N/A</v>
      </c>
      <c r="Z47" s="56" t="e">
        <f t="shared" si="65"/>
        <v>#N/A</v>
      </c>
      <c r="AA47" s="55" t="e">
        <v>#N/A</v>
      </c>
      <c r="AB47" s="55">
        <f t="shared" si="61"/>
        <v>0</v>
      </c>
      <c r="AC47" s="55">
        <v>0</v>
      </c>
      <c r="AD47" s="55">
        <v>-5.8469091880341804</v>
      </c>
      <c r="AE47" s="55">
        <v>0</v>
      </c>
      <c r="AF47" s="55" t="e">
        <v>#N/A</v>
      </c>
    </row>
    <row r="48" spans="1:32" s="57" customFormat="1" ht="15.75" customHeight="1">
      <c r="A48" s="2" t="s">
        <v>115</v>
      </c>
      <c r="B48" s="2"/>
      <c r="C48" s="51" t="str">
        <f t="shared" si="50"/>
        <v xml:space="preserve"> - </v>
      </c>
      <c r="D48" s="51">
        <v>0</v>
      </c>
      <c r="E48" s="51">
        <v>0</v>
      </c>
      <c r="F48" s="51">
        <v>0</v>
      </c>
      <c r="G48" s="51">
        <v>0</v>
      </c>
      <c r="H48" s="51" t="e">
        <f t="shared" si="51"/>
        <v>#DIV/0!</v>
      </c>
      <c r="I48" s="51" t="e">
        <f t="shared" si="52"/>
        <v>#DIV/0!</v>
      </c>
      <c r="J48" s="51">
        <f t="shared" si="53"/>
        <v>0</v>
      </c>
      <c r="K48" s="51" t="e">
        <f t="shared" si="54"/>
        <v>#DIV/0!</v>
      </c>
      <c r="L48" s="51">
        <v>0</v>
      </c>
      <c r="M48" s="51" t="str">
        <f t="shared" si="55"/>
        <v>-</v>
      </c>
      <c r="N48" s="51">
        <v>0</v>
      </c>
      <c r="O48" s="51">
        <f t="shared" ref="O48:P48" si="69">D48/7</f>
        <v>0</v>
      </c>
      <c r="P48" s="51">
        <f t="shared" si="69"/>
        <v>0</v>
      </c>
      <c r="Q48" s="51" t="e">
        <f t="shared" si="57"/>
        <v>#DIV/0!</v>
      </c>
      <c r="R48" s="55">
        <f ca="1">IFERROR(__xludf.DUMMYFUNCTION("IFERROR(VLOOKUP($B$2,IMPORTRANGE(""https://docs.google.com/spreadsheets/d/1iVgg6Mw12RULLujzHmfOFIY8Q_KaAD8anoZzgtVAQ74/edit#gid=1503384807"",""Second Star - Summary!A1:AD2000""),9,FALSE),"""")"),1005)</f>
        <v>1005</v>
      </c>
      <c r="S48" s="53">
        <f ca="1">IFERROR(__xludf.DUMMYFUNCTION("IFERROR(VLOOKUP($B$2,IMPORTRANGE(""https://docs.google.com/spreadsheets/d/1iVgg6Mw12RULLujzHmfOFIY8Q_KaAD8anoZzgtVAQ74/edit#gid=1503384807"",""Second Star - Summary!A1:AD2000""),28,FALSE),"""")"),30)</f>
        <v>30</v>
      </c>
      <c r="T48" s="54" t="str">
        <f ca="1">IFERROR(__xludf.DUMMYFUNCTION("IFERROR(VLOOKUP($B$2,IMPORTRANGE(""https://docs.google.com/spreadsheets/d/1iVgg6Mw12RULLujzHmfOFIY8Q_KaAD8anoZzgtVAQ74/edit#gid=1503384807"",""Second Star - Summary!A1:AD2000""),29,FALSE),"""")"),"")</f>
        <v/>
      </c>
      <c r="U48" s="55">
        <v>0</v>
      </c>
      <c r="V48" s="55">
        <f t="shared" si="58"/>
        <v>0</v>
      </c>
      <c r="W48" s="55">
        <f t="shared" si="59"/>
        <v>0</v>
      </c>
      <c r="X48" s="55">
        <v>0</v>
      </c>
      <c r="Y48" s="55" t="e">
        <v>#N/A</v>
      </c>
      <c r="Z48" s="56" t="e">
        <f t="shared" si="65"/>
        <v>#N/A</v>
      </c>
      <c r="AA48" s="55" t="e">
        <v>#N/A</v>
      </c>
      <c r="AB48" s="55">
        <f t="shared" si="61"/>
        <v>0</v>
      </c>
      <c r="AC48" s="55">
        <v>0</v>
      </c>
      <c r="AD48" s="55">
        <v>-5.8469091880341804</v>
      </c>
      <c r="AE48" s="55">
        <v>0</v>
      </c>
      <c r="AF48" s="55" t="e">
        <v>#N/A</v>
      </c>
    </row>
    <row r="49" spans="1:32" s="57" customFormat="1" ht="15.75" customHeight="1">
      <c r="A49" s="2" t="s">
        <v>117</v>
      </c>
      <c r="B49" s="2"/>
      <c r="C49" s="51" t="str">
        <f t="shared" si="50"/>
        <v xml:space="preserve"> - </v>
      </c>
      <c r="D49" s="51">
        <v>0</v>
      </c>
      <c r="E49" s="51">
        <v>0</v>
      </c>
      <c r="F49" s="51">
        <v>0</v>
      </c>
      <c r="G49" s="51">
        <v>0</v>
      </c>
      <c r="H49" s="51" t="e">
        <f t="shared" si="51"/>
        <v>#DIV/0!</v>
      </c>
      <c r="I49" s="51" t="e">
        <f t="shared" si="52"/>
        <v>#DIV/0!</v>
      </c>
      <c r="J49" s="51">
        <f t="shared" ref="J49:J56" si="70">F49*0.85+G49+AD49*D49+D49*AC49+AE49+AB49</f>
        <v>0</v>
      </c>
      <c r="K49" s="51" t="e">
        <f t="shared" si="54"/>
        <v>#DIV/0!</v>
      </c>
      <c r="L49" s="51">
        <v>0</v>
      </c>
      <c r="M49" s="51" t="str">
        <f t="shared" si="55"/>
        <v>-</v>
      </c>
      <c r="N49" s="51">
        <v>0</v>
      </c>
      <c r="O49" s="51">
        <f t="shared" ref="O49:P49" si="71">D49/7</f>
        <v>0</v>
      </c>
      <c r="P49" s="51">
        <f t="shared" si="71"/>
        <v>0</v>
      </c>
      <c r="Q49" s="51" t="e">
        <f t="shared" si="57"/>
        <v>#DIV/0!</v>
      </c>
      <c r="R49" s="55">
        <f ca="1">IFERROR(__xludf.DUMMYFUNCTION("IFERROR(VLOOKUP($B$2,IMPORTRANGE(""https://docs.google.com/spreadsheets/d/1iVgg6Mw12RULLujzHmfOFIY8Q_KaAD8anoZzgtVAQ74/edit#gid=1503384807"",""Second Star - Summary!A1:AD2000""),9,FALSE),"""")"),1005)</f>
        <v>1005</v>
      </c>
      <c r="S49" s="53">
        <f ca="1">IFERROR(__xludf.DUMMYFUNCTION("IFERROR(VLOOKUP($B$2,IMPORTRANGE(""https://docs.google.com/spreadsheets/d/1iVgg6Mw12RULLujzHmfOFIY8Q_KaAD8anoZzgtVAQ74/edit#gid=1503384807"",""Second Star - Summary!A1:AD2000""),28,FALSE),"""")"),30)</f>
        <v>30</v>
      </c>
      <c r="T49" s="54" t="str">
        <f ca="1">IFERROR(__xludf.DUMMYFUNCTION("IFERROR(VLOOKUP($B$2,IMPORTRANGE(""https://docs.google.com/spreadsheets/d/1iVgg6Mw12RULLujzHmfOFIY8Q_KaAD8anoZzgtVAQ74/edit#gid=1503384807"",""Second Star - Summary!A1:AD2000""),29,FALSE),"""")"),"")</f>
        <v/>
      </c>
      <c r="U49" s="55">
        <v>0</v>
      </c>
      <c r="V49" s="55">
        <f t="shared" si="58"/>
        <v>0</v>
      </c>
      <c r="W49" s="55">
        <f t="shared" si="59"/>
        <v>0</v>
      </c>
      <c r="X49" s="55">
        <v>0</v>
      </c>
      <c r="Y49" s="55" t="e">
        <v>#N/A</v>
      </c>
      <c r="Z49" s="56" t="e">
        <f t="shared" si="65"/>
        <v>#N/A</v>
      </c>
      <c r="AA49" s="55" t="e">
        <v>#N/A</v>
      </c>
      <c r="AB49" s="55">
        <f t="shared" si="61"/>
        <v>0</v>
      </c>
      <c r="AC49" s="55">
        <v>0</v>
      </c>
      <c r="AD49" s="55">
        <v>-5.8469091880341804</v>
      </c>
      <c r="AE49" s="55">
        <v>0</v>
      </c>
      <c r="AF49" s="55" t="e">
        <v>#N/A</v>
      </c>
    </row>
    <row r="50" spans="1:32" s="57" customFormat="1" ht="15.75" customHeight="1">
      <c r="A50" s="2" t="s">
        <v>119</v>
      </c>
      <c r="B50" s="2"/>
      <c r="C50" s="51" t="str">
        <f t="shared" si="50"/>
        <v xml:space="preserve"> - </v>
      </c>
      <c r="D50" s="51">
        <v>0</v>
      </c>
      <c r="E50" s="51">
        <v>0</v>
      </c>
      <c r="F50" s="51">
        <v>0</v>
      </c>
      <c r="G50" s="51">
        <v>0</v>
      </c>
      <c r="H50" s="51" t="e">
        <f t="shared" si="51"/>
        <v>#DIV/0!</v>
      </c>
      <c r="I50" s="51" t="e">
        <f t="shared" si="52"/>
        <v>#DIV/0!</v>
      </c>
      <c r="J50" s="51">
        <f t="shared" si="70"/>
        <v>0</v>
      </c>
      <c r="K50" s="51" t="e">
        <f t="shared" si="54"/>
        <v>#DIV/0!</v>
      </c>
      <c r="L50" s="51">
        <v>0</v>
      </c>
      <c r="M50" s="51" t="str">
        <f t="shared" si="55"/>
        <v>-</v>
      </c>
      <c r="N50" s="51">
        <v>0</v>
      </c>
      <c r="O50" s="51">
        <f t="shared" ref="O50:P50" si="72">D50/7</f>
        <v>0</v>
      </c>
      <c r="P50" s="51">
        <f t="shared" si="72"/>
        <v>0</v>
      </c>
      <c r="Q50" s="51" t="e">
        <f t="shared" si="57"/>
        <v>#DIV/0!</v>
      </c>
      <c r="R50" s="55">
        <f ca="1">IFERROR(__xludf.DUMMYFUNCTION("IFERROR(VLOOKUP($B$2,IMPORTRANGE(""https://docs.google.com/spreadsheets/d/1iVgg6Mw12RULLujzHmfOFIY8Q_KaAD8anoZzgtVAQ74/edit#gid=1503384807"",""Second Star - Summary!A1:AD2000""),9,FALSE),"""")"),1005)</f>
        <v>1005</v>
      </c>
      <c r="S50" s="53">
        <f ca="1">IFERROR(__xludf.DUMMYFUNCTION("IFERROR(VLOOKUP($B$2,IMPORTRANGE(""https://docs.google.com/spreadsheets/d/1iVgg6Mw12RULLujzHmfOFIY8Q_KaAD8anoZzgtVAQ74/edit#gid=1503384807"",""Second Star - Summary!A1:AD2000""),28,FALSE),"""")"),30)</f>
        <v>30</v>
      </c>
      <c r="T50" s="54" t="str">
        <f ca="1">IFERROR(__xludf.DUMMYFUNCTION("IFERROR(VLOOKUP($B$2,IMPORTRANGE(""https://docs.google.com/spreadsheets/d/1iVgg6Mw12RULLujzHmfOFIY8Q_KaAD8anoZzgtVAQ74/edit#gid=1503384807"",""Second Star - Summary!A1:AD2000""),29,FALSE),"""")"),"")</f>
        <v/>
      </c>
      <c r="U50" s="55">
        <v>0</v>
      </c>
      <c r="V50" s="55">
        <f t="shared" si="58"/>
        <v>0</v>
      </c>
      <c r="W50" s="55">
        <f t="shared" si="59"/>
        <v>0</v>
      </c>
      <c r="X50" s="55">
        <v>0</v>
      </c>
      <c r="Y50" s="55" t="e">
        <v>#N/A</v>
      </c>
      <c r="Z50" s="56" t="e">
        <f t="shared" si="65"/>
        <v>#N/A</v>
      </c>
      <c r="AA50" s="55" t="e">
        <v>#N/A</v>
      </c>
      <c r="AB50" s="55">
        <f t="shared" si="61"/>
        <v>0</v>
      </c>
      <c r="AC50" s="55">
        <v>0</v>
      </c>
      <c r="AD50" s="55">
        <v>-5.8469091880341804</v>
      </c>
      <c r="AE50" s="55">
        <v>0</v>
      </c>
      <c r="AF50" s="55" t="e">
        <v>#N/A</v>
      </c>
    </row>
    <row r="51" spans="1:32" s="57" customFormat="1" ht="15.75" customHeight="1">
      <c r="A51" s="2" t="s">
        <v>121</v>
      </c>
      <c r="B51" s="2"/>
      <c r="C51" s="51" t="str">
        <f t="shared" si="50"/>
        <v xml:space="preserve"> - </v>
      </c>
      <c r="D51" s="51">
        <v>0</v>
      </c>
      <c r="E51" s="51">
        <v>0</v>
      </c>
      <c r="F51" s="51">
        <v>0</v>
      </c>
      <c r="G51" s="51">
        <v>0</v>
      </c>
      <c r="H51" s="51" t="e">
        <f t="shared" si="51"/>
        <v>#DIV/0!</v>
      </c>
      <c r="I51" s="51" t="e">
        <f t="shared" si="52"/>
        <v>#DIV/0!</v>
      </c>
      <c r="J51" s="51">
        <f t="shared" si="70"/>
        <v>0</v>
      </c>
      <c r="K51" s="51" t="e">
        <f t="shared" si="54"/>
        <v>#DIV/0!</v>
      </c>
      <c r="L51" s="51">
        <v>0</v>
      </c>
      <c r="M51" s="51" t="str">
        <f t="shared" si="55"/>
        <v>-</v>
      </c>
      <c r="N51" s="51">
        <v>0</v>
      </c>
      <c r="O51" s="51">
        <f t="shared" ref="O51:P51" si="73">D51/7</f>
        <v>0</v>
      </c>
      <c r="P51" s="51">
        <f t="shared" si="73"/>
        <v>0</v>
      </c>
      <c r="Q51" s="51" t="e">
        <f t="shared" si="57"/>
        <v>#DIV/0!</v>
      </c>
      <c r="R51" s="55">
        <f ca="1">IFERROR(__xludf.DUMMYFUNCTION("IFERROR(VLOOKUP($B$2,IMPORTRANGE(""https://docs.google.com/spreadsheets/d/1iVgg6Mw12RULLujzHmfOFIY8Q_KaAD8anoZzgtVAQ74/edit#gid=1503384807"",""Second Star - Summary!A1:AD2000""),9,FALSE),"""")"),1005)</f>
        <v>1005</v>
      </c>
      <c r="S51" s="53">
        <f ca="1">IFERROR(__xludf.DUMMYFUNCTION("IFERROR(VLOOKUP($B$2,IMPORTRANGE(""https://docs.google.com/spreadsheets/d/1iVgg6Mw12RULLujzHmfOFIY8Q_KaAD8anoZzgtVAQ74/edit#gid=1503384807"",""Second Star - Summary!A1:AD2000""),28,FALSE),"""")"),30)</f>
        <v>30</v>
      </c>
      <c r="T51" s="54" t="str">
        <f ca="1">IFERROR(__xludf.DUMMYFUNCTION("IFERROR(VLOOKUP($B$2,IMPORTRANGE(""https://docs.google.com/spreadsheets/d/1iVgg6Mw12RULLujzHmfOFIY8Q_KaAD8anoZzgtVAQ74/edit#gid=1503384807"",""Second Star - Summary!A1:AD2000""),29,FALSE),"""")"),"")</f>
        <v/>
      </c>
      <c r="U51" s="55">
        <v>0</v>
      </c>
      <c r="V51" s="55">
        <f t="shared" si="58"/>
        <v>0</v>
      </c>
      <c r="W51" s="55">
        <f t="shared" si="59"/>
        <v>0</v>
      </c>
      <c r="X51" s="55">
        <v>0</v>
      </c>
      <c r="Y51" s="55" t="e">
        <v>#N/A</v>
      </c>
      <c r="Z51" s="56" t="e">
        <f t="shared" si="65"/>
        <v>#N/A</v>
      </c>
      <c r="AA51" s="55" t="e">
        <v>#N/A</v>
      </c>
      <c r="AB51" s="55">
        <f t="shared" si="61"/>
        <v>0</v>
      </c>
      <c r="AC51" s="55">
        <v>0</v>
      </c>
      <c r="AD51" s="55">
        <v>-5.8469091880341804</v>
      </c>
      <c r="AE51" s="55">
        <v>0</v>
      </c>
      <c r="AF51" s="55" t="e">
        <v>#N/A</v>
      </c>
    </row>
    <row r="52" spans="1:32" s="57" customFormat="1" ht="15.75" customHeight="1">
      <c r="A52" s="2" t="s">
        <v>123</v>
      </c>
      <c r="B52" s="2"/>
      <c r="C52" s="51" t="str">
        <f t="shared" si="50"/>
        <v xml:space="preserve"> - </v>
      </c>
      <c r="D52" s="51">
        <v>0</v>
      </c>
      <c r="E52" s="51">
        <v>0</v>
      </c>
      <c r="F52" s="51">
        <v>0</v>
      </c>
      <c r="G52" s="51">
        <v>0</v>
      </c>
      <c r="H52" s="51" t="e">
        <f t="shared" si="51"/>
        <v>#DIV/0!</v>
      </c>
      <c r="I52" s="51" t="e">
        <f t="shared" si="52"/>
        <v>#DIV/0!</v>
      </c>
      <c r="J52" s="51">
        <f t="shared" si="70"/>
        <v>0</v>
      </c>
      <c r="K52" s="51" t="e">
        <f t="shared" si="54"/>
        <v>#DIV/0!</v>
      </c>
      <c r="L52" s="51">
        <v>0</v>
      </c>
      <c r="M52" s="51" t="str">
        <f t="shared" si="55"/>
        <v>-</v>
      </c>
      <c r="N52" s="51">
        <v>0</v>
      </c>
      <c r="O52" s="51">
        <f t="shared" ref="O52:P52" si="74">D52/7</f>
        <v>0</v>
      </c>
      <c r="P52" s="51">
        <f t="shared" si="74"/>
        <v>0</v>
      </c>
      <c r="Q52" s="51" t="e">
        <f t="shared" si="57"/>
        <v>#DIV/0!</v>
      </c>
      <c r="R52" s="55">
        <f ca="1">IFERROR(__xludf.DUMMYFUNCTION("IFERROR(VLOOKUP($B$2,IMPORTRANGE(""https://docs.google.com/spreadsheets/d/1iVgg6Mw12RULLujzHmfOFIY8Q_KaAD8anoZzgtVAQ74/edit#gid=1503384807"",""Second Star - Summary!A1:AD2000""),9,FALSE),"""")"),1005)</f>
        <v>1005</v>
      </c>
      <c r="S52" s="53">
        <f ca="1">IFERROR(__xludf.DUMMYFUNCTION("IFERROR(VLOOKUP($B$2,IMPORTRANGE(""https://docs.google.com/spreadsheets/d/1iVgg6Mw12RULLujzHmfOFIY8Q_KaAD8anoZzgtVAQ74/edit#gid=1503384807"",""Second Star - Summary!A1:AD2000""),28,FALSE),"""")"),30)</f>
        <v>30</v>
      </c>
      <c r="T52" s="54" t="str">
        <f ca="1">IFERROR(__xludf.DUMMYFUNCTION("IFERROR(VLOOKUP($B$2,IMPORTRANGE(""https://docs.google.com/spreadsheets/d/1iVgg6Mw12RULLujzHmfOFIY8Q_KaAD8anoZzgtVAQ74/edit#gid=1503384807"",""Second Star - Summary!A1:AD2000""),29,FALSE),"""")"),"")</f>
        <v/>
      </c>
      <c r="U52" s="55">
        <v>0</v>
      </c>
      <c r="V52" s="55">
        <f t="shared" si="58"/>
        <v>0</v>
      </c>
      <c r="W52" s="55">
        <f t="shared" si="59"/>
        <v>0</v>
      </c>
      <c r="X52" s="55">
        <v>0</v>
      </c>
      <c r="Y52" s="55" t="e">
        <v>#N/A</v>
      </c>
      <c r="Z52" s="56" t="e">
        <f t="shared" si="65"/>
        <v>#N/A</v>
      </c>
      <c r="AA52" s="55" t="e">
        <v>#N/A</v>
      </c>
      <c r="AB52" s="55">
        <f t="shared" si="61"/>
        <v>0</v>
      </c>
      <c r="AC52" s="55">
        <v>0</v>
      </c>
      <c r="AD52" s="55">
        <v>-5.8469091880341804</v>
      </c>
      <c r="AE52" s="55">
        <v>0</v>
      </c>
      <c r="AF52" s="55">
        <v>0</v>
      </c>
    </row>
    <row r="53" spans="1:32" s="57" customFormat="1">
      <c r="A53" s="2" t="s">
        <v>38</v>
      </c>
      <c r="B53" s="2"/>
      <c r="C53" s="51" t="str">
        <f t="shared" si="50"/>
        <v xml:space="preserve"> - </v>
      </c>
      <c r="D53" s="51">
        <v>0</v>
      </c>
      <c r="E53" s="51">
        <v>0</v>
      </c>
      <c r="F53" s="51">
        <v>0</v>
      </c>
      <c r="G53" s="51">
        <v>0</v>
      </c>
      <c r="H53" s="51" t="e">
        <f t="shared" si="51"/>
        <v>#DIV/0!</v>
      </c>
      <c r="I53" s="51" t="e">
        <f t="shared" si="52"/>
        <v>#DIV/0!</v>
      </c>
      <c r="J53" s="51">
        <f t="shared" si="70"/>
        <v>0</v>
      </c>
      <c r="K53" s="51" t="e">
        <f t="shared" si="54"/>
        <v>#DIV/0!</v>
      </c>
      <c r="L53" s="51">
        <v>0</v>
      </c>
      <c r="M53" s="51" t="str">
        <f t="shared" si="55"/>
        <v>-</v>
      </c>
      <c r="N53" s="51">
        <v>0</v>
      </c>
      <c r="O53" s="51">
        <f t="shared" ref="O53:P53" si="75">D53/7</f>
        <v>0</v>
      </c>
      <c r="P53" s="51">
        <f t="shared" si="75"/>
        <v>0</v>
      </c>
      <c r="Q53" s="51" t="e">
        <f t="shared" si="57"/>
        <v>#DIV/0!</v>
      </c>
      <c r="R53" s="55">
        <f ca="1">IFERROR(__xludf.DUMMYFUNCTION("IFERROR(VLOOKUP($B$2,IMPORTRANGE(""https://docs.google.com/spreadsheets/d/1iVgg6Mw12RULLujzHmfOFIY8Q_KaAD8anoZzgtVAQ74/edit#gid=1503384807"",""Second Star - Summary!A1:AD2000""),9,FALSE),"""")"),1005)</f>
        <v>1005</v>
      </c>
      <c r="S53" s="53">
        <f ca="1">IFERROR(__xludf.DUMMYFUNCTION("IFERROR(VLOOKUP($B$2,IMPORTRANGE(""https://docs.google.com/spreadsheets/d/1iVgg6Mw12RULLujzHmfOFIY8Q_KaAD8anoZzgtVAQ74/edit#gid=1503384807"",""Second Star - Summary!A1:AD2000""),28,FALSE),"""")"),30)</f>
        <v>30</v>
      </c>
      <c r="T53" s="54" t="str">
        <f ca="1">IFERROR(__xludf.DUMMYFUNCTION("IFERROR(VLOOKUP($B$2,IMPORTRANGE(""https://docs.google.com/spreadsheets/d/1iVgg6Mw12RULLujzHmfOFIY8Q_KaAD8anoZzgtVAQ74/edit#gid=1503384807"",""Second Star - Summary!A1:AD2000""),29,FALSE),"""")"),"")</f>
        <v/>
      </c>
      <c r="U53" s="55">
        <v>0</v>
      </c>
      <c r="V53" s="55">
        <f t="shared" si="58"/>
        <v>0</v>
      </c>
      <c r="W53" s="55">
        <f t="shared" si="59"/>
        <v>0</v>
      </c>
      <c r="X53" s="55">
        <v>0</v>
      </c>
      <c r="Y53" s="55" t="e">
        <v>#N/A</v>
      </c>
      <c r="Z53" s="56" t="e">
        <f t="shared" si="65"/>
        <v>#N/A</v>
      </c>
      <c r="AA53" s="55" t="e">
        <v>#N/A</v>
      </c>
      <c r="AB53" s="55">
        <f t="shared" si="61"/>
        <v>0</v>
      </c>
      <c r="AC53" s="55">
        <v>0</v>
      </c>
      <c r="AD53" s="55">
        <v>-5.8469091880341804</v>
      </c>
      <c r="AE53" s="55">
        <v>0</v>
      </c>
      <c r="AF53" s="55">
        <v>0</v>
      </c>
    </row>
    <row r="54" spans="1:32" s="57" customFormat="1">
      <c r="A54" s="2" t="s">
        <v>40</v>
      </c>
      <c r="B54" s="2"/>
      <c r="C54" s="51" t="str">
        <f t="shared" si="50"/>
        <v xml:space="preserve"> - </v>
      </c>
      <c r="D54" s="51">
        <v>0</v>
      </c>
      <c r="E54" s="51">
        <v>0</v>
      </c>
      <c r="F54" s="51">
        <v>0</v>
      </c>
      <c r="G54" s="51">
        <v>0</v>
      </c>
      <c r="H54" s="51" t="e">
        <f t="shared" si="51"/>
        <v>#DIV/0!</v>
      </c>
      <c r="I54" s="51" t="e">
        <f t="shared" si="52"/>
        <v>#DIV/0!</v>
      </c>
      <c r="J54" s="51">
        <f t="shared" si="70"/>
        <v>0</v>
      </c>
      <c r="K54" s="51" t="e">
        <f t="shared" si="54"/>
        <v>#DIV/0!</v>
      </c>
      <c r="L54" s="51">
        <v>0</v>
      </c>
      <c r="M54" s="51" t="str">
        <f t="shared" si="55"/>
        <v>-</v>
      </c>
      <c r="N54" s="51">
        <v>0</v>
      </c>
      <c r="O54" s="51">
        <f t="shared" ref="O54:P54" si="76">D54/7</f>
        <v>0</v>
      </c>
      <c r="P54" s="51">
        <f t="shared" si="76"/>
        <v>0</v>
      </c>
      <c r="Q54" s="51" t="e">
        <f t="shared" si="57"/>
        <v>#DIV/0!</v>
      </c>
      <c r="R54" s="55">
        <f ca="1">IFERROR(__xludf.DUMMYFUNCTION("IFERROR(VLOOKUP($B$2,IMPORTRANGE(""https://docs.google.com/spreadsheets/d/1iVgg6Mw12RULLujzHmfOFIY8Q_KaAD8anoZzgtVAQ74/edit#gid=1503384807"",""Second Star - Summary!A1:AD2000""),9,FALSE),"""")"),1005)</f>
        <v>1005</v>
      </c>
      <c r="S54" s="53">
        <f ca="1">IFERROR(__xludf.DUMMYFUNCTION("IFERROR(VLOOKUP($B$2,IMPORTRANGE(""https://docs.google.com/spreadsheets/d/1iVgg6Mw12RULLujzHmfOFIY8Q_KaAD8anoZzgtVAQ74/edit#gid=1503384807"",""Second Star - Summary!A1:AD2000""),28,FALSE),"""")"),30)</f>
        <v>30</v>
      </c>
      <c r="T54" s="54" t="str">
        <f ca="1">IFERROR(__xludf.DUMMYFUNCTION("IFERROR(VLOOKUP($B$2,IMPORTRANGE(""https://docs.google.com/spreadsheets/d/1iVgg6Mw12RULLujzHmfOFIY8Q_KaAD8anoZzgtVAQ74/edit#gid=1503384807"",""Second Star - Summary!A1:AD2000""),29,FALSE),"""")"),"")</f>
        <v/>
      </c>
      <c r="U54" s="55">
        <v>0</v>
      </c>
      <c r="V54" s="55">
        <f t="shared" si="58"/>
        <v>0</v>
      </c>
      <c r="W54" s="55">
        <f t="shared" si="59"/>
        <v>0</v>
      </c>
      <c r="X54" s="55">
        <v>0</v>
      </c>
      <c r="Y54" s="55" t="e">
        <v>#N/A</v>
      </c>
      <c r="Z54" s="56" t="e">
        <f t="shared" si="65"/>
        <v>#N/A</v>
      </c>
      <c r="AA54" s="55" t="e">
        <v>#N/A</v>
      </c>
      <c r="AB54" s="55">
        <f t="shared" si="61"/>
        <v>0</v>
      </c>
      <c r="AC54" s="55">
        <v>0</v>
      </c>
      <c r="AD54" s="55">
        <v>-5.8469091880341804</v>
      </c>
      <c r="AE54" s="55">
        <v>0</v>
      </c>
      <c r="AF54" s="55">
        <v>0</v>
      </c>
    </row>
    <row r="55" spans="1:32" s="57" customFormat="1" ht="15.75" customHeight="1">
      <c r="A55" s="2" t="s">
        <v>32</v>
      </c>
      <c r="B55" s="2"/>
      <c r="C55" s="51" t="str">
        <f t="shared" si="50"/>
        <v xml:space="preserve"> - </v>
      </c>
      <c r="D55" s="51">
        <v>0</v>
      </c>
      <c r="E55" s="51">
        <v>0</v>
      </c>
      <c r="F55" s="51">
        <v>0</v>
      </c>
      <c r="G55" s="51">
        <v>0</v>
      </c>
      <c r="H55" s="51" t="e">
        <f t="shared" si="51"/>
        <v>#DIV/0!</v>
      </c>
      <c r="I55" s="51" t="e">
        <f t="shared" si="52"/>
        <v>#DIV/0!</v>
      </c>
      <c r="J55" s="51">
        <f t="shared" si="70"/>
        <v>0</v>
      </c>
      <c r="K55" s="51" t="e">
        <f t="shared" si="54"/>
        <v>#DIV/0!</v>
      </c>
      <c r="L55" s="51">
        <v>0</v>
      </c>
      <c r="M55" s="51" t="str">
        <f t="shared" si="55"/>
        <v>-</v>
      </c>
      <c r="N55" s="51">
        <v>0</v>
      </c>
      <c r="O55" s="51">
        <f t="shared" ref="O55:P55" si="77">D55/7</f>
        <v>0</v>
      </c>
      <c r="P55" s="51">
        <f t="shared" si="77"/>
        <v>0</v>
      </c>
      <c r="Q55" s="51" t="e">
        <f t="shared" si="57"/>
        <v>#DIV/0!</v>
      </c>
      <c r="R55" s="55">
        <v>1005</v>
      </c>
      <c r="S55" s="53" t="s">
        <v>34</v>
      </c>
      <c r="T55" s="54" t="s">
        <v>34</v>
      </c>
      <c r="U55" s="55">
        <v>0</v>
      </c>
      <c r="V55" s="55">
        <f t="shared" si="58"/>
        <v>0</v>
      </c>
      <c r="W55" s="55">
        <f t="shared" si="59"/>
        <v>0</v>
      </c>
      <c r="X55" s="55">
        <v>0</v>
      </c>
      <c r="Y55" s="55" t="e">
        <v>#N/A</v>
      </c>
      <c r="Z55" s="56" t="e">
        <f t="shared" si="65"/>
        <v>#N/A</v>
      </c>
      <c r="AA55" s="55" t="e">
        <v>#N/A</v>
      </c>
      <c r="AB55" s="55">
        <f t="shared" si="61"/>
        <v>0</v>
      </c>
      <c r="AC55" s="55">
        <v>0</v>
      </c>
      <c r="AD55" s="55">
        <v>-5.8469091880341804</v>
      </c>
      <c r="AE55" s="55">
        <v>0</v>
      </c>
      <c r="AF55" s="55" t="e">
        <v>#N/A</v>
      </c>
    </row>
    <row r="56" spans="1:32" s="57" customFormat="1" ht="15.75" customHeight="1">
      <c r="A56" s="2" t="s">
        <v>36</v>
      </c>
      <c r="B56" s="2"/>
      <c r="C56" s="51" t="str">
        <f t="shared" si="50"/>
        <v xml:space="preserve"> - </v>
      </c>
      <c r="D56" s="51">
        <v>0</v>
      </c>
      <c r="E56" s="51">
        <v>0</v>
      </c>
      <c r="F56" s="51">
        <v>0</v>
      </c>
      <c r="G56" s="51">
        <v>0</v>
      </c>
      <c r="H56" s="51" t="e">
        <f t="shared" si="51"/>
        <v>#DIV/0!</v>
      </c>
      <c r="I56" s="51" t="e">
        <f t="shared" si="52"/>
        <v>#DIV/0!</v>
      </c>
      <c r="J56" s="51">
        <f t="shared" si="70"/>
        <v>0</v>
      </c>
      <c r="K56" s="51" t="e">
        <f t="shared" si="54"/>
        <v>#DIV/0!</v>
      </c>
      <c r="L56" s="51">
        <v>0</v>
      </c>
      <c r="M56" s="51" t="str">
        <f t="shared" si="55"/>
        <v>-</v>
      </c>
      <c r="N56" s="51">
        <v>0</v>
      </c>
      <c r="O56" s="51">
        <f t="shared" ref="O56:P56" si="78">D56/7</f>
        <v>0</v>
      </c>
      <c r="P56" s="51">
        <f t="shared" si="78"/>
        <v>0</v>
      </c>
      <c r="Q56" s="51" t="e">
        <f t="shared" si="57"/>
        <v>#DIV/0!</v>
      </c>
      <c r="R56" s="55">
        <f ca="1">IFERROR(__xludf.DUMMYFUNCTION("IFERROR(VLOOKUP($B$2,IMPORTRANGE(""https://docs.google.com/spreadsheets/d/1iVgg6Mw12RULLujzHmfOFIY8Q_KaAD8anoZzgtVAQ74/edit#gid=1503384807"",""Second Star - Summary!A1:AD2000""),9,FALSE),"""")"),1005)</f>
        <v>1005</v>
      </c>
      <c r="S56" s="53">
        <f ca="1">IFERROR(__xludf.DUMMYFUNCTION("IFERROR(VLOOKUP($B$2,IMPORTRANGE(""https://docs.google.com/spreadsheets/d/1iVgg6Mw12RULLujzHmfOFIY8Q_KaAD8anoZzgtVAQ74/edit#gid=1503384807"",""Second Star - Summary!A1:AD2000""),28,FALSE),"""")"),30)</f>
        <v>30</v>
      </c>
      <c r="T56" s="54" t="str">
        <f ca="1">IFERROR(__xludf.DUMMYFUNCTION("IFERROR(VLOOKUP($B$2,IMPORTRANGE(""https://docs.google.com/spreadsheets/d/1iVgg6Mw12RULLujzHmfOFIY8Q_KaAD8anoZzgtVAQ74/edit#gid=1503384807"",""Second Star - Summary!A1:AD2000""),29,FALSE),"""")"),"")</f>
        <v/>
      </c>
      <c r="U56" s="55">
        <v>0</v>
      </c>
      <c r="V56" s="55">
        <f t="shared" si="58"/>
        <v>0</v>
      </c>
      <c r="W56" s="55">
        <f t="shared" si="59"/>
        <v>0</v>
      </c>
      <c r="X56" s="55">
        <v>0</v>
      </c>
      <c r="Y56" s="55" t="e">
        <v>#N/A</v>
      </c>
      <c r="Z56" s="56" t="e">
        <f t="shared" si="65"/>
        <v>#N/A</v>
      </c>
      <c r="AA56" s="55" t="e">
        <v>#N/A</v>
      </c>
      <c r="AB56" s="55">
        <f t="shared" si="61"/>
        <v>0</v>
      </c>
      <c r="AC56" s="55">
        <v>0</v>
      </c>
      <c r="AD56" s="55">
        <v>-5.8469091880341804</v>
      </c>
      <c r="AE56" s="55">
        <v>0</v>
      </c>
      <c r="AF56" s="55" t="e">
        <v>#N/A</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222" priority="1" operator="lessThan">
      <formula>100</formula>
    </cfRule>
  </conditionalFormatting>
  <conditionalFormatting sqref="Q1:Q3 Q57:Q1000">
    <cfRule type="cellIs" dxfId="221" priority="2" operator="lessThan">
      <formula>100</formula>
    </cfRule>
  </conditionalFormatting>
  <conditionalFormatting sqref="I1:I3 I57:I1000">
    <cfRule type="cellIs" dxfId="220" priority="3" operator="lessThan">
      <formula>0.05</formula>
    </cfRule>
  </conditionalFormatting>
  <conditionalFormatting sqref="I4:I17">
    <cfRule type="cellIs" dxfId="219" priority="4" operator="lessThan">
      <formula>0.05</formula>
    </cfRule>
  </conditionalFormatting>
  <conditionalFormatting sqref="I18:I56">
    <cfRule type="cellIs" dxfId="218" priority="5" operator="lessThan">
      <formula>0.05</formula>
    </cfRule>
  </conditionalFormatting>
  <conditionalFormatting sqref="Q4:Q56">
    <cfRule type="cellIs" dxfId="217" priority="6" operator="lessThan">
      <formula>100</formula>
    </cfRule>
  </conditionalFormatting>
  <conditionalFormatting sqref="Q4:Q56">
    <cfRule type="cellIs" dxfId="216" priority="7" operator="lessThan">
      <formula>100</formula>
    </cfRule>
  </conditionalFormatting>
  <pageMargins left="0.7" right="0.7" top="0.75" bottom="0.75" header="0" footer="0"/>
  <pageSetup orientation="portrait"/>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33.832031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Info!B1:BJ5000""),4,FALSE),"""")"),"Punchau Lawn Aerator Shoes w/Metal Buckles and 3 Straps - Heavy Duty Spiked Sandals for Aerating Your Lawn or Yard")</f>
        <v>Punchau Lawn Aerator Shoes w/Metal Buckles and 3 Straps - Heavy Duty Spiked Sandals for Aerating Your Lawn or Yard</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Info!B1:BJ5000""),3,FALSE),"""")"),"B084WP1KRK")</f>
        <v>B084WP1KRK</v>
      </c>
      <c r="B2" s="4" t="s">
        <v>908</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6.8787166918049181</v>
      </c>
      <c r="D3" s="8">
        <f>SUM(D4:D99819)</f>
        <v>1220</v>
      </c>
      <c r="E3" s="8"/>
      <c r="F3" s="9">
        <f t="shared" ref="F3:G3" si="0">SUM(F4:F99819)</f>
        <v>29780.80999999999</v>
      </c>
      <c r="G3" s="9">
        <f t="shared" si="0"/>
        <v>-1107.98</v>
      </c>
      <c r="H3" s="10">
        <f>G3/F3*-1</f>
        <v>3.7204495109434577E-2</v>
      </c>
      <c r="I3" s="11">
        <f>J3/F3</f>
        <v>0.33678574841747938</v>
      </c>
      <c r="J3" s="9">
        <f>SUM(J4:J99819)</f>
        <v>10029.752384328751</v>
      </c>
      <c r="K3" s="9">
        <f>J3/D3</f>
        <v>8.2211085117448786</v>
      </c>
      <c r="L3" s="8"/>
      <c r="M3" s="12"/>
      <c r="N3" s="13"/>
      <c r="O3" s="8" t="str">
        <f ca="1">IFERROR(__xludf.DUMMYFUNCTION("IFERROR(VLOOKUP(B2,IMPORTRANGE(""https://docs.google.com/spreadsheets/d/1owCo6kL_VFQ5nPTdNogErmCBLjNiktT1m3SzTrxu3R0/edit#gid=2146806407"",""Second Star - Compiled!b1:g5000""),2,FALSE),"""")"),"0 - March
Upwards of 100 - April
Upwards of 100 - May
50 - Jun
31.5 - Jul
24.5 - Aug
28 | 24.5 - Sept
0 - Oct
0 - Nov
0 - Dec
0 - Jan
0 - Feb")</f>
        <v>0 - March
Upwards of 100 - April
Upwards of 100 - May
50 - Jun
31.5 - Jul
24.5 - Aug
28 | 24.5 - Sept
0 - Oct
0 - Nov
0 - Dec
0 - Jan
0 - Feb</v>
      </c>
      <c r="P3" s="8"/>
      <c r="Q3" s="14"/>
      <c r="R3" s="13"/>
      <c r="S3" s="13"/>
      <c r="T3" s="13"/>
      <c r="U3" s="8">
        <f>SUM(U4:U99819)</f>
        <v>309</v>
      </c>
      <c r="V3" s="10">
        <f>AVERAGE(V4:V99819)</f>
        <v>0.10271557507248415</v>
      </c>
      <c r="W3" s="9">
        <f>ROUND(AVERAGE(W4:W99819),2)</f>
        <v>1.51</v>
      </c>
      <c r="X3" s="8"/>
      <c r="Y3" s="8"/>
      <c r="Z3" s="8"/>
      <c r="AA3" s="8"/>
      <c r="AB3" s="8"/>
      <c r="AC3" s="15"/>
      <c r="AD3" s="9"/>
      <c r="AE3" s="9">
        <f>SUM(AE4:AE99819)</f>
        <v>0</v>
      </c>
      <c r="AF3" s="16"/>
    </row>
    <row r="4" spans="1:32" s="57" customFormat="1" hidden="1">
      <c r="A4" s="17" t="s">
        <v>48</v>
      </c>
      <c r="B4" s="2"/>
      <c r="C4" s="50"/>
      <c r="D4" s="51"/>
      <c r="E4" s="51">
        <v>0</v>
      </c>
      <c r="F4" s="51"/>
      <c r="G4" s="51"/>
      <c r="H4" s="51"/>
      <c r="I4" s="51"/>
      <c r="J4" s="51"/>
      <c r="K4" s="51"/>
      <c r="L4" s="51"/>
      <c r="M4" s="51"/>
      <c r="N4" s="51"/>
      <c r="O4" s="51"/>
      <c r="P4" s="51">
        <f t="shared" ref="P4:P16" si="1">E4/7</f>
        <v>0</v>
      </c>
      <c r="Q4" s="51" t="e">
        <f t="shared" ref="Q4:Q39" si="2">ROUNDDOWN(N4/(O4+P4),0)</f>
        <v>#DIV/0!</v>
      </c>
      <c r="R4" s="52"/>
      <c r="S4" s="53"/>
      <c r="T4" s="54"/>
      <c r="U4" s="52"/>
      <c r="V4" s="55"/>
      <c r="W4" s="55"/>
      <c r="X4" s="52"/>
      <c r="Y4" s="56"/>
      <c r="Z4" s="56"/>
      <c r="AA4" s="55"/>
      <c r="AB4" s="55"/>
      <c r="AC4" s="55"/>
      <c r="AD4" s="55"/>
      <c r="AE4" s="55"/>
      <c r="AF4" s="55"/>
    </row>
    <row r="5" spans="1:32" s="57" customFormat="1" ht="15.75" hidden="1" customHeight="1">
      <c r="A5" s="2" t="s">
        <v>49</v>
      </c>
      <c r="B5" s="2"/>
      <c r="C5" s="51"/>
      <c r="D5" s="51"/>
      <c r="E5" s="51">
        <v>0</v>
      </c>
      <c r="F5" s="51"/>
      <c r="G5" s="51"/>
      <c r="H5" s="51"/>
      <c r="I5" s="51"/>
      <c r="J5" s="51"/>
      <c r="K5" s="51"/>
      <c r="L5" s="51"/>
      <c r="M5" s="51"/>
      <c r="N5" s="51"/>
      <c r="O5" s="51"/>
      <c r="P5" s="51">
        <f t="shared" si="1"/>
        <v>0</v>
      </c>
      <c r="Q5" s="51" t="e">
        <f t="shared" si="2"/>
        <v>#DIV/0!</v>
      </c>
      <c r="R5" s="55"/>
      <c r="S5" s="53"/>
      <c r="T5" s="54"/>
      <c r="U5" s="55"/>
      <c r="V5" s="55"/>
      <c r="W5" s="55"/>
      <c r="X5" s="55"/>
      <c r="Y5" s="55"/>
      <c r="Z5" s="56"/>
      <c r="AA5" s="55"/>
      <c r="AB5" s="55"/>
      <c r="AC5" s="55"/>
      <c r="AD5" s="55"/>
      <c r="AE5" s="55"/>
      <c r="AF5" s="55"/>
    </row>
    <row r="6" spans="1:32" s="57" customFormat="1" ht="15.75" hidden="1" customHeight="1">
      <c r="A6" s="2" t="s">
        <v>51</v>
      </c>
      <c r="B6" s="2"/>
      <c r="C6" s="51"/>
      <c r="D6" s="51"/>
      <c r="E6" s="51">
        <v>0</v>
      </c>
      <c r="F6" s="51"/>
      <c r="G6" s="51"/>
      <c r="H6" s="51"/>
      <c r="I6" s="51"/>
      <c r="J6" s="51"/>
      <c r="K6" s="51"/>
      <c r="L6" s="51"/>
      <c r="M6" s="51"/>
      <c r="N6" s="51"/>
      <c r="O6" s="51"/>
      <c r="P6" s="51">
        <f t="shared" si="1"/>
        <v>0</v>
      </c>
      <c r="Q6" s="51" t="e">
        <f t="shared" si="2"/>
        <v>#DIV/0!</v>
      </c>
      <c r="R6" s="55"/>
      <c r="S6" s="53"/>
      <c r="T6" s="54"/>
      <c r="U6" s="55"/>
      <c r="V6" s="55"/>
      <c r="W6" s="55"/>
      <c r="X6" s="55"/>
      <c r="Y6" s="55"/>
      <c r="Z6" s="56"/>
      <c r="AA6" s="55"/>
      <c r="AB6" s="55"/>
      <c r="AC6" s="55"/>
      <c r="AD6" s="55"/>
      <c r="AE6" s="55"/>
      <c r="AF6" s="55"/>
    </row>
    <row r="7" spans="1:32" s="57" customFormat="1" ht="15.75" hidden="1" customHeight="1">
      <c r="A7" s="2" t="s">
        <v>53</v>
      </c>
      <c r="B7" s="2"/>
      <c r="C7" s="51"/>
      <c r="D7" s="51"/>
      <c r="E7" s="51">
        <v>0</v>
      </c>
      <c r="F7" s="51"/>
      <c r="G7" s="51"/>
      <c r="H7" s="51"/>
      <c r="I7" s="51"/>
      <c r="J7" s="51"/>
      <c r="K7" s="51"/>
      <c r="L7" s="51"/>
      <c r="M7" s="51"/>
      <c r="N7" s="51"/>
      <c r="O7" s="51"/>
      <c r="P7" s="51">
        <f t="shared" si="1"/>
        <v>0</v>
      </c>
      <c r="Q7" s="51" t="e">
        <f t="shared" si="2"/>
        <v>#DIV/0!</v>
      </c>
      <c r="R7" s="55"/>
      <c r="S7" s="53"/>
      <c r="T7" s="54"/>
      <c r="U7" s="55"/>
      <c r="V7" s="55"/>
      <c r="W7" s="55"/>
      <c r="X7" s="55"/>
      <c r="Y7" s="55"/>
      <c r="Z7" s="56"/>
      <c r="AA7" s="55"/>
      <c r="AB7" s="55"/>
      <c r="AC7" s="55"/>
      <c r="AD7" s="55"/>
      <c r="AE7" s="55"/>
      <c r="AF7" s="55"/>
    </row>
    <row r="8" spans="1:32" s="57" customFormat="1" ht="15.75" hidden="1" customHeight="1">
      <c r="A8" s="2" t="s">
        <v>54</v>
      </c>
      <c r="B8" s="2"/>
      <c r="C8" s="51"/>
      <c r="D8" s="51"/>
      <c r="E8" s="51">
        <v>0</v>
      </c>
      <c r="F8" s="51"/>
      <c r="G8" s="51"/>
      <c r="H8" s="51"/>
      <c r="I8" s="51"/>
      <c r="J8" s="51"/>
      <c r="K8" s="51"/>
      <c r="L8" s="51"/>
      <c r="M8" s="51"/>
      <c r="N8" s="51"/>
      <c r="O8" s="51"/>
      <c r="P8" s="51">
        <f t="shared" si="1"/>
        <v>0</v>
      </c>
      <c r="Q8" s="51" t="e">
        <f t="shared" si="2"/>
        <v>#DIV/0!</v>
      </c>
      <c r="R8" s="55"/>
      <c r="S8" s="53"/>
      <c r="T8" s="54"/>
      <c r="U8" s="55"/>
      <c r="V8" s="55"/>
      <c r="W8" s="55"/>
      <c r="X8" s="55"/>
      <c r="Y8" s="55"/>
      <c r="Z8" s="56"/>
      <c r="AA8" s="55"/>
      <c r="AB8" s="55"/>
      <c r="AC8" s="55"/>
      <c r="AD8" s="55"/>
      <c r="AE8" s="55"/>
      <c r="AF8" s="55"/>
    </row>
    <row r="9" spans="1:32" s="57" customFormat="1" ht="15.75" hidden="1" customHeight="1">
      <c r="A9" s="2" t="s">
        <v>56</v>
      </c>
      <c r="B9" s="2"/>
      <c r="C9" s="51"/>
      <c r="D9" s="51"/>
      <c r="E9" s="51">
        <v>0</v>
      </c>
      <c r="F9" s="51"/>
      <c r="G9" s="51"/>
      <c r="H9" s="51"/>
      <c r="I9" s="51"/>
      <c r="J9" s="51"/>
      <c r="K9" s="51"/>
      <c r="L9" s="51"/>
      <c r="M9" s="51"/>
      <c r="N9" s="51"/>
      <c r="O9" s="51"/>
      <c r="P9" s="51">
        <f t="shared" si="1"/>
        <v>0</v>
      </c>
      <c r="Q9" s="51" t="e">
        <f t="shared" si="2"/>
        <v>#DIV/0!</v>
      </c>
      <c r="R9" s="55"/>
      <c r="S9" s="53"/>
      <c r="T9" s="54"/>
      <c r="U9" s="55"/>
      <c r="V9" s="55"/>
      <c r="W9" s="55"/>
      <c r="X9" s="55"/>
      <c r="Y9" s="55"/>
      <c r="Z9" s="56"/>
      <c r="AA9" s="55"/>
      <c r="AB9" s="55"/>
      <c r="AC9" s="55"/>
      <c r="AD9" s="55"/>
      <c r="AE9" s="55"/>
      <c r="AF9" s="55"/>
    </row>
    <row r="10" spans="1:32" s="57" customFormat="1" ht="15.75" hidden="1" customHeight="1">
      <c r="A10" s="2" t="s">
        <v>58</v>
      </c>
      <c r="B10" s="2"/>
      <c r="C10" s="51"/>
      <c r="D10" s="51"/>
      <c r="E10" s="51">
        <v>0</v>
      </c>
      <c r="F10" s="51"/>
      <c r="G10" s="51"/>
      <c r="H10" s="51"/>
      <c r="I10" s="51"/>
      <c r="J10" s="51"/>
      <c r="K10" s="51"/>
      <c r="L10" s="51"/>
      <c r="M10" s="51"/>
      <c r="N10" s="51"/>
      <c r="O10" s="51"/>
      <c r="P10" s="51">
        <f t="shared" si="1"/>
        <v>0</v>
      </c>
      <c r="Q10" s="51" t="e">
        <f t="shared" si="2"/>
        <v>#DIV/0!</v>
      </c>
      <c r="R10" s="55"/>
      <c r="S10" s="53"/>
      <c r="T10" s="54"/>
      <c r="U10" s="55"/>
      <c r="V10" s="55"/>
      <c r="W10" s="55"/>
      <c r="X10" s="55"/>
      <c r="Y10" s="55"/>
      <c r="Z10" s="56"/>
      <c r="AA10" s="55"/>
      <c r="AB10" s="55"/>
      <c r="AC10" s="55"/>
      <c r="AD10" s="55"/>
      <c r="AE10" s="55"/>
      <c r="AF10" s="55"/>
    </row>
    <row r="11" spans="1:32" s="57" customFormat="1" ht="15.75" hidden="1" customHeight="1">
      <c r="A11" s="2" t="s">
        <v>60</v>
      </c>
      <c r="B11" s="2"/>
      <c r="C11" s="51"/>
      <c r="D11" s="51"/>
      <c r="E11" s="51">
        <v>0</v>
      </c>
      <c r="F11" s="51"/>
      <c r="G11" s="51"/>
      <c r="H11" s="51"/>
      <c r="I11" s="51"/>
      <c r="J11" s="51"/>
      <c r="K11" s="51"/>
      <c r="L11" s="51"/>
      <c r="M11" s="51"/>
      <c r="N11" s="51"/>
      <c r="O11" s="51"/>
      <c r="P11" s="51">
        <f t="shared" si="1"/>
        <v>0</v>
      </c>
      <c r="Q11" s="51" t="e">
        <f t="shared" si="2"/>
        <v>#DIV/0!</v>
      </c>
      <c r="R11" s="55"/>
      <c r="S11" s="53"/>
      <c r="T11" s="54"/>
      <c r="U11" s="55"/>
      <c r="V11" s="55"/>
      <c r="W11" s="55"/>
      <c r="X11" s="55"/>
      <c r="Y11" s="55"/>
      <c r="Z11" s="56"/>
      <c r="AA11" s="55"/>
      <c r="AB11" s="55"/>
      <c r="AC11" s="55"/>
      <c r="AD11" s="55"/>
      <c r="AE11" s="55"/>
      <c r="AF11" s="55"/>
    </row>
    <row r="12" spans="1:32" s="57" customFormat="1" ht="15.75" hidden="1" customHeight="1">
      <c r="A12" s="2" t="s">
        <v>62</v>
      </c>
      <c r="B12" s="2"/>
      <c r="C12" s="51"/>
      <c r="D12" s="51"/>
      <c r="E12" s="51">
        <v>0</v>
      </c>
      <c r="F12" s="51"/>
      <c r="G12" s="51"/>
      <c r="H12" s="51"/>
      <c r="I12" s="51"/>
      <c r="J12" s="51"/>
      <c r="K12" s="51"/>
      <c r="L12" s="51"/>
      <c r="M12" s="51"/>
      <c r="N12" s="51"/>
      <c r="O12" s="51"/>
      <c r="P12" s="51">
        <f t="shared" si="1"/>
        <v>0</v>
      </c>
      <c r="Q12" s="51" t="e">
        <f t="shared" si="2"/>
        <v>#DIV/0!</v>
      </c>
      <c r="R12" s="55"/>
      <c r="S12" s="53"/>
      <c r="T12" s="54"/>
      <c r="U12" s="55"/>
      <c r="V12" s="55"/>
      <c r="W12" s="55"/>
      <c r="X12" s="55"/>
      <c r="Y12" s="55"/>
      <c r="Z12" s="56"/>
      <c r="AA12" s="55"/>
      <c r="AB12" s="55"/>
      <c r="AC12" s="55"/>
      <c r="AD12" s="55"/>
      <c r="AE12" s="55"/>
      <c r="AF12" s="55"/>
    </row>
    <row r="13" spans="1:32" s="57" customFormat="1" ht="15.75" hidden="1" customHeight="1">
      <c r="A13" s="2" t="s">
        <v>63</v>
      </c>
      <c r="B13" s="2"/>
      <c r="C13" s="51"/>
      <c r="D13" s="51"/>
      <c r="E13" s="51">
        <v>0</v>
      </c>
      <c r="F13" s="51"/>
      <c r="G13" s="51"/>
      <c r="H13" s="51"/>
      <c r="I13" s="51"/>
      <c r="J13" s="51"/>
      <c r="K13" s="51"/>
      <c r="L13" s="51"/>
      <c r="M13" s="51"/>
      <c r="N13" s="51"/>
      <c r="O13" s="51"/>
      <c r="P13" s="51">
        <f t="shared" si="1"/>
        <v>0</v>
      </c>
      <c r="Q13" s="51" t="e">
        <f t="shared" si="2"/>
        <v>#DIV/0!</v>
      </c>
      <c r="R13" s="55"/>
      <c r="S13" s="53"/>
      <c r="T13" s="54"/>
      <c r="U13" s="55"/>
      <c r="V13" s="55"/>
      <c r="W13" s="55"/>
      <c r="X13" s="55"/>
      <c r="Y13" s="55"/>
      <c r="Z13" s="56"/>
      <c r="AA13" s="55"/>
      <c r="AB13" s="55"/>
      <c r="AC13" s="55"/>
      <c r="AD13" s="55"/>
      <c r="AE13" s="55"/>
      <c r="AF13" s="55"/>
    </row>
    <row r="14" spans="1:32" s="57" customFormat="1" ht="15.75" hidden="1" customHeight="1">
      <c r="A14" s="2" t="s">
        <v>64</v>
      </c>
      <c r="B14" s="2"/>
      <c r="C14" s="51"/>
      <c r="D14" s="51"/>
      <c r="E14" s="51">
        <v>0</v>
      </c>
      <c r="F14" s="51"/>
      <c r="G14" s="51"/>
      <c r="H14" s="51"/>
      <c r="I14" s="51"/>
      <c r="J14" s="51"/>
      <c r="K14" s="51"/>
      <c r="L14" s="51"/>
      <c r="M14" s="51"/>
      <c r="N14" s="51"/>
      <c r="O14" s="51"/>
      <c r="P14" s="51">
        <f t="shared" si="1"/>
        <v>0</v>
      </c>
      <c r="Q14" s="51" t="e">
        <f t="shared" si="2"/>
        <v>#DIV/0!</v>
      </c>
      <c r="R14" s="55"/>
      <c r="S14" s="53"/>
      <c r="T14" s="54"/>
      <c r="U14" s="55"/>
      <c r="V14" s="55"/>
      <c r="W14" s="55"/>
      <c r="X14" s="55"/>
      <c r="Y14" s="55"/>
      <c r="Z14" s="56"/>
      <c r="AA14" s="55"/>
      <c r="AB14" s="55"/>
      <c r="AC14" s="55"/>
      <c r="AD14" s="55"/>
      <c r="AE14" s="55"/>
      <c r="AF14" s="55"/>
    </row>
    <row r="15" spans="1:32" s="57" customFormat="1" ht="15.75" hidden="1" customHeight="1">
      <c r="A15" s="2" t="s">
        <v>65</v>
      </c>
      <c r="B15" s="2"/>
      <c r="C15" s="51"/>
      <c r="D15" s="51"/>
      <c r="E15" s="51">
        <v>0</v>
      </c>
      <c r="F15" s="51"/>
      <c r="G15" s="51"/>
      <c r="H15" s="51"/>
      <c r="I15" s="51"/>
      <c r="J15" s="51"/>
      <c r="K15" s="51"/>
      <c r="L15" s="51"/>
      <c r="M15" s="51"/>
      <c r="N15" s="51"/>
      <c r="O15" s="51"/>
      <c r="P15" s="51">
        <f t="shared" si="1"/>
        <v>0</v>
      </c>
      <c r="Q15" s="51" t="e">
        <f t="shared" si="2"/>
        <v>#DIV/0!</v>
      </c>
      <c r="R15" s="55"/>
      <c r="S15" s="53"/>
      <c r="T15" s="54"/>
      <c r="U15" s="55"/>
      <c r="V15" s="55"/>
      <c r="W15" s="55"/>
      <c r="X15" s="55"/>
      <c r="Y15" s="55"/>
      <c r="Z15" s="56"/>
      <c r="AA15" s="55"/>
      <c r="AB15" s="55"/>
      <c r="AC15" s="55"/>
      <c r="AD15" s="55"/>
      <c r="AE15" s="55"/>
      <c r="AF15" s="55"/>
    </row>
    <row r="16" spans="1:32" s="57" customFormat="1" ht="15.75" hidden="1" customHeight="1">
      <c r="A16" s="2" t="s">
        <v>66</v>
      </c>
      <c r="B16" s="2"/>
      <c r="C16" s="51"/>
      <c r="D16" s="51"/>
      <c r="E16" s="51">
        <v>0</v>
      </c>
      <c r="F16" s="51"/>
      <c r="G16" s="51"/>
      <c r="H16" s="51"/>
      <c r="I16" s="51"/>
      <c r="J16" s="51"/>
      <c r="K16" s="51"/>
      <c r="L16" s="51"/>
      <c r="M16" s="51"/>
      <c r="N16" s="51"/>
      <c r="O16" s="51"/>
      <c r="P16" s="51">
        <f t="shared" si="1"/>
        <v>0</v>
      </c>
      <c r="Q16" s="51" t="e">
        <f t="shared" si="2"/>
        <v>#DIV/0!</v>
      </c>
      <c r="R16" s="55"/>
      <c r="S16" s="53"/>
      <c r="T16" s="54"/>
      <c r="U16" s="55"/>
      <c r="V16" s="55"/>
      <c r="W16" s="55"/>
      <c r="X16" s="55"/>
      <c r="Y16" s="55"/>
      <c r="Z16" s="56"/>
      <c r="AA16" s="55"/>
      <c r="AB16" s="55"/>
      <c r="AC16" s="55"/>
      <c r="AD16" s="55"/>
      <c r="AE16" s="55"/>
      <c r="AF16" s="55"/>
    </row>
    <row r="17" spans="1:32" s="57" customFormat="1" ht="15.75" customHeight="1">
      <c r="A17" s="2" t="s">
        <v>67</v>
      </c>
      <c r="B17" s="2" t="s">
        <v>909</v>
      </c>
      <c r="C17" s="51">
        <v>17.989999999999998</v>
      </c>
      <c r="D17" s="51">
        <v>31</v>
      </c>
      <c r="E17" s="51">
        <v>0</v>
      </c>
      <c r="F17" s="51">
        <v>557.69000000000017</v>
      </c>
      <c r="G17" s="51">
        <v>0</v>
      </c>
      <c r="H17" s="51">
        <f t="shared" ref="H17:H39" si="3">G17/F17*-1</f>
        <v>0</v>
      </c>
      <c r="I17" s="51">
        <f t="shared" ref="I17:I39" si="4">J17/F17</f>
        <v>0.21970053520689622</v>
      </c>
      <c r="J17" s="51">
        <f t="shared" ref="J17:J38" si="5">F17*0.85+G17+AD17*D17+D17*AC17+AE17+AB17</f>
        <v>122.52479147953399</v>
      </c>
      <c r="K17" s="51">
        <f t="shared" ref="K17:K39" si="6">J17/D17</f>
        <v>3.952412628372064</v>
      </c>
      <c r="L17" s="51">
        <v>72</v>
      </c>
      <c r="M17" s="51">
        <f t="shared" ref="M17:M39" si="7">IFERROR(D17/L17,"-")</f>
        <v>0.43055555555555558</v>
      </c>
      <c r="N17" s="51">
        <v>74</v>
      </c>
      <c r="O17" s="51">
        <f t="shared" ref="O17:P17" si="8">D17/7</f>
        <v>4.4285714285714288</v>
      </c>
      <c r="P17" s="51">
        <f t="shared" si="8"/>
        <v>0</v>
      </c>
      <c r="Q17" s="51">
        <f t="shared" si="2"/>
        <v>16</v>
      </c>
      <c r="R17" s="55">
        <v>0</v>
      </c>
      <c r="S17" s="53" t="s">
        <v>34</v>
      </c>
      <c r="T17" s="54" t="s">
        <v>34</v>
      </c>
      <c r="U17" s="55">
        <v>0</v>
      </c>
      <c r="V17" s="55">
        <f t="shared" ref="V17:V39" si="9">IFERROR(U17/D17,0)</f>
        <v>0</v>
      </c>
      <c r="W17" s="55">
        <f t="shared" ref="W17:W39" si="10">IFERROR(G17/(U17+X17)*-1,0)</f>
        <v>0</v>
      </c>
      <c r="X17" s="55">
        <v>0</v>
      </c>
      <c r="Y17" s="55" t="s">
        <v>35</v>
      </c>
      <c r="Z17" s="56">
        <f t="shared" ref="Z17:Z39" si="11">IF(OR(Y17="UsLargeStandardSize",Y17="UsSmallStandardSize"),-0.75,-0.48)</f>
        <v>-0.75</v>
      </c>
      <c r="AA17" s="55">
        <v>0.16126296874999999</v>
      </c>
      <c r="AB17" s="55">
        <f>IFERROR((Z17*AA17*N17)/4,0)</f>
        <v>-2.2375236914062495</v>
      </c>
      <c r="AC17" s="55">
        <v>-5.42</v>
      </c>
      <c r="AD17" s="55">
        <v>-5.8469091880341875</v>
      </c>
      <c r="AE17" s="55">
        <v>0</v>
      </c>
      <c r="AF17" s="55"/>
    </row>
    <row r="18" spans="1:32" s="57" customFormat="1" ht="15.75" customHeight="1">
      <c r="A18" s="2" t="s">
        <v>69</v>
      </c>
      <c r="B18" s="2" t="s">
        <v>910</v>
      </c>
      <c r="C18" s="51">
        <v>17.989999999999998</v>
      </c>
      <c r="D18" s="51">
        <v>67</v>
      </c>
      <c r="E18" s="51">
        <v>0</v>
      </c>
      <c r="F18" s="51">
        <v>1205.3300000000004</v>
      </c>
      <c r="G18" s="51">
        <v>-33.14</v>
      </c>
      <c r="H18" s="51">
        <f t="shared" si="3"/>
        <v>2.7494545062348063E-2</v>
      </c>
      <c r="I18" s="51">
        <f t="shared" si="4"/>
        <v>0.1760490420570692</v>
      </c>
      <c r="J18" s="51">
        <f t="shared" si="5"/>
        <v>212.19719186264729</v>
      </c>
      <c r="K18" s="51">
        <f t="shared" si="6"/>
        <v>3.1671222666066758</v>
      </c>
      <c r="L18" s="51">
        <v>217</v>
      </c>
      <c r="M18" s="51">
        <f t="shared" si="7"/>
        <v>0.30875576036866359</v>
      </c>
      <c r="N18" s="51">
        <v>1</v>
      </c>
      <c r="O18" s="51">
        <f t="shared" ref="O18:P18" si="12">D18/7</f>
        <v>9.5714285714285712</v>
      </c>
      <c r="P18" s="51">
        <f t="shared" si="12"/>
        <v>0</v>
      </c>
      <c r="Q18" s="51">
        <f t="shared" si="2"/>
        <v>0</v>
      </c>
      <c r="R18" s="55">
        <v>0</v>
      </c>
      <c r="S18" s="53" t="s">
        <v>34</v>
      </c>
      <c r="T18" s="54" t="s">
        <v>34</v>
      </c>
      <c r="U18" s="55">
        <v>10</v>
      </c>
      <c r="V18" s="55">
        <f t="shared" si="9"/>
        <v>0.14925373134328357</v>
      </c>
      <c r="W18" s="55">
        <f t="shared" si="10"/>
        <v>3.0127272727272727</v>
      </c>
      <c r="X18" s="55">
        <v>1</v>
      </c>
      <c r="Y18" s="55" t="s">
        <v>35</v>
      </c>
      <c r="Z18" s="56">
        <f t="shared" si="11"/>
        <v>-0.75</v>
      </c>
      <c r="AA18" s="55">
        <v>0.16126296874999999</v>
      </c>
      <c r="AB18" s="58">
        <f t="shared" ref="AB18:AB39" si="13">IFERROR(Z18*AA18*D18*3,0)</f>
        <v>-24.310392539062498</v>
      </c>
      <c r="AC18" s="55">
        <v>-5.42</v>
      </c>
      <c r="AD18" s="55">
        <v>-5.8469091880341875</v>
      </c>
      <c r="AE18" s="55">
        <v>0</v>
      </c>
      <c r="AF18" s="55"/>
    </row>
    <row r="19" spans="1:32" s="57" customFormat="1" ht="15.75" customHeight="1">
      <c r="A19" s="2" t="s">
        <v>71</v>
      </c>
      <c r="B19" s="2" t="s">
        <v>911</v>
      </c>
      <c r="C19" s="51">
        <v>17.989999999999998</v>
      </c>
      <c r="D19" s="51">
        <v>6</v>
      </c>
      <c r="E19" s="51">
        <v>0</v>
      </c>
      <c r="F19" s="51">
        <v>107.93999999999998</v>
      </c>
      <c r="G19" s="51">
        <v>0</v>
      </c>
      <c r="H19" s="51">
        <f t="shared" si="3"/>
        <v>0</v>
      </c>
      <c r="I19" s="51">
        <f t="shared" si="4"/>
        <v>0.20354358711941697</v>
      </c>
      <c r="J19" s="51">
        <f t="shared" si="5"/>
        <v>21.970494793669864</v>
      </c>
      <c r="K19" s="51">
        <f t="shared" si="6"/>
        <v>3.6617491322783109</v>
      </c>
      <c r="L19" s="51">
        <v>0</v>
      </c>
      <c r="M19" s="51" t="str">
        <f t="shared" si="7"/>
        <v>-</v>
      </c>
      <c r="N19" s="51">
        <v>0</v>
      </c>
      <c r="O19" s="51">
        <f t="shared" ref="O19:P19" si="14">D19/7</f>
        <v>0.8571428571428571</v>
      </c>
      <c r="P19" s="51">
        <f t="shared" si="14"/>
        <v>0</v>
      </c>
      <c r="Q19" s="51">
        <f t="shared" si="2"/>
        <v>0</v>
      </c>
      <c r="R19" s="55">
        <v>0</v>
      </c>
      <c r="S19" s="53" t="s">
        <v>34</v>
      </c>
      <c r="T19" s="54" t="s">
        <v>34</v>
      </c>
      <c r="U19" s="55">
        <v>0</v>
      </c>
      <c r="V19" s="55">
        <f t="shared" si="9"/>
        <v>0</v>
      </c>
      <c r="W19" s="55">
        <f t="shared" si="10"/>
        <v>0</v>
      </c>
      <c r="X19" s="55">
        <v>0</v>
      </c>
      <c r="Y19" s="55" t="s">
        <v>35</v>
      </c>
      <c r="Z19" s="56">
        <f t="shared" si="11"/>
        <v>-0.75</v>
      </c>
      <c r="AA19" s="55">
        <v>0.16126296874999999</v>
      </c>
      <c r="AB19" s="55">
        <f t="shared" si="13"/>
        <v>-2.1770500781249993</v>
      </c>
      <c r="AC19" s="55">
        <v>-5.42</v>
      </c>
      <c r="AD19" s="55">
        <v>-5.8469091880341875</v>
      </c>
      <c r="AE19" s="55">
        <v>0</v>
      </c>
      <c r="AF19" s="55"/>
    </row>
    <row r="20" spans="1:32" s="57" customFormat="1" ht="15.75" customHeight="1">
      <c r="A20" s="2" t="s">
        <v>73</v>
      </c>
      <c r="B20" s="2" t="s">
        <v>912</v>
      </c>
      <c r="C20" s="51">
        <v>19.989999999999998</v>
      </c>
      <c r="D20" s="51">
        <v>27</v>
      </c>
      <c r="E20" s="51">
        <v>0</v>
      </c>
      <c r="F20" s="51">
        <v>539.63000000000011</v>
      </c>
      <c r="G20" s="51">
        <v>-43.17</v>
      </c>
      <c r="H20" s="51">
        <f t="shared" si="3"/>
        <v>7.9999258751366667E-2</v>
      </c>
      <c r="I20" s="51">
        <f t="shared" si="4"/>
        <v>0.188114498029232</v>
      </c>
      <c r="J20" s="51">
        <f t="shared" si="5"/>
        <v>101.51222657151449</v>
      </c>
      <c r="K20" s="51">
        <f t="shared" si="6"/>
        <v>3.7597120952412775</v>
      </c>
      <c r="L20" s="51">
        <v>295</v>
      </c>
      <c r="M20" s="51">
        <f t="shared" si="7"/>
        <v>9.152542372881356E-2</v>
      </c>
      <c r="N20" s="51">
        <v>980</v>
      </c>
      <c r="O20" s="51">
        <f t="shared" ref="O20:P20" si="15">D20/7</f>
        <v>3.8571428571428572</v>
      </c>
      <c r="P20" s="51">
        <f t="shared" si="15"/>
        <v>0</v>
      </c>
      <c r="Q20" s="51">
        <f t="shared" si="2"/>
        <v>254</v>
      </c>
      <c r="R20" s="55">
        <v>0</v>
      </c>
      <c r="S20" s="53" t="s">
        <v>34</v>
      </c>
      <c r="T20" s="54" t="s">
        <v>34</v>
      </c>
      <c r="U20" s="55">
        <v>39</v>
      </c>
      <c r="V20" s="55">
        <f t="shared" si="9"/>
        <v>1.4444444444444444</v>
      </c>
      <c r="W20" s="55">
        <f t="shared" si="10"/>
        <v>1.0529268292682927</v>
      </c>
      <c r="X20" s="55">
        <v>2</v>
      </c>
      <c r="Y20" s="55" t="s">
        <v>35</v>
      </c>
      <c r="Z20" s="56">
        <f t="shared" si="11"/>
        <v>-0.75</v>
      </c>
      <c r="AA20" s="55">
        <v>0.16126296874999999</v>
      </c>
      <c r="AB20" s="55">
        <f t="shared" si="13"/>
        <v>-9.7967253515624986</v>
      </c>
      <c r="AC20" s="55">
        <v>-5.42</v>
      </c>
      <c r="AD20" s="55">
        <v>-5.8469091880341875</v>
      </c>
      <c r="AE20" s="55">
        <v>0</v>
      </c>
      <c r="AF20" s="55"/>
    </row>
    <row r="21" spans="1:32" s="57" customFormat="1" ht="15.75" customHeight="1">
      <c r="A21" s="2" t="s">
        <v>75</v>
      </c>
      <c r="B21" s="2" t="s">
        <v>913</v>
      </c>
      <c r="C21" s="51">
        <v>26.09</v>
      </c>
      <c r="D21" s="51">
        <v>158</v>
      </c>
      <c r="E21" s="51">
        <v>0</v>
      </c>
      <c r="F21" s="51">
        <v>3403.1199999999935</v>
      </c>
      <c r="G21" s="51">
        <v>-119.14999999999998</v>
      </c>
      <c r="H21" s="51">
        <f t="shared" si="3"/>
        <v>3.5011988998331002E-2</v>
      </c>
      <c r="I21" s="51">
        <f t="shared" si="4"/>
        <v>0.27504212690118757</v>
      </c>
      <c r="J21" s="51">
        <f t="shared" si="5"/>
        <v>936.00136289996772</v>
      </c>
      <c r="K21" s="51">
        <f t="shared" si="6"/>
        <v>5.924059258860555</v>
      </c>
      <c r="L21" s="51">
        <v>754</v>
      </c>
      <c r="M21" s="51">
        <f t="shared" si="7"/>
        <v>0.20954907161803712</v>
      </c>
      <c r="N21" s="51">
        <v>907</v>
      </c>
      <c r="O21" s="51">
        <f t="shared" ref="O21:P21" si="16">D21/7</f>
        <v>22.571428571428573</v>
      </c>
      <c r="P21" s="51">
        <f t="shared" si="16"/>
        <v>0</v>
      </c>
      <c r="Q21" s="51">
        <f t="shared" si="2"/>
        <v>40</v>
      </c>
      <c r="R21" s="55">
        <v>0</v>
      </c>
      <c r="S21" s="53" t="s">
        <v>34</v>
      </c>
      <c r="T21" s="54" t="s">
        <v>34</v>
      </c>
      <c r="U21" s="55">
        <v>67</v>
      </c>
      <c r="V21" s="55">
        <f t="shared" si="9"/>
        <v>0.42405063291139239</v>
      </c>
      <c r="W21" s="55">
        <f t="shared" si="10"/>
        <v>1.7783582089552235</v>
      </c>
      <c r="X21" s="55">
        <v>0</v>
      </c>
      <c r="Y21" s="55" t="s">
        <v>35</v>
      </c>
      <c r="Z21" s="56">
        <f t="shared" si="11"/>
        <v>-0.75</v>
      </c>
      <c r="AA21" s="55">
        <v>0.16126296874999999</v>
      </c>
      <c r="AB21" s="55">
        <f t="shared" si="13"/>
        <v>-57.328985390624993</v>
      </c>
      <c r="AC21" s="55">
        <v>-5.42</v>
      </c>
      <c r="AD21" s="55">
        <v>-5.8469091880341875</v>
      </c>
      <c r="AE21" s="55">
        <v>0</v>
      </c>
      <c r="AF21" s="55"/>
    </row>
    <row r="22" spans="1:32" s="57" customFormat="1" ht="15.75" customHeight="1">
      <c r="A22" s="2" t="s">
        <v>77</v>
      </c>
      <c r="B22" s="2" t="s">
        <v>914</v>
      </c>
      <c r="C22" s="51">
        <v>26.18</v>
      </c>
      <c r="D22" s="51">
        <v>111</v>
      </c>
      <c r="E22" s="51">
        <v>0</v>
      </c>
      <c r="F22" s="51">
        <v>2536.4499999999998</v>
      </c>
      <c r="G22" s="51">
        <v>-108.56999999999998</v>
      </c>
      <c r="H22" s="51">
        <f t="shared" si="3"/>
        <v>4.2803918862977776E-2</v>
      </c>
      <c r="I22" s="51">
        <f t="shared" si="4"/>
        <v>0.29825549633656973</v>
      </c>
      <c r="J22" s="51">
        <f t="shared" si="5"/>
        <v>756.51015368289222</v>
      </c>
      <c r="K22" s="51">
        <f t="shared" si="6"/>
        <v>6.8154067899359658</v>
      </c>
      <c r="L22" s="51">
        <v>592</v>
      </c>
      <c r="M22" s="51">
        <f t="shared" si="7"/>
        <v>0.1875</v>
      </c>
      <c r="N22" s="51">
        <v>685</v>
      </c>
      <c r="O22" s="51">
        <f t="shared" ref="O22:P22" si="17">D22/7</f>
        <v>15.857142857142858</v>
      </c>
      <c r="P22" s="51">
        <f t="shared" si="17"/>
        <v>0</v>
      </c>
      <c r="Q22" s="51">
        <f t="shared" si="2"/>
        <v>43</v>
      </c>
      <c r="R22" s="55">
        <v>0</v>
      </c>
      <c r="S22" s="53" t="s">
        <v>34</v>
      </c>
      <c r="T22" s="54" t="s">
        <v>34</v>
      </c>
      <c r="U22" s="55">
        <v>39</v>
      </c>
      <c r="V22" s="55">
        <f t="shared" si="9"/>
        <v>0.35135135135135137</v>
      </c>
      <c r="W22" s="55">
        <f t="shared" si="10"/>
        <v>2.7838461538461532</v>
      </c>
      <c r="X22" s="55">
        <v>0</v>
      </c>
      <c r="Y22" s="55" t="s">
        <v>35</v>
      </c>
      <c r="Z22" s="56">
        <f t="shared" si="11"/>
        <v>-0.75</v>
      </c>
      <c r="AA22" s="55">
        <v>0.16126296874999999</v>
      </c>
      <c r="AB22" s="55">
        <f t="shared" si="13"/>
        <v>-40.27542644531249</v>
      </c>
      <c r="AC22" s="55">
        <v>-5.42</v>
      </c>
      <c r="AD22" s="55">
        <v>-5.8469091880341875</v>
      </c>
      <c r="AE22" s="55">
        <v>0</v>
      </c>
      <c r="AF22" s="55"/>
    </row>
    <row r="23" spans="1:32" s="57" customFormat="1" ht="15.75" customHeight="1">
      <c r="A23" s="2" t="s">
        <v>79</v>
      </c>
      <c r="B23" s="2" t="s">
        <v>814</v>
      </c>
      <c r="C23" s="51">
        <v>26.74</v>
      </c>
      <c r="D23" s="51">
        <v>156</v>
      </c>
      <c r="E23" s="51">
        <v>0</v>
      </c>
      <c r="F23" s="51">
        <v>3938.7999999999997</v>
      </c>
      <c r="G23" s="51">
        <v>-109.77000000000001</v>
      </c>
      <c r="H23" s="51">
        <f t="shared" si="3"/>
        <v>2.7868894079415056E-2</v>
      </c>
      <c r="I23" s="51">
        <f t="shared" si="4"/>
        <v>0.36152352610831129</v>
      </c>
      <c r="J23" s="51">
        <f t="shared" si="5"/>
        <v>1423.9688646354164</v>
      </c>
      <c r="K23" s="51">
        <f t="shared" si="6"/>
        <v>9.1280055425347211</v>
      </c>
      <c r="L23" s="51">
        <v>427</v>
      </c>
      <c r="M23" s="51">
        <f t="shared" si="7"/>
        <v>0.36533957845433257</v>
      </c>
      <c r="N23" s="51">
        <v>614</v>
      </c>
      <c r="O23" s="51">
        <f t="shared" ref="O23:P23" si="18">D23/7</f>
        <v>22.285714285714285</v>
      </c>
      <c r="P23" s="51">
        <f t="shared" si="18"/>
        <v>0</v>
      </c>
      <c r="Q23" s="51">
        <f t="shared" si="2"/>
        <v>27</v>
      </c>
      <c r="R23" s="55">
        <v>0</v>
      </c>
      <c r="S23" s="53" t="s">
        <v>34</v>
      </c>
      <c r="T23" s="54" t="s">
        <v>34</v>
      </c>
      <c r="U23" s="55">
        <v>26</v>
      </c>
      <c r="V23" s="55">
        <f t="shared" si="9"/>
        <v>0.16666666666666666</v>
      </c>
      <c r="W23" s="55">
        <f t="shared" si="10"/>
        <v>4.2219230769230771</v>
      </c>
      <c r="X23" s="55">
        <v>0</v>
      </c>
      <c r="Y23" s="55" t="s">
        <v>35</v>
      </c>
      <c r="Z23" s="56">
        <f t="shared" si="11"/>
        <v>-0.75</v>
      </c>
      <c r="AA23" s="55">
        <v>0.16126296874999999</v>
      </c>
      <c r="AB23" s="55">
        <f t="shared" si="13"/>
        <v>-56.603302031249989</v>
      </c>
      <c r="AC23" s="55">
        <v>-5.42</v>
      </c>
      <c r="AD23" s="55">
        <v>-5.8469091880341875</v>
      </c>
      <c r="AE23" s="55">
        <v>0</v>
      </c>
      <c r="AF23" s="55"/>
    </row>
    <row r="24" spans="1:32" s="57" customFormat="1" ht="15.75" customHeight="1">
      <c r="A24" s="2" t="s">
        <v>80</v>
      </c>
      <c r="B24" s="2" t="s">
        <v>810</v>
      </c>
      <c r="C24" s="51"/>
      <c r="D24" s="51">
        <v>116</v>
      </c>
      <c r="E24" s="51">
        <v>0</v>
      </c>
      <c r="F24" s="51">
        <v>3140.8299999999986</v>
      </c>
      <c r="G24" s="51">
        <v>-109.88999999999999</v>
      </c>
      <c r="H24" s="51">
        <f t="shared" si="3"/>
        <v>3.4987566980702565E-2</v>
      </c>
      <c r="I24" s="51">
        <f t="shared" si="4"/>
        <v>0.38549186022302501</v>
      </c>
      <c r="J24" s="51">
        <f t="shared" si="5"/>
        <v>1210.764399344283</v>
      </c>
      <c r="K24" s="51">
        <f t="shared" si="6"/>
        <v>10.437624132278302</v>
      </c>
      <c r="L24" s="51">
        <v>473</v>
      </c>
      <c r="M24" s="51">
        <f t="shared" si="7"/>
        <v>0.2452431289640592</v>
      </c>
      <c r="N24" s="51">
        <v>490</v>
      </c>
      <c r="O24" s="51">
        <f t="shared" ref="O24:P24" si="19">D24/7</f>
        <v>16.571428571428573</v>
      </c>
      <c r="P24" s="51">
        <f t="shared" si="19"/>
        <v>0</v>
      </c>
      <c r="Q24" s="51">
        <f t="shared" si="2"/>
        <v>29</v>
      </c>
      <c r="R24" s="55">
        <v>0</v>
      </c>
      <c r="S24" s="53" t="s">
        <v>34</v>
      </c>
      <c r="T24" s="54" t="s">
        <v>34</v>
      </c>
      <c r="U24" s="55">
        <v>20</v>
      </c>
      <c r="V24" s="55">
        <f t="shared" si="9"/>
        <v>0.17241379310344829</v>
      </c>
      <c r="W24" s="55">
        <f t="shared" si="10"/>
        <v>4.5787499999999994</v>
      </c>
      <c r="X24" s="55">
        <v>4</v>
      </c>
      <c r="Y24" s="55" t="s">
        <v>35</v>
      </c>
      <c r="Z24" s="56">
        <f t="shared" si="11"/>
        <v>-0.75</v>
      </c>
      <c r="AA24" s="55">
        <v>0.16126296874999999</v>
      </c>
      <c r="AB24" s="55">
        <f t="shared" si="13"/>
        <v>-42.089634843749991</v>
      </c>
      <c r="AC24" s="55">
        <v>-5.42</v>
      </c>
      <c r="AD24" s="55">
        <v>-5.8469091880341875</v>
      </c>
      <c r="AE24" s="55">
        <v>0</v>
      </c>
      <c r="AF24" s="55"/>
    </row>
    <row r="25" spans="1:32" s="57" customFormat="1" ht="15.75" customHeight="1">
      <c r="A25" s="2" t="s">
        <v>81</v>
      </c>
      <c r="B25" s="2" t="s">
        <v>810</v>
      </c>
      <c r="C25" s="51"/>
      <c r="D25" s="51">
        <v>85</v>
      </c>
      <c r="E25" s="51">
        <v>0</v>
      </c>
      <c r="F25" s="51">
        <v>2484.8000000000006</v>
      </c>
      <c r="G25" s="51">
        <v>-96.47999999999999</v>
      </c>
      <c r="H25" s="51">
        <f t="shared" si="3"/>
        <v>3.882807469414036E-2</v>
      </c>
      <c r="I25" s="51">
        <f t="shared" si="4"/>
        <v>0.41334158734854171</v>
      </c>
      <c r="J25" s="51">
        <f t="shared" si="5"/>
        <v>1027.0711762436567</v>
      </c>
      <c r="K25" s="51">
        <f t="shared" si="6"/>
        <v>12.083190308748902</v>
      </c>
      <c r="L25" s="51">
        <v>268</v>
      </c>
      <c r="M25" s="51">
        <f t="shared" si="7"/>
        <v>0.31716417910447764</v>
      </c>
      <c r="N25" s="51">
        <v>458</v>
      </c>
      <c r="O25" s="51">
        <f t="shared" ref="O25:P25" si="20">D25/7</f>
        <v>12.142857142857142</v>
      </c>
      <c r="P25" s="51">
        <f t="shared" si="20"/>
        <v>0</v>
      </c>
      <c r="Q25" s="51">
        <f t="shared" si="2"/>
        <v>37</v>
      </c>
      <c r="R25" s="55">
        <v>0</v>
      </c>
      <c r="S25" s="53" t="s">
        <v>34</v>
      </c>
      <c r="T25" s="54" t="s">
        <v>34</v>
      </c>
      <c r="U25" s="55">
        <v>24</v>
      </c>
      <c r="V25" s="55">
        <f t="shared" si="9"/>
        <v>0.28235294117647058</v>
      </c>
      <c r="W25" s="55">
        <f t="shared" si="10"/>
        <v>4.0199999999999996</v>
      </c>
      <c r="X25" s="55">
        <v>0</v>
      </c>
      <c r="Y25" s="55" t="s">
        <v>35</v>
      </c>
      <c r="Z25" s="56">
        <f t="shared" si="11"/>
        <v>-0.75</v>
      </c>
      <c r="AA25" s="55">
        <v>0.16126296874999999</v>
      </c>
      <c r="AB25" s="55">
        <f t="shared" si="13"/>
        <v>-30.841542773437496</v>
      </c>
      <c r="AC25" s="55">
        <v>-5.42</v>
      </c>
      <c r="AD25" s="55">
        <v>-5.8469091880341875</v>
      </c>
      <c r="AE25" s="55">
        <v>0</v>
      </c>
      <c r="AF25" s="55"/>
    </row>
    <row r="26" spans="1:32" s="57" customFormat="1" ht="15.75" customHeight="1">
      <c r="A26" s="2" t="s">
        <v>83</v>
      </c>
      <c r="B26" s="2" t="s">
        <v>915</v>
      </c>
      <c r="C26" s="51">
        <f t="shared" ref="C26:C39" si="21">IFERROR(F26/D26," - ")</f>
        <v>28.120609756097576</v>
      </c>
      <c r="D26" s="51">
        <v>82</v>
      </c>
      <c r="E26" s="51">
        <v>0</v>
      </c>
      <c r="F26" s="51">
        <v>2305.8900000000012</v>
      </c>
      <c r="G26" s="51">
        <v>-100.30000000000001</v>
      </c>
      <c r="H26" s="51">
        <f t="shared" si="3"/>
        <v>4.3497304728326136E-2</v>
      </c>
      <c r="I26" s="51">
        <f t="shared" si="4"/>
        <v>0.39293588542680791</v>
      </c>
      <c r="J26" s="51">
        <f t="shared" si="5"/>
        <v>906.06692884682263</v>
      </c>
      <c r="K26" s="51">
        <f t="shared" si="6"/>
        <v>11.049596693253935</v>
      </c>
      <c r="L26" s="51">
        <v>349</v>
      </c>
      <c r="M26" s="51">
        <f t="shared" si="7"/>
        <v>0.23495702005730659</v>
      </c>
      <c r="N26" s="51">
        <v>340</v>
      </c>
      <c r="O26" s="51">
        <f t="shared" ref="O26:P26" si="22">D26/7</f>
        <v>11.714285714285714</v>
      </c>
      <c r="P26" s="51">
        <f t="shared" si="22"/>
        <v>0</v>
      </c>
      <c r="Q26" s="51">
        <f t="shared" si="2"/>
        <v>29</v>
      </c>
      <c r="R26" s="55">
        <v>0</v>
      </c>
      <c r="S26" s="53" t="s">
        <v>34</v>
      </c>
      <c r="T26" s="54" t="s">
        <v>34</v>
      </c>
      <c r="U26" s="55">
        <v>18</v>
      </c>
      <c r="V26" s="55">
        <f t="shared" si="9"/>
        <v>0.21951219512195122</v>
      </c>
      <c r="W26" s="55">
        <f t="shared" si="10"/>
        <v>5.5722222222222229</v>
      </c>
      <c r="X26" s="55">
        <v>0</v>
      </c>
      <c r="Y26" s="55" t="s">
        <v>35</v>
      </c>
      <c r="Z26" s="56">
        <f t="shared" si="11"/>
        <v>-0.75</v>
      </c>
      <c r="AA26" s="55">
        <v>0.16126296874999999</v>
      </c>
      <c r="AB26" s="55">
        <f t="shared" si="13"/>
        <v>-29.753017734374993</v>
      </c>
      <c r="AC26" s="55">
        <v>-5.42</v>
      </c>
      <c r="AD26" s="55">
        <v>-5.8469091880341875</v>
      </c>
      <c r="AE26" s="55">
        <v>0</v>
      </c>
      <c r="AF26" s="55"/>
    </row>
    <row r="27" spans="1:32" s="57" customFormat="1" ht="15.75" customHeight="1">
      <c r="A27" s="2" t="s">
        <v>84</v>
      </c>
      <c r="B27" s="2" t="s">
        <v>916</v>
      </c>
      <c r="C27" s="51">
        <f t="shared" si="21"/>
        <v>26.619255319148916</v>
      </c>
      <c r="D27" s="51">
        <v>94</v>
      </c>
      <c r="E27" s="51">
        <v>0</v>
      </c>
      <c r="F27" s="51">
        <v>2502.2099999999982</v>
      </c>
      <c r="G27" s="51">
        <v>-91.29</v>
      </c>
      <c r="H27" s="51">
        <f t="shared" si="3"/>
        <v>3.6483748366444094E-2</v>
      </c>
      <c r="I27" s="51">
        <f t="shared" si="4"/>
        <v>0.37662383190625909</v>
      </c>
      <c r="J27" s="51">
        <f t="shared" si="5"/>
        <v>942.39191843415983</v>
      </c>
      <c r="K27" s="51">
        <f t="shared" si="6"/>
        <v>10.025445940788934</v>
      </c>
      <c r="L27" s="51">
        <v>458</v>
      </c>
      <c r="M27" s="51">
        <f t="shared" si="7"/>
        <v>0.20524017467248909</v>
      </c>
      <c r="N27" s="51">
        <v>275</v>
      </c>
      <c r="O27" s="51">
        <f t="shared" ref="O27:P27" si="23">D27/7</f>
        <v>13.428571428571429</v>
      </c>
      <c r="P27" s="51">
        <f t="shared" si="23"/>
        <v>0</v>
      </c>
      <c r="Q27" s="51">
        <f t="shared" si="2"/>
        <v>20</v>
      </c>
      <c r="R27" s="55">
        <v>0</v>
      </c>
      <c r="S27" s="53" t="s">
        <v>34</v>
      </c>
      <c r="T27" s="54" t="s">
        <v>34</v>
      </c>
      <c r="U27" s="55">
        <v>19</v>
      </c>
      <c r="V27" s="55">
        <f t="shared" si="9"/>
        <v>0.20212765957446807</v>
      </c>
      <c r="W27" s="55">
        <f t="shared" si="10"/>
        <v>3.9691304347826089</v>
      </c>
      <c r="X27" s="55">
        <v>4</v>
      </c>
      <c r="Y27" s="55" t="s">
        <v>35</v>
      </c>
      <c r="Z27" s="56">
        <f t="shared" si="11"/>
        <v>-0.75</v>
      </c>
      <c r="AA27" s="55">
        <v>0.16126296874999999</v>
      </c>
      <c r="AB27" s="55">
        <f t="shared" si="13"/>
        <v>-34.107117890624991</v>
      </c>
      <c r="AC27" s="55">
        <v>-5.42</v>
      </c>
      <c r="AD27" s="55">
        <v>-5.8469091880341875</v>
      </c>
      <c r="AE27" s="55">
        <v>0</v>
      </c>
      <c r="AF27" s="55"/>
    </row>
    <row r="28" spans="1:32" s="57" customFormat="1" ht="15.75" customHeight="1">
      <c r="A28" s="2" t="s">
        <v>86</v>
      </c>
      <c r="B28" s="2" t="s">
        <v>917</v>
      </c>
      <c r="C28" s="51">
        <f t="shared" si="21"/>
        <v>23.723109243697468</v>
      </c>
      <c r="D28" s="51">
        <v>119</v>
      </c>
      <c r="E28" s="51">
        <v>0</v>
      </c>
      <c r="F28" s="51">
        <v>2823.0499999999988</v>
      </c>
      <c r="G28" s="51">
        <v>-92.54</v>
      </c>
      <c r="H28" s="51">
        <f t="shared" si="3"/>
        <v>3.2780149129487623E-2</v>
      </c>
      <c r="I28" s="51">
        <f t="shared" si="4"/>
        <v>0.32770363405675806</v>
      </c>
      <c r="J28" s="51">
        <f t="shared" si="5"/>
        <v>925.12374412393046</v>
      </c>
      <c r="K28" s="51">
        <f t="shared" si="6"/>
        <v>7.7741491102851299</v>
      </c>
      <c r="L28" s="51">
        <v>640</v>
      </c>
      <c r="M28" s="51">
        <f t="shared" si="7"/>
        <v>0.18593750000000001</v>
      </c>
      <c r="N28" s="51">
        <v>135</v>
      </c>
      <c r="O28" s="51">
        <f t="shared" ref="O28:P28" si="24">D28/7</f>
        <v>17</v>
      </c>
      <c r="P28" s="51">
        <f t="shared" si="24"/>
        <v>0</v>
      </c>
      <c r="Q28" s="51">
        <f t="shared" si="2"/>
        <v>7</v>
      </c>
      <c r="R28" s="55">
        <v>0</v>
      </c>
      <c r="S28" s="53" t="s">
        <v>34</v>
      </c>
      <c r="T28" s="54" t="s">
        <v>34</v>
      </c>
      <c r="U28" s="55">
        <v>26</v>
      </c>
      <c r="V28" s="55">
        <f t="shared" si="9"/>
        <v>0.21848739495798319</v>
      </c>
      <c r="W28" s="55">
        <f t="shared" si="10"/>
        <v>3.4274074074074075</v>
      </c>
      <c r="X28" s="55">
        <v>1</v>
      </c>
      <c r="Y28" s="55" t="s">
        <v>35</v>
      </c>
      <c r="Z28" s="56">
        <f t="shared" si="11"/>
        <v>-0.75</v>
      </c>
      <c r="AA28" s="55">
        <v>0.15375</v>
      </c>
      <c r="AB28" s="55">
        <f t="shared" si="13"/>
        <v>-41.166562499999998</v>
      </c>
      <c r="AC28" s="55">
        <v>-5.42</v>
      </c>
      <c r="AD28" s="55">
        <v>-5.8469091880341875</v>
      </c>
      <c r="AE28" s="55">
        <v>0</v>
      </c>
      <c r="AF28" s="55"/>
    </row>
    <row r="29" spans="1:32" s="57" customFormat="1" ht="15.75" customHeight="1">
      <c r="A29" s="2" t="s">
        <v>87</v>
      </c>
      <c r="B29" s="2" t="s">
        <v>918</v>
      </c>
      <c r="C29" s="51">
        <f t="shared" si="21"/>
        <v>25.399594594594593</v>
      </c>
      <c r="D29" s="51">
        <v>74</v>
      </c>
      <c r="E29" s="51">
        <v>1</v>
      </c>
      <c r="F29" s="51">
        <v>1879.57</v>
      </c>
      <c r="G29" s="51">
        <v>-87.000000000000014</v>
      </c>
      <c r="H29" s="51">
        <f t="shared" si="3"/>
        <v>4.6287182706682924E-2</v>
      </c>
      <c r="I29" s="51">
        <f t="shared" si="4"/>
        <v>0.34650683139519689</v>
      </c>
      <c r="J29" s="51">
        <f t="shared" si="5"/>
        <v>651.28384508547015</v>
      </c>
      <c r="K29" s="51">
        <f t="shared" si="6"/>
        <v>8.8011330416955431</v>
      </c>
      <c r="L29" s="51">
        <v>581</v>
      </c>
      <c r="M29" s="51">
        <f t="shared" si="7"/>
        <v>0.12736660929432014</v>
      </c>
      <c r="N29" s="51">
        <v>88</v>
      </c>
      <c r="O29" s="51">
        <f t="shared" ref="O29:P29" si="25">D29/7</f>
        <v>10.571428571428571</v>
      </c>
      <c r="P29" s="51">
        <f t="shared" si="25"/>
        <v>0.14285714285714285</v>
      </c>
      <c r="Q29" s="51">
        <f t="shared" si="2"/>
        <v>8</v>
      </c>
      <c r="R29" s="55">
        <v>0</v>
      </c>
      <c r="S29" s="53" t="s">
        <v>34</v>
      </c>
      <c r="T29" s="54" t="s">
        <v>34</v>
      </c>
      <c r="U29" s="55">
        <v>11</v>
      </c>
      <c r="V29" s="55">
        <f t="shared" si="9"/>
        <v>0.14864864864864866</v>
      </c>
      <c r="W29" s="55">
        <f t="shared" si="10"/>
        <v>6.6923076923076934</v>
      </c>
      <c r="X29" s="55">
        <v>2</v>
      </c>
      <c r="Y29" s="55" t="s">
        <v>35</v>
      </c>
      <c r="Z29" s="56">
        <f t="shared" si="11"/>
        <v>-0.75</v>
      </c>
      <c r="AA29" s="55">
        <v>0.15375</v>
      </c>
      <c r="AB29" s="55">
        <f t="shared" si="13"/>
        <v>-25.599375000000002</v>
      </c>
      <c r="AC29" s="55">
        <v>-5.42</v>
      </c>
      <c r="AD29" s="55">
        <v>-5.8469091880341875</v>
      </c>
      <c r="AE29" s="55">
        <v>0</v>
      </c>
      <c r="AF29" s="55"/>
    </row>
    <row r="30" spans="1:32" s="57" customFormat="1" ht="15.75" customHeight="1">
      <c r="A30" s="2" t="s">
        <v>89</v>
      </c>
      <c r="B30" s="2" t="s">
        <v>919</v>
      </c>
      <c r="C30" s="51">
        <f t="shared" si="21"/>
        <v>24.038775510204083</v>
      </c>
      <c r="D30" s="51">
        <v>49</v>
      </c>
      <c r="E30" s="51">
        <v>0</v>
      </c>
      <c r="F30" s="51">
        <v>1177.9000000000001</v>
      </c>
      <c r="G30" s="51">
        <v>-81.37</v>
      </c>
      <c r="H30" s="51">
        <f t="shared" si="3"/>
        <v>6.9080567110960181E-2</v>
      </c>
      <c r="I30" s="51">
        <f t="shared" si="4"/>
        <v>0.29783132038910337</v>
      </c>
      <c r="J30" s="51">
        <f t="shared" si="5"/>
        <v>350.81551228632492</v>
      </c>
      <c r="K30" s="51">
        <f t="shared" si="6"/>
        <v>7.159500250741325</v>
      </c>
      <c r="L30" s="51">
        <v>698</v>
      </c>
      <c r="M30" s="51">
        <f t="shared" si="7"/>
        <v>7.0200573065902577E-2</v>
      </c>
      <c r="N30" s="51">
        <v>38</v>
      </c>
      <c r="O30" s="51">
        <f t="shared" ref="O30:P30" si="26">D30/7</f>
        <v>7</v>
      </c>
      <c r="P30" s="51">
        <f t="shared" si="26"/>
        <v>0</v>
      </c>
      <c r="Q30" s="51">
        <f t="shared" si="2"/>
        <v>5</v>
      </c>
      <c r="R30" s="55">
        <v>0</v>
      </c>
      <c r="S30" s="53" t="s">
        <v>34</v>
      </c>
      <c r="T30" s="54" t="s">
        <v>34</v>
      </c>
      <c r="U30" s="55">
        <v>5</v>
      </c>
      <c r="V30" s="55">
        <f t="shared" si="9"/>
        <v>0.10204081632653061</v>
      </c>
      <c r="W30" s="55">
        <f t="shared" si="10"/>
        <v>13.561666666666667</v>
      </c>
      <c r="X30" s="55">
        <v>1</v>
      </c>
      <c r="Y30" s="55" t="s">
        <v>35</v>
      </c>
      <c r="Z30" s="56">
        <f t="shared" si="11"/>
        <v>-0.75</v>
      </c>
      <c r="AA30" s="55">
        <v>0.15375</v>
      </c>
      <c r="AB30" s="55">
        <f t="shared" si="13"/>
        <v>-16.950937500000002</v>
      </c>
      <c r="AC30" s="55">
        <v>-5.42</v>
      </c>
      <c r="AD30" s="55">
        <v>-5.8469091880341875</v>
      </c>
      <c r="AE30" s="55">
        <v>0</v>
      </c>
      <c r="AF30" s="55"/>
    </row>
    <row r="31" spans="1:32" s="57" customFormat="1" ht="15.75" customHeight="1">
      <c r="A31" s="2" t="s">
        <v>90</v>
      </c>
      <c r="B31" s="2" t="s">
        <v>920</v>
      </c>
      <c r="C31" s="51">
        <f t="shared" si="21"/>
        <v>27.025454545454554</v>
      </c>
      <c r="D31" s="51">
        <v>22</v>
      </c>
      <c r="E31" s="51">
        <v>0</v>
      </c>
      <c r="F31" s="51">
        <v>594.56000000000017</v>
      </c>
      <c r="G31" s="51">
        <v>-34.49</v>
      </c>
      <c r="H31" s="51">
        <f t="shared" si="3"/>
        <v>5.8009284176533893E-2</v>
      </c>
      <c r="I31" s="51">
        <f t="shared" si="4"/>
        <v>0.36229038761983307</v>
      </c>
      <c r="J31" s="51">
        <f t="shared" si="5"/>
        <v>215.40337286324799</v>
      </c>
      <c r="K31" s="51">
        <f t="shared" si="6"/>
        <v>9.7910624028749087</v>
      </c>
      <c r="L31" s="51">
        <v>187</v>
      </c>
      <c r="M31" s="51">
        <f t="shared" si="7"/>
        <v>0.11764705882352941</v>
      </c>
      <c r="N31" s="51">
        <v>27</v>
      </c>
      <c r="O31" s="51">
        <f t="shared" ref="O31:P31" si="27">D31/7</f>
        <v>3.1428571428571428</v>
      </c>
      <c r="P31" s="51">
        <f t="shared" si="27"/>
        <v>0</v>
      </c>
      <c r="Q31" s="51">
        <f t="shared" si="2"/>
        <v>8</v>
      </c>
      <c r="R31" s="55">
        <v>0</v>
      </c>
      <c r="S31" s="53" t="s">
        <v>34</v>
      </c>
      <c r="T31" s="54" t="s">
        <v>34</v>
      </c>
      <c r="U31" s="55">
        <v>5</v>
      </c>
      <c r="V31" s="55">
        <f t="shared" si="9"/>
        <v>0.22727272727272727</v>
      </c>
      <c r="W31" s="55">
        <f t="shared" si="10"/>
        <v>5.748333333333334</v>
      </c>
      <c r="X31" s="55">
        <v>1</v>
      </c>
      <c r="Y31" s="55" t="s">
        <v>35</v>
      </c>
      <c r="Z31" s="56">
        <f t="shared" si="11"/>
        <v>-0.75</v>
      </c>
      <c r="AA31" s="55">
        <v>0.15375</v>
      </c>
      <c r="AB31" s="55">
        <f t="shared" si="13"/>
        <v>-7.6106249999999989</v>
      </c>
      <c r="AC31" s="55">
        <v>-5.42</v>
      </c>
      <c r="AD31" s="55">
        <v>-5.8469091880341875</v>
      </c>
      <c r="AE31" s="55">
        <v>0</v>
      </c>
      <c r="AF31" s="55"/>
    </row>
    <row r="32" spans="1:32" s="57" customFormat="1" ht="15.75" customHeight="1">
      <c r="A32" s="2" t="s">
        <v>92</v>
      </c>
      <c r="B32" s="2" t="s">
        <v>921</v>
      </c>
      <c r="C32" s="51">
        <f t="shared" si="21"/>
        <v>24.259375000000002</v>
      </c>
      <c r="D32" s="51">
        <v>16</v>
      </c>
      <c r="E32" s="51">
        <v>0</v>
      </c>
      <c r="F32" s="51">
        <v>388.15000000000003</v>
      </c>
      <c r="G32" s="51">
        <v>-0.79999999999999993</v>
      </c>
      <c r="H32" s="51">
        <f t="shared" si="3"/>
        <v>2.0610588689939451E-3</v>
      </c>
      <c r="I32" s="51">
        <f t="shared" si="4"/>
        <v>0.36924372791820942</v>
      </c>
      <c r="J32" s="51">
        <f t="shared" si="5"/>
        <v>143.321952991453</v>
      </c>
      <c r="K32" s="51">
        <f t="shared" si="6"/>
        <v>8.9576220619658127</v>
      </c>
      <c r="L32" s="51">
        <v>402</v>
      </c>
      <c r="M32" s="51">
        <f t="shared" si="7"/>
        <v>3.9800995024875621E-2</v>
      </c>
      <c r="N32" s="51">
        <v>9</v>
      </c>
      <c r="O32" s="51">
        <f t="shared" ref="O32:P32" si="28">D32/7</f>
        <v>2.2857142857142856</v>
      </c>
      <c r="P32" s="51">
        <f t="shared" si="28"/>
        <v>0</v>
      </c>
      <c r="Q32" s="51">
        <f t="shared" si="2"/>
        <v>3</v>
      </c>
      <c r="R32" s="55">
        <v>0</v>
      </c>
      <c r="S32" s="53" t="s">
        <v>34</v>
      </c>
      <c r="T32" s="54" t="s">
        <v>34</v>
      </c>
      <c r="U32" s="55">
        <v>0</v>
      </c>
      <c r="V32" s="55">
        <f t="shared" si="9"/>
        <v>0</v>
      </c>
      <c r="W32" s="55">
        <f t="shared" si="10"/>
        <v>0</v>
      </c>
      <c r="X32" s="55">
        <v>0</v>
      </c>
      <c r="Y32" s="55" t="s">
        <v>35</v>
      </c>
      <c r="Z32" s="56">
        <f t="shared" si="11"/>
        <v>-0.75</v>
      </c>
      <c r="AA32" s="55">
        <v>0.15375</v>
      </c>
      <c r="AB32" s="55">
        <f t="shared" si="13"/>
        <v>-5.5350000000000001</v>
      </c>
      <c r="AC32" s="55">
        <v>-5.42</v>
      </c>
      <c r="AD32" s="55">
        <v>-5.8469091880341875</v>
      </c>
      <c r="AE32" s="55">
        <v>0</v>
      </c>
      <c r="AF32" s="52">
        <v>2.9608636977058</v>
      </c>
    </row>
    <row r="33" spans="1:32" s="57" customFormat="1" ht="15.75" customHeight="1">
      <c r="A33" s="2" t="s">
        <v>94</v>
      </c>
      <c r="B33" s="2"/>
      <c r="C33" s="51">
        <f t="shared" si="21"/>
        <v>27.786000000000001</v>
      </c>
      <c r="D33" s="51">
        <v>5</v>
      </c>
      <c r="E33" s="51">
        <v>0</v>
      </c>
      <c r="F33" s="51">
        <v>138.93</v>
      </c>
      <c r="G33" s="51">
        <v>0</v>
      </c>
      <c r="H33" s="51">
        <f t="shared" si="3"/>
        <v>0</v>
      </c>
      <c r="I33" s="51">
        <f t="shared" si="4"/>
        <v>0.43206122910695355</v>
      </c>
      <c r="J33" s="51">
        <f t="shared" si="5"/>
        <v>60.026266559829061</v>
      </c>
      <c r="K33" s="51">
        <f t="shared" si="6"/>
        <v>12.005253311965813</v>
      </c>
      <c r="L33" s="51">
        <v>0</v>
      </c>
      <c r="M33" s="51" t="str">
        <f t="shared" si="7"/>
        <v>-</v>
      </c>
      <c r="N33" s="51">
        <v>8</v>
      </c>
      <c r="O33" s="51">
        <f t="shared" ref="O33:P33" si="29">D33/7</f>
        <v>0.7142857142857143</v>
      </c>
      <c r="P33" s="51">
        <f t="shared" si="29"/>
        <v>0</v>
      </c>
      <c r="Q33" s="51">
        <f t="shared" si="2"/>
        <v>11</v>
      </c>
      <c r="R33" s="55">
        <v>0</v>
      </c>
      <c r="S33" s="53" t="s">
        <v>34</v>
      </c>
      <c r="T33" s="54" t="s">
        <v>34</v>
      </c>
      <c r="U33" s="55">
        <v>0</v>
      </c>
      <c r="V33" s="55">
        <f t="shared" si="9"/>
        <v>0</v>
      </c>
      <c r="W33" s="55">
        <f t="shared" si="10"/>
        <v>0</v>
      </c>
      <c r="X33" s="55">
        <v>0</v>
      </c>
      <c r="Y33" s="55" t="s">
        <v>35</v>
      </c>
      <c r="Z33" s="56">
        <f t="shared" si="11"/>
        <v>-0.75</v>
      </c>
      <c r="AA33" s="55">
        <v>0.15375</v>
      </c>
      <c r="AB33" s="55">
        <f t="shared" si="13"/>
        <v>-1.7296874999999998</v>
      </c>
      <c r="AC33" s="55">
        <v>-5.42</v>
      </c>
      <c r="AD33" s="55">
        <v>-5.8469091880341875</v>
      </c>
      <c r="AE33" s="55">
        <v>0</v>
      </c>
      <c r="AF33" s="55">
        <v>2.5393518518518499</v>
      </c>
    </row>
    <row r="34" spans="1:32" s="57" customFormat="1" ht="15.75" customHeight="1">
      <c r="A34" s="2" t="s">
        <v>95</v>
      </c>
      <c r="B34" s="2"/>
      <c r="C34" s="51" t="str">
        <f t="shared" si="21"/>
        <v xml:space="preserve"> - </v>
      </c>
      <c r="D34" s="51">
        <v>0</v>
      </c>
      <c r="E34" s="51">
        <v>0</v>
      </c>
      <c r="F34" s="51">
        <v>0</v>
      </c>
      <c r="G34" s="51">
        <v>0</v>
      </c>
      <c r="H34" s="51" t="e">
        <f t="shared" si="3"/>
        <v>#DIV/0!</v>
      </c>
      <c r="I34" s="51" t="e">
        <f t="shared" si="4"/>
        <v>#DIV/0!</v>
      </c>
      <c r="J34" s="51">
        <f t="shared" si="5"/>
        <v>0</v>
      </c>
      <c r="K34" s="51" t="e">
        <f t="shared" si="6"/>
        <v>#DIV/0!</v>
      </c>
      <c r="L34" s="51">
        <v>0</v>
      </c>
      <c r="M34" s="51" t="str">
        <f t="shared" si="7"/>
        <v>-</v>
      </c>
      <c r="N34" s="51">
        <v>8</v>
      </c>
      <c r="O34" s="51">
        <f t="shared" ref="O34:P34" si="30">D34/7</f>
        <v>0</v>
      </c>
      <c r="P34" s="51">
        <f t="shared" si="30"/>
        <v>0</v>
      </c>
      <c r="Q34" s="51" t="e">
        <f t="shared" si="2"/>
        <v>#DIV/0!</v>
      </c>
      <c r="R34" s="55">
        <v>0</v>
      </c>
      <c r="S34" s="53" t="s">
        <v>34</v>
      </c>
      <c r="T34" s="54" t="s">
        <v>34</v>
      </c>
      <c r="U34" s="55">
        <v>0</v>
      </c>
      <c r="V34" s="55">
        <f t="shared" si="9"/>
        <v>0</v>
      </c>
      <c r="W34" s="55">
        <f t="shared" si="10"/>
        <v>0</v>
      </c>
      <c r="X34" s="55">
        <v>0</v>
      </c>
      <c r="Y34" s="55" t="e">
        <v>#N/A</v>
      </c>
      <c r="Z34" s="56" t="e">
        <f t="shared" si="11"/>
        <v>#N/A</v>
      </c>
      <c r="AA34" s="55" t="e">
        <v>#N/A</v>
      </c>
      <c r="AB34" s="55">
        <f t="shared" si="13"/>
        <v>0</v>
      </c>
      <c r="AC34" s="55">
        <v>0</v>
      </c>
      <c r="AD34" s="55">
        <v>0</v>
      </c>
      <c r="AE34" s="55">
        <v>0</v>
      </c>
      <c r="AF34" s="55" t="e">
        <v>#N/A</v>
      </c>
    </row>
    <row r="35" spans="1:32" s="57" customFormat="1" ht="15.75" customHeight="1">
      <c r="A35" s="2" t="s">
        <v>96</v>
      </c>
      <c r="B35" s="2"/>
      <c r="C35" s="51" t="str">
        <f t="shared" si="21"/>
        <v xml:space="preserve"> - </v>
      </c>
      <c r="D35" s="51">
        <v>0</v>
      </c>
      <c r="E35" s="51">
        <v>0</v>
      </c>
      <c r="F35" s="51">
        <v>0</v>
      </c>
      <c r="G35" s="51">
        <v>0</v>
      </c>
      <c r="H35" s="51" t="e">
        <f t="shared" si="3"/>
        <v>#DIV/0!</v>
      </c>
      <c r="I35" s="51" t="e">
        <f t="shared" si="4"/>
        <v>#DIV/0!</v>
      </c>
      <c r="J35" s="51">
        <f t="shared" si="5"/>
        <v>0</v>
      </c>
      <c r="K35" s="51" t="e">
        <f t="shared" si="6"/>
        <v>#DIV/0!</v>
      </c>
      <c r="L35" s="51">
        <v>0</v>
      </c>
      <c r="M35" s="51" t="str">
        <f t="shared" si="7"/>
        <v>-</v>
      </c>
      <c r="N35" s="51">
        <v>8</v>
      </c>
      <c r="O35" s="51">
        <f t="shared" ref="O35:P35" si="31">D35/7</f>
        <v>0</v>
      </c>
      <c r="P35" s="51">
        <f t="shared" si="31"/>
        <v>0</v>
      </c>
      <c r="Q35" s="51" t="e">
        <f t="shared" si="2"/>
        <v>#DIV/0!</v>
      </c>
      <c r="R35" s="55">
        <v>0</v>
      </c>
      <c r="S35" s="53" t="s">
        <v>34</v>
      </c>
      <c r="T35" s="54" t="s">
        <v>34</v>
      </c>
      <c r="U35" s="55">
        <v>0</v>
      </c>
      <c r="V35" s="55">
        <f t="shared" si="9"/>
        <v>0</v>
      </c>
      <c r="W35" s="55">
        <f t="shared" si="10"/>
        <v>0</v>
      </c>
      <c r="X35" s="55">
        <v>0</v>
      </c>
      <c r="Y35" s="55" t="e">
        <v>#N/A</v>
      </c>
      <c r="Z35" s="56" t="e">
        <f t="shared" si="11"/>
        <v>#N/A</v>
      </c>
      <c r="AA35" s="55" t="e">
        <v>#N/A</v>
      </c>
      <c r="AB35" s="55">
        <f t="shared" si="13"/>
        <v>0</v>
      </c>
      <c r="AC35" s="55">
        <v>0</v>
      </c>
      <c r="AD35" s="55">
        <v>-5.8469091880341875</v>
      </c>
      <c r="AE35" s="55">
        <v>0</v>
      </c>
      <c r="AF35" s="55" t="e">
        <v>#N/A</v>
      </c>
    </row>
    <row r="36" spans="1:32" s="57" customFormat="1" ht="15.75" customHeight="1">
      <c r="A36" s="2" t="s">
        <v>98</v>
      </c>
      <c r="B36" s="2"/>
      <c r="C36" s="51" t="str">
        <f t="shared" si="21"/>
        <v xml:space="preserve"> - </v>
      </c>
      <c r="D36" s="51">
        <v>0</v>
      </c>
      <c r="E36" s="51">
        <v>0</v>
      </c>
      <c r="F36" s="51">
        <v>0</v>
      </c>
      <c r="G36" s="51">
        <v>0</v>
      </c>
      <c r="H36" s="51" t="e">
        <f t="shared" si="3"/>
        <v>#DIV/0!</v>
      </c>
      <c r="I36" s="51" t="e">
        <f t="shared" si="4"/>
        <v>#DIV/0!</v>
      </c>
      <c r="J36" s="51">
        <f t="shared" si="5"/>
        <v>0</v>
      </c>
      <c r="K36" s="51" t="e">
        <f t="shared" si="6"/>
        <v>#DIV/0!</v>
      </c>
      <c r="L36" s="51">
        <v>0</v>
      </c>
      <c r="M36" s="51" t="str">
        <f t="shared" si="7"/>
        <v>-</v>
      </c>
      <c r="N36" s="51">
        <v>8</v>
      </c>
      <c r="O36" s="51">
        <f t="shared" ref="O36:P36" si="32">D36/7</f>
        <v>0</v>
      </c>
      <c r="P36" s="51">
        <f t="shared" si="32"/>
        <v>0</v>
      </c>
      <c r="Q36" s="51" t="e">
        <f t="shared" si="2"/>
        <v>#DIV/0!</v>
      </c>
      <c r="R36" s="55">
        <v>0</v>
      </c>
      <c r="S36" s="53"/>
      <c r="T36" s="54" t="s">
        <v>34</v>
      </c>
      <c r="U36" s="55"/>
      <c r="V36" s="55">
        <f t="shared" si="9"/>
        <v>0</v>
      </c>
      <c r="W36" s="55">
        <f t="shared" si="10"/>
        <v>0</v>
      </c>
      <c r="X36" s="55"/>
      <c r="Y36" s="55" t="e">
        <v>#N/A</v>
      </c>
      <c r="Z36" s="56" t="e">
        <f t="shared" si="11"/>
        <v>#N/A</v>
      </c>
      <c r="AA36" s="55" t="e">
        <v>#N/A</v>
      </c>
      <c r="AB36" s="55">
        <f t="shared" si="13"/>
        <v>0</v>
      </c>
      <c r="AC36" s="55">
        <v>0</v>
      </c>
      <c r="AD36" s="55">
        <v>-5.8469091880341875</v>
      </c>
      <c r="AE36" s="55">
        <v>0</v>
      </c>
      <c r="AF36" s="55" t="e">
        <v>#N/A</v>
      </c>
    </row>
    <row r="37" spans="1:32" s="57" customFormat="1" ht="15.75" customHeight="1">
      <c r="A37" s="2" t="s">
        <v>99</v>
      </c>
      <c r="B37" s="2"/>
      <c r="C37" s="51" t="str">
        <f t="shared" si="21"/>
        <v xml:space="preserve"> - </v>
      </c>
      <c r="D37" s="51">
        <v>0</v>
      </c>
      <c r="E37" s="51">
        <v>0</v>
      </c>
      <c r="F37" s="51">
        <v>0</v>
      </c>
      <c r="G37" s="51">
        <v>0</v>
      </c>
      <c r="H37" s="51" t="e">
        <f t="shared" si="3"/>
        <v>#DIV/0!</v>
      </c>
      <c r="I37" s="51" t="e">
        <f t="shared" si="4"/>
        <v>#DIV/0!</v>
      </c>
      <c r="J37" s="51">
        <f t="shared" si="5"/>
        <v>0</v>
      </c>
      <c r="K37" s="51" t="e">
        <f t="shared" si="6"/>
        <v>#DIV/0!</v>
      </c>
      <c r="L37" s="51">
        <v>0</v>
      </c>
      <c r="M37" s="51" t="str">
        <f t="shared" si="7"/>
        <v>-</v>
      </c>
      <c r="N37" s="51">
        <v>8</v>
      </c>
      <c r="O37" s="51">
        <f t="shared" ref="O37:P37" si="33">D37/7</f>
        <v>0</v>
      </c>
      <c r="P37" s="51">
        <f t="shared" si="33"/>
        <v>0</v>
      </c>
      <c r="Q37" s="51" t="e">
        <f t="shared" si="2"/>
        <v>#DIV/0!</v>
      </c>
      <c r="R37" s="55">
        <v>0</v>
      </c>
      <c r="S37" s="53" t="s">
        <v>34</v>
      </c>
      <c r="T37" s="54" t="s">
        <v>34</v>
      </c>
      <c r="U37" s="55">
        <v>0</v>
      </c>
      <c r="V37" s="55">
        <f t="shared" si="9"/>
        <v>0</v>
      </c>
      <c r="W37" s="55">
        <f t="shared" si="10"/>
        <v>0</v>
      </c>
      <c r="X37" s="55">
        <v>0</v>
      </c>
      <c r="Y37" s="55" t="e">
        <v>#N/A</v>
      </c>
      <c r="Z37" s="56" t="e">
        <f t="shared" si="11"/>
        <v>#N/A</v>
      </c>
      <c r="AA37" s="55" t="e">
        <v>#N/A</v>
      </c>
      <c r="AB37" s="55">
        <f t="shared" si="13"/>
        <v>0</v>
      </c>
      <c r="AC37" s="55">
        <v>0</v>
      </c>
      <c r="AD37" s="55">
        <v>-5.8469091880341875</v>
      </c>
      <c r="AE37" s="55">
        <v>0</v>
      </c>
      <c r="AF37" s="55" t="e">
        <v>#N/A</v>
      </c>
    </row>
    <row r="38" spans="1:32" s="57" customFormat="1" ht="15.75" customHeight="1">
      <c r="A38" s="2" t="s">
        <v>100</v>
      </c>
      <c r="B38" s="2"/>
      <c r="C38" s="51" t="str">
        <f t="shared" si="21"/>
        <v xml:space="preserve"> - </v>
      </c>
      <c r="D38" s="51">
        <v>0</v>
      </c>
      <c r="E38" s="51">
        <v>0</v>
      </c>
      <c r="F38" s="51">
        <v>0</v>
      </c>
      <c r="G38" s="51">
        <v>0</v>
      </c>
      <c r="H38" s="51" t="e">
        <f t="shared" si="3"/>
        <v>#DIV/0!</v>
      </c>
      <c r="I38" s="51" t="e">
        <f t="shared" si="4"/>
        <v>#DIV/0!</v>
      </c>
      <c r="J38" s="51">
        <f t="shared" si="5"/>
        <v>0</v>
      </c>
      <c r="K38" s="51" t="e">
        <f t="shared" si="6"/>
        <v>#DIV/0!</v>
      </c>
      <c r="L38" s="51">
        <v>0</v>
      </c>
      <c r="M38" s="51" t="str">
        <f t="shared" si="7"/>
        <v>-</v>
      </c>
      <c r="N38" s="51">
        <v>8</v>
      </c>
      <c r="O38" s="51">
        <f t="shared" ref="O38:P38" si="34">D38/7</f>
        <v>0</v>
      </c>
      <c r="P38" s="51">
        <f t="shared" si="34"/>
        <v>0</v>
      </c>
      <c r="Q38" s="51" t="e">
        <f t="shared" si="2"/>
        <v>#DIV/0!</v>
      </c>
      <c r="R38" s="55">
        <v>0</v>
      </c>
      <c r="S38" s="53"/>
      <c r="T38" s="54" t="s">
        <v>34</v>
      </c>
      <c r="U38" s="55">
        <v>0</v>
      </c>
      <c r="V38" s="55">
        <f t="shared" si="9"/>
        <v>0</v>
      </c>
      <c r="W38" s="55">
        <f t="shared" si="10"/>
        <v>0</v>
      </c>
      <c r="X38" s="55">
        <v>0</v>
      </c>
      <c r="Y38" s="55" t="e">
        <v>#N/A</v>
      </c>
      <c r="Z38" s="56" t="e">
        <f t="shared" si="11"/>
        <v>#N/A</v>
      </c>
      <c r="AA38" s="55" t="e">
        <v>#N/A</v>
      </c>
      <c r="AB38" s="55">
        <f t="shared" si="13"/>
        <v>0</v>
      </c>
      <c r="AC38" s="55">
        <v>0</v>
      </c>
      <c r="AD38" s="55">
        <v>-5.8469091880341875</v>
      </c>
      <c r="AE38" s="55">
        <v>0</v>
      </c>
      <c r="AF38" s="55" t="e">
        <v>#N/A</v>
      </c>
    </row>
    <row r="39" spans="1:32" s="57" customFormat="1" ht="15.75" customHeight="1">
      <c r="A39" s="2" t="s">
        <v>101</v>
      </c>
      <c r="B39" s="2"/>
      <c r="C39" s="51" t="str">
        <f t="shared" si="21"/>
        <v xml:space="preserve"> - </v>
      </c>
      <c r="D39" s="51">
        <v>0</v>
      </c>
      <c r="E39" s="51">
        <v>0</v>
      </c>
      <c r="F39" s="51">
        <v>0</v>
      </c>
      <c r="G39" s="51">
        <v>0</v>
      </c>
      <c r="H39" s="51" t="e">
        <f t="shared" si="3"/>
        <v>#DIV/0!</v>
      </c>
      <c r="I39" s="51" t="e">
        <f t="shared" si="4"/>
        <v>#DIV/0!</v>
      </c>
      <c r="J39" s="51">
        <f>F39*0.85+G39+AD39*D39+D39*AC39+AE40+AB39</f>
        <v>0</v>
      </c>
      <c r="K39" s="51" t="e">
        <f t="shared" si="6"/>
        <v>#DIV/0!</v>
      </c>
      <c r="L39" s="51">
        <v>0</v>
      </c>
      <c r="M39" s="51" t="str">
        <f t="shared" si="7"/>
        <v>-</v>
      </c>
      <c r="N39" s="51">
        <v>0</v>
      </c>
      <c r="O39" s="51">
        <f t="shared" ref="O39:P39" si="35">D39/7</f>
        <v>0</v>
      </c>
      <c r="P39" s="51">
        <f t="shared" si="35"/>
        <v>0</v>
      </c>
      <c r="Q39" s="51" t="e">
        <f t="shared" si="2"/>
        <v>#DIV/0!</v>
      </c>
      <c r="R39" s="55">
        <v>0</v>
      </c>
      <c r="S39" s="53" t="s">
        <v>34</v>
      </c>
      <c r="T39" s="54" t="s">
        <v>34</v>
      </c>
      <c r="U39" s="55">
        <v>0</v>
      </c>
      <c r="V39" s="55">
        <f t="shared" si="9"/>
        <v>0</v>
      </c>
      <c r="W39" s="55">
        <f t="shared" si="10"/>
        <v>0</v>
      </c>
      <c r="X39" s="55">
        <v>0</v>
      </c>
      <c r="Y39" s="55" t="e">
        <v>#N/A</v>
      </c>
      <c r="Z39" s="56" t="e">
        <f t="shared" si="11"/>
        <v>#N/A</v>
      </c>
      <c r="AA39" s="55" t="e">
        <v>#N/A</v>
      </c>
      <c r="AB39" s="55">
        <f t="shared" si="13"/>
        <v>0</v>
      </c>
      <c r="AC39" s="55">
        <v>0</v>
      </c>
      <c r="AD39" s="55">
        <v>-5.8469091880341875</v>
      </c>
      <c r="AE39" s="55">
        <v>0</v>
      </c>
      <c r="AF39" s="55" t="e">
        <v>#N/A</v>
      </c>
    </row>
    <row r="40" spans="1:32" s="57" customFormat="1" ht="15.75" customHeight="1">
      <c r="A40" s="2" t="s">
        <v>102</v>
      </c>
      <c r="B40" s="2"/>
      <c r="C40" s="51" t="s">
        <v>103</v>
      </c>
      <c r="D40" s="51">
        <v>0</v>
      </c>
      <c r="E40" s="51">
        <v>0</v>
      </c>
      <c r="F40" s="51">
        <v>0</v>
      </c>
      <c r="G40" s="51">
        <v>0</v>
      </c>
      <c r="H40" s="51" t="e">
        <v>#DIV/0!</v>
      </c>
      <c r="I40" s="51" t="e">
        <v>#DIV/0!</v>
      </c>
      <c r="J40" s="51">
        <v>0</v>
      </c>
      <c r="K40" s="51" t="e">
        <v>#DIV/0!</v>
      </c>
      <c r="L40" s="51">
        <v>0</v>
      </c>
      <c r="M40" s="51" t="s">
        <v>104</v>
      </c>
      <c r="N40" s="51">
        <v>8</v>
      </c>
      <c r="O40" s="51">
        <v>0</v>
      </c>
      <c r="P40" s="51">
        <v>0</v>
      </c>
      <c r="Q40" s="51" t="e">
        <v>#DIV/0!</v>
      </c>
      <c r="R40" s="55">
        <v>0</v>
      </c>
      <c r="S40" s="53" t="s">
        <v>34</v>
      </c>
      <c r="T40" s="54" t="s">
        <v>34</v>
      </c>
      <c r="U40" s="55">
        <v>0</v>
      </c>
      <c r="V40" s="55">
        <v>0</v>
      </c>
      <c r="W40" s="55">
        <v>0</v>
      </c>
      <c r="X40" s="55">
        <v>0</v>
      </c>
      <c r="Y40" s="55" t="e">
        <v>#N/A</v>
      </c>
      <c r="Z40" s="56" t="e">
        <v>#N/A</v>
      </c>
      <c r="AA40" s="55" t="e">
        <v>#N/A</v>
      </c>
      <c r="AB40" s="55">
        <v>0</v>
      </c>
      <c r="AC40" s="55">
        <v>0</v>
      </c>
      <c r="AD40" s="55">
        <v>-5.8469091880341875</v>
      </c>
      <c r="AE40" s="55">
        <v>0</v>
      </c>
      <c r="AF40" s="55" t="e">
        <v>#N/A</v>
      </c>
    </row>
    <row r="41" spans="1:32" s="57" customFormat="1" ht="15.75" customHeight="1">
      <c r="A41" s="2" t="s">
        <v>105</v>
      </c>
      <c r="B41" s="2"/>
      <c r="C41" s="51" t="str">
        <f t="shared" ref="C41:C56" si="36">IFERROR(F41/D41," - ")</f>
        <v xml:space="preserve"> - </v>
      </c>
      <c r="D41" s="51">
        <v>0</v>
      </c>
      <c r="E41" s="51">
        <v>0</v>
      </c>
      <c r="F41" s="51">
        <v>0</v>
      </c>
      <c r="G41" s="51">
        <v>0</v>
      </c>
      <c r="H41" s="51" t="e">
        <f t="shared" ref="H41:H56" si="37">G41/F41*-1</f>
        <v>#DIV/0!</v>
      </c>
      <c r="I41" s="51" t="e">
        <f t="shared" ref="I41:I56" si="38">J41/F41</f>
        <v>#DIV/0!</v>
      </c>
      <c r="J41" s="51">
        <f t="shared" ref="J41:J48" si="39">F41*0.85+G41+AD41*D41+D41*AC41+AE42+AB41</f>
        <v>0</v>
      </c>
      <c r="K41" s="51" t="e">
        <f t="shared" ref="K41:K56" si="40">J41/D41</f>
        <v>#DIV/0!</v>
      </c>
      <c r="L41" s="51">
        <v>0</v>
      </c>
      <c r="M41" s="51" t="str">
        <f t="shared" ref="M41:M56" si="41">IFERROR(D41/L41,"-")</f>
        <v>-</v>
      </c>
      <c r="N41" s="51">
        <v>8</v>
      </c>
      <c r="O41" s="51">
        <f t="shared" ref="O41:P41" si="42">D41/7</f>
        <v>0</v>
      </c>
      <c r="P41" s="51">
        <f t="shared" si="42"/>
        <v>0</v>
      </c>
      <c r="Q41" s="51" t="e">
        <f t="shared" ref="Q41:Q56" si="43">ROUNDDOWN(N41/(O41+P41),0)</f>
        <v>#DIV/0!</v>
      </c>
      <c r="R41" s="55">
        <v>0</v>
      </c>
      <c r="S41" s="53" t="s">
        <v>34</v>
      </c>
      <c r="T41" s="54" t="s">
        <v>34</v>
      </c>
      <c r="U41" s="55">
        <v>0</v>
      </c>
      <c r="V41" s="55">
        <f t="shared" ref="V41:V56" si="44">IFERROR(U41/D41,0)</f>
        <v>0</v>
      </c>
      <c r="W41" s="55">
        <f t="shared" ref="W41:W56" si="45">IFERROR(G41/(U41+X41)*-1,0)</f>
        <v>0</v>
      </c>
      <c r="X41" s="55">
        <v>0</v>
      </c>
      <c r="Y41" s="52" t="e">
        <v>#N/A</v>
      </c>
      <c r="Z41" s="56" t="e">
        <f t="shared" ref="Z41:Z43" si="46">IF(OR(Y41="UsLargeStandardSize",Y41="UsSmallStandardSize"),-0.75,-0.48)</f>
        <v>#N/A</v>
      </c>
      <c r="AA41" s="55" t="e">
        <v>#N/A</v>
      </c>
      <c r="AB41" s="55">
        <f t="shared" ref="AB41:AB56" si="47">IFERROR(Z41*AA41*D41*3,0)</f>
        <v>0</v>
      </c>
      <c r="AC41" s="55">
        <v>0</v>
      </c>
      <c r="AD41" s="55">
        <v>-5.8469091880341875</v>
      </c>
      <c r="AE41" s="55">
        <v>0</v>
      </c>
      <c r="AF41" s="55" t="e">
        <v>#N/A</v>
      </c>
    </row>
    <row r="42" spans="1:32" s="57" customFormat="1" ht="15.75" customHeight="1">
      <c r="A42" s="2" t="s">
        <v>106</v>
      </c>
      <c r="B42" s="2"/>
      <c r="C42" s="51" t="str">
        <f t="shared" si="36"/>
        <v xml:space="preserve"> - </v>
      </c>
      <c r="D42" s="51">
        <v>0</v>
      </c>
      <c r="E42" s="51">
        <v>0</v>
      </c>
      <c r="F42" s="51">
        <v>0</v>
      </c>
      <c r="G42" s="51">
        <v>0</v>
      </c>
      <c r="H42" s="51" t="e">
        <f t="shared" si="37"/>
        <v>#DIV/0!</v>
      </c>
      <c r="I42" s="51" t="e">
        <f t="shared" si="38"/>
        <v>#DIV/0!</v>
      </c>
      <c r="J42" s="51">
        <f t="shared" si="39"/>
        <v>0</v>
      </c>
      <c r="K42" s="51" t="e">
        <f t="shared" si="40"/>
        <v>#DIV/0!</v>
      </c>
      <c r="L42" s="51">
        <v>0</v>
      </c>
      <c r="M42" s="51" t="str">
        <f t="shared" si="41"/>
        <v>-</v>
      </c>
      <c r="N42" s="51">
        <v>8</v>
      </c>
      <c r="O42" s="51">
        <f t="shared" ref="O42:P42" si="48">D42/7</f>
        <v>0</v>
      </c>
      <c r="P42" s="51">
        <f t="shared" si="48"/>
        <v>0</v>
      </c>
      <c r="Q42" s="51" t="e">
        <f t="shared" si="43"/>
        <v>#DIV/0!</v>
      </c>
      <c r="R42" s="55">
        <f ca="1">IFERROR(__xludf.DUMMYFUNCTION("IFERROR(VLOOKUP($B$2,IMPORTRANGE(""https://docs.google.com/spreadsheets/d/1iVgg6Mw12RULLujzHmfOFIY8Q_KaAD8anoZzgtVAQ74/edit#gid=1503384807"",""Second Star - Summary!A1:AD2000""),9,FALSE),"""")"),1005)</f>
        <v>1005</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0</v>
      </c>
      <c r="V42" s="55">
        <f t="shared" si="44"/>
        <v>0</v>
      </c>
      <c r="W42" s="55">
        <f t="shared" si="45"/>
        <v>0</v>
      </c>
      <c r="X42" s="55">
        <v>0</v>
      </c>
      <c r="Y42" s="55" t="e">
        <v>#N/A</v>
      </c>
      <c r="Z42" s="56" t="e">
        <f t="shared" si="46"/>
        <v>#N/A</v>
      </c>
      <c r="AA42" s="55" t="e">
        <v>#N/A</v>
      </c>
      <c r="AB42" s="55">
        <f t="shared" si="47"/>
        <v>0</v>
      </c>
      <c r="AC42" s="55">
        <v>0</v>
      </c>
      <c r="AD42" s="55">
        <v>-5.8469091880341875</v>
      </c>
      <c r="AE42" s="55">
        <v>0</v>
      </c>
      <c r="AF42" s="55" t="e">
        <v>#N/A</v>
      </c>
    </row>
    <row r="43" spans="1:32" s="57" customFormat="1" ht="15.75" customHeight="1">
      <c r="A43" s="2" t="s">
        <v>107</v>
      </c>
      <c r="B43" s="2"/>
      <c r="C43" s="51" t="str">
        <f t="shared" si="36"/>
        <v xml:space="preserve"> - </v>
      </c>
      <c r="D43" s="51">
        <v>0</v>
      </c>
      <c r="E43" s="51">
        <v>0</v>
      </c>
      <c r="F43" s="51">
        <v>0</v>
      </c>
      <c r="G43" s="51">
        <v>0</v>
      </c>
      <c r="H43" s="51" t="e">
        <f t="shared" si="37"/>
        <v>#DIV/0!</v>
      </c>
      <c r="I43" s="51" t="e">
        <f t="shared" si="38"/>
        <v>#DIV/0!</v>
      </c>
      <c r="J43" s="51">
        <f t="shared" si="39"/>
        <v>0</v>
      </c>
      <c r="K43" s="51" t="e">
        <f t="shared" si="40"/>
        <v>#DIV/0!</v>
      </c>
      <c r="L43" s="51">
        <v>0</v>
      </c>
      <c r="M43" s="51" t="str">
        <f t="shared" si="41"/>
        <v>-</v>
      </c>
      <c r="N43" s="51">
        <v>8</v>
      </c>
      <c r="O43" s="51">
        <f t="shared" ref="O43:P43" si="49">D43/7</f>
        <v>0</v>
      </c>
      <c r="P43" s="51">
        <f t="shared" si="49"/>
        <v>0</v>
      </c>
      <c r="Q43" s="51" t="e">
        <f t="shared" si="43"/>
        <v>#DIV/0!</v>
      </c>
      <c r="R43" s="55">
        <v>0</v>
      </c>
      <c r="S43" s="53" t="s">
        <v>34</v>
      </c>
      <c r="T43" s="54" t="s">
        <v>34</v>
      </c>
      <c r="U43" s="55">
        <v>0</v>
      </c>
      <c r="V43" s="55">
        <f t="shared" si="44"/>
        <v>0</v>
      </c>
      <c r="W43" s="55">
        <f t="shared" si="45"/>
        <v>0</v>
      </c>
      <c r="X43" s="55">
        <v>0</v>
      </c>
      <c r="Y43" s="55" t="e">
        <v>#N/A</v>
      </c>
      <c r="Z43" s="56" t="e">
        <f t="shared" si="46"/>
        <v>#N/A</v>
      </c>
      <c r="AA43" s="55" t="e">
        <v>#N/A</v>
      </c>
      <c r="AB43" s="55">
        <f t="shared" si="47"/>
        <v>0</v>
      </c>
      <c r="AC43" s="55">
        <v>0</v>
      </c>
      <c r="AD43" s="55">
        <v>-5.8469091880341875</v>
      </c>
      <c r="AE43" s="55">
        <v>0</v>
      </c>
      <c r="AF43" s="55" t="e">
        <v>#N/A</v>
      </c>
    </row>
    <row r="44" spans="1:32" s="57" customFormat="1" ht="15.75" customHeight="1">
      <c r="A44" s="2" t="s">
        <v>108</v>
      </c>
      <c r="B44" s="2"/>
      <c r="C44" s="51" t="str">
        <f t="shared" si="36"/>
        <v xml:space="preserve"> - </v>
      </c>
      <c r="D44" s="51">
        <v>0</v>
      </c>
      <c r="E44" s="51">
        <v>0</v>
      </c>
      <c r="F44" s="51">
        <v>0</v>
      </c>
      <c r="G44" s="51">
        <v>0</v>
      </c>
      <c r="H44" s="51" t="e">
        <f t="shared" si="37"/>
        <v>#DIV/0!</v>
      </c>
      <c r="I44" s="51" t="e">
        <f t="shared" si="38"/>
        <v>#DIV/0!</v>
      </c>
      <c r="J44" s="51">
        <f t="shared" si="39"/>
        <v>0</v>
      </c>
      <c r="K44" s="51" t="e">
        <f t="shared" si="40"/>
        <v>#DIV/0!</v>
      </c>
      <c r="L44" s="51">
        <v>0</v>
      </c>
      <c r="M44" s="51" t="str">
        <f t="shared" si="41"/>
        <v>-</v>
      </c>
      <c r="N44" s="51">
        <v>8</v>
      </c>
      <c r="O44" s="51">
        <f t="shared" ref="O44:P44" si="50">D44/7</f>
        <v>0</v>
      </c>
      <c r="P44" s="51">
        <f t="shared" si="50"/>
        <v>0</v>
      </c>
      <c r="Q44" s="51" t="e">
        <f t="shared" si="43"/>
        <v>#DIV/0!</v>
      </c>
      <c r="R44" s="55">
        <v>0</v>
      </c>
      <c r="S44" s="53" t="s">
        <v>34</v>
      </c>
      <c r="T44" s="54" t="s">
        <v>34</v>
      </c>
      <c r="U44" s="55">
        <v>0</v>
      </c>
      <c r="V44" s="55">
        <f t="shared" si="44"/>
        <v>0</v>
      </c>
      <c r="W44" s="55">
        <f t="shared" si="45"/>
        <v>0</v>
      </c>
      <c r="X44" s="55">
        <v>0</v>
      </c>
      <c r="Y44" s="55" t="e">
        <v>#N/A</v>
      </c>
      <c r="Z44" s="56" t="e">
        <f t="shared" ref="Z44:Z56" si="51">IF(OR(Y44="UsLargeStandardSize",Y44="UsSmallStandardSize"),-2.4,-1.2)</f>
        <v>#N/A</v>
      </c>
      <c r="AA44" s="55" t="e">
        <v>#N/A</v>
      </c>
      <c r="AB44" s="55">
        <f t="shared" si="47"/>
        <v>0</v>
      </c>
      <c r="AC44" s="55">
        <v>0</v>
      </c>
      <c r="AD44" s="55">
        <v>-5.8469091880341875</v>
      </c>
      <c r="AE44" s="55">
        <v>0</v>
      </c>
      <c r="AF44" s="55" t="e">
        <v>#N/A</v>
      </c>
    </row>
    <row r="45" spans="1:32" s="57" customFormat="1" ht="15.75" customHeight="1">
      <c r="A45" s="2" t="s">
        <v>109</v>
      </c>
      <c r="B45" s="2"/>
      <c r="C45" s="51" t="str">
        <f t="shared" si="36"/>
        <v xml:space="preserve"> - </v>
      </c>
      <c r="D45" s="51">
        <v>0</v>
      </c>
      <c r="E45" s="51">
        <v>0</v>
      </c>
      <c r="F45" s="51">
        <v>0</v>
      </c>
      <c r="G45" s="51">
        <v>0</v>
      </c>
      <c r="H45" s="51" t="e">
        <f t="shared" si="37"/>
        <v>#DIV/0!</v>
      </c>
      <c r="I45" s="51" t="e">
        <f t="shared" si="38"/>
        <v>#DIV/0!</v>
      </c>
      <c r="J45" s="51">
        <f t="shared" si="39"/>
        <v>0</v>
      </c>
      <c r="K45" s="51" t="e">
        <f t="shared" si="40"/>
        <v>#DIV/0!</v>
      </c>
      <c r="L45" s="51">
        <v>0</v>
      </c>
      <c r="M45" s="51" t="str">
        <f t="shared" si="41"/>
        <v>-</v>
      </c>
      <c r="N45" s="51">
        <v>8</v>
      </c>
      <c r="O45" s="51">
        <f t="shared" ref="O45:P45" si="52">D45/7</f>
        <v>0</v>
      </c>
      <c r="P45" s="51">
        <f t="shared" si="52"/>
        <v>0</v>
      </c>
      <c r="Q45" s="51" t="e">
        <f t="shared" si="43"/>
        <v>#DIV/0!</v>
      </c>
      <c r="R45" s="55">
        <v>0</v>
      </c>
      <c r="S45" s="53" t="s">
        <v>34</v>
      </c>
      <c r="T45" s="54" t="s">
        <v>34</v>
      </c>
      <c r="U45" s="55">
        <v>0</v>
      </c>
      <c r="V45" s="55">
        <f t="shared" si="44"/>
        <v>0</v>
      </c>
      <c r="W45" s="55">
        <f t="shared" si="45"/>
        <v>0</v>
      </c>
      <c r="X45" s="55">
        <v>0</v>
      </c>
      <c r="Y45" s="55" t="e">
        <v>#N/A</v>
      </c>
      <c r="Z45" s="56" t="e">
        <f t="shared" si="51"/>
        <v>#N/A</v>
      </c>
      <c r="AA45" s="55" t="e">
        <v>#N/A</v>
      </c>
      <c r="AB45" s="55">
        <f t="shared" si="47"/>
        <v>0</v>
      </c>
      <c r="AC45" s="55">
        <v>0</v>
      </c>
      <c r="AD45" s="55">
        <v>-5.8469091880341875</v>
      </c>
      <c r="AE45" s="55">
        <v>0</v>
      </c>
      <c r="AF45" s="55" t="e">
        <v>#N/A</v>
      </c>
    </row>
    <row r="46" spans="1:32" s="57" customFormat="1" ht="15.75" customHeight="1">
      <c r="A46" s="2" t="s">
        <v>111</v>
      </c>
      <c r="B46" s="2"/>
      <c r="C46" s="51" t="str">
        <f t="shared" si="36"/>
        <v xml:space="preserve"> - </v>
      </c>
      <c r="D46" s="51">
        <v>0</v>
      </c>
      <c r="E46" s="51">
        <v>0</v>
      </c>
      <c r="F46" s="51">
        <v>0</v>
      </c>
      <c r="G46" s="51">
        <v>0</v>
      </c>
      <c r="H46" s="51" t="e">
        <f t="shared" si="37"/>
        <v>#DIV/0!</v>
      </c>
      <c r="I46" s="51" t="e">
        <f t="shared" si="38"/>
        <v>#DIV/0!</v>
      </c>
      <c r="J46" s="51">
        <f t="shared" si="39"/>
        <v>0</v>
      </c>
      <c r="K46" s="51" t="e">
        <f t="shared" si="40"/>
        <v>#DIV/0!</v>
      </c>
      <c r="L46" s="51">
        <v>0</v>
      </c>
      <c r="M46" s="51" t="str">
        <f t="shared" si="41"/>
        <v>-</v>
      </c>
      <c r="N46" s="51">
        <v>8</v>
      </c>
      <c r="O46" s="51">
        <f t="shared" ref="O46:P46" si="53">D46/7</f>
        <v>0</v>
      </c>
      <c r="P46" s="51">
        <f t="shared" si="53"/>
        <v>0</v>
      </c>
      <c r="Q46" s="51" t="e">
        <f t="shared" si="43"/>
        <v>#DIV/0!</v>
      </c>
      <c r="R46" s="55">
        <v>0</v>
      </c>
      <c r="S46" s="53" t="s">
        <v>34</v>
      </c>
      <c r="T46" s="54" t="s">
        <v>34</v>
      </c>
      <c r="U46" s="55">
        <v>0</v>
      </c>
      <c r="V46" s="55">
        <f t="shared" si="44"/>
        <v>0</v>
      </c>
      <c r="W46" s="55">
        <f t="shared" si="45"/>
        <v>0</v>
      </c>
      <c r="X46" s="55">
        <v>0</v>
      </c>
      <c r="Y46" s="55" t="e">
        <v>#N/A</v>
      </c>
      <c r="Z46" s="56" t="e">
        <f t="shared" si="51"/>
        <v>#N/A</v>
      </c>
      <c r="AA46" s="55" t="e">
        <v>#N/A</v>
      </c>
      <c r="AB46" s="55">
        <f t="shared" si="47"/>
        <v>0</v>
      </c>
      <c r="AC46" s="55">
        <v>0</v>
      </c>
      <c r="AD46" s="55">
        <v>-5.8469091880341875</v>
      </c>
      <c r="AE46" s="55">
        <v>0</v>
      </c>
      <c r="AF46" s="55" t="e">
        <v>#N/A</v>
      </c>
    </row>
    <row r="47" spans="1:32" s="57" customFormat="1" ht="15.75" customHeight="1">
      <c r="A47" s="2" t="s">
        <v>113</v>
      </c>
      <c r="B47" s="2"/>
      <c r="C47" s="51" t="str">
        <f t="shared" si="36"/>
        <v xml:space="preserve"> - </v>
      </c>
      <c r="D47" s="51">
        <v>0</v>
      </c>
      <c r="E47" s="51">
        <v>0</v>
      </c>
      <c r="F47" s="51">
        <v>0</v>
      </c>
      <c r="G47" s="51">
        <v>0</v>
      </c>
      <c r="H47" s="51" t="e">
        <f t="shared" si="37"/>
        <v>#DIV/0!</v>
      </c>
      <c r="I47" s="51" t="e">
        <f t="shared" si="38"/>
        <v>#DIV/0!</v>
      </c>
      <c r="J47" s="51">
        <f t="shared" si="39"/>
        <v>0</v>
      </c>
      <c r="K47" s="51" t="e">
        <f t="shared" si="40"/>
        <v>#DIV/0!</v>
      </c>
      <c r="L47" s="51">
        <v>0</v>
      </c>
      <c r="M47" s="51" t="str">
        <f t="shared" si="41"/>
        <v>-</v>
      </c>
      <c r="N47" s="51">
        <v>8</v>
      </c>
      <c r="O47" s="51">
        <f t="shared" ref="O47:P47" si="54">D47/7</f>
        <v>0</v>
      </c>
      <c r="P47" s="51">
        <f t="shared" si="54"/>
        <v>0</v>
      </c>
      <c r="Q47" s="51" t="e">
        <f t="shared" si="43"/>
        <v>#DIV/0!</v>
      </c>
      <c r="R47" s="55">
        <v>0</v>
      </c>
      <c r="S47" s="53" t="s">
        <v>34</v>
      </c>
      <c r="T47" s="54" t="s">
        <v>34</v>
      </c>
      <c r="U47" s="55">
        <v>0</v>
      </c>
      <c r="V47" s="55">
        <f t="shared" si="44"/>
        <v>0</v>
      </c>
      <c r="W47" s="55">
        <f t="shared" si="45"/>
        <v>0</v>
      </c>
      <c r="X47" s="55">
        <v>0</v>
      </c>
      <c r="Y47" s="55" t="e">
        <v>#N/A</v>
      </c>
      <c r="Z47" s="56" t="e">
        <f t="shared" si="51"/>
        <v>#N/A</v>
      </c>
      <c r="AA47" s="55" t="e">
        <v>#N/A</v>
      </c>
      <c r="AB47" s="55">
        <f t="shared" si="47"/>
        <v>0</v>
      </c>
      <c r="AC47" s="55">
        <v>0</v>
      </c>
      <c r="AD47" s="55">
        <v>-5.8469091880341875</v>
      </c>
      <c r="AE47" s="55">
        <v>0</v>
      </c>
      <c r="AF47" s="55">
        <v>0</v>
      </c>
    </row>
    <row r="48" spans="1:32" s="57" customFormat="1" ht="15.75" customHeight="1">
      <c r="A48" s="2" t="s">
        <v>115</v>
      </c>
      <c r="B48" s="2"/>
      <c r="C48" s="51" t="str">
        <f t="shared" si="36"/>
        <v xml:space="preserve"> - </v>
      </c>
      <c r="D48" s="51">
        <v>0</v>
      </c>
      <c r="E48" s="51">
        <v>0</v>
      </c>
      <c r="F48" s="51">
        <v>0</v>
      </c>
      <c r="G48" s="51">
        <v>0</v>
      </c>
      <c r="H48" s="51" t="e">
        <f t="shared" si="37"/>
        <v>#DIV/0!</v>
      </c>
      <c r="I48" s="51" t="e">
        <f t="shared" si="38"/>
        <v>#DIV/0!</v>
      </c>
      <c r="J48" s="51">
        <f t="shared" si="39"/>
        <v>0</v>
      </c>
      <c r="K48" s="51" t="e">
        <f t="shared" si="40"/>
        <v>#DIV/0!</v>
      </c>
      <c r="L48" s="51">
        <v>0</v>
      </c>
      <c r="M48" s="51" t="str">
        <f t="shared" si="41"/>
        <v>-</v>
      </c>
      <c r="N48" s="51">
        <v>8</v>
      </c>
      <c r="O48" s="51">
        <f t="shared" ref="O48:P48" si="55">D48/7</f>
        <v>0</v>
      </c>
      <c r="P48" s="51">
        <f t="shared" si="55"/>
        <v>0</v>
      </c>
      <c r="Q48" s="51" t="e">
        <f t="shared" si="43"/>
        <v>#DIV/0!</v>
      </c>
      <c r="R48" s="55">
        <f ca="1">IFERROR(__xludf.DUMMYFUNCTION("IFERROR(VLOOKUP($B$2,IMPORTRANGE(""https://docs.google.com/spreadsheets/d/1iVgg6Mw12RULLujzHmfOFIY8Q_KaAD8anoZzgtVAQ74/edit#gid=1503384807"",""Second Star - Summary!A1:AD2000""),9,FALSE),"""")"),1005)</f>
        <v>1005</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si="44"/>
        <v>0</v>
      </c>
      <c r="W48" s="55">
        <f t="shared" si="45"/>
        <v>0</v>
      </c>
      <c r="X48" s="55">
        <v>0</v>
      </c>
      <c r="Y48" s="55" t="e">
        <v>#N/A</v>
      </c>
      <c r="Z48" s="56" t="e">
        <f t="shared" si="51"/>
        <v>#N/A</v>
      </c>
      <c r="AA48" s="55" t="e">
        <v>#N/A</v>
      </c>
      <c r="AB48" s="55">
        <f t="shared" si="47"/>
        <v>0</v>
      </c>
      <c r="AC48" s="55">
        <v>0</v>
      </c>
      <c r="AD48" s="55">
        <v>-5.8469091880341875</v>
      </c>
      <c r="AE48" s="55">
        <v>0</v>
      </c>
      <c r="AF48" s="55">
        <v>0</v>
      </c>
    </row>
    <row r="49" spans="1:32" s="57" customFormat="1" ht="15.75" customHeight="1">
      <c r="A49" s="2" t="s">
        <v>117</v>
      </c>
      <c r="B49" s="2"/>
      <c r="C49" s="51" t="str">
        <f t="shared" si="36"/>
        <v xml:space="preserve"> - </v>
      </c>
      <c r="D49" s="51">
        <v>0</v>
      </c>
      <c r="E49" s="51">
        <v>0</v>
      </c>
      <c r="F49" s="51">
        <v>0</v>
      </c>
      <c r="G49" s="51">
        <v>0</v>
      </c>
      <c r="H49" s="51" t="e">
        <f t="shared" si="37"/>
        <v>#DIV/0!</v>
      </c>
      <c r="I49" s="51" t="e">
        <f t="shared" si="38"/>
        <v>#DIV/0!</v>
      </c>
      <c r="J49" s="51">
        <f t="shared" ref="J49:J56" si="56">F49*0.85+G49+AD49*D49+D49*AC49+AE49+AB49</f>
        <v>0</v>
      </c>
      <c r="K49" s="51" t="e">
        <f t="shared" si="40"/>
        <v>#DIV/0!</v>
      </c>
      <c r="L49" s="51">
        <v>0</v>
      </c>
      <c r="M49" s="51" t="str">
        <f t="shared" si="41"/>
        <v>-</v>
      </c>
      <c r="N49" s="51">
        <v>8</v>
      </c>
      <c r="O49" s="51">
        <f t="shared" ref="O49:P49" si="57">D49/7</f>
        <v>0</v>
      </c>
      <c r="P49" s="51">
        <f t="shared" si="57"/>
        <v>0</v>
      </c>
      <c r="Q49" s="51" t="e">
        <f t="shared" si="43"/>
        <v>#DIV/0!</v>
      </c>
      <c r="R49" s="55">
        <f ca="1">IFERROR(__xludf.DUMMYFUNCTION("IFERROR(VLOOKUP($B$2,IMPORTRANGE(""https://docs.google.com/spreadsheets/d/1iVgg6Mw12RULLujzHmfOFIY8Q_KaAD8anoZzgtVAQ74/edit#gid=1503384807"",""Second Star - Summary!A1:AD2000""),9,FALSE),"""")"),1005)</f>
        <v>1005</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44"/>
        <v>0</v>
      </c>
      <c r="W49" s="55">
        <f t="shared" si="45"/>
        <v>0</v>
      </c>
      <c r="X49" s="55">
        <v>0</v>
      </c>
      <c r="Y49" s="55" t="s">
        <v>35</v>
      </c>
      <c r="Z49" s="56">
        <f t="shared" si="51"/>
        <v>-2.4</v>
      </c>
      <c r="AA49" s="55">
        <v>0.15375</v>
      </c>
      <c r="AB49" s="55">
        <f t="shared" si="47"/>
        <v>0</v>
      </c>
      <c r="AC49" s="55">
        <v>-5.42</v>
      </c>
      <c r="AD49" s="55">
        <v>-5.8469091880341875</v>
      </c>
      <c r="AE49" s="55">
        <v>0</v>
      </c>
      <c r="AF49" s="55">
        <v>0</v>
      </c>
    </row>
    <row r="50" spans="1:32" s="57" customFormat="1" ht="15.75" customHeight="1">
      <c r="A50" s="2" t="s">
        <v>119</v>
      </c>
      <c r="B50" s="2"/>
      <c r="C50" s="51" t="str">
        <f t="shared" si="36"/>
        <v xml:space="preserve"> - </v>
      </c>
      <c r="D50" s="51">
        <v>0</v>
      </c>
      <c r="E50" s="51">
        <v>0</v>
      </c>
      <c r="F50" s="51">
        <v>0</v>
      </c>
      <c r="G50" s="51">
        <v>-0.02</v>
      </c>
      <c r="H50" s="51" t="e">
        <f t="shared" si="37"/>
        <v>#DIV/0!</v>
      </c>
      <c r="I50" s="51" t="e">
        <f t="shared" si="38"/>
        <v>#DIV/0!</v>
      </c>
      <c r="J50" s="51">
        <f t="shared" si="56"/>
        <v>-0.02</v>
      </c>
      <c r="K50" s="51" t="e">
        <f t="shared" si="40"/>
        <v>#DIV/0!</v>
      </c>
      <c r="L50" s="51">
        <v>0</v>
      </c>
      <c r="M50" s="51" t="str">
        <f t="shared" si="41"/>
        <v>-</v>
      </c>
      <c r="N50" s="51">
        <v>8</v>
      </c>
      <c r="O50" s="51">
        <f t="shared" ref="O50:P50" si="58">D50/7</f>
        <v>0</v>
      </c>
      <c r="P50" s="51">
        <f t="shared" si="58"/>
        <v>0</v>
      </c>
      <c r="Q50" s="51" t="e">
        <f t="shared" si="43"/>
        <v>#DIV/0!</v>
      </c>
      <c r="R50" s="55">
        <f ca="1">IFERROR(__xludf.DUMMYFUNCTION("IFERROR(VLOOKUP($B$2,IMPORTRANGE(""https://docs.google.com/spreadsheets/d/1iVgg6Mw12RULLujzHmfOFIY8Q_KaAD8anoZzgtVAQ74/edit#gid=1503384807"",""Second Star - Summary!A1:AD2000""),9,FALSE),"""")"),1005)</f>
        <v>1005</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44"/>
        <v>0</v>
      </c>
      <c r="W50" s="55">
        <f t="shared" si="45"/>
        <v>0</v>
      </c>
      <c r="X50" s="55">
        <v>0</v>
      </c>
      <c r="Y50" s="55" t="s">
        <v>35</v>
      </c>
      <c r="Z50" s="56">
        <f t="shared" si="51"/>
        <v>-2.4</v>
      </c>
      <c r="AA50" s="55">
        <v>0.15375</v>
      </c>
      <c r="AB50" s="55">
        <f t="shared" si="47"/>
        <v>0</v>
      </c>
      <c r="AC50" s="55">
        <v>-5.42</v>
      </c>
      <c r="AD50" s="55">
        <v>-5.8469091880341875</v>
      </c>
      <c r="AE50" s="55">
        <v>0</v>
      </c>
      <c r="AF50" s="55">
        <v>0</v>
      </c>
    </row>
    <row r="51" spans="1:32" s="57" customFormat="1" ht="15.75" customHeight="1">
      <c r="A51" s="2" t="s">
        <v>121</v>
      </c>
      <c r="B51" s="2"/>
      <c r="C51" s="51">
        <f t="shared" si="36"/>
        <v>27.98</v>
      </c>
      <c r="D51" s="51">
        <v>2</v>
      </c>
      <c r="E51" s="51">
        <v>0</v>
      </c>
      <c r="F51" s="51">
        <v>55.96</v>
      </c>
      <c r="G51" s="51">
        <v>0</v>
      </c>
      <c r="H51" s="51">
        <f t="shared" si="37"/>
        <v>0</v>
      </c>
      <c r="I51" s="51">
        <f t="shared" si="38"/>
        <v>0.40775878527397474</v>
      </c>
      <c r="J51" s="51">
        <f t="shared" si="56"/>
        <v>22.818181623931626</v>
      </c>
      <c r="K51" s="51">
        <f t="shared" si="40"/>
        <v>11.409090811965813</v>
      </c>
      <c r="L51" s="51">
        <v>13</v>
      </c>
      <c r="M51" s="51">
        <f t="shared" si="41"/>
        <v>0.15384615384615385</v>
      </c>
      <c r="N51" s="51">
        <v>6</v>
      </c>
      <c r="O51" s="51">
        <f t="shared" ref="O51:P51" si="59">D51/7</f>
        <v>0.2857142857142857</v>
      </c>
      <c r="P51" s="51">
        <f t="shared" si="59"/>
        <v>0</v>
      </c>
      <c r="Q51" s="51">
        <f t="shared" si="43"/>
        <v>21</v>
      </c>
      <c r="R51" s="55">
        <f ca="1">IFERROR(__xludf.DUMMYFUNCTION("IFERROR(VLOOKUP($B$2,IMPORTRANGE(""https://docs.google.com/spreadsheets/d/1iVgg6Mw12RULLujzHmfOFIY8Q_KaAD8anoZzgtVAQ74/edit#gid=1503384807"",""Second Star - Summary!A1:AD2000""),9,FALSE),"""")"),1005)</f>
        <v>1005</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44"/>
        <v>0</v>
      </c>
      <c r="W51" s="55">
        <f t="shared" si="45"/>
        <v>0</v>
      </c>
      <c r="X51" s="55">
        <v>0</v>
      </c>
      <c r="Y51" s="55" t="s">
        <v>35</v>
      </c>
      <c r="Z51" s="56">
        <f t="shared" si="51"/>
        <v>-2.4</v>
      </c>
      <c r="AA51" s="55">
        <v>0.15375</v>
      </c>
      <c r="AB51" s="55">
        <f t="shared" si="47"/>
        <v>-2.214</v>
      </c>
      <c r="AC51" s="55">
        <v>-5.42</v>
      </c>
      <c r="AD51" s="55">
        <v>-5.8469091880341875</v>
      </c>
      <c r="AE51" s="55">
        <v>0</v>
      </c>
      <c r="AF51" s="55" t="e">
        <v>#N/A</v>
      </c>
    </row>
    <row r="52" spans="1:32" s="57" customFormat="1" ht="15.75" customHeight="1">
      <c r="A52" s="2" t="s">
        <v>123</v>
      </c>
      <c r="B52" s="2"/>
      <c r="C52" s="51" t="str">
        <f t="shared" si="36"/>
        <v xml:space="preserve"> - </v>
      </c>
      <c r="D52" s="51">
        <v>0</v>
      </c>
      <c r="E52" s="51">
        <v>0</v>
      </c>
      <c r="F52" s="51">
        <v>0</v>
      </c>
      <c r="G52" s="51">
        <v>0</v>
      </c>
      <c r="H52" s="51" t="e">
        <f t="shared" si="37"/>
        <v>#DIV/0!</v>
      </c>
      <c r="I52" s="51" t="e">
        <f t="shared" si="38"/>
        <v>#DIV/0!</v>
      </c>
      <c r="J52" s="51">
        <f t="shared" si="56"/>
        <v>0</v>
      </c>
      <c r="K52" s="51" t="e">
        <f t="shared" si="40"/>
        <v>#DIV/0!</v>
      </c>
      <c r="L52" s="51">
        <v>0</v>
      </c>
      <c r="M52" s="51" t="str">
        <f t="shared" si="41"/>
        <v>-</v>
      </c>
      <c r="N52" s="51">
        <v>6</v>
      </c>
      <c r="O52" s="51">
        <f t="shared" ref="O52:P52" si="60">D52/7</f>
        <v>0</v>
      </c>
      <c r="P52" s="51">
        <f t="shared" si="60"/>
        <v>0</v>
      </c>
      <c r="Q52" s="51" t="e">
        <f t="shared" si="43"/>
        <v>#DIV/0!</v>
      </c>
      <c r="R52" s="55">
        <f ca="1">IFERROR(__xludf.DUMMYFUNCTION("IFERROR(VLOOKUP($B$2,IMPORTRANGE(""https://docs.google.com/spreadsheets/d/1iVgg6Mw12RULLujzHmfOFIY8Q_KaAD8anoZzgtVAQ74/edit#gid=1503384807"",""Second Star - Summary!A1:AD2000""),9,FALSE),"""")"),1005)</f>
        <v>1005</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44"/>
        <v>0</v>
      </c>
      <c r="W52" s="55">
        <f t="shared" si="45"/>
        <v>0</v>
      </c>
      <c r="X52" s="55">
        <v>0</v>
      </c>
      <c r="Y52" s="55" t="e">
        <v>#N/A</v>
      </c>
      <c r="Z52" s="56" t="e">
        <f t="shared" si="51"/>
        <v>#N/A</v>
      </c>
      <c r="AA52" s="55" t="e">
        <v>#N/A</v>
      </c>
      <c r="AB52" s="55">
        <f t="shared" si="47"/>
        <v>0</v>
      </c>
      <c r="AC52" s="55">
        <v>0</v>
      </c>
      <c r="AD52" s="55">
        <v>-5.8469091880341804</v>
      </c>
      <c r="AE52" s="55">
        <v>0</v>
      </c>
      <c r="AF52" s="55">
        <v>0</v>
      </c>
    </row>
    <row r="53" spans="1:32" s="57" customFormat="1">
      <c r="A53" s="2" t="s">
        <v>38</v>
      </c>
      <c r="B53" s="2"/>
      <c r="C53" s="51" t="str">
        <f t="shared" si="36"/>
        <v xml:space="preserve"> - </v>
      </c>
      <c r="D53" s="51">
        <v>0</v>
      </c>
      <c r="E53" s="51">
        <v>0</v>
      </c>
      <c r="F53" s="51">
        <v>0</v>
      </c>
      <c r="G53" s="51">
        <v>0</v>
      </c>
      <c r="H53" s="51" t="e">
        <f t="shared" si="37"/>
        <v>#DIV/0!</v>
      </c>
      <c r="I53" s="51" t="e">
        <f t="shared" si="38"/>
        <v>#DIV/0!</v>
      </c>
      <c r="J53" s="51">
        <f t="shared" si="56"/>
        <v>0</v>
      </c>
      <c r="K53" s="51" t="e">
        <f t="shared" si="40"/>
        <v>#DIV/0!</v>
      </c>
      <c r="L53" s="51">
        <v>0</v>
      </c>
      <c r="M53" s="51" t="str">
        <f t="shared" si="41"/>
        <v>-</v>
      </c>
      <c r="N53" s="51">
        <v>6</v>
      </c>
      <c r="O53" s="51">
        <f t="shared" ref="O53:P53" si="61">D53/7</f>
        <v>0</v>
      </c>
      <c r="P53" s="51">
        <f t="shared" si="61"/>
        <v>0</v>
      </c>
      <c r="Q53" s="51" t="e">
        <f t="shared" si="43"/>
        <v>#DIV/0!</v>
      </c>
      <c r="R53" s="55">
        <f ca="1">IFERROR(__xludf.DUMMYFUNCTION("IFERROR(VLOOKUP($B$2,IMPORTRANGE(""https://docs.google.com/spreadsheets/d/1iVgg6Mw12RULLujzHmfOFIY8Q_KaAD8anoZzgtVAQ74/edit#gid=1503384807"",""Second Star - Summary!A1:AD2000""),9,FALSE),"""")"),1005)</f>
        <v>1005</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44"/>
        <v>0</v>
      </c>
      <c r="W53" s="55">
        <f t="shared" si="45"/>
        <v>0</v>
      </c>
      <c r="X53" s="55">
        <v>0</v>
      </c>
      <c r="Y53" s="55" t="e">
        <v>#N/A</v>
      </c>
      <c r="Z53" s="56" t="e">
        <f t="shared" si="51"/>
        <v>#N/A</v>
      </c>
      <c r="AA53" s="55" t="e">
        <v>#N/A</v>
      </c>
      <c r="AB53" s="55">
        <f t="shared" si="47"/>
        <v>0</v>
      </c>
      <c r="AC53" s="55">
        <v>0</v>
      </c>
      <c r="AD53" s="55">
        <v>-5.8469091880341804</v>
      </c>
      <c r="AE53" s="55">
        <v>0</v>
      </c>
      <c r="AF53" s="55">
        <v>0</v>
      </c>
    </row>
    <row r="54" spans="1:32" s="57" customFormat="1">
      <c r="A54" s="2" t="s">
        <v>40</v>
      </c>
      <c r="B54" s="2"/>
      <c r="C54" s="51" t="str">
        <f t="shared" si="36"/>
        <v xml:space="preserve"> - </v>
      </c>
      <c r="D54" s="51">
        <v>0</v>
      </c>
      <c r="E54" s="51">
        <v>0</v>
      </c>
      <c r="F54" s="51">
        <v>0</v>
      </c>
      <c r="G54" s="51">
        <v>0</v>
      </c>
      <c r="H54" s="51" t="e">
        <f t="shared" si="37"/>
        <v>#DIV/0!</v>
      </c>
      <c r="I54" s="51" t="e">
        <f t="shared" si="38"/>
        <v>#DIV/0!</v>
      </c>
      <c r="J54" s="51">
        <f t="shared" si="56"/>
        <v>0</v>
      </c>
      <c r="K54" s="51" t="e">
        <f t="shared" si="40"/>
        <v>#DIV/0!</v>
      </c>
      <c r="L54" s="51">
        <v>0</v>
      </c>
      <c r="M54" s="51" t="str">
        <f t="shared" si="41"/>
        <v>-</v>
      </c>
      <c r="N54" s="51">
        <v>6</v>
      </c>
      <c r="O54" s="51">
        <f t="shared" ref="O54:P54" si="62">D54/7</f>
        <v>0</v>
      </c>
      <c r="P54" s="51">
        <f t="shared" si="62"/>
        <v>0</v>
      </c>
      <c r="Q54" s="51" t="e">
        <f t="shared" si="43"/>
        <v>#DIV/0!</v>
      </c>
      <c r="R54" s="55">
        <f ca="1">IFERROR(__xludf.DUMMYFUNCTION("IFERROR(VLOOKUP($B$2,IMPORTRANGE(""https://docs.google.com/spreadsheets/d/1iVgg6Mw12RULLujzHmfOFIY8Q_KaAD8anoZzgtVAQ74/edit#gid=1503384807"",""Second Star - Summary!A1:AD2000""),9,FALSE),"""")"),1005)</f>
        <v>1005</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44"/>
        <v>0</v>
      </c>
      <c r="W54" s="55">
        <f t="shared" si="45"/>
        <v>0</v>
      </c>
      <c r="X54" s="55">
        <v>0</v>
      </c>
      <c r="Y54" s="55" t="e">
        <v>#N/A</v>
      </c>
      <c r="Z54" s="56" t="e">
        <f t="shared" si="51"/>
        <v>#N/A</v>
      </c>
      <c r="AA54" s="55" t="e">
        <v>#N/A</v>
      </c>
      <c r="AB54" s="55">
        <f t="shared" si="47"/>
        <v>0</v>
      </c>
      <c r="AC54" s="55">
        <v>0</v>
      </c>
      <c r="AD54" s="55">
        <v>-5.8469091880341804</v>
      </c>
      <c r="AE54" s="55">
        <v>0</v>
      </c>
      <c r="AF54" s="55">
        <v>0</v>
      </c>
    </row>
    <row r="55" spans="1:32" s="57" customFormat="1" ht="15.75" customHeight="1">
      <c r="A55" s="2" t="s">
        <v>32</v>
      </c>
      <c r="B55" s="2"/>
      <c r="C55" s="51" t="str">
        <f t="shared" si="36"/>
        <v xml:space="preserve"> - </v>
      </c>
      <c r="D55" s="51">
        <v>0</v>
      </c>
      <c r="E55" s="51">
        <v>0</v>
      </c>
      <c r="F55" s="51">
        <v>0</v>
      </c>
      <c r="G55" s="51">
        <v>0</v>
      </c>
      <c r="H55" s="51" t="e">
        <f t="shared" si="37"/>
        <v>#DIV/0!</v>
      </c>
      <c r="I55" s="51" t="e">
        <f t="shared" si="38"/>
        <v>#DIV/0!</v>
      </c>
      <c r="J55" s="51">
        <f t="shared" si="56"/>
        <v>0</v>
      </c>
      <c r="K55" s="51" t="e">
        <f t="shared" si="40"/>
        <v>#DIV/0!</v>
      </c>
      <c r="L55" s="51">
        <v>0</v>
      </c>
      <c r="M55" s="51" t="str">
        <f t="shared" si="41"/>
        <v>-</v>
      </c>
      <c r="N55" s="51">
        <v>6</v>
      </c>
      <c r="O55" s="51">
        <f t="shared" ref="O55:P55" si="63">D55/7</f>
        <v>0</v>
      </c>
      <c r="P55" s="51">
        <f t="shared" si="63"/>
        <v>0</v>
      </c>
      <c r="Q55" s="51" t="e">
        <f t="shared" si="43"/>
        <v>#DIV/0!</v>
      </c>
      <c r="R55" s="55">
        <v>1005</v>
      </c>
      <c r="S55" s="53" t="s">
        <v>34</v>
      </c>
      <c r="T55" s="54" t="s">
        <v>34</v>
      </c>
      <c r="U55" s="55">
        <v>0</v>
      </c>
      <c r="V55" s="55">
        <f t="shared" si="44"/>
        <v>0</v>
      </c>
      <c r="W55" s="55">
        <f t="shared" si="45"/>
        <v>0</v>
      </c>
      <c r="X55" s="55">
        <v>0</v>
      </c>
      <c r="Y55" s="55" t="e">
        <v>#N/A</v>
      </c>
      <c r="Z55" s="56" t="e">
        <f t="shared" si="51"/>
        <v>#N/A</v>
      </c>
      <c r="AA55" s="55" t="e">
        <v>#N/A</v>
      </c>
      <c r="AB55" s="55">
        <f t="shared" si="47"/>
        <v>0</v>
      </c>
      <c r="AC55" s="55">
        <v>0</v>
      </c>
      <c r="AD55" s="55">
        <v>-5.8469091880341804</v>
      </c>
      <c r="AE55" s="55">
        <v>0</v>
      </c>
      <c r="AF55" s="55" t="e">
        <v>#N/A</v>
      </c>
    </row>
    <row r="56" spans="1:32" s="57" customFormat="1" ht="15.75" customHeight="1">
      <c r="A56" s="2" t="s">
        <v>36</v>
      </c>
      <c r="B56" s="2"/>
      <c r="C56" s="51" t="str">
        <f t="shared" si="36"/>
        <v xml:space="preserve"> - </v>
      </c>
      <c r="D56" s="51">
        <v>0</v>
      </c>
      <c r="E56" s="51">
        <v>0</v>
      </c>
      <c r="F56" s="51">
        <v>0</v>
      </c>
      <c r="G56" s="51">
        <v>0</v>
      </c>
      <c r="H56" s="51" t="e">
        <f t="shared" si="37"/>
        <v>#DIV/0!</v>
      </c>
      <c r="I56" s="51" t="e">
        <f t="shared" si="38"/>
        <v>#DIV/0!</v>
      </c>
      <c r="J56" s="51">
        <f t="shared" si="56"/>
        <v>0</v>
      </c>
      <c r="K56" s="51" t="e">
        <f t="shared" si="40"/>
        <v>#DIV/0!</v>
      </c>
      <c r="L56" s="51">
        <v>0</v>
      </c>
      <c r="M56" s="51" t="str">
        <f t="shared" si="41"/>
        <v>-</v>
      </c>
      <c r="N56" s="51">
        <v>6</v>
      </c>
      <c r="O56" s="51">
        <f t="shared" ref="O56:P56" si="64">D56/7</f>
        <v>0</v>
      </c>
      <c r="P56" s="51">
        <f t="shared" si="64"/>
        <v>0</v>
      </c>
      <c r="Q56" s="51" t="e">
        <f t="shared" si="43"/>
        <v>#DIV/0!</v>
      </c>
      <c r="R56" s="55">
        <f ca="1">IFERROR(__xludf.DUMMYFUNCTION("IFERROR(VLOOKUP($B$2,IMPORTRANGE(""https://docs.google.com/spreadsheets/d/1iVgg6Mw12RULLujzHmfOFIY8Q_KaAD8anoZzgtVAQ74/edit#gid=1503384807"",""Second Star - Summary!A1:AD2000""),9,FALSE),"""")"),1005)</f>
        <v>1005</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44"/>
        <v>0</v>
      </c>
      <c r="W56" s="55">
        <f t="shared" si="45"/>
        <v>0</v>
      </c>
      <c r="X56" s="55">
        <v>0</v>
      </c>
      <c r="Y56" s="55" t="e">
        <v>#N/A</v>
      </c>
      <c r="Z56" s="56" t="e">
        <f t="shared" si="51"/>
        <v>#N/A</v>
      </c>
      <c r="AA56" s="55" t="e">
        <v>#N/A</v>
      </c>
      <c r="AB56" s="55">
        <f t="shared" si="47"/>
        <v>0</v>
      </c>
      <c r="AC56" s="55">
        <v>0</v>
      </c>
      <c r="AD56" s="55">
        <v>-5.8469091880341804</v>
      </c>
      <c r="AE56" s="55">
        <v>0</v>
      </c>
      <c r="AF56" s="55" t="e">
        <v>#N/A</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E221" s="2"/>
      <c r="P221" s="2"/>
      <c r="AF221" s="23"/>
    </row>
    <row r="222" spans="1:32" ht="15.75" customHeight="1">
      <c r="E222" s="2"/>
      <c r="P222" s="2"/>
      <c r="AF222" s="23"/>
    </row>
    <row r="223" spans="1:32" ht="15.75" customHeight="1">
      <c r="E223" s="2"/>
      <c r="P223" s="2"/>
      <c r="AF223" s="23"/>
    </row>
    <row r="224" spans="1: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215" priority="1" operator="lessThan">
      <formula>100</formula>
    </cfRule>
  </conditionalFormatting>
  <conditionalFormatting sqref="Q1:Q3 Q57:Q1000">
    <cfRule type="cellIs" dxfId="214" priority="2" operator="lessThan">
      <formula>100</formula>
    </cfRule>
  </conditionalFormatting>
  <conditionalFormatting sqref="I1:I3 I57:I1000">
    <cfRule type="cellIs" dxfId="213" priority="3" operator="lessThan">
      <formula>0.05</formula>
    </cfRule>
  </conditionalFormatting>
  <conditionalFormatting sqref="I4:I17">
    <cfRule type="cellIs" dxfId="212" priority="4" operator="lessThan">
      <formula>0.05</formula>
    </cfRule>
  </conditionalFormatting>
  <conditionalFormatting sqref="I18:I56">
    <cfRule type="cellIs" dxfId="211" priority="5" operator="lessThan">
      <formula>0.05</formula>
    </cfRule>
  </conditionalFormatting>
  <conditionalFormatting sqref="Q4:Q56">
    <cfRule type="cellIs" dxfId="210" priority="6" operator="lessThan">
      <formula>100</formula>
    </cfRule>
  </conditionalFormatting>
  <conditionalFormatting sqref="Q4:Q56">
    <cfRule type="cellIs" dxfId="209" priority="7" operator="lessThan">
      <formula>100</formula>
    </cfRule>
  </conditionalFormatting>
  <pageMargins left="0.7" right="0.7" top="0.75" bottom="0.75" header="0" footer="0"/>
  <pageSetup orientation="portrait"/>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AF1000"/>
  <sheetViews>
    <sheetView tabSelected="1" workbookViewId="0">
      <pane xSplit="1" ySplit="3" topLeftCell="B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33.332031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Info!B1:BJ5000""),4,FALSE),"""")"),"Punchau Pre-Assembled Lawn Aerator Shoes with Metal Buckles and 3 Straps - Heavy Duty Spiked Sandals for Aerating Your Lawn or Yard")</f>
        <v>Punchau Pre-Assembled Lawn Aerator Shoes with Metal Buckles and 3 Straps - Heavy Duty Spiked Sandals for Aerating Your Lawn or Yard</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Info!B1:BJ5000""),3,FALSE),"""")"),"B084WQ3MF7")</f>
        <v>B084WQ3MF7</v>
      </c>
      <c r="B2" s="4" t="s">
        <v>922</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7.9258983957219185</v>
      </c>
      <c r="D3" s="8">
        <f>SUM(D4:D99819)</f>
        <v>724</v>
      </c>
      <c r="E3" s="8"/>
      <c r="F3" s="9">
        <f t="shared" ref="F3:G3" si="0">SUM(F4:F99819)</f>
        <v>18316.11</v>
      </c>
      <c r="G3" s="9">
        <f t="shared" si="0"/>
        <v>-602.67000000000007</v>
      </c>
      <c r="H3" s="10">
        <f>G3/F3*-1</f>
        <v>3.2903820734861283E-2</v>
      </c>
      <c r="I3" s="11" t="e">
        <f>J3/F3</f>
        <v>#VALUE!</v>
      </c>
      <c r="J3" s="9" t="e">
        <f>SUM(J4:J99819)</f>
        <v>#VALUE!</v>
      </c>
      <c r="K3" s="9" t="e">
        <f>J3/D3</f>
        <v>#VALUE!</v>
      </c>
      <c r="L3" s="8"/>
      <c r="M3" s="12"/>
      <c r="N3" s="13"/>
      <c r="O3" s="8" t="str">
        <f ca="1">IFERROR(__xludf.DUMMYFUNCTION("IFERROR(VLOOKUP(B2,IMPORTRANGE(""https://docs.google.com/spreadsheets/d/1owCo6kL_VFQ5nPTdNogErmCBLjNiktT1m3SzTrxu3R0/edit#gid=2146806407"",""Second Star - Compiled!b1:g5000""),2,FALSE),"""")"),"6 - March
18 - April
13 - May
10 - Jun
8 - Jul
10.5 - Aug
12 | 10.5 - Sept
0 - Oct
0 - Nov
0 - Dec
0.1 - Jan
0.1 - Feb")</f>
        <v>6 - March
18 - April
13 - May
10 - Jun
8 - Jul
10.5 - Aug
12 | 10.5 - Sept
0 - Oct
0 - Nov
0 - Dec
0.1 - Jan
0.1 - Feb</v>
      </c>
      <c r="P3" s="8"/>
      <c r="Q3" s="14"/>
      <c r="R3" s="13"/>
      <c r="S3" s="13"/>
      <c r="T3" s="13"/>
      <c r="U3" s="8">
        <f>SUM(U4:U99819)</f>
        <v>190</v>
      </c>
      <c r="V3" s="10">
        <f>AVERAGE(V4:V99819)</f>
        <v>0.17018433557605292</v>
      </c>
      <c r="W3" s="9">
        <f>ROUND(AVERAGE(W4:W99819),2)</f>
        <v>1.6</v>
      </c>
      <c r="X3" s="8"/>
      <c r="Y3" s="8"/>
      <c r="Z3" s="8"/>
      <c r="AA3" s="8"/>
      <c r="AB3" s="8"/>
      <c r="AC3" s="15"/>
      <c r="AD3" s="9"/>
      <c r="AE3" s="9">
        <f>SUM(AE4:AE99819)</f>
        <v>0</v>
      </c>
      <c r="AF3" s="16"/>
    </row>
    <row r="4" spans="1:32" s="57" customFormat="1" hidden="1">
      <c r="A4" s="17" t="s">
        <v>48</v>
      </c>
      <c r="B4" s="2"/>
      <c r="C4" s="50"/>
      <c r="D4" s="51"/>
      <c r="E4" s="51">
        <v>0</v>
      </c>
      <c r="F4" s="51"/>
      <c r="G4" s="51"/>
      <c r="H4" s="51"/>
      <c r="I4" s="51"/>
      <c r="J4" s="51"/>
      <c r="K4" s="51"/>
      <c r="L4" s="51"/>
      <c r="M4" s="51"/>
      <c r="N4" s="51"/>
      <c r="O4" s="51"/>
      <c r="P4" s="51">
        <f t="shared" ref="P4:P16" si="1">E4/7</f>
        <v>0</v>
      </c>
      <c r="Q4" s="51" t="e">
        <f t="shared" ref="Q4:Q39" si="2">ROUNDDOWN(N4/(O4+P4),0)</f>
        <v>#DIV/0!</v>
      </c>
      <c r="R4" s="52"/>
      <c r="S4" s="53"/>
      <c r="T4" s="54"/>
      <c r="U4" s="52"/>
      <c r="V4" s="55"/>
      <c r="W4" s="55"/>
      <c r="X4" s="52"/>
      <c r="Y4" s="56"/>
      <c r="Z4" s="56"/>
      <c r="AA4" s="55"/>
      <c r="AB4" s="55"/>
      <c r="AC4" s="55"/>
      <c r="AD4" s="55"/>
      <c r="AE4" s="55"/>
      <c r="AF4" s="55"/>
    </row>
    <row r="5" spans="1:32" s="57" customFormat="1" ht="15.75" hidden="1" customHeight="1">
      <c r="A5" s="2" t="s">
        <v>49</v>
      </c>
      <c r="B5" s="2"/>
      <c r="C5" s="51"/>
      <c r="D5" s="51"/>
      <c r="E5" s="51">
        <v>0</v>
      </c>
      <c r="F5" s="51"/>
      <c r="G5" s="51"/>
      <c r="H5" s="51"/>
      <c r="I5" s="51"/>
      <c r="J5" s="51"/>
      <c r="K5" s="51"/>
      <c r="L5" s="51"/>
      <c r="M5" s="51"/>
      <c r="N5" s="51"/>
      <c r="O5" s="51"/>
      <c r="P5" s="51">
        <f t="shared" si="1"/>
        <v>0</v>
      </c>
      <c r="Q5" s="51" t="e">
        <f t="shared" si="2"/>
        <v>#DIV/0!</v>
      </c>
      <c r="R5" s="55"/>
      <c r="S5" s="53"/>
      <c r="T5" s="54"/>
      <c r="U5" s="55"/>
      <c r="V5" s="55"/>
      <c r="W5" s="55"/>
      <c r="X5" s="55"/>
      <c r="Y5" s="55"/>
      <c r="Z5" s="56"/>
      <c r="AA5" s="55"/>
      <c r="AB5" s="55"/>
      <c r="AC5" s="55"/>
      <c r="AD5" s="55"/>
      <c r="AE5" s="55"/>
      <c r="AF5" s="55"/>
    </row>
    <row r="6" spans="1:32" s="57" customFormat="1" ht="15.75" hidden="1" customHeight="1">
      <c r="A6" s="2" t="s">
        <v>51</v>
      </c>
      <c r="B6" s="2"/>
      <c r="C6" s="51"/>
      <c r="D6" s="51"/>
      <c r="E6" s="51">
        <v>0</v>
      </c>
      <c r="F6" s="51"/>
      <c r="G6" s="51"/>
      <c r="H6" s="51"/>
      <c r="I6" s="51"/>
      <c r="J6" s="51"/>
      <c r="K6" s="51"/>
      <c r="L6" s="51"/>
      <c r="M6" s="51"/>
      <c r="N6" s="51"/>
      <c r="O6" s="51"/>
      <c r="P6" s="51">
        <f t="shared" si="1"/>
        <v>0</v>
      </c>
      <c r="Q6" s="51" t="e">
        <f t="shared" si="2"/>
        <v>#DIV/0!</v>
      </c>
      <c r="R6" s="55"/>
      <c r="S6" s="53"/>
      <c r="T6" s="54"/>
      <c r="U6" s="55"/>
      <c r="V6" s="55"/>
      <c r="W6" s="55"/>
      <c r="X6" s="55"/>
      <c r="Y6" s="55"/>
      <c r="Z6" s="56"/>
      <c r="AA6" s="55"/>
      <c r="AB6" s="55"/>
      <c r="AC6" s="55"/>
      <c r="AD6" s="55"/>
      <c r="AE6" s="55"/>
      <c r="AF6" s="55"/>
    </row>
    <row r="7" spans="1:32" s="57" customFormat="1" ht="15.75" hidden="1" customHeight="1">
      <c r="A7" s="2" t="s">
        <v>53</v>
      </c>
      <c r="B7" s="2"/>
      <c r="C7" s="51"/>
      <c r="D7" s="51"/>
      <c r="E7" s="51">
        <v>0</v>
      </c>
      <c r="F7" s="51"/>
      <c r="G7" s="51"/>
      <c r="H7" s="51"/>
      <c r="I7" s="51"/>
      <c r="J7" s="51"/>
      <c r="K7" s="51"/>
      <c r="L7" s="51"/>
      <c r="M7" s="51"/>
      <c r="N7" s="51"/>
      <c r="O7" s="51"/>
      <c r="P7" s="51">
        <f t="shared" si="1"/>
        <v>0</v>
      </c>
      <c r="Q7" s="51" t="e">
        <f t="shared" si="2"/>
        <v>#DIV/0!</v>
      </c>
      <c r="R7" s="55"/>
      <c r="S7" s="53"/>
      <c r="T7" s="54"/>
      <c r="U7" s="55"/>
      <c r="V7" s="55"/>
      <c r="W7" s="55"/>
      <c r="X7" s="55"/>
      <c r="Y7" s="55"/>
      <c r="Z7" s="56"/>
      <c r="AA7" s="55"/>
      <c r="AB7" s="55"/>
      <c r="AC7" s="55"/>
      <c r="AD7" s="55"/>
      <c r="AE7" s="55"/>
      <c r="AF7" s="55"/>
    </row>
    <row r="8" spans="1:32" s="57" customFormat="1" ht="15.75" hidden="1" customHeight="1">
      <c r="A8" s="2" t="s">
        <v>54</v>
      </c>
      <c r="B8" s="2"/>
      <c r="C8" s="51"/>
      <c r="D8" s="51"/>
      <c r="E8" s="51">
        <v>0</v>
      </c>
      <c r="F8" s="51"/>
      <c r="G8" s="51"/>
      <c r="H8" s="51"/>
      <c r="I8" s="51"/>
      <c r="J8" s="51"/>
      <c r="K8" s="51"/>
      <c r="L8" s="51"/>
      <c r="M8" s="51"/>
      <c r="N8" s="51"/>
      <c r="O8" s="51"/>
      <c r="P8" s="51">
        <f t="shared" si="1"/>
        <v>0</v>
      </c>
      <c r="Q8" s="51" t="e">
        <f t="shared" si="2"/>
        <v>#DIV/0!</v>
      </c>
      <c r="R8" s="55"/>
      <c r="S8" s="53"/>
      <c r="T8" s="54"/>
      <c r="U8" s="55"/>
      <c r="V8" s="55"/>
      <c r="W8" s="55"/>
      <c r="X8" s="55"/>
      <c r="Y8" s="55"/>
      <c r="Z8" s="56"/>
      <c r="AA8" s="55"/>
      <c r="AB8" s="55"/>
      <c r="AC8" s="55"/>
      <c r="AD8" s="55"/>
      <c r="AE8" s="55"/>
      <c r="AF8" s="55"/>
    </row>
    <row r="9" spans="1:32" s="57" customFormat="1" ht="15.75" hidden="1" customHeight="1">
      <c r="A9" s="2" t="s">
        <v>56</v>
      </c>
      <c r="B9" s="2"/>
      <c r="C9" s="51"/>
      <c r="D9" s="51"/>
      <c r="E9" s="51">
        <v>0</v>
      </c>
      <c r="F9" s="51"/>
      <c r="G9" s="51"/>
      <c r="H9" s="51"/>
      <c r="I9" s="51"/>
      <c r="J9" s="51"/>
      <c r="K9" s="51"/>
      <c r="L9" s="51"/>
      <c r="M9" s="51"/>
      <c r="N9" s="51"/>
      <c r="O9" s="51"/>
      <c r="P9" s="51">
        <f t="shared" si="1"/>
        <v>0</v>
      </c>
      <c r="Q9" s="51" t="e">
        <f t="shared" si="2"/>
        <v>#DIV/0!</v>
      </c>
      <c r="R9" s="55"/>
      <c r="S9" s="53"/>
      <c r="T9" s="54"/>
      <c r="U9" s="55"/>
      <c r="V9" s="55"/>
      <c r="W9" s="55"/>
      <c r="X9" s="55"/>
      <c r="Y9" s="55"/>
      <c r="Z9" s="56"/>
      <c r="AA9" s="55"/>
      <c r="AB9" s="55"/>
      <c r="AC9" s="55"/>
      <c r="AD9" s="55"/>
      <c r="AE9" s="55"/>
      <c r="AF9" s="55"/>
    </row>
    <row r="10" spans="1:32" s="57" customFormat="1" ht="15.75" hidden="1" customHeight="1">
      <c r="A10" s="2" t="s">
        <v>58</v>
      </c>
      <c r="B10" s="2"/>
      <c r="C10" s="51"/>
      <c r="D10" s="51"/>
      <c r="E10" s="51">
        <v>0</v>
      </c>
      <c r="F10" s="51"/>
      <c r="G10" s="51"/>
      <c r="H10" s="51"/>
      <c r="I10" s="51"/>
      <c r="J10" s="51"/>
      <c r="K10" s="51"/>
      <c r="L10" s="51"/>
      <c r="M10" s="51"/>
      <c r="N10" s="51"/>
      <c r="O10" s="51"/>
      <c r="P10" s="51">
        <f t="shared" si="1"/>
        <v>0</v>
      </c>
      <c r="Q10" s="51" t="e">
        <f t="shared" si="2"/>
        <v>#DIV/0!</v>
      </c>
      <c r="R10" s="55"/>
      <c r="S10" s="53"/>
      <c r="T10" s="54"/>
      <c r="U10" s="55"/>
      <c r="V10" s="55"/>
      <c r="W10" s="55"/>
      <c r="X10" s="55"/>
      <c r="Y10" s="55"/>
      <c r="Z10" s="56"/>
      <c r="AA10" s="55"/>
      <c r="AB10" s="55"/>
      <c r="AC10" s="55"/>
      <c r="AD10" s="55"/>
      <c r="AE10" s="55"/>
      <c r="AF10" s="55"/>
    </row>
    <row r="11" spans="1:32" s="57" customFormat="1" ht="15.75" hidden="1" customHeight="1">
      <c r="A11" s="2" t="s">
        <v>60</v>
      </c>
      <c r="B11" s="2"/>
      <c r="C11" s="51"/>
      <c r="D11" s="51"/>
      <c r="E11" s="51">
        <v>0</v>
      </c>
      <c r="F11" s="51"/>
      <c r="G11" s="51"/>
      <c r="H11" s="51"/>
      <c r="I11" s="51"/>
      <c r="J11" s="51"/>
      <c r="K11" s="51"/>
      <c r="L11" s="51"/>
      <c r="M11" s="51"/>
      <c r="N11" s="51"/>
      <c r="O11" s="51"/>
      <c r="P11" s="51">
        <f t="shared" si="1"/>
        <v>0</v>
      </c>
      <c r="Q11" s="51" t="e">
        <f t="shared" si="2"/>
        <v>#DIV/0!</v>
      </c>
      <c r="R11" s="55"/>
      <c r="S11" s="53"/>
      <c r="T11" s="54"/>
      <c r="U11" s="55"/>
      <c r="V11" s="55"/>
      <c r="W11" s="55"/>
      <c r="X11" s="55"/>
      <c r="Y11" s="55"/>
      <c r="Z11" s="56"/>
      <c r="AA11" s="55"/>
      <c r="AB11" s="55"/>
      <c r="AC11" s="55"/>
      <c r="AD11" s="55"/>
      <c r="AE11" s="55"/>
      <c r="AF11" s="55"/>
    </row>
    <row r="12" spans="1:32" s="57" customFormat="1" ht="15.75" hidden="1" customHeight="1">
      <c r="A12" s="2" t="s">
        <v>62</v>
      </c>
      <c r="B12" s="2"/>
      <c r="C12" s="51"/>
      <c r="D12" s="51"/>
      <c r="E12" s="51">
        <v>0</v>
      </c>
      <c r="F12" s="51"/>
      <c r="G12" s="51"/>
      <c r="H12" s="51"/>
      <c r="I12" s="51"/>
      <c r="J12" s="51"/>
      <c r="K12" s="51"/>
      <c r="L12" s="51"/>
      <c r="M12" s="51"/>
      <c r="N12" s="51"/>
      <c r="O12" s="51"/>
      <c r="P12" s="51">
        <f t="shared" si="1"/>
        <v>0</v>
      </c>
      <c r="Q12" s="51" t="e">
        <f t="shared" si="2"/>
        <v>#DIV/0!</v>
      </c>
      <c r="R12" s="55"/>
      <c r="S12" s="53"/>
      <c r="T12" s="54"/>
      <c r="U12" s="55"/>
      <c r="V12" s="55"/>
      <c r="W12" s="55"/>
      <c r="X12" s="55"/>
      <c r="Y12" s="55"/>
      <c r="Z12" s="56"/>
      <c r="AA12" s="55"/>
      <c r="AB12" s="55"/>
      <c r="AC12" s="55"/>
      <c r="AD12" s="55"/>
      <c r="AE12" s="55"/>
      <c r="AF12" s="55"/>
    </row>
    <row r="13" spans="1:32" s="57" customFormat="1" ht="15.75" hidden="1" customHeight="1">
      <c r="A13" s="2" t="s">
        <v>63</v>
      </c>
      <c r="B13" s="2"/>
      <c r="C13" s="51"/>
      <c r="D13" s="51"/>
      <c r="E13" s="51">
        <v>0</v>
      </c>
      <c r="F13" s="51"/>
      <c r="G13" s="51"/>
      <c r="H13" s="51"/>
      <c r="I13" s="51"/>
      <c r="J13" s="51"/>
      <c r="K13" s="51"/>
      <c r="L13" s="51"/>
      <c r="M13" s="51"/>
      <c r="N13" s="51"/>
      <c r="O13" s="51"/>
      <c r="P13" s="51">
        <f t="shared" si="1"/>
        <v>0</v>
      </c>
      <c r="Q13" s="51" t="e">
        <f t="shared" si="2"/>
        <v>#DIV/0!</v>
      </c>
      <c r="R13" s="55"/>
      <c r="S13" s="53"/>
      <c r="T13" s="54"/>
      <c r="U13" s="55"/>
      <c r="V13" s="55"/>
      <c r="W13" s="55"/>
      <c r="X13" s="55"/>
      <c r="Y13" s="55"/>
      <c r="Z13" s="56"/>
      <c r="AA13" s="55"/>
      <c r="AB13" s="55"/>
      <c r="AC13" s="55"/>
      <c r="AD13" s="55"/>
      <c r="AE13" s="55"/>
      <c r="AF13" s="55"/>
    </row>
    <row r="14" spans="1:32" s="57" customFormat="1" ht="15.75" hidden="1" customHeight="1">
      <c r="A14" s="2" t="s">
        <v>64</v>
      </c>
      <c r="B14" s="2"/>
      <c r="C14" s="51"/>
      <c r="D14" s="51"/>
      <c r="E14" s="51">
        <v>0</v>
      </c>
      <c r="F14" s="51"/>
      <c r="G14" s="51"/>
      <c r="H14" s="51"/>
      <c r="I14" s="51"/>
      <c r="J14" s="51"/>
      <c r="K14" s="51"/>
      <c r="L14" s="51"/>
      <c r="M14" s="51"/>
      <c r="N14" s="51"/>
      <c r="O14" s="51"/>
      <c r="P14" s="51">
        <f t="shared" si="1"/>
        <v>0</v>
      </c>
      <c r="Q14" s="51" t="e">
        <f t="shared" si="2"/>
        <v>#DIV/0!</v>
      </c>
      <c r="R14" s="55"/>
      <c r="S14" s="53"/>
      <c r="T14" s="54"/>
      <c r="U14" s="55"/>
      <c r="V14" s="55"/>
      <c r="W14" s="55"/>
      <c r="X14" s="55"/>
      <c r="Y14" s="55"/>
      <c r="Z14" s="56"/>
      <c r="AA14" s="55"/>
      <c r="AB14" s="55"/>
      <c r="AC14" s="55"/>
      <c r="AD14" s="55"/>
      <c r="AE14" s="55"/>
      <c r="AF14" s="55"/>
    </row>
    <row r="15" spans="1:32" s="57" customFormat="1" ht="15.75" hidden="1" customHeight="1">
      <c r="A15" s="2" t="s">
        <v>65</v>
      </c>
      <c r="B15" s="2"/>
      <c r="C15" s="51"/>
      <c r="D15" s="51"/>
      <c r="E15" s="51">
        <v>0</v>
      </c>
      <c r="F15" s="51"/>
      <c r="G15" s="51"/>
      <c r="H15" s="51"/>
      <c r="I15" s="51"/>
      <c r="J15" s="51"/>
      <c r="K15" s="51"/>
      <c r="L15" s="51"/>
      <c r="M15" s="51"/>
      <c r="N15" s="51"/>
      <c r="O15" s="51"/>
      <c r="P15" s="51">
        <f t="shared" si="1"/>
        <v>0</v>
      </c>
      <c r="Q15" s="51" t="e">
        <f t="shared" si="2"/>
        <v>#DIV/0!</v>
      </c>
      <c r="R15" s="55"/>
      <c r="S15" s="53"/>
      <c r="T15" s="54"/>
      <c r="U15" s="55"/>
      <c r="V15" s="55"/>
      <c r="W15" s="55"/>
      <c r="X15" s="55"/>
      <c r="Y15" s="55"/>
      <c r="Z15" s="56"/>
      <c r="AA15" s="55"/>
      <c r="AB15" s="55"/>
      <c r="AC15" s="55"/>
      <c r="AD15" s="55"/>
      <c r="AE15" s="55"/>
      <c r="AF15" s="55"/>
    </row>
    <row r="16" spans="1:32" s="57" customFormat="1" ht="15.75" hidden="1" customHeight="1">
      <c r="A16" s="2" t="s">
        <v>66</v>
      </c>
      <c r="B16" s="2"/>
      <c r="C16" s="51"/>
      <c r="D16" s="51"/>
      <c r="E16" s="51">
        <v>0</v>
      </c>
      <c r="F16" s="51"/>
      <c r="G16" s="51"/>
      <c r="H16" s="51"/>
      <c r="I16" s="51"/>
      <c r="J16" s="51"/>
      <c r="K16" s="51"/>
      <c r="L16" s="51"/>
      <c r="M16" s="51"/>
      <c r="N16" s="51"/>
      <c r="O16" s="51"/>
      <c r="P16" s="51">
        <f t="shared" si="1"/>
        <v>0</v>
      </c>
      <c r="Q16" s="51" t="e">
        <f t="shared" si="2"/>
        <v>#DIV/0!</v>
      </c>
      <c r="R16" s="55"/>
      <c r="S16" s="53"/>
      <c r="T16" s="54"/>
      <c r="U16" s="55"/>
      <c r="V16" s="55"/>
      <c r="W16" s="55"/>
      <c r="X16" s="55"/>
      <c r="Y16" s="55"/>
      <c r="Z16" s="56"/>
      <c r="AA16" s="55"/>
      <c r="AB16" s="55"/>
      <c r="AC16" s="55"/>
      <c r="AD16" s="55"/>
      <c r="AE16" s="55"/>
      <c r="AF16" s="55"/>
    </row>
    <row r="17" spans="1:32" s="57" customFormat="1" ht="15.75" customHeight="1">
      <c r="A17" s="2" t="s">
        <v>67</v>
      </c>
      <c r="B17" s="2" t="s">
        <v>923</v>
      </c>
      <c r="C17" s="51">
        <v>19.989999999999998</v>
      </c>
      <c r="D17" s="51">
        <v>13</v>
      </c>
      <c r="E17" s="51">
        <v>0</v>
      </c>
      <c r="F17" s="51">
        <v>259.87</v>
      </c>
      <c r="G17" s="51">
        <v>0</v>
      </c>
      <c r="H17" s="51">
        <f t="shared" ref="H17:H39" si="3">G17/F17*-1</f>
        <v>0</v>
      </c>
      <c r="I17" s="51">
        <f t="shared" ref="I17:I39" si="4">J17/F17</f>
        <v>0.22926673700097919</v>
      </c>
      <c r="J17" s="51">
        <f t="shared" ref="J17:J38" si="5">F17*0.85+G17+AD17*D17+D17*AC17+AE17+AB17</f>
        <v>59.579546944444459</v>
      </c>
      <c r="K17" s="51">
        <f t="shared" ref="K17:K39" si="6">J17/D17</f>
        <v>4.5830420726495742</v>
      </c>
      <c r="L17" s="51">
        <v>26</v>
      </c>
      <c r="M17" s="51">
        <f t="shared" ref="M17:M39" si="7">IFERROR(D17/L17,"-")</f>
        <v>0.5</v>
      </c>
      <c r="N17" s="51">
        <v>99</v>
      </c>
      <c r="O17" s="51">
        <f t="shared" ref="O17:P17" si="8">D17/7</f>
        <v>1.8571428571428572</v>
      </c>
      <c r="P17" s="51">
        <f t="shared" si="8"/>
        <v>0</v>
      </c>
      <c r="Q17" s="51">
        <f t="shared" si="2"/>
        <v>53</v>
      </c>
      <c r="R17" s="55">
        <v>495</v>
      </c>
      <c r="S17" s="53" t="s">
        <v>34</v>
      </c>
      <c r="T17" s="54" t="s">
        <v>34</v>
      </c>
      <c r="U17" s="55">
        <v>0</v>
      </c>
      <c r="V17" s="55">
        <f t="shared" ref="V17:V39" si="9">IFERROR(U17/D17,0)</f>
        <v>0</v>
      </c>
      <c r="W17" s="55">
        <f t="shared" ref="W17:W39" si="10">IFERROR(G17/(U17+X17)*-1,0)</f>
        <v>0</v>
      </c>
      <c r="X17" s="55">
        <v>0</v>
      </c>
      <c r="Y17" s="55" t="s">
        <v>35</v>
      </c>
      <c r="Z17" s="56">
        <f t="shared" ref="Z17:Z39" si="11">IF(OR(Y17="UsLargeStandardSize",Y17="UsSmallStandardSize"),-0.75,-0.48)</f>
        <v>-0.75</v>
      </c>
      <c r="AA17" s="55">
        <v>0.15277777777777779</v>
      </c>
      <c r="AB17" s="55">
        <f>IFERROR((Z17*AA17*N17)/4,0)</f>
        <v>-2.8359375000000004</v>
      </c>
      <c r="AC17" s="55">
        <v>-5.42</v>
      </c>
      <c r="AD17" s="55">
        <v>-6.7703088888888887</v>
      </c>
      <c r="AE17" s="55">
        <v>0</v>
      </c>
      <c r="AF17" s="55"/>
    </row>
    <row r="18" spans="1:32" s="57" customFormat="1" ht="15.75" customHeight="1">
      <c r="A18" s="2" t="s">
        <v>69</v>
      </c>
      <c r="B18" s="2" t="s">
        <v>910</v>
      </c>
      <c r="C18" s="51">
        <v>19.989999999999998</v>
      </c>
      <c r="D18" s="51">
        <v>99</v>
      </c>
      <c r="E18" s="51">
        <v>0</v>
      </c>
      <c r="F18" s="51">
        <v>1979.0100000000007</v>
      </c>
      <c r="G18" s="51">
        <v>-37.849999999999994</v>
      </c>
      <c r="H18" s="51">
        <f t="shared" si="3"/>
        <v>1.9125724478400809E-2</v>
      </c>
      <c r="I18" s="51">
        <f t="shared" si="4"/>
        <v>0.20385782285081955</v>
      </c>
      <c r="J18" s="51">
        <f t="shared" si="5"/>
        <v>403.4366700000005</v>
      </c>
      <c r="K18" s="51">
        <f t="shared" si="6"/>
        <v>4.0751178787878839</v>
      </c>
      <c r="L18" s="51">
        <v>172</v>
      </c>
      <c r="M18" s="51">
        <f t="shared" si="7"/>
        <v>0.57558139534883723</v>
      </c>
      <c r="N18" s="51">
        <v>1</v>
      </c>
      <c r="O18" s="51">
        <f t="shared" ref="O18:P18" si="12">D18/7</f>
        <v>14.142857142857142</v>
      </c>
      <c r="P18" s="51">
        <f t="shared" si="12"/>
        <v>0</v>
      </c>
      <c r="Q18" s="51">
        <f t="shared" si="2"/>
        <v>0</v>
      </c>
      <c r="R18" s="55">
        <v>0</v>
      </c>
      <c r="S18" s="53" t="s">
        <v>34</v>
      </c>
      <c r="T18" s="54" t="s">
        <v>34</v>
      </c>
      <c r="U18" s="55">
        <v>19</v>
      </c>
      <c r="V18" s="55">
        <f t="shared" si="9"/>
        <v>0.19191919191919191</v>
      </c>
      <c r="W18" s="55">
        <f t="shared" si="10"/>
        <v>1.9921052631578944</v>
      </c>
      <c r="X18" s="55">
        <v>0</v>
      </c>
      <c r="Y18" s="55" t="s">
        <v>35</v>
      </c>
      <c r="Z18" s="56">
        <f t="shared" si="11"/>
        <v>-0.75</v>
      </c>
      <c r="AA18" s="55">
        <v>0.15277777777777779</v>
      </c>
      <c r="AB18" s="58">
        <f t="shared" ref="AB18:AB39" si="13">IFERROR(Z18*AA18*D18*3,0)</f>
        <v>-34.031250000000007</v>
      </c>
      <c r="AC18" s="55">
        <v>-5.42</v>
      </c>
      <c r="AD18" s="55">
        <v>-6.7703088888888887</v>
      </c>
      <c r="AE18" s="55">
        <v>0</v>
      </c>
      <c r="AF18" s="55"/>
    </row>
    <row r="19" spans="1:32" s="57" customFormat="1" ht="15.75" customHeight="1">
      <c r="A19" s="2" t="s">
        <v>71</v>
      </c>
      <c r="B19" s="2" t="s">
        <v>924</v>
      </c>
      <c r="C19" s="51">
        <v>19.989999999999998</v>
      </c>
      <c r="D19" s="51">
        <v>3</v>
      </c>
      <c r="E19" s="51">
        <v>0</v>
      </c>
      <c r="F19" s="51">
        <v>59.97</v>
      </c>
      <c r="G19" s="51">
        <v>0</v>
      </c>
      <c r="H19" s="51">
        <f t="shared" si="3"/>
        <v>0</v>
      </c>
      <c r="I19" s="51">
        <f t="shared" si="4"/>
        <v>0.22298354732922018</v>
      </c>
      <c r="J19" s="51">
        <f t="shared" si="5"/>
        <v>13.372323333333334</v>
      </c>
      <c r="K19" s="51">
        <f t="shared" si="6"/>
        <v>4.4574411111111116</v>
      </c>
      <c r="L19" s="51">
        <v>0</v>
      </c>
      <c r="M19" s="51" t="str">
        <f t="shared" si="7"/>
        <v>-</v>
      </c>
      <c r="N19" s="51">
        <v>1</v>
      </c>
      <c r="O19" s="51">
        <f t="shared" ref="O19:P19" si="14">D19/7</f>
        <v>0.42857142857142855</v>
      </c>
      <c r="P19" s="51">
        <f t="shared" si="14"/>
        <v>0</v>
      </c>
      <c r="Q19" s="51">
        <f t="shared" si="2"/>
        <v>2</v>
      </c>
      <c r="R19" s="55">
        <v>0</v>
      </c>
      <c r="S19" s="53" t="s">
        <v>34</v>
      </c>
      <c r="T19" s="54" t="s">
        <v>34</v>
      </c>
      <c r="U19" s="55">
        <v>0</v>
      </c>
      <c r="V19" s="55">
        <f t="shared" si="9"/>
        <v>0</v>
      </c>
      <c r="W19" s="55">
        <f t="shared" si="10"/>
        <v>0</v>
      </c>
      <c r="X19" s="55">
        <v>0</v>
      </c>
      <c r="Y19" s="55" t="s">
        <v>35</v>
      </c>
      <c r="Z19" s="56">
        <f t="shared" si="11"/>
        <v>-0.75</v>
      </c>
      <c r="AA19" s="55">
        <v>0.15277777777777779</v>
      </c>
      <c r="AB19" s="55">
        <f t="shared" si="13"/>
        <v>-1.03125</v>
      </c>
      <c r="AC19" s="55">
        <v>-5.42</v>
      </c>
      <c r="AD19" s="55">
        <v>-6.7703088888888887</v>
      </c>
      <c r="AE19" s="55">
        <v>0</v>
      </c>
      <c r="AF19" s="55"/>
    </row>
    <row r="20" spans="1:32" s="57" customFormat="1" ht="15.75" customHeight="1">
      <c r="A20" s="2" t="s">
        <v>73</v>
      </c>
      <c r="B20" s="2" t="s">
        <v>925</v>
      </c>
      <c r="C20" s="51">
        <v>21.99</v>
      </c>
      <c r="D20" s="51">
        <v>3</v>
      </c>
      <c r="E20" s="51">
        <v>0</v>
      </c>
      <c r="F20" s="51">
        <v>63.97</v>
      </c>
      <c r="G20" s="51">
        <v>-33.74</v>
      </c>
      <c r="H20" s="51">
        <f t="shared" si="3"/>
        <v>0.5274347350320463</v>
      </c>
      <c r="I20" s="51">
        <f t="shared" si="4"/>
        <v>-0.26579341248013399</v>
      </c>
      <c r="J20" s="51">
        <f t="shared" si="5"/>
        <v>-17.002804596354171</v>
      </c>
      <c r="K20" s="51">
        <f t="shared" si="6"/>
        <v>-5.6676015321180566</v>
      </c>
      <c r="L20" s="51">
        <v>126</v>
      </c>
      <c r="M20" s="51">
        <f t="shared" si="7"/>
        <v>2.3809523809523808E-2</v>
      </c>
      <c r="N20" s="51">
        <v>640</v>
      </c>
      <c r="O20" s="51">
        <f t="shared" ref="O20:P20" si="15">D20/7</f>
        <v>0.42857142857142855</v>
      </c>
      <c r="P20" s="51">
        <f t="shared" si="15"/>
        <v>0</v>
      </c>
      <c r="Q20" s="51">
        <f t="shared" si="2"/>
        <v>1493</v>
      </c>
      <c r="R20" s="55">
        <v>0</v>
      </c>
      <c r="S20" s="53" t="s">
        <v>34</v>
      </c>
      <c r="T20" s="54" t="s">
        <v>34</v>
      </c>
      <c r="U20" s="55">
        <v>9</v>
      </c>
      <c r="V20" s="55">
        <f t="shared" si="9"/>
        <v>3</v>
      </c>
      <c r="W20" s="55">
        <f t="shared" si="10"/>
        <v>3.0672727272727274</v>
      </c>
      <c r="X20" s="55">
        <v>2</v>
      </c>
      <c r="Y20" s="55" t="s">
        <v>35</v>
      </c>
      <c r="Z20" s="56">
        <f t="shared" si="11"/>
        <v>-0.75</v>
      </c>
      <c r="AA20" s="55">
        <v>0.1579819155092593</v>
      </c>
      <c r="AB20" s="55">
        <f t="shared" si="13"/>
        <v>-1.0663779296875002</v>
      </c>
      <c r="AC20" s="55">
        <v>-5.42</v>
      </c>
      <c r="AD20" s="55">
        <v>-6.7703088888888887</v>
      </c>
      <c r="AE20" s="55">
        <v>0</v>
      </c>
      <c r="AF20" s="55"/>
    </row>
    <row r="21" spans="1:32" s="57" customFormat="1" ht="15.75" customHeight="1">
      <c r="A21" s="2" t="s">
        <v>75</v>
      </c>
      <c r="B21" s="2" t="s">
        <v>926</v>
      </c>
      <c r="C21" s="51">
        <v>25.98</v>
      </c>
      <c r="D21" s="51">
        <v>45</v>
      </c>
      <c r="E21" s="51">
        <v>0</v>
      </c>
      <c r="F21" s="51">
        <v>989.5500000000003</v>
      </c>
      <c r="G21" s="51">
        <v>-77.48</v>
      </c>
      <c r="H21" s="51">
        <f t="shared" si="3"/>
        <v>7.8298216360972145E-2</v>
      </c>
      <c r="I21" s="51">
        <f t="shared" si="4"/>
        <v>0.20118026482207829</v>
      </c>
      <c r="J21" s="51">
        <f t="shared" si="5"/>
        <v>199.07793105468764</v>
      </c>
      <c r="K21" s="51">
        <f t="shared" si="6"/>
        <v>4.4239540234375028</v>
      </c>
      <c r="L21" s="51">
        <v>311</v>
      </c>
      <c r="M21" s="51">
        <f t="shared" si="7"/>
        <v>0.14469453376205788</v>
      </c>
      <c r="N21" s="51">
        <v>609</v>
      </c>
      <c r="O21" s="51">
        <f t="shared" ref="O21:P21" si="16">D21/7</f>
        <v>6.4285714285714288</v>
      </c>
      <c r="P21" s="51">
        <f t="shared" si="16"/>
        <v>0</v>
      </c>
      <c r="Q21" s="51">
        <f t="shared" si="2"/>
        <v>94</v>
      </c>
      <c r="R21" s="55">
        <v>0</v>
      </c>
      <c r="S21" s="53" t="s">
        <v>34</v>
      </c>
      <c r="T21" s="54" t="s">
        <v>34</v>
      </c>
      <c r="U21" s="55">
        <v>34</v>
      </c>
      <c r="V21" s="55">
        <f t="shared" si="9"/>
        <v>0.75555555555555554</v>
      </c>
      <c r="W21" s="55">
        <f t="shared" si="10"/>
        <v>2.1522222222222225</v>
      </c>
      <c r="X21" s="55">
        <v>2</v>
      </c>
      <c r="Y21" s="55" t="s">
        <v>35</v>
      </c>
      <c r="Z21" s="56">
        <f t="shared" si="11"/>
        <v>-0.75</v>
      </c>
      <c r="AA21" s="55">
        <v>0.1579819155092593</v>
      </c>
      <c r="AB21" s="55">
        <f t="shared" si="13"/>
        <v>-15.995668945312504</v>
      </c>
      <c r="AC21" s="55">
        <v>-5.42</v>
      </c>
      <c r="AD21" s="55">
        <v>-6.7703088888888887</v>
      </c>
      <c r="AE21" s="55">
        <v>0</v>
      </c>
      <c r="AF21" s="55"/>
    </row>
    <row r="22" spans="1:32" s="57" customFormat="1" ht="15.75" customHeight="1">
      <c r="A22" s="2" t="s">
        <v>77</v>
      </c>
      <c r="B22" s="2" t="s">
        <v>810</v>
      </c>
      <c r="C22" s="51">
        <v>27.78</v>
      </c>
      <c r="D22" s="51">
        <v>56</v>
      </c>
      <c r="E22" s="51">
        <v>0</v>
      </c>
      <c r="F22" s="51">
        <v>1319.2800000000002</v>
      </c>
      <c r="G22" s="51">
        <v>-47.940000000000005</v>
      </c>
      <c r="H22" s="51">
        <f t="shared" si="3"/>
        <v>3.6338002546843731E-2</v>
      </c>
      <c r="I22" s="51">
        <f t="shared" si="4"/>
        <v>0.28112681225217967</v>
      </c>
      <c r="J22" s="51">
        <f t="shared" si="5"/>
        <v>370.88498086805566</v>
      </c>
      <c r="K22" s="51">
        <f t="shared" si="6"/>
        <v>6.6229460869295655</v>
      </c>
      <c r="L22" s="51">
        <v>224</v>
      </c>
      <c r="M22" s="51">
        <f t="shared" si="7"/>
        <v>0.25</v>
      </c>
      <c r="N22" s="51">
        <v>518</v>
      </c>
      <c r="O22" s="51">
        <f t="shared" ref="O22:P22" si="17">D22/7</f>
        <v>8</v>
      </c>
      <c r="P22" s="51">
        <f t="shared" si="17"/>
        <v>0</v>
      </c>
      <c r="Q22" s="51">
        <f t="shared" si="2"/>
        <v>64</v>
      </c>
      <c r="R22" s="55">
        <v>0</v>
      </c>
      <c r="S22" s="53" t="s">
        <v>34</v>
      </c>
      <c r="T22" s="54" t="s">
        <v>34</v>
      </c>
      <c r="U22" s="55">
        <v>9</v>
      </c>
      <c r="V22" s="55">
        <f t="shared" si="9"/>
        <v>0.16071428571428573</v>
      </c>
      <c r="W22" s="55">
        <f t="shared" si="10"/>
        <v>4.7940000000000005</v>
      </c>
      <c r="X22" s="55">
        <v>1</v>
      </c>
      <c r="Y22" s="55" t="s">
        <v>35</v>
      </c>
      <c r="Z22" s="56">
        <f t="shared" si="11"/>
        <v>-0.75</v>
      </c>
      <c r="AA22" s="55">
        <v>0.1579819155092593</v>
      </c>
      <c r="AB22" s="55">
        <f t="shared" si="13"/>
        <v>-19.905721354166673</v>
      </c>
      <c r="AC22" s="55">
        <v>-5.42</v>
      </c>
      <c r="AD22" s="55">
        <v>-6.7703088888888887</v>
      </c>
      <c r="AE22" s="55">
        <v>0</v>
      </c>
      <c r="AF22" s="55"/>
    </row>
    <row r="23" spans="1:32" s="57" customFormat="1" ht="15.75" customHeight="1">
      <c r="A23" s="2" t="s">
        <v>79</v>
      </c>
      <c r="B23" s="2" t="s">
        <v>927</v>
      </c>
      <c r="C23" s="51">
        <v>27.62</v>
      </c>
      <c r="D23" s="51">
        <v>49</v>
      </c>
      <c r="E23" s="51">
        <v>0</v>
      </c>
      <c r="F23" s="51">
        <v>1334</v>
      </c>
      <c r="G23" s="51">
        <v>-42.839999999999996</v>
      </c>
      <c r="H23" s="51">
        <f t="shared" si="3"/>
        <v>3.2113943028485754E-2</v>
      </c>
      <c r="I23" s="51">
        <f t="shared" si="4"/>
        <v>0.35705948895018635</v>
      </c>
      <c r="J23" s="51">
        <f t="shared" si="5"/>
        <v>476.3173582595486</v>
      </c>
      <c r="K23" s="51">
        <f t="shared" si="6"/>
        <v>9.7207624134601751</v>
      </c>
      <c r="L23" s="51">
        <v>206</v>
      </c>
      <c r="M23" s="51">
        <f t="shared" si="7"/>
        <v>0.23786407766990292</v>
      </c>
      <c r="N23" s="51">
        <v>493</v>
      </c>
      <c r="O23" s="51">
        <f t="shared" ref="O23:P23" si="18">D23/7</f>
        <v>7</v>
      </c>
      <c r="P23" s="51">
        <f t="shared" si="18"/>
        <v>0</v>
      </c>
      <c r="Q23" s="51">
        <f t="shared" si="2"/>
        <v>70</v>
      </c>
      <c r="R23" s="55">
        <v>0</v>
      </c>
      <c r="S23" s="53" t="s">
        <v>34</v>
      </c>
      <c r="T23" s="54" t="s">
        <v>34</v>
      </c>
      <c r="U23" s="55">
        <v>12</v>
      </c>
      <c r="V23" s="55">
        <f t="shared" si="9"/>
        <v>0.24489795918367346</v>
      </c>
      <c r="W23" s="55">
        <f t="shared" si="10"/>
        <v>3.2953846153846151</v>
      </c>
      <c r="X23" s="55">
        <v>1</v>
      </c>
      <c r="Y23" s="55" t="s">
        <v>35</v>
      </c>
      <c r="Z23" s="56">
        <f t="shared" si="11"/>
        <v>-0.75</v>
      </c>
      <c r="AA23" s="55">
        <v>0.1579819155092593</v>
      </c>
      <c r="AB23" s="55">
        <f t="shared" si="13"/>
        <v>-17.417506184895839</v>
      </c>
      <c r="AC23" s="55">
        <v>-5.42</v>
      </c>
      <c r="AD23" s="55">
        <v>-6.7703088888888887</v>
      </c>
      <c r="AE23" s="55">
        <v>0</v>
      </c>
      <c r="AF23" s="55"/>
    </row>
    <row r="24" spans="1:32" s="57" customFormat="1" ht="15.75" customHeight="1">
      <c r="A24" s="2" t="s">
        <v>80</v>
      </c>
      <c r="B24" s="2" t="s">
        <v>810</v>
      </c>
      <c r="C24" s="51"/>
      <c r="D24" s="51">
        <v>72</v>
      </c>
      <c r="E24" s="51">
        <v>0</v>
      </c>
      <c r="F24" s="51">
        <v>2007.5699999999986</v>
      </c>
      <c r="G24" s="51">
        <v>-48.39</v>
      </c>
      <c r="H24" s="51">
        <f t="shared" si="3"/>
        <v>2.4103767240992859E-2</v>
      </c>
      <c r="I24" s="51">
        <f t="shared" si="4"/>
        <v>0.37595161796973409</v>
      </c>
      <c r="J24" s="51">
        <f t="shared" si="5"/>
        <v>754.74918968749853</v>
      </c>
      <c r="K24" s="51">
        <f t="shared" si="6"/>
        <v>10.48262763454859</v>
      </c>
      <c r="L24" s="51">
        <v>212</v>
      </c>
      <c r="M24" s="51">
        <f t="shared" si="7"/>
        <v>0.33962264150943394</v>
      </c>
      <c r="N24" s="51">
        <v>407</v>
      </c>
      <c r="O24" s="51">
        <f t="shared" ref="O24:P24" si="19">D24/7</f>
        <v>10.285714285714286</v>
      </c>
      <c r="P24" s="51">
        <f t="shared" si="19"/>
        <v>0</v>
      </c>
      <c r="Q24" s="51">
        <f t="shared" si="2"/>
        <v>39</v>
      </c>
      <c r="R24" s="55">
        <v>0</v>
      </c>
      <c r="S24" s="53" t="s">
        <v>34</v>
      </c>
      <c r="T24" s="54" t="s">
        <v>34</v>
      </c>
      <c r="U24" s="55">
        <v>21</v>
      </c>
      <c r="V24" s="55">
        <f t="shared" si="9"/>
        <v>0.29166666666666669</v>
      </c>
      <c r="W24" s="55">
        <f t="shared" si="10"/>
        <v>2.1995454545454547</v>
      </c>
      <c r="X24" s="55">
        <v>1</v>
      </c>
      <c r="Y24" s="55" t="s">
        <v>35</v>
      </c>
      <c r="Z24" s="56">
        <f t="shared" si="11"/>
        <v>-0.75</v>
      </c>
      <c r="AA24" s="55">
        <v>0.1579819155092593</v>
      </c>
      <c r="AB24" s="55">
        <f t="shared" si="13"/>
        <v>-25.593070312500004</v>
      </c>
      <c r="AC24" s="55">
        <v>-5.42</v>
      </c>
      <c r="AD24" s="55">
        <v>-6.7703088888888887</v>
      </c>
      <c r="AE24" s="55">
        <v>0</v>
      </c>
      <c r="AF24" s="55"/>
    </row>
    <row r="25" spans="1:32" s="57" customFormat="1" ht="15.75" customHeight="1">
      <c r="A25" s="2" t="s">
        <v>81</v>
      </c>
      <c r="B25" s="2" t="s">
        <v>810</v>
      </c>
      <c r="C25" s="51"/>
      <c r="D25" s="51">
        <v>42</v>
      </c>
      <c r="E25" s="51">
        <v>0</v>
      </c>
      <c r="F25" s="51">
        <v>1261.7900000000004</v>
      </c>
      <c r="G25" s="51">
        <v>-42.589999999999996</v>
      </c>
      <c r="H25" s="51">
        <f t="shared" si="3"/>
        <v>3.3753635708002112E-2</v>
      </c>
      <c r="I25" s="51">
        <f t="shared" si="4"/>
        <v>0.39864734674632218</v>
      </c>
      <c r="J25" s="51">
        <f t="shared" si="5"/>
        <v>503.00923565104205</v>
      </c>
      <c r="K25" s="51">
        <f t="shared" si="6"/>
        <v>11.976410372643858</v>
      </c>
      <c r="L25" s="51">
        <v>130</v>
      </c>
      <c r="M25" s="51">
        <f t="shared" si="7"/>
        <v>0.32307692307692309</v>
      </c>
      <c r="N25" s="51">
        <v>395</v>
      </c>
      <c r="O25" s="51">
        <f t="shared" ref="O25:P25" si="20">D25/7</f>
        <v>6</v>
      </c>
      <c r="P25" s="51">
        <f t="shared" si="20"/>
        <v>0</v>
      </c>
      <c r="Q25" s="51">
        <f t="shared" si="2"/>
        <v>65</v>
      </c>
      <c r="R25" s="55">
        <v>0</v>
      </c>
      <c r="S25" s="53" t="s">
        <v>34</v>
      </c>
      <c r="T25" s="54" t="s">
        <v>34</v>
      </c>
      <c r="U25" s="55">
        <v>9</v>
      </c>
      <c r="V25" s="55">
        <f t="shared" si="9"/>
        <v>0.21428571428571427</v>
      </c>
      <c r="W25" s="55">
        <f t="shared" si="10"/>
        <v>4.2589999999999995</v>
      </c>
      <c r="X25" s="55">
        <v>1</v>
      </c>
      <c r="Y25" s="55" t="s">
        <v>35</v>
      </c>
      <c r="Z25" s="56">
        <f t="shared" si="11"/>
        <v>-0.75</v>
      </c>
      <c r="AA25" s="55">
        <v>0.1579819155092593</v>
      </c>
      <c r="AB25" s="55">
        <f t="shared" si="13"/>
        <v>-14.929291015625004</v>
      </c>
      <c r="AC25" s="55">
        <v>-5.42</v>
      </c>
      <c r="AD25" s="55">
        <v>-6.7703088888888887</v>
      </c>
      <c r="AE25" s="55">
        <v>0</v>
      </c>
      <c r="AF25" s="55"/>
    </row>
    <row r="26" spans="1:32" s="57" customFormat="1" ht="15.75" customHeight="1">
      <c r="A26" s="2" t="s">
        <v>83</v>
      </c>
      <c r="B26" s="2" t="s">
        <v>928</v>
      </c>
      <c r="C26" s="51">
        <f t="shared" ref="C26:C39" si="21">IFERROR(F26/D26," - ")</f>
        <v>27.742666666666668</v>
      </c>
      <c r="D26" s="51">
        <v>30</v>
      </c>
      <c r="E26" s="51">
        <v>0</v>
      </c>
      <c r="F26" s="51">
        <v>832.28000000000009</v>
      </c>
      <c r="G26" s="51">
        <v>-47.899999999999991</v>
      </c>
      <c r="H26" s="51">
        <f t="shared" si="3"/>
        <v>5.755274667179313E-2</v>
      </c>
      <c r="I26" s="51">
        <f t="shared" si="4"/>
        <v>0.34038394123922655</v>
      </c>
      <c r="J26" s="51">
        <f t="shared" si="5"/>
        <v>283.29474661458352</v>
      </c>
      <c r="K26" s="51">
        <f t="shared" si="6"/>
        <v>9.4431582204861169</v>
      </c>
      <c r="L26" s="51">
        <v>146</v>
      </c>
      <c r="M26" s="51">
        <f t="shared" si="7"/>
        <v>0.20547945205479451</v>
      </c>
      <c r="N26" s="51">
        <v>333</v>
      </c>
      <c r="O26" s="51">
        <f t="shared" ref="O26:P26" si="22">D26/7</f>
        <v>4.2857142857142856</v>
      </c>
      <c r="P26" s="51">
        <f t="shared" si="22"/>
        <v>0</v>
      </c>
      <c r="Q26" s="51">
        <f t="shared" si="2"/>
        <v>77</v>
      </c>
      <c r="R26" s="55">
        <v>0</v>
      </c>
      <c r="S26" s="53" t="s">
        <v>34</v>
      </c>
      <c r="T26" s="54" t="s">
        <v>34</v>
      </c>
      <c r="U26" s="55">
        <v>9</v>
      </c>
      <c r="V26" s="55">
        <f t="shared" si="9"/>
        <v>0.3</v>
      </c>
      <c r="W26" s="55">
        <f t="shared" si="10"/>
        <v>4.3545454545454536</v>
      </c>
      <c r="X26" s="55">
        <v>2</v>
      </c>
      <c r="Y26" s="55" t="s">
        <v>35</v>
      </c>
      <c r="Z26" s="56">
        <f t="shared" si="11"/>
        <v>-0.75</v>
      </c>
      <c r="AA26" s="55">
        <v>0.15605906249999998</v>
      </c>
      <c r="AB26" s="55">
        <f t="shared" si="13"/>
        <v>-10.533986718749997</v>
      </c>
      <c r="AC26" s="55">
        <v>-5.42</v>
      </c>
      <c r="AD26" s="55">
        <v>-6.7703088888888887</v>
      </c>
      <c r="AE26" s="55">
        <v>0</v>
      </c>
      <c r="AF26" s="55"/>
    </row>
    <row r="27" spans="1:32" s="57" customFormat="1" ht="15.75" customHeight="1">
      <c r="A27" s="2" t="s">
        <v>84</v>
      </c>
      <c r="B27" s="2" t="s">
        <v>929</v>
      </c>
      <c r="C27" s="51">
        <f t="shared" si="21"/>
        <v>27.134444444444455</v>
      </c>
      <c r="D27" s="51">
        <v>72</v>
      </c>
      <c r="E27" s="51">
        <v>0</v>
      </c>
      <c r="F27" s="51">
        <v>1953.6800000000007</v>
      </c>
      <c r="G27" s="51">
        <v>-57.800000000000004</v>
      </c>
      <c r="H27" s="51">
        <f t="shared" si="3"/>
        <v>2.9585193071536783E-2</v>
      </c>
      <c r="I27" s="51">
        <f t="shared" si="4"/>
        <v>0.35821843488954191</v>
      </c>
      <c r="J27" s="51">
        <f t="shared" si="5"/>
        <v>699.84419187500055</v>
      </c>
      <c r="K27" s="51">
        <f t="shared" si="6"/>
        <v>9.7200582204861181</v>
      </c>
      <c r="L27" s="51">
        <v>257</v>
      </c>
      <c r="M27" s="51">
        <f t="shared" si="7"/>
        <v>0.28015564202334631</v>
      </c>
      <c r="N27" s="51">
        <v>280</v>
      </c>
      <c r="O27" s="51">
        <f t="shared" ref="O27:P27" si="23">D27/7</f>
        <v>10.285714285714286</v>
      </c>
      <c r="P27" s="51">
        <f t="shared" si="23"/>
        <v>0</v>
      </c>
      <c r="Q27" s="51">
        <f t="shared" si="2"/>
        <v>27</v>
      </c>
      <c r="R27" s="55">
        <v>0</v>
      </c>
      <c r="S27" s="53" t="s">
        <v>34</v>
      </c>
      <c r="T27" s="54" t="s">
        <v>34</v>
      </c>
      <c r="U27" s="55">
        <v>21</v>
      </c>
      <c r="V27" s="55">
        <f t="shared" si="9"/>
        <v>0.29166666666666669</v>
      </c>
      <c r="W27" s="55">
        <f t="shared" si="10"/>
        <v>2.7523809523809524</v>
      </c>
      <c r="X27" s="55">
        <v>0</v>
      </c>
      <c r="Y27" s="55" t="s">
        <v>35</v>
      </c>
      <c r="Z27" s="56">
        <f t="shared" si="11"/>
        <v>-0.75</v>
      </c>
      <c r="AA27" s="55">
        <v>0.15605906249999998</v>
      </c>
      <c r="AB27" s="55">
        <f t="shared" si="13"/>
        <v>-25.281568125</v>
      </c>
      <c r="AC27" s="55">
        <v>-5.42</v>
      </c>
      <c r="AD27" s="55">
        <v>-6.7703088888888887</v>
      </c>
      <c r="AE27" s="55">
        <v>0</v>
      </c>
      <c r="AF27" s="55"/>
    </row>
    <row r="28" spans="1:32" s="57" customFormat="1" ht="15.75" customHeight="1">
      <c r="A28" s="2" t="s">
        <v>86</v>
      </c>
      <c r="B28" s="2" t="s">
        <v>825</v>
      </c>
      <c r="C28" s="51">
        <f t="shared" si="21"/>
        <v>25.373297872340423</v>
      </c>
      <c r="D28" s="51">
        <v>94</v>
      </c>
      <c r="E28" s="51">
        <v>2</v>
      </c>
      <c r="F28" s="51">
        <v>2385.0899999999997</v>
      </c>
      <c r="G28" s="51">
        <v>-43.300000000000004</v>
      </c>
      <c r="H28" s="51">
        <f t="shared" si="3"/>
        <v>1.815445119471383E-2</v>
      </c>
      <c r="I28" s="51">
        <f t="shared" si="4"/>
        <v>0.3375683822101867</v>
      </c>
      <c r="J28" s="51">
        <f t="shared" si="5"/>
        <v>805.13097272569405</v>
      </c>
      <c r="K28" s="51">
        <f t="shared" si="6"/>
        <v>8.5652231141031283</v>
      </c>
      <c r="L28" s="51">
        <v>303</v>
      </c>
      <c r="M28" s="51">
        <f t="shared" si="7"/>
        <v>0.31023102310231021</v>
      </c>
      <c r="N28" s="51">
        <v>146</v>
      </c>
      <c r="O28" s="51">
        <f t="shared" ref="O28:P28" si="24">D28/7</f>
        <v>13.428571428571429</v>
      </c>
      <c r="P28" s="51">
        <f t="shared" si="24"/>
        <v>0.2857142857142857</v>
      </c>
      <c r="Q28" s="51">
        <f t="shared" si="2"/>
        <v>10</v>
      </c>
      <c r="R28" s="55">
        <v>0</v>
      </c>
      <c r="S28" s="53" t="s">
        <v>34</v>
      </c>
      <c r="T28" s="54" t="s">
        <v>34</v>
      </c>
      <c r="U28" s="55">
        <v>23</v>
      </c>
      <c r="V28" s="55">
        <f t="shared" si="9"/>
        <v>0.24468085106382978</v>
      </c>
      <c r="W28" s="55">
        <f t="shared" si="10"/>
        <v>1.8826086956521741</v>
      </c>
      <c r="X28" s="55">
        <v>0</v>
      </c>
      <c r="Y28" s="55" t="s">
        <v>35</v>
      </c>
      <c r="Z28" s="56">
        <f t="shared" si="11"/>
        <v>-0.75</v>
      </c>
      <c r="AA28" s="55">
        <v>0.15605906249999998</v>
      </c>
      <c r="AB28" s="55">
        <f t="shared" si="13"/>
        <v>-33.006491718749999</v>
      </c>
      <c r="AC28" s="55">
        <v>-5.42</v>
      </c>
      <c r="AD28" s="55">
        <v>-6.7703088888888887</v>
      </c>
      <c r="AE28" s="55">
        <v>0</v>
      </c>
      <c r="AF28" s="55"/>
    </row>
    <row r="29" spans="1:32" s="57" customFormat="1" ht="15.75" customHeight="1">
      <c r="A29" s="2" t="s">
        <v>87</v>
      </c>
      <c r="B29" s="2" t="s">
        <v>826</v>
      </c>
      <c r="C29" s="51">
        <f t="shared" si="21"/>
        <v>25.855303030303009</v>
      </c>
      <c r="D29" s="51">
        <v>66</v>
      </c>
      <c r="E29" s="51">
        <v>3</v>
      </c>
      <c r="F29" s="51">
        <v>1706.4499999999987</v>
      </c>
      <c r="G29" s="51">
        <v>-41.79</v>
      </c>
      <c r="H29" s="51">
        <f t="shared" si="3"/>
        <v>2.4489437135573871E-2</v>
      </c>
      <c r="I29" s="51">
        <f t="shared" si="4"/>
        <v>0.3404479138281713</v>
      </c>
      <c r="J29" s="51">
        <f t="shared" si="5"/>
        <v>580.95734255208242</v>
      </c>
      <c r="K29" s="51">
        <f t="shared" si="6"/>
        <v>8.8023839780618545</v>
      </c>
      <c r="L29" s="51">
        <v>239</v>
      </c>
      <c r="M29" s="51">
        <f t="shared" si="7"/>
        <v>0.27615062761506276</v>
      </c>
      <c r="N29" s="51">
        <v>107</v>
      </c>
      <c r="O29" s="51">
        <f t="shared" ref="O29:P29" si="25">D29/7</f>
        <v>9.4285714285714288</v>
      </c>
      <c r="P29" s="51">
        <f t="shared" si="25"/>
        <v>0.42857142857142855</v>
      </c>
      <c r="Q29" s="51">
        <f t="shared" si="2"/>
        <v>10</v>
      </c>
      <c r="R29" s="55">
        <v>0</v>
      </c>
      <c r="S29" s="53" t="s">
        <v>34</v>
      </c>
      <c r="T29" s="54" t="s">
        <v>34</v>
      </c>
      <c r="U29" s="55">
        <v>6</v>
      </c>
      <c r="V29" s="55">
        <f t="shared" si="9"/>
        <v>9.0909090909090912E-2</v>
      </c>
      <c r="W29" s="55">
        <f t="shared" si="10"/>
        <v>5.97</v>
      </c>
      <c r="X29" s="55">
        <v>1</v>
      </c>
      <c r="Y29" s="55" t="s">
        <v>35</v>
      </c>
      <c r="Z29" s="56">
        <f t="shared" si="11"/>
        <v>-0.75</v>
      </c>
      <c r="AA29" s="55">
        <v>0.15605906249999998</v>
      </c>
      <c r="AB29" s="55">
        <f t="shared" si="13"/>
        <v>-23.174770781249997</v>
      </c>
      <c r="AC29" s="55">
        <v>-5.42</v>
      </c>
      <c r="AD29" s="55">
        <v>-6.7703088888888887</v>
      </c>
      <c r="AE29" s="55">
        <v>0</v>
      </c>
      <c r="AF29" s="55"/>
    </row>
    <row r="30" spans="1:32" s="57" customFormat="1" ht="15.75" customHeight="1">
      <c r="A30" s="2" t="s">
        <v>89</v>
      </c>
      <c r="B30" s="2" t="s">
        <v>930</v>
      </c>
      <c r="C30" s="51">
        <f t="shared" si="21"/>
        <v>27.184000000000001</v>
      </c>
      <c r="D30" s="51">
        <v>25</v>
      </c>
      <c r="E30" s="51">
        <v>3</v>
      </c>
      <c r="F30" s="51">
        <v>679.6</v>
      </c>
      <c r="G30" s="51">
        <v>-38.270000000000003</v>
      </c>
      <c r="H30" s="51">
        <f t="shared" si="3"/>
        <v>5.6312536786344909E-2</v>
      </c>
      <c r="I30" s="51">
        <f t="shared" si="4"/>
        <v>0.33233366025920058</v>
      </c>
      <c r="J30" s="51">
        <f t="shared" si="5"/>
        <v>225.85395551215274</v>
      </c>
      <c r="K30" s="51">
        <f t="shared" si="6"/>
        <v>9.0341582204861091</v>
      </c>
      <c r="L30" s="51">
        <v>144</v>
      </c>
      <c r="M30" s="51">
        <f t="shared" si="7"/>
        <v>0.1736111111111111</v>
      </c>
      <c r="N30" s="51">
        <v>68</v>
      </c>
      <c r="O30" s="51">
        <f t="shared" ref="O30:P30" si="26">D30/7</f>
        <v>3.5714285714285716</v>
      </c>
      <c r="P30" s="51">
        <f t="shared" si="26"/>
        <v>0.42857142857142855</v>
      </c>
      <c r="Q30" s="51">
        <f t="shared" si="2"/>
        <v>17</v>
      </c>
      <c r="R30" s="55">
        <v>0</v>
      </c>
      <c r="S30" s="53" t="s">
        <v>34</v>
      </c>
      <c r="T30" s="54" t="s">
        <v>34</v>
      </c>
      <c r="U30" s="55">
        <v>7</v>
      </c>
      <c r="V30" s="55">
        <f t="shared" si="9"/>
        <v>0.28000000000000003</v>
      </c>
      <c r="W30" s="55">
        <f t="shared" si="10"/>
        <v>5.467142857142858</v>
      </c>
      <c r="X30" s="55">
        <v>0</v>
      </c>
      <c r="Y30" s="55" t="s">
        <v>35</v>
      </c>
      <c r="Z30" s="56">
        <f t="shared" si="11"/>
        <v>-0.75</v>
      </c>
      <c r="AA30" s="55">
        <v>0.15605906249999998</v>
      </c>
      <c r="AB30" s="55">
        <f t="shared" si="13"/>
        <v>-8.7783222656249986</v>
      </c>
      <c r="AC30" s="55">
        <v>-5.42</v>
      </c>
      <c r="AD30" s="55">
        <v>-6.7703088888888887</v>
      </c>
      <c r="AE30" s="55">
        <v>0</v>
      </c>
      <c r="AF30" s="55"/>
    </row>
    <row r="31" spans="1:32" s="57" customFormat="1" ht="15.75" customHeight="1">
      <c r="A31" s="2" t="s">
        <v>90</v>
      </c>
      <c r="B31" s="2" t="s">
        <v>931</v>
      </c>
      <c r="C31" s="51">
        <f t="shared" si="21"/>
        <v>26</v>
      </c>
      <c r="D31" s="51">
        <v>27</v>
      </c>
      <c r="E31" s="51">
        <v>7</v>
      </c>
      <c r="F31" s="51">
        <v>702</v>
      </c>
      <c r="G31" s="51">
        <v>-23.34</v>
      </c>
      <c r="H31" s="51">
        <f t="shared" si="3"/>
        <v>3.3247863247863246E-2</v>
      </c>
      <c r="I31" s="51">
        <f t="shared" si="4"/>
        <v>0.3343889913862178</v>
      </c>
      <c r="J31" s="51">
        <f t="shared" si="5"/>
        <v>234.7410719531249</v>
      </c>
      <c r="K31" s="51">
        <f t="shared" si="6"/>
        <v>8.6941137760416627</v>
      </c>
      <c r="L31" s="51">
        <v>125</v>
      </c>
      <c r="M31" s="51">
        <f t="shared" si="7"/>
        <v>0.216</v>
      </c>
      <c r="N31" s="51">
        <v>40</v>
      </c>
      <c r="O31" s="51">
        <f t="shared" ref="O31:P31" si="27">D31/7</f>
        <v>3.8571428571428572</v>
      </c>
      <c r="P31" s="51">
        <f t="shared" si="27"/>
        <v>1</v>
      </c>
      <c r="Q31" s="51">
        <f t="shared" si="2"/>
        <v>8</v>
      </c>
      <c r="R31" s="55">
        <v>0</v>
      </c>
      <c r="S31" s="53" t="s">
        <v>34</v>
      </c>
      <c r="T31" s="54" t="s">
        <v>34</v>
      </c>
      <c r="U31" s="55">
        <v>7</v>
      </c>
      <c r="V31" s="55">
        <f t="shared" si="9"/>
        <v>0.25925925925925924</v>
      </c>
      <c r="W31" s="55">
        <f t="shared" si="10"/>
        <v>2.9175</v>
      </c>
      <c r="X31" s="55">
        <v>1</v>
      </c>
      <c r="Y31" s="55" t="s">
        <v>35</v>
      </c>
      <c r="Z31" s="56">
        <f t="shared" si="11"/>
        <v>-0.75</v>
      </c>
      <c r="AA31" s="55">
        <v>0.15605906249999998</v>
      </c>
      <c r="AB31" s="55">
        <f t="shared" si="13"/>
        <v>-9.480588046874999</v>
      </c>
      <c r="AC31" s="55">
        <v>-5.42</v>
      </c>
      <c r="AD31" s="55">
        <v>-6.7703088888888887</v>
      </c>
      <c r="AE31" s="55">
        <v>0</v>
      </c>
      <c r="AF31" s="55"/>
    </row>
    <row r="32" spans="1:32" s="57" customFormat="1" ht="15.75" customHeight="1">
      <c r="A32" s="2" t="s">
        <v>92</v>
      </c>
      <c r="B32" s="2" t="s">
        <v>932</v>
      </c>
      <c r="C32" s="51">
        <f t="shared" si="21"/>
        <v>28.9</v>
      </c>
      <c r="D32" s="51">
        <v>10</v>
      </c>
      <c r="E32" s="51">
        <v>1</v>
      </c>
      <c r="F32" s="51">
        <v>289</v>
      </c>
      <c r="G32" s="51">
        <v>-18.079999999999995</v>
      </c>
      <c r="H32" s="51">
        <f t="shared" si="3"/>
        <v>6.2560553633217969E-2</v>
      </c>
      <c r="I32" s="51">
        <f t="shared" si="4"/>
        <v>0.35347952320021153</v>
      </c>
      <c r="J32" s="51">
        <f t="shared" si="5"/>
        <v>102.15558220486113</v>
      </c>
      <c r="K32" s="51">
        <f t="shared" si="6"/>
        <v>10.215558220486113</v>
      </c>
      <c r="L32" s="51">
        <v>74</v>
      </c>
      <c r="M32" s="51">
        <f t="shared" si="7"/>
        <v>0.13513513513513514</v>
      </c>
      <c r="N32" s="51">
        <v>21</v>
      </c>
      <c r="O32" s="51">
        <f t="shared" ref="O32:P32" si="28">D32/7</f>
        <v>1.4285714285714286</v>
      </c>
      <c r="P32" s="51">
        <f t="shared" si="28"/>
        <v>0.14285714285714285</v>
      </c>
      <c r="Q32" s="51">
        <f t="shared" si="2"/>
        <v>13</v>
      </c>
      <c r="R32" s="55">
        <v>0</v>
      </c>
      <c r="S32" s="53" t="s">
        <v>34</v>
      </c>
      <c r="T32" s="54" t="s">
        <v>34</v>
      </c>
      <c r="U32" s="55">
        <v>1</v>
      </c>
      <c r="V32" s="55">
        <f t="shared" si="9"/>
        <v>0.1</v>
      </c>
      <c r="W32" s="55">
        <f t="shared" si="10"/>
        <v>18.079999999999995</v>
      </c>
      <c r="X32" s="55">
        <v>0</v>
      </c>
      <c r="Y32" s="55" t="s">
        <v>35</v>
      </c>
      <c r="Z32" s="56">
        <f t="shared" si="11"/>
        <v>-0.75</v>
      </c>
      <c r="AA32" s="55">
        <v>0.15605906249999998</v>
      </c>
      <c r="AB32" s="55">
        <f t="shared" si="13"/>
        <v>-3.5113289062499993</v>
      </c>
      <c r="AC32" s="55">
        <v>-5.42</v>
      </c>
      <c r="AD32" s="55">
        <v>-6.7703088888888887</v>
      </c>
      <c r="AE32" s="55">
        <v>0</v>
      </c>
      <c r="AF32" s="52">
        <v>2.5252100840336098</v>
      </c>
    </row>
    <row r="33" spans="1:32" s="57" customFormat="1" ht="15.75" customHeight="1">
      <c r="A33" s="2" t="s">
        <v>94</v>
      </c>
      <c r="B33" s="2" t="s">
        <v>933</v>
      </c>
      <c r="C33" s="51">
        <f t="shared" si="21"/>
        <v>23.2</v>
      </c>
      <c r="D33" s="51">
        <v>5</v>
      </c>
      <c r="E33" s="51">
        <v>1</v>
      </c>
      <c r="F33" s="51">
        <v>116</v>
      </c>
      <c r="G33" s="51">
        <v>-0.72000000000000008</v>
      </c>
      <c r="H33" s="51">
        <f t="shared" si="3"/>
        <v>6.2068965517241385E-3</v>
      </c>
      <c r="I33" s="51">
        <f t="shared" si="4"/>
        <v>0.3032137164002634</v>
      </c>
      <c r="J33" s="51">
        <f t="shared" si="5"/>
        <v>35.172791102430551</v>
      </c>
      <c r="K33" s="51">
        <f t="shared" si="6"/>
        <v>7.0345582204861099</v>
      </c>
      <c r="L33" s="51">
        <v>68</v>
      </c>
      <c r="M33" s="51">
        <f t="shared" si="7"/>
        <v>7.3529411764705885E-2</v>
      </c>
      <c r="N33" s="51">
        <v>17</v>
      </c>
      <c r="O33" s="51">
        <f t="shared" ref="O33:P33" si="29">D33/7</f>
        <v>0.7142857142857143</v>
      </c>
      <c r="P33" s="51">
        <f t="shared" si="29"/>
        <v>0.14285714285714285</v>
      </c>
      <c r="Q33" s="51">
        <f t="shared" si="2"/>
        <v>19</v>
      </c>
      <c r="R33" s="55">
        <v>0</v>
      </c>
      <c r="S33" s="53" t="s">
        <v>34</v>
      </c>
      <c r="T33" s="54" t="s">
        <v>34</v>
      </c>
      <c r="U33" s="55">
        <v>1</v>
      </c>
      <c r="V33" s="55">
        <f t="shared" si="9"/>
        <v>0.2</v>
      </c>
      <c r="W33" s="55">
        <f t="shared" si="10"/>
        <v>0.72000000000000008</v>
      </c>
      <c r="X33" s="55">
        <v>0</v>
      </c>
      <c r="Y33" s="55" t="s">
        <v>35</v>
      </c>
      <c r="Z33" s="56">
        <f t="shared" si="11"/>
        <v>-0.75</v>
      </c>
      <c r="AA33" s="55">
        <v>0.15605906249999998</v>
      </c>
      <c r="AB33" s="55">
        <f t="shared" si="13"/>
        <v>-1.7556644531249996</v>
      </c>
      <c r="AC33" s="55">
        <v>-5.42</v>
      </c>
      <c r="AD33" s="55">
        <v>-6.7703088888888887</v>
      </c>
      <c r="AE33" s="55">
        <v>0</v>
      </c>
      <c r="AF33" s="55">
        <v>2.1118881118881099</v>
      </c>
    </row>
    <row r="34" spans="1:32" s="57" customFormat="1" ht="15.75" customHeight="1">
      <c r="A34" s="2" t="s">
        <v>95</v>
      </c>
      <c r="B34" s="2" t="s">
        <v>934</v>
      </c>
      <c r="C34" s="51">
        <f t="shared" si="21"/>
        <v>29</v>
      </c>
      <c r="D34" s="51">
        <v>11</v>
      </c>
      <c r="E34" s="51">
        <v>1</v>
      </c>
      <c r="F34" s="51">
        <v>319</v>
      </c>
      <c r="G34" s="51">
        <v>-0.48</v>
      </c>
      <c r="H34" s="51">
        <f t="shared" si="3"/>
        <v>1.5047021943573667E-3</v>
      </c>
      <c r="I34" s="51">
        <f t="shared" si="4"/>
        <v>0.41603178816723246</v>
      </c>
      <c r="J34" s="51">
        <f t="shared" si="5"/>
        <v>132.71414042534715</v>
      </c>
      <c r="K34" s="51">
        <f t="shared" si="6"/>
        <v>12.064921856849741</v>
      </c>
      <c r="L34" s="51">
        <v>35</v>
      </c>
      <c r="M34" s="51">
        <f t="shared" si="7"/>
        <v>0.31428571428571428</v>
      </c>
      <c r="N34" s="51">
        <v>2</v>
      </c>
      <c r="O34" s="51">
        <f t="shared" ref="O34:P34" si="30">D34/7</f>
        <v>1.5714285714285714</v>
      </c>
      <c r="P34" s="51">
        <f t="shared" si="30"/>
        <v>0.14285714285714285</v>
      </c>
      <c r="Q34" s="51">
        <f t="shared" si="2"/>
        <v>1</v>
      </c>
      <c r="R34" s="55">
        <v>0</v>
      </c>
      <c r="S34" s="53" t="s">
        <v>34</v>
      </c>
      <c r="T34" s="54" t="s">
        <v>34</v>
      </c>
      <c r="U34" s="55">
        <v>2</v>
      </c>
      <c r="V34" s="55">
        <f t="shared" si="9"/>
        <v>0.18181818181818182</v>
      </c>
      <c r="W34" s="55">
        <f t="shared" si="10"/>
        <v>0.24</v>
      </c>
      <c r="X34" s="55">
        <v>0</v>
      </c>
      <c r="Y34" s="55" t="s">
        <v>35</v>
      </c>
      <c r="Z34" s="56">
        <f t="shared" si="11"/>
        <v>-0.75</v>
      </c>
      <c r="AA34" s="55">
        <v>0.15605906249999998</v>
      </c>
      <c r="AB34" s="55">
        <f t="shared" si="13"/>
        <v>-3.8624617968749995</v>
      </c>
      <c r="AC34" s="55">
        <v>-5.42</v>
      </c>
      <c r="AD34" s="55">
        <v>-6.7703088888888887</v>
      </c>
      <c r="AE34" s="55">
        <v>0</v>
      </c>
      <c r="AF34" s="55">
        <v>2.0411214953271002</v>
      </c>
    </row>
    <row r="35" spans="1:32" s="57" customFormat="1" ht="15.75" customHeight="1">
      <c r="A35" s="2" t="s">
        <v>96</v>
      </c>
      <c r="B35" s="2"/>
      <c r="C35" s="51">
        <f t="shared" si="21"/>
        <v>29</v>
      </c>
      <c r="D35" s="51">
        <v>1</v>
      </c>
      <c r="E35" s="51">
        <v>0</v>
      </c>
      <c r="F35" s="51">
        <v>29</v>
      </c>
      <c r="G35" s="51">
        <v>-0.16</v>
      </c>
      <c r="H35" s="51">
        <f t="shared" si="3"/>
        <v>5.5172413793103453E-3</v>
      </c>
      <c r="I35" s="51">
        <f t="shared" si="4"/>
        <v>0.41201924898227971</v>
      </c>
      <c r="J35" s="51">
        <f t="shared" si="5"/>
        <v>11.948558220486111</v>
      </c>
      <c r="K35" s="51">
        <f t="shared" si="6"/>
        <v>11.948558220486111</v>
      </c>
      <c r="L35" s="51">
        <v>23</v>
      </c>
      <c r="M35" s="51">
        <f t="shared" si="7"/>
        <v>4.3478260869565216E-2</v>
      </c>
      <c r="N35" s="51">
        <v>1</v>
      </c>
      <c r="O35" s="51">
        <f t="shared" ref="O35:P35" si="31">D35/7</f>
        <v>0.14285714285714285</v>
      </c>
      <c r="P35" s="51">
        <f t="shared" si="31"/>
        <v>0</v>
      </c>
      <c r="Q35" s="51">
        <f t="shared" si="2"/>
        <v>7</v>
      </c>
      <c r="R35" s="55">
        <v>0</v>
      </c>
      <c r="S35" s="53" t="s">
        <v>34</v>
      </c>
      <c r="T35" s="54" t="s">
        <v>34</v>
      </c>
      <c r="U35" s="55">
        <v>0</v>
      </c>
      <c r="V35" s="55">
        <f t="shared" si="9"/>
        <v>0</v>
      </c>
      <c r="W35" s="55">
        <f t="shared" si="10"/>
        <v>0</v>
      </c>
      <c r="X35" s="55">
        <v>0</v>
      </c>
      <c r="Y35" s="55" t="s">
        <v>35</v>
      </c>
      <c r="Z35" s="56">
        <f t="shared" si="11"/>
        <v>-0.75</v>
      </c>
      <c r="AA35" s="55">
        <v>0.15605906249999998</v>
      </c>
      <c r="AB35" s="55">
        <f t="shared" si="13"/>
        <v>-0.35113289062499997</v>
      </c>
      <c r="AC35" s="55">
        <v>-5.42</v>
      </c>
      <c r="AD35" s="55">
        <v>-6.7703088888888887</v>
      </c>
      <c r="AE35" s="55">
        <v>0</v>
      </c>
      <c r="AF35" s="55">
        <v>2.04339250493096</v>
      </c>
    </row>
    <row r="36" spans="1:32" s="57" customFormat="1" ht="15.75" customHeight="1">
      <c r="A36" s="2" t="s">
        <v>98</v>
      </c>
      <c r="B36" s="2"/>
      <c r="C36" s="51">
        <f t="shared" si="21"/>
        <v>29</v>
      </c>
      <c r="D36" s="51">
        <v>1</v>
      </c>
      <c r="E36" s="51">
        <v>0</v>
      </c>
      <c r="F36" s="51">
        <v>29</v>
      </c>
      <c r="G36" s="51">
        <v>0</v>
      </c>
      <c r="H36" s="51">
        <f t="shared" si="3"/>
        <v>0</v>
      </c>
      <c r="I36" s="51">
        <f t="shared" si="4"/>
        <v>0.41753649036159007</v>
      </c>
      <c r="J36" s="51">
        <f t="shared" si="5"/>
        <v>12.108558220486112</v>
      </c>
      <c r="K36" s="51">
        <f t="shared" si="6"/>
        <v>12.108558220486112</v>
      </c>
      <c r="L36" s="51">
        <v>9</v>
      </c>
      <c r="M36" s="51">
        <f t="shared" si="7"/>
        <v>0.1111111111111111</v>
      </c>
      <c r="N36" s="51">
        <v>0</v>
      </c>
      <c r="O36" s="51">
        <f t="shared" ref="O36:P36" si="32">D36/7</f>
        <v>0.14285714285714285</v>
      </c>
      <c r="P36" s="51">
        <f t="shared" si="32"/>
        <v>0</v>
      </c>
      <c r="Q36" s="51">
        <f t="shared" si="2"/>
        <v>0</v>
      </c>
      <c r="R36" s="55">
        <v>0</v>
      </c>
      <c r="S36" s="53"/>
      <c r="T36" s="54" t="s">
        <v>34</v>
      </c>
      <c r="U36" s="55"/>
      <c r="V36" s="55">
        <f t="shared" si="9"/>
        <v>0</v>
      </c>
      <c r="W36" s="55">
        <f t="shared" si="10"/>
        <v>0</v>
      </c>
      <c r="X36" s="55"/>
      <c r="Y36" s="55" t="s">
        <v>35</v>
      </c>
      <c r="Z36" s="56">
        <f t="shared" si="11"/>
        <v>-0.75</v>
      </c>
      <c r="AA36" s="55">
        <v>0.15605906249999998</v>
      </c>
      <c r="AB36" s="55">
        <f t="shared" si="13"/>
        <v>-0.35113289062499997</v>
      </c>
      <c r="AC36" s="55">
        <v>-5.42</v>
      </c>
      <c r="AD36" s="55">
        <v>-6.7703088888888887</v>
      </c>
      <c r="AE36" s="55">
        <v>0</v>
      </c>
      <c r="AF36" s="55" t="e">
        <v>#N/A</v>
      </c>
    </row>
    <row r="37" spans="1:32" s="57" customFormat="1" ht="15.75" customHeight="1">
      <c r="A37" s="2" t="s">
        <v>99</v>
      </c>
      <c r="B37" s="2"/>
      <c r="C37" s="51" t="str">
        <f t="shared" si="21"/>
        <v xml:space="preserve"> - </v>
      </c>
      <c r="D37" s="51">
        <v>0</v>
      </c>
      <c r="E37" s="51">
        <v>0</v>
      </c>
      <c r="F37" s="51">
        <v>0</v>
      </c>
      <c r="G37" s="51">
        <v>0</v>
      </c>
      <c r="H37" s="51" t="e">
        <f t="shared" si="3"/>
        <v>#DIV/0!</v>
      </c>
      <c r="I37" s="51" t="e">
        <f t="shared" si="4"/>
        <v>#DIV/0!</v>
      </c>
      <c r="J37" s="51">
        <f t="shared" si="5"/>
        <v>0</v>
      </c>
      <c r="K37" s="51" t="e">
        <f t="shared" si="6"/>
        <v>#DIV/0!</v>
      </c>
      <c r="L37" s="51">
        <v>0</v>
      </c>
      <c r="M37" s="51" t="str">
        <f t="shared" si="7"/>
        <v>-</v>
      </c>
      <c r="N37" s="51">
        <v>0</v>
      </c>
      <c r="O37" s="51">
        <f t="shared" ref="O37:P37" si="33">D37/7</f>
        <v>0</v>
      </c>
      <c r="P37" s="51">
        <f t="shared" si="33"/>
        <v>0</v>
      </c>
      <c r="Q37" s="51" t="e">
        <f t="shared" si="2"/>
        <v>#DIV/0!</v>
      </c>
      <c r="R37" s="55">
        <v>0</v>
      </c>
      <c r="S37" s="53" t="s">
        <v>34</v>
      </c>
      <c r="T37" s="54" t="s">
        <v>34</v>
      </c>
      <c r="U37" s="55">
        <v>0</v>
      </c>
      <c r="V37" s="55">
        <f t="shared" si="9"/>
        <v>0</v>
      </c>
      <c r="W37" s="55">
        <f t="shared" si="10"/>
        <v>0</v>
      </c>
      <c r="X37" s="55">
        <v>0</v>
      </c>
      <c r="Y37" s="55" t="e">
        <v>#N/A</v>
      </c>
      <c r="Z37" s="56" t="e">
        <f t="shared" si="11"/>
        <v>#N/A</v>
      </c>
      <c r="AA37" s="55" t="e">
        <v>#N/A</v>
      </c>
      <c r="AB37" s="55">
        <f t="shared" si="13"/>
        <v>0</v>
      </c>
      <c r="AC37" s="55">
        <v>0</v>
      </c>
      <c r="AD37" s="55">
        <v>-6.7703088888888887</v>
      </c>
      <c r="AE37" s="55">
        <v>0</v>
      </c>
      <c r="AF37" s="55" t="e">
        <v>#N/A</v>
      </c>
    </row>
    <row r="38" spans="1:32" s="57" customFormat="1" ht="15.75" customHeight="1">
      <c r="A38" s="2" t="s">
        <v>100</v>
      </c>
      <c r="B38" s="2"/>
      <c r="C38" s="51" t="str">
        <f t="shared" si="21"/>
        <v xml:space="preserve"> - </v>
      </c>
      <c r="D38" s="51">
        <v>0</v>
      </c>
      <c r="E38" s="51">
        <v>0</v>
      </c>
      <c r="F38" s="51">
        <v>0</v>
      </c>
      <c r="G38" s="51">
        <v>0</v>
      </c>
      <c r="H38" s="51" t="e">
        <f t="shared" si="3"/>
        <v>#DIV/0!</v>
      </c>
      <c r="I38" s="51" t="e">
        <f t="shared" si="4"/>
        <v>#DIV/0!</v>
      </c>
      <c r="J38" s="51">
        <f t="shared" si="5"/>
        <v>0</v>
      </c>
      <c r="K38" s="51" t="e">
        <f t="shared" si="6"/>
        <v>#DIV/0!</v>
      </c>
      <c r="L38" s="51">
        <v>0</v>
      </c>
      <c r="M38" s="51" t="str">
        <f t="shared" si="7"/>
        <v>-</v>
      </c>
      <c r="N38" s="51">
        <v>0</v>
      </c>
      <c r="O38" s="51">
        <f t="shared" ref="O38:P38" si="34">D38/7</f>
        <v>0</v>
      </c>
      <c r="P38" s="51">
        <f t="shared" si="34"/>
        <v>0</v>
      </c>
      <c r="Q38" s="51" t="e">
        <f t="shared" si="2"/>
        <v>#DIV/0!</v>
      </c>
      <c r="R38" s="55">
        <v>0</v>
      </c>
      <c r="S38" s="53"/>
      <c r="T38" s="54" t="s">
        <v>34</v>
      </c>
      <c r="U38" s="55">
        <v>0</v>
      </c>
      <c r="V38" s="55">
        <f t="shared" si="9"/>
        <v>0</v>
      </c>
      <c r="W38" s="55">
        <f t="shared" si="10"/>
        <v>0</v>
      </c>
      <c r="X38" s="55">
        <v>0</v>
      </c>
      <c r="Y38" s="55" t="e">
        <v>#N/A</v>
      </c>
      <c r="Z38" s="56" t="e">
        <f t="shared" si="11"/>
        <v>#N/A</v>
      </c>
      <c r="AA38" s="55" t="e">
        <v>#N/A</v>
      </c>
      <c r="AB38" s="55">
        <f t="shared" si="13"/>
        <v>0</v>
      </c>
      <c r="AC38" s="55">
        <v>0</v>
      </c>
      <c r="AD38" s="55">
        <v>-6.7703088888888887</v>
      </c>
      <c r="AE38" s="55">
        <v>0</v>
      </c>
      <c r="AF38" s="55" t="e">
        <v>#N/A</v>
      </c>
    </row>
    <row r="39" spans="1:32" s="57" customFormat="1" ht="15.75" customHeight="1">
      <c r="A39" s="2" t="s">
        <v>101</v>
      </c>
      <c r="B39" s="2"/>
      <c r="C39" s="51" t="str">
        <f t="shared" si="21"/>
        <v xml:space="preserve"> - </v>
      </c>
      <c r="D39" s="51">
        <v>0</v>
      </c>
      <c r="E39" s="51">
        <v>0</v>
      </c>
      <c r="F39" s="51">
        <v>0</v>
      </c>
      <c r="G39" s="51">
        <v>0</v>
      </c>
      <c r="H39" s="51" t="e">
        <f t="shared" si="3"/>
        <v>#DIV/0!</v>
      </c>
      <c r="I39" s="51" t="e">
        <f t="shared" si="4"/>
        <v>#DIV/0!</v>
      </c>
      <c r="J39" s="51">
        <f>F39*0.85+G39+AD39*D39+D39*AC39+AE40+AB39</f>
        <v>0</v>
      </c>
      <c r="K39" s="51" t="e">
        <f t="shared" si="6"/>
        <v>#DIV/0!</v>
      </c>
      <c r="L39" s="51">
        <v>0</v>
      </c>
      <c r="M39" s="51" t="str">
        <f t="shared" si="7"/>
        <v>-</v>
      </c>
      <c r="N39" s="51">
        <v>0</v>
      </c>
      <c r="O39" s="51">
        <f t="shared" ref="O39:P39" si="35">D39/7</f>
        <v>0</v>
      </c>
      <c r="P39" s="51">
        <f t="shared" si="35"/>
        <v>0</v>
      </c>
      <c r="Q39" s="51" t="e">
        <f t="shared" si="2"/>
        <v>#DIV/0!</v>
      </c>
      <c r="R39" s="55">
        <v>0</v>
      </c>
      <c r="S39" s="53" t="s">
        <v>34</v>
      </c>
      <c r="T39" s="54" t="s">
        <v>34</v>
      </c>
      <c r="U39" s="55">
        <v>0</v>
      </c>
      <c r="V39" s="55">
        <f t="shared" si="9"/>
        <v>0</v>
      </c>
      <c r="W39" s="55">
        <f t="shared" si="10"/>
        <v>0</v>
      </c>
      <c r="X39" s="55">
        <v>0</v>
      </c>
      <c r="Y39" s="55" t="e">
        <v>#N/A</v>
      </c>
      <c r="Z39" s="56" t="e">
        <f t="shared" si="11"/>
        <v>#N/A</v>
      </c>
      <c r="AA39" s="55" t="e">
        <v>#N/A</v>
      </c>
      <c r="AB39" s="55">
        <f t="shared" si="13"/>
        <v>0</v>
      </c>
      <c r="AC39" s="55">
        <v>0</v>
      </c>
      <c r="AD39" s="55">
        <v>-6.7703088888888887</v>
      </c>
      <c r="AE39" s="55">
        <v>0</v>
      </c>
      <c r="AF39" s="55" t="e">
        <v>#N/A</v>
      </c>
    </row>
    <row r="40" spans="1:32" s="57" customFormat="1" ht="15.75" customHeight="1">
      <c r="A40" s="2" t="s">
        <v>102</v>
      </c>
      <c r="B40" s="2"/>
      <c r="C40" s="51" t="s">
        <v>103</v>
      </c>
      <c r="D40" s="51">
        <v>0</v>
      </c>
      <c r="E40" s="51">
        <v>0</v>
      </c>
      <c r="F40" s="51">
        <v>0</v>
      </c>
      <c r="G40" s="51">
        <v>0</v>
      </c>
      <c r="H40" s="51" t="e">
        <v>#DIV/0!</v>
      </c>
      <c r="I40" s="51" t="e">
        <v>#DIV/0!</v>
      </c>
      <c r="J40" s="51">
        <v>0</v>
      </c>
      <c r="K40" s="51" t="e">
        <v>#DIV/0!</v>
      </c>
      <c r="L40" s="51">
        <v>0</v>
      </c>
      <c r="M40" s="51" t="s">
        <v>104</v>
      </c>
      <c r="N40" s="51">
        <v>0</v>
      </c>
      <c r="O40" s="51">
        <v>0</v>
      </c>
      <c r="P40" s="51">
        <v>0</v>
      </c>
      <c r="Q40" s="51" t="e">
        <v>#DIV/0!</v>
      </c>
      <c r="R40" s="55">
        <v>0</v>
      </c>
      <c r="S40" s="53" t="s">
        <v>34</v>
      </c>
      <c r="T40" s="54" t="s">
        <v>34</v>
      </c>
      <c r="U40" s="55">
        <v>0</v>
      </c>
      <c r="V40" s="55">
        <v>0</v>
      </c>
      <c r="W40" s="55">
        <v>0</v>
      </c>
      <c r="X40" s="55">
        <v>0</v>
      </c>
      <c r="Y40" s="55" t="e">
        <v>#N/A</v>
      </c>
      <c r="Z40" s="56" t="e">
        <v>#N/A</v>
      </c>
      <c r="AA40" s="55" t="e">
        <v>#N/A</v>
      </c>
      <c r="AB40" s="55">
        <v>0</v>
      </c>
      <c r="AC40" s="55">
        <v>0</v>
      </c>
      <c r="AD40" s="55">
        <v>-6.7703088888888887</v>
      </c>
      <c r="AE40" s="55">
        <v>0</v>
      </c>
      <c r="AF40" s="55" t="e">
        <v>#N/A</v>
      </c>
    </row>
    <row r="41" spans="1:32" s="57" customFormat="1" ht="15.75" customHeight="1">
      <c r="A41" s="2" t="s">
        <v>105</v>
      </c>
      <c r="B41" s="2"/>
      <c r="C41" s="51" t="str">
        <f t="shared" ref="C41:C56" si="36">IFERROR(F41/D41," - ")</f>
        <v xml:space="preserve"> - </v>
      </c>
      <c r="D41" s="51">
        <v>0</v>
      </c>
      <c r="E41" s="51">
        <v>0</v>
      </c>
      <c r="F41" s="51">
        <v>0</v>
      </c>
      <c r="G41" s="51">
        <v>0</v>
      </c>
      <c r="H41" s="51" t="e">
        <f t="shared" ref="H41:H56" si="37">G41/F41*-1</f>
        <v>#DIV/0!</v>
      </c>
      <c r="I41" s="51" t="e">
        <f t="shared" ref="I41:I56" si="38">J41/F41</f>
        <v>#DIV/0!</v>
      </c>
      <c r="J41" s="51">
        <f t="shared" ref="J41:J48" si="39">F41*0.85+G41+AD41*D41+D41*AC41+AE42+AB41</f>
        <v>0</v>
      </c>
      <c r="K41" s="51" t="e">
        <f t="shared" ref="K41:K56" si="40">J41/D41</f>
        <v>#DIV/0!</v>
      </c>
      <c r="L41" s="51">
        <v>0</v>
      </c>
      <c r="M41" s="51" t="str">
        <f t="shared" ref="M41:M56" si="41">IFERROR(D41/L41,"-")</f>
        <v>-</v>
      </c>
      <c r="N41" s="51">
        <v>0</v>
      </c>
      <c r="O41" s="51">
        <f t="shared" ref="O41:P41" si="42">D41/7</f>
        <v>0</v>
      </c>
      <c r="P41" s="51">
        <f t="shared" si="42"/>
        <v>0</v>
      </c>
      <c r="Q41" s="51" t="e">
        <f t="shared" ref="Q41:Q56" si="43">ROUNDDOWN(N41/(O41+P41),0)</f>
        <v>#DIV/0!</v>
      </c>
      <c r="R41" s="55">
        <v>0</v>
      </c>
      <c r="S41" s="53" t="s">
        <v>34</v>
      </c>
      <c r="T41" s="54" t="s">
        <v>34</v>
      </c>
      <c r="U41" s="55">
        <v>0</v>
      </c>
      <c r="V41" s="55">
        <f t="shared" ref="V41:V56" si="44">IFERROR(U41/D41,0)</f>
        <v>0</v>
      </c>
      <c r="W41" s="55">
        <f t="shared" ref="W41:W56" si="45">IFERROR(G41/(U41+X41)*-1,0)</f>
        <v>0</v>
      </c>
      <c r="X41" s="55">
        <v>0</v>
      </c>
      <c r="Y41" s="52" t="e">
        <v>#N/A</v>
      </c>
      <c r="Z41" s="56" t="e">
        <f t="shared" ref="Z41:Z43" si="46">IF(OR(Y41="UsLargeStandardSize",Y41="UsSmallStandardSize"),-0.75,-0.48)</f>
        <v>#N/A</v>
      </c>
      <c r="AA41" s="55" t="e">
        <v>#N/A</v>
      </c>
      <c r="AB41" s="55">
        <f t="shared" ref="AB41:AB56" si="47">IFERROR(Z41*AA41*D41*3,0)</f>
        <v>0</v>
      </c>
      <c r="AC41" s="55">
        <v>0</v>
      </c>
      <c r="AD41" s="55">
        <v>-6.7703088888888887</v>
      </c>
      <c r="AE41" s="55">
        <v>0</v>
      </c>
      <c r="AF41" s="55" t="e">
        <v>#N/A</v>
      </c>
    </row>
    <row r="42" spans="1:32" s="57" customFormat="1" ht="15.75" customHeight="1">
      <c r="A42" s="2" t="s">
        <v>106</v>
      </c>
      <c r="B42" s="2"/>
      <c r="C42" s="51" t="str">
        <f t="shared" si="36"/>
        <v xml:space="preserve"> - </v>
      </c>
      <c r="D42" s="51">
        <v>0</v>
      </c>
      <c r="E42" s="51">
        <v>0</v>
      </c>
      <c r="F42" s="51">
        <v>0</v>
      </c>
      <c r="G42" s="51">
        <v>0</v>
      </c>
      <c r="H42" s="51" t="e">
        <f t="shared" si="37"/>
        <v>#DIV/0!</v>
      </c>
      <c r="I42" s="51" t="e">
        <f t="shared" si="38"/>
        <v>#DIV/0!</v>
      </c>
      <c r="J42" s="51">
        <f t="shared" si="39"/>
        <v>0</v>
      </c>
      <c r="K42" s="51" t="e">
        <f t="shared" si="40"/>
        <v>#DIV/0!</v>
      </c>
      <c r="L42" s="51">
        <v>0</v>
      </c>
      <c r="M42" s="51" t="str">
        <f t="shared" si="41"/>
        <v>-</v>
      </c>
      <c r="N42" s="51">
        <v>0</v>
      </c>
      <c r="O42" s="51">
        <f t="shared" ref="O42:P42" si="48">D42/7</f>
        <v>0</v>
      </c>
      <c r="P42" s="51">
        <f t="shared" si="48"/>
        <v>0</v>
      </c>
      <c r="Q42" s="51" t="e">
        <f t="shared" si="43"/>
        <v>#DIV/0!</v>
      </c>
      <c r="R42" s="55" t="str">
        <f ca="1">IFERROR(__xludf.DUMMYFUNCTION("IFERROR(VLOOKUP($B$2,IMPORTRANGE(""https://docs.google.com/spreadsheets/d/1iVgg6Mw12RULLujzHmfOFIY8Q_KaAD8anoZzgtVAQ74/edit#gid=1503384807"",""Second Star - Summary!A1:AD2000""),9,FALSE),"""")"),"")</f>
        <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0</v>
      </c>
      <c r="V42" s="55">
        <f t="shared" si="44"/>
        <v>0</v>
      </c>
      <c r="W42" s="55">
        <f t="shared" si="45"/>
        <v>0</v>
      </c>
      <c r="X42" s="55">
        <v>0</v>
      </c>
      <c r="Y42" s="55" t="e">
        <v>#N/A</v>
      </c>
      <c r="Z42" s="56" t="e">
        <f t="shared" si="46"/>
        <v>#N/A</v>
      </c>
      <c r="AA42" s="55" t="e">
        <v>#N/A</v>
      </c>
      <c r="AB42" s="55">
        <f t="shared" si="47"/>
        <v>0</v>
      </c>
      <c r="AC42" s="55">
        <v>0</v>
      </c>
      <c r="AD42" s="55">
        <v>-6.7703088888888887</v>
      </c>
      <c r="AE42" s="55">
        <v>0</v>
      </c>
      <c r="AF42" s="55" t="e">
        <v>#N/A</v>
      </c>
    </row>
    <row r="43" spans="1:32" s="57" customFormat="1" ht="15.75" customHeight="1">
      <c r="A43" s="2" t="s">
        <v>107</v>
      </c>
      <c r="B43" s="2"/>
      <c r="C43" s="51" t="str">
        <f t="shared" si="36"/>
        <v xml:space="preserve"> - </v>
      </c>
      <c r="D43" s="51">
        <v>0</v>
      </c>
      <c r="E43" s="51">
        <v>0</v>
      </c>
      <c r="F43" s="51">
        <v>0</v>
      </c>
      <c r="G43" s="51">
        <v>0</v>
      </c>
      <c r="H43" s="51" t="e">
        <f t="shared" si="37"/>
        <v>#DIV/0!</v>
      </c>
      <c r="I43" s="51" t="e">
        <f t="shared" si="38"/>
        <v>#DIV/0!</v>
      </c>
      <c r="J43" s="51">
        <f t="shared" si="39"/>
        <v>0</v>
      </c>
      <c r="K43" s="51" t="e">
        <f t="shared" si="40"/>
        <v>#DIV/0!</v>
      </c>
      <c r="L43" s="51">
        <v>0</v>
      </c>
      <c r="M43" s="51" t="str">
        <f t="shared" si="41"/>
        <v>-</v>
      </c>
      <c r="N43" s="51">
        <v>0</v>
      </c>
      <c r="O43" s="51">
        <f t="shared" ref="O43:P43" si="49">D43/7</f>
        <v>0</v>
      </c>
      <c r="P43" s="51">
        <f t="shared" si="49"/>
        <v>0</v>
      </c>
      <c r="Q43" s="51" t="e">
        <f t="shared" si="43"/>
        <v>#DIV/0!</v>
      </c>
      <c r="R43" s="55">
        <v>0</v>
      </c>
      <c r="S43" s="53" t="s">
        <v>34</v>
      </c>
      <c r="T43" s="54" t="s">
        <v>34</v>
      </c>
      <c r="U43" s="55">
        <v>0</v>
      </c>
      <c r="V43" s="55">
        <f t="shared" si="44"/>
        <v>0</v>
      </c>
      <c r="W43" s="55">
        <f t="shared" si="45"/>
        <v>0</v>
      </c>
      <c r="X43" s="55">
        <v>0</v>
      </c>
      <c r="Y43" s="55" t="e">
        <v>#N/A</v>
      </c>
      <c r="Z43" s="56" t="e">
        <f t="shared" si="46"/>
        <v>#N/A</v>
      </c>
      <c r="AA43" s="55" t="e">
        <v>#N/A</v>
      </c>
      <c r="AB43" s="55">
        <f t="shared" si="47"/>
        <v>0</v>
      </c>
      <c r="AC43" s="55">
        <v>0</v>
      </c>
      <c r="AD43" s="55">
        <v>-6.7703088888888887</v>
      </c>
      <c r="AE43" s="55">
        <v>0</v>
      </c>
      <c r="AF43" s="55" t="e">
        <v>#N/A</v>
      </c>
    </row>
    <row r="44" spans="1:32" s="57" customFormat="1" ht="15.75" customHeight="1">
      <c r="A44" s="2" t="s">
        <v>108</v>
      </c>
      <c r="B44" s="2"/>
      <c r="C44" s="51" t="str">
        <f t="shared" si="36"/>
        <v xml:space="preserve"> - </v>
      </c>
      <c r="D44" s="51">
        <v>0</v>
      </c>
      <c r="E44" s="51">
        <v>0</v>
      </c>
      <c r="F44" s="51">
        <v>0</v>
      </c>
      <c r="G44" s="51">
        <v>0</v>
      </c>
      <c r="H44" s="51" t="e">
        <f t="shared" si="37"/>
        <v>#DIV/0!</v>
      </c>
      <c r="I44" s="51" t="e">
        <f t="shared" si="38"/>
        <v>#DIV/0!</v>
      </c>
      <c r="J44" s="51">
        <f t="shared" si="39"/>
        <v>0</v>
      </c>
      <c r="K44" s="51" t="e">
        <f t="shared" si="40"/>
        <v>#DIV/0!</v>
      </c>
      <c r="L44" s="51">
        <v>0</v>
      </c>
      <c r="M44" s="51" t="str">
        <f t="shared" si="41"/>
        <v>-</v>
      </c>
      <c r="N44" s="51">
        <v>0</v>
      </c>
      <c r="O44" s="51">
        <f t="shared" ref="O44:P44" si="50">D44/7</f>
        <v>0</v>
      </c>
      <c r="P44" s="51">
        <f t="shared" si="50"/>
        <v>0</v>
      </c>
      <c r="Q44" s="51" t="e">
        <f t="shared" si="43"/>
        <v>#DIV/0!</v>
      </c>
      <c r="R44" s="55">
        <v>0</v>
      </c>
      <c r="S44" s="53" t="s">
        <v>34</v>
      </c>
      <c r="T44" s="54" t="s">
        <v>34</v>
      </c>
      <c r="U44" s="55">
        <v>0</v>
      </c>
      <c r="V44" s="55">
        <f t="shared" si="44"/>
        <v>0</v>
      </c>
      <c r="W44" s="55">
        <f t="shared" si="45"/>
        <v>0</v>
      </c>
      <c r="X44" s="55">
        <v>0</v>
      </c>
      <c r="Y44" s="55" t="e">
        <v>#N/A</v>
      </c>
      <c r="Z44" s="56" t="e">
        <f t="shared" ref="Z44:Z56" si="51">IF(OR(Y44="UsLargeStandardSize",Y44="UsSmallStandardSize"),-2.4,-1.2)</f>
        <v>#N/A</v>
      </c>
      <c r="AA44" s="55" t="e">
        <v>#N/A</v>
      </c>
      <c r="AB44" s="55">
        <f t="shared" si="47"/>
        <v>0</v>
      </c>
      <c r="AC44" s="55">
        <v>0</v>
      </c>
      <c r="AD44" s="55">
        <v>-6.7703088888888887</v>
      </c>
      <c r="AE44" s="55">
        <v>0</v>
      </c>
      <c r="AF44" s="55" t="e">
        <v>#N/A</v>
      </c>
    </row>
    <row r="45" spans="1:32" s="57" customFormat="1" ht="15.75" customHeight="1">
      <c r="A45" s="2" t="s">
        <v>109</v>
      </c>
      <c r="B45" s="2"/>
      <c r="C45" s="51" t="str">
        <f t="shared" si="36"/>
        <v xml:space="preserve"> - </v>
      </c>
      <c r="D45" s="51">
        <v>0</v>
      </c>
      <c r="E45" s="51">
        <v>0</v>
      </c>
      <c r="F45" s="51">
        <v>0</v>
      </c>
      <c r="G45" s="51">
        <v>0</v>
      </c>
      <c r="H45" s="51" t="e">
        <f t="shared" si="37"/>
        <v>#DIV/0!</v>
      </c>
      <c r="I45" s="51" t="e">
        <f t="shared" si="38"/>
        <v>#DIV/0!</v>
      </c>
      <c r="J45" s="51">
        <f t="shared" si="39"/>
        <v>0</v>
      </c>
      <c r="K45" s="51" t="e">
        <f t="shared" si="40"/>
        <v>#DIV/0!</v>
      </c>
      <c r="L45" s="51">
        <v>0</v>
      </c>
      <c r="M45" s="51" t="str">
        <f t="shared" si="41"/>
        <v>-</v>
      </c>
      <c r="N45" s="51">
        <v>0</v>
      </c>
      <c r="O45" s="51">
        <f t="shared" ref="O45:P45" si="52">D45/7</f>
        <v>0</v>
      </c>
      <c r="P45" s="51">
        <f t="shared" si="52"/>
        <v>0</v>
      </c>
      <c r="Q45" s="51" t="e">
        <f t="shared" si="43"/>
        <v>#DIV/0!</v>
      </c>
      <c r="R45" s="55">
        <v>0</v>
      </c>
      <c r="S45" s="53" t="s">
        <v>34</v>
      </c>
      <c r="T45" s="54" t="s">
        <v>34</v>
      </c>
      <c r="U45" s="55">
        <v>0</v>
      </c>
      <c r="V45" s="55">
        <f t="shared" si="44"/>
        <v>0</v>
      </c>
      <c r="W45" s="55">
        <f t="shared" si="45"/>
        <v>0</v>
      </c>
      <c r="X45" s="55">
        <v>0</v>
      </c>
      <c r="Y45" s="55" t="e">
        <v>#N/A</v>
      </c>
      <c r="Z45" s="56" t="e">
        <f t="shared" si="51"/>
        <v>#N/A</v>
      </c>
      <c r="AA45" s="55" t="e">
        <v>#N/A</v>
      </c>
      <c r="AB45" s="55">
        <f t="shared" si="47"/>
        <v>0</v>
      </c>
      <c r="AC45" s="55">
        <v>0</v>
      </c>
      <c r="AD45" s="55">
        <v>-6.7703088888888887</v>
      </c>
      <c r="AE45" s="55">
        <v>0</v>
      </c>
      <c r="AF45" s="55" t="e">
        <v>#N/A</v>
      </c>
    </row>
    <row r="46" spans="1:32" s="57" customFormat="1" ht="15.75" customHeight="1">
      <c r="A46" s="2" t="s">
        <v>111</v>
      </c>
      <c r="B46" s="2"/>
      <c r="C46" s="51" t="str">
        <f t="shared" si="36"/>
        <v xml:space="preserve"> - </v>
      </c>
      <c r="D46" s="51">
        <v>0</v>
      </c>
      <c r="E46" s="51">
        <v>0</v>
      </c>
      <c r="F46" s="51">
        <v>0</v>
      </c>
      <c r="G46" s="51">
        <v>0</v>
      </c>
      <c r="H46" s="51" t="e">
        <f t="shared" si="37"/>
        <v>#DIV/0!</v>
      </c>
      <c r="I46" s="51" t="e">
        <f t="shared" si="38"/>
        <v>#DIV/0!</v>
      </c>
      <c r="J46" s="51">
        <f t="shared" si="39"/>
        <v>0</v>
      </c>
      <c r="K46" s="51" t="e">
        <f t="shared" si="40"/>
        <v>#DIV/0!</v>
      </c>
      <c r="L46" s="51">
        <v>0</v>
      </c>
      <c r="M46" s="51" t="str">
        <f t="shared" si="41"/>
        <v>-</v>
      </c>
      <c r="N46" s="51">
        <v>0</v>
      </c>
      <c r="O46" s="51">
        <f t="shared" ref="O46:P46" si="53">D46/7</f>
        <v>0</v>
      </c>
      <c r="P46" s="51">
        <f t="shared" si="53"/>
        <v>0</v>
      </c>
      <c r="Q46" s="51" t="e">
        <f t="shared" si="43"/>
        <v>#DIV/0!</v>
      </c>
      <c r="R46" s="55">
        <v>0</v>
      </c>
      <c r="S46" s="53" t="s">
        <v>34</v>
      </c>
      <c r="T46" s="54" t="s">
        <v>34</v>
      </c>
      <c r="U46" s="55">
        <v>0</v>
      </c>
      <c r="V46" s="55">
        <f t="shared" si="44"/>
        <v>0</v>
      </c>
      <c r="W46" s="55">
        <f t="shared" si="45"/>
        <v>0</v>
      </c>
      <c r="X46" s="55">
        <v>0</v>
      </c>
      <c r="Y46" s="55" t="e">
        <v>#N/A</v>
      </c>
      <c r="Z46" s="56" t="e">
        <f t="shared" si="51"/>
        <v>#N/A</v>
      </c>
      <c r="AA46" s="55" t="e">
        <v>#N/A</v>
      </c>
      <c r="AB46" s="55">
        <f t="shared" si="47"/>
        <v>0</v>
      </c>
      <c r="AC46" s="55">
        <v>0</v>
      </c>
      <c r="AD46" s="55">
        <v>-6.7703088888888887</v>
      </c>
      <c r="AE46" s="55">
        <v>0</v>
      </c>
      <c r="AF46" s="55" t="e">
        <v>#N/A</v>
      </c>
    </row>
    <row r="47" spans="1:32" s="57" customFormat="1" ht="15.75" customHeight="1">
      <c r="A47" s="2" t="s">
        <v>113</v>
      </c>
      <c r="B47" s="2"/>
      <c r="C47" s="51" t="str">
        <f t="shared" si="36"/>
        <v xml:space="preserve"> - </v>
      </c>
      <c r="D47" s="51">
        <v>0</v>
      </c>
      <c r="E47" s="51">
        <v>0</v>
      </c>
      <c r="F47" s="51">
        <v>0</v>
      </c>
      <c r="G47" s="51">
        <v>0</v>
      </c>
      <c r="H47" s="51" t="e">
        <f t="shared" si="37"/>
        <v>#DIV/0!</v>
      </c>
      <c r="I47" s="51" t="e">
        <f t="shared" si="38"/>
        <v>#VALUE!</v>
      </c>
      <c r="J47" s="51" t="e">
        <f t="shared" si="39"/>
        <v>#VALUE!</v>
      </c>
      <c r="K47" s="51" t="e">
        <f t="shared" si="40"/>
        <v>#VALUE!</v>
      </c>
      <c r="L47" s="51">
        <v>0</v>
      </c>
      <c r="M47" s="51" t="str">
        <f t="shared" si="41"/>
        <v>-</v>
      </c>
      <c r="N47" s="51">
        <v>0</v>
      </c>
      <c r="O47" s="51">
        <f t="shared" ref="O47:P47" si="54">D47/7</f>
        <v>0</v>
      </c>
      <c r="P47" s="51">
        <f t="shared" si="54"/>
        <v>0</v>
      </c>
      <c r="Q47" s="51" t="e">
        <f t="shared" si="43"/>
        <v>#DIV/0!</v>
      </c>
      <c r="R47" s="55">
        <v>0</v>
      </c>
      <c r="S47" s="53" t="s">
        <v>34</v>
      </c>
      <c r="T47" s="54" t="s">
        <v>34</v>
      </c>
      <c r="U47" s="55">
        <v>0</v>
      </c>
      <c r="V47" s="55">
        <f t="shared" si="44"/>
        <v>0</v>
      </c>
      <c r="W47" s="55">
        <f t="shared" si="45"/>
        <v>0</v>
      </c>
      <c r="X47" s="55">
        <v>0</v>
      </c>
      <c r="Y47" s="55" t="e">
        <v>#N/A</v>
      </c>
      <c r="Z47" s="56" t="e">
        <f t="shared" si="51"/>
        <v>#N/A</v>
      </c>
      <c r="AA47" s="55" t="e">
        <v>#N/A</v>
      </c>
      <c r="AB47" s="55">
        <f t="shared" si="47"/>
        <v>0</v>
      </c>
      <c r="AC47" s="55">
        <v>0</v>
      </c>
      <c r="AD47" s="55" t="e">
        <v>#VALUE!</v>
      </c>
      <c r="AE47" s="55">
        <v>0</v>
      </c>
      <c r="AF47" s="55" t="e">
        <v>#N/A</v>
      </c>
    </row>
    <row r="48" spans="1:32" s="57" customFormat="1" ht="15.75" customHeight="1">
      <c r="A48" s="2" t="s">
        <v>115</v>
      </c>
      <c r="B48" s="2"/>
      <c r="C48" s="51" t="str">
        <f t="shared" si="36"/>
        <v xml:space="preserve"> - </v>
      </c>
      <c r="D48" s="51">
        <v>0</v>
      </c>
      <c r="E48" s="51">
        <v>0</v>
      </c>
      <c r="F48" s="51">
        <v>0</v>
      </c>
      <c r="G48" s="51">
        <v>0</v>
      </c>
      <c r="H48" s="51" t="e">
        <f t="shared" si="37"/>
        <v>#DIV/0!</v>
      </c>
      <c r="I48" s="51" t="e">
        <f t="shared" si="38"/>
        <v>#VALUE!</v>
      </c>
      <c r="J48" s="51" t="e">
        <f t="shared" si="39"/>
        <v>#VALUE!</v>
      </c>
      <c r="K48" s="51" t="e">
        <f t="shared" si="40"/>
        <v>#VALUE!</v>
      </c>
      <c r="L48" s="51">
        <v>0</v>
      </c>
      <c r="M48" s="51" t="str">
        <f t="shared" si="41"/>
        <v>-</v>
      </c>
      <c r="N48" s="51">
        <v>0</v>
      </c>
      <c r="O48" s="51">
        <f t="shared" ref="O48:P48" si="55">D48/7</f>
        <v>0</v>
      </c>
      <c r="P48" s="51">
        <f t="shared" si="55"/>
        <v>0</v>
      </c>
      <c r="Q48" s="51" t="e">
        <f t="shared" si="43"/>
        <v>#DIV/0!</v>
      </c>
      <c r="R48" s="55" t="str">
        <f ca="1">IFERROR(__xludf.DUMMYFUNCTION("IFERROR(VLOOKUP($B$2,IMPORTRANGE(""https://docs.google.com/spreadsheets/d/1iVgg6Mw12RULLujzHmfOFIY8Q_KaAD8anoZzgtVAQ74/edit#gid=1503384807"",""Second Star - Summary!A1:AD2000""),9,FALSE),"""")"),"")</f>
        <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si="44"/>
        <v>0</v>
      </c>
      <c r="W48" s="55">
        <f t="shared" si="45"/>
        <v>0</v>
      </c>
      <c r="X48" s="55">
        <v>0</v>
      </c>
      <c r="Y48" s="55" t="e">
        <v>#N/A</v>
      </c>
      <c r="Z48" s="56" t="e">
        <f t="shared" si="51"/>
        <v>#N/A</v>
      </c>
      <c r="AA48" s="55" t="e">
        <v>#N/A</v>
      </c>
      <c r="AB48" s="55">
        <f t="shared" si="47"/>
        <v>0</v>
      </c>
      <c r="AC48" s="55">
        <v>0</v>
      </c>
      <c r="AD48" s="55" t="e">
        <v>#VALUE!</v>
      </c>
      <c r="AE48" s="55">
        <v>0</v>
      </c>
      <c r="AF48" s="55" t="e">
        <v>#N/A</v>
      </c>
    </row>
    <row r="49" spans="1:32" s="57" customFormat="1" ht="15.75" customHeight="1">
      <c r="A49" s="2" t="s">
        <v>117</v>
      </c>
      <c r="B49" s="2"/>
      <c r="C49" s="51" t="str">
        <f t="shared" si="36"/>
        <v xml:space="preserve"> - </v>
      </c>
      <c r="D49" s="51">
        <v>0</v>
      </c>
      <c r="E49" s="51">
        <v>0</v>
      </c>
      <c r="F49" s="51">
        <v>0</v>
      </c>
      <c r="G49" s="51">
        <v>0</v>
      </c>
      <c r="H49" s="51" t="e">
        <f t="shared" si="37"/>
        <v>#DIV/0!</v>
      </c>
      <c r="I49" s="51" t="e">
        <f t="shared" si="38"/>
        <v>#VALUE!</v>
      </c>
      <c r="J49" s="51" t="e">
        <f t="shared" ref="J49:J56" si="56">F49*0.85+G49+AD49*D49+D49*AC49+AE49+AB49</f>
        <v>#VALUE!</v>
      </c>
      <c r="K49" s="51" t="e">
        <f t="shared" si="40"/>
        <v>#VALUE!</v>
      </c>
      <c r="L49" s="51">
        <v>0</v>
      </c>
      <c r="M49" s="51" t="str">
        <f t="shared" si="41"/>
        <v>-</v>
      </c>
      <c r="N49" s="51">
        <v>0</v>
      </c>
      <c r="O49" s="51">
        <f t="shared" ref="O49:P49" si="57">D49/7</f>
        <v>0</v>
      </c>
      <c r="P49" s="51">
        <f t="shared" si="57"/>
        <v>0</v>
      </c>
      <c r="Q49" s="51" t="e">
        <f t="shared" si="43"/>
        <v>#DIV/0!</v>
      </c>
      <c r="R49" s="55" t="str">
        <f ca="1">IFERROR(__xludf.DUMMYFUNCTION("IFERROR(VLOOKUP($B$2,IMPORTRANGE(""https://docs.google.com/spreadsheets/d/1iVgg6Mw12RULLujzHmfOFIY8Q_KaAD8anoZzgtVAQ74/edit#gid=1503384807"",""Second Star - Summary!A1:AD2000""),9,FALSE),"""")"),"")</f>
        <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44"/>
        <v>0</v>
      </c>
      <c r="W49" s="55">
        <f t="shared" si="45"/>
        <v>0</v>
      </c>
      <c r="X49" s="55">
        <v>0</v>
      </c>
      <c r="Y49" s="55" t="e">
        <v>#N/A</v>
      </c>
      <c r="Z49" s="56" t="e">
        <f t="shared" si="51"/>
        <v>#N/A</v>
      </c>
      <c r="AA49" s="55" t="e">
        <v>#N/A</v>
      </c>
      <c r="AB49" s="55">
        <f t="shared" si="47"/>
        <v>0</v>
      </c>
      <c r="AC49" s="55">
        <v>0</v>
      </c>
      <c r="AD49" s="55" t="e">
        <v>#VALUE!</v>
      </c>
      <c r="AE49" s="55">
        <v>0</v>
      </c>
      <c r="AF49" s="55" t="e">
        <v>#N/A</v>
      </c>
    </row>
    <row r="50" spans="1:32" s="57" customFormat="1" ht="15.75" customHeight="1">
      <c r="A50" s="2" t="s">
        <v>119</v>
      </c>
      <c r="B50" s="2"/>
      <c r="C50" s="51" t="str">
        <f t="shared" si="36"/>
        <v xml:space="preserve"> - </v>
      </c>
      <c r="D50" s="51">
        <v>0</v>
      </c>
      <c r="E50" s="51">
        <v>0</v>
      </c>
      <c r="F50" s="51">
        <v>0</v>
      </c>
      <c r="G50" s="51">
        <v>0</v>
      </c>
      <c r="H50" s="51" t="e">
        <f t="shared" si="37"/>
        <v>#DIV/0!</v>
      </c>
      <c r="I50" s="51" t="e">
        <f t="shared" si="38"/>
        <v>#VALUE!</v>
      </c>
      <c r="J50" s="51" t="e">
        <f t="shared" si="56"/>
        <v>#VALUE!</v>
      </c>
      <c r="K50" s="51" t="e">
        <f t="shared" si="40"/>
        <v>#VALUE!</v>
      </c>
      <c r="L50" s="51">
        <v>0</v>
      </c>
      <c r="M50" s="51" t="str">
        <f t="shared" si="41"/>
        <v>-</v>
      </c>
      <c r="N50" s="51">
        <v>0</v>
      </c>
      <c r="O50" s="51">
        <f t="shared" ref="O50:P50" si="58">D50/7</f>
        <v>0</v>
      </c>
      <c r="P50" s="51">
        <f t="shared" si="58"/>
        <v>0</v>
      </c>
      <c r="Q50" s="51" t="e">
        <f t="shared" si="43"/>
        <v>#DIV/0!</v>
      </c>
      <c r="R50" s="55" t="str">
        <f ca="1">IFERROR(__xludf.DUMMYFUNCTION("IFERROR(VLOOKUP($B$2,IMPORTRANGE(""https://docs.google.com/spreadsheets/d/1iVgg6Mw12RULLujzHmfOFIY8Q_KaAD8anoZzgtVAQ74/edit#gid=1503384807"",""Second Star - Summary!A1:AD2000""),9,FALSE),"""")"),"")</f>
        <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44"/>
        <v>0</v>
      </c>
      <c r="W50" s="55">
        <f t="shared" si="45"/>
        <v>0</v>
      </c>
      <c r="X50" s="55">
        <v>0</v>
      </c>
      <c r="Y50" s="55" t="e">
        <v>#N/A</v>
      </c>
      <c r="Z50" s="56" t="e">
        <f t="shared" si="51"/>
        <v>#N/A</v>
      </c>
      <c r="AA50" s="55" t="e">
        <v>#N/A</v>
      </c>
      <c r="AB50" s="55">
        <f t="shared" si="47"/>
        <v>0</v>
      </c>
      <c r="AC50" s="55">
        <v>0</v>
      </c>
      <c r="AD50" s="55" t="e">
        <v>#VALUE!</v>
      </c>
      <c r="AE50" s="55">
        <v>0</v>
      </c>
      <c r="AF50" s="55" t="e">
        <v>#N/A</v>
      </c>
    </row>
    <row r="51" spans="1:32" s="57" customFormat="1" ht="15.75" customHeight="1">
      <c r="A51" s="2" t="s">
        <v>121</v>
      </c>
      <c r="B51" s="2"/>
      <c r="C51" s="51" t="str">
        <f t="shared" si="36"/>
        <v xml:space="preserve"> - </v>
      </c>
      <c r="D51" s="51">
        <v>0</v>
      </c>
      <c r="E51" s="51">
        <v>0</v>
      </c>
      <c r="F51" s="51">
        <v>0</v>
      </c>
      <c r="G51" s="51">
        <v>0</v>
      </c>
      <c r="H51" s="51" t="e">
        <f t="shared" si="37"/>
        <v>#DIV/0!</v>
      </c>
      <c r="I51" s="51" t="e">
        <f t="shared" si="38"/>
        <v>#VALUE!</v>
      </c>
      <c r="J51" s="51" t="e">
        <f t="shared" si="56"/>
        <v>#VALUE!</v>
      </c>
      <c r="K51" s="51" t="e">
        <f t="shared" si="40"/>
        <v>#VALUE!</v>
      </c>
      <c r="L51" s="51">
        <v>0</v>
      </c>
      <c r="M51" s="51" t="str">
        <f t="shared" si="41"/>
        <v>-</v>
      </c>
      <c r="N51" s="51">
        <v>0</v>
      </c>
      <c r="O51" s="51">
        <f t="shared" ref="O51:P51" si="59">D51/7</f>
        <v>0</v>
      </c>
      <c r="P51" s="51">
        <f t="shared" si="59"/>
        <v>0</v>
      </c>
      <c r="Q51" s="51" t="e">
        <f t="shared" si="43"/>
        <v>#DIV/0!</v>
      </c>
      <c r="R51" s="55" t="str">
        <f ca="1">IFERROR(__xludf.DUMMYFUNCTION("IFERROR(VLOOKUP($B$2,IMPORTRANGE(""https://docs.google.com/spreadsheets/d/1iVgg6Mw12RULLujzHmfOFIY8Q_KaAD8anoZzgtVAQ74/edit#gid=1503384807"",""Second Star - Summary!A1:AD2000""),9,FALSE),"""")"),"")</f>
        <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44"/>
        <v>0</v>
      </c>
      <c r="W51" s="55">
        <f t="shared" si="45"/>
        <v>0</v>
      </c>
      <c r="X51" s="55">
        <v>0</v>
      </c>
      <c r="Y51" s="55" t="e">
        <v>#N/A</v>
      </c>
      <c r="Z51" s="56" t="e">
        <f t="shared" si="51"/>
        <v>#N/A</v>
      </c>
      <c r="AA51" s="55" t="e">
        <v>#N/A</v>
      </c>
      <c r="AB51" s="55">
        <f t="shared" si="47"/>
        <v>0</v>
      </c>
      <c r="AC51" s="55">
        <v>0</v>
      </c>
      <c r="AD51" s="55" t="e">
        <v>#VALUE!</v>
      </c>
      <c r="AE51" s="55">
        <v>0</v>
      </c>
      <c r="AF51" s="55" t="e">
        <v>#N/A</v>
      </c>
    </row>
    <row r="52" spans="1:32" s="57" customFormat="1" ht="15.75" customHeight="1">
      <c r="A52" s="2" t="s">
        <v>123</v>
      </c>
      <c r="B52" s="2"/>
      <c r="C52" s="51" t="str">
        <f t="shared" si="36"/>
        <v xml:space="preserve"> - </v>
      </c>
      <c r="D52" s="51">
        <v>0</v>
      </c>
      <c r="E52" s="51">
        <v>0</v>
      </c>
      <c r="F52" s="51">
        <v>0</v>
      </c>
      <c r="G52" s="51">
        <v>0</v>
      </c>
      <c r="H52" s="51" t="e">
        <f t="shared" si="37"/>
        <v>#DIV/0!</v>
      </c>
      <c r="I52" s="51" t="e">
        <f t="shared" si="38"/>
        <v>#DIV/0!</v>
      </c>
      <c r="J52" s="51">
        <f t="shared" si="56"/>
        <v>0</v>
      </c>
      <c r="K52" s="51" t="e">
        <f t="shared" si="40"/>
        <v>#DIV/0!</v>
      </c>
      <c r="L52" s="51">
        <v>0</v>
      </c>
      <c r="M52" s="51" t="str">
        <f t="shared" si="41"/>
        <v>-</v>
      </c>
      <c r="N52" s="51">
        <v>0</v>
      </c>
      <c r="O52" s="51">
        <f t="shared" ref="O52:P52" si="60">D52/7</f>
        <v>0</v>
      </c>
      <c r="P52" s="51">
        <f t="shared" si="60"/>
        <v>0</v>
      </c>
      <c r="Q52" s="51" t="e">
        <f t="shared" si="43"/>
        <v>#DIV/0!</v>
      </c>
      <c r="R52" s="55" t="str">
        <f ca="1">IFERROR(__xludf.DUMMYFUNCTION("IFERROR(VLOOKUP($B$2,IMPORTRANGE(""https://docs.google.com/spreadsheets/d/1iVgg6Mw12RULLujzHmfOFIY8Q_KaAD8anoZzgtVAQ74/edit#gid=1503384807"",""Second Star - Summary!A1:AD2000""),9,FALSE),"""")"),"")</f>
        <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44"/>
        <v>0</v>
      </c>
      <c r="W52" s="55">
        <f t="shared" si="45"/>
        <v>0</v>
      </c>
      <c r="X52" s="55">
        <v>0</v>
      </c>
      <c r="Y52" s="55" t="e">
        <v>#N/A</v>
      </c>
      <c r="Z52" s="56" t="e">
        <f t="shared" si="51"/>
        <v>#N/A</v>
      </c>
      <c r="AA52" s="55" t="e">
        <v>#N/A</v>
      </c>
      <c r="AB52" s="55">
        <f t="shared" si="47"/>
        <v>0</v>
      </c>
      <c r="AC52" s="55">
        <v>0</v>
      </c>
      <c r="AD52" s="55">
        <v>-6.7370136363636304</v>
      </c>
      <c r="AE52" s="55">
        <v>0</v>
      </c>
      <c r="AF52" s="55">
        <v>0</v>
      </c>
    </row>
    <row r="53" spans="1:32" s="57" customFormat="1">
      <c r="A53" s="2" t="s">
        <v>38</v>
      </c>
      <c r="B53" s="2"/>
      <c r="C53" s="51" t="str">
        <f t="shared" si="36"/>
        <v xml:space="preserve"> - </v>
      </c>
      <c r="D53" s="51">
        <v>0</v>
      </c>
      <c r="E53" s="51">
        <v>0</v>
      </c>
      <c r="F53" s="51">
        <v>0</v>
      </c>
      <c r="G53" s="51">
        <v>0</v>
      </c>
      <c r="H53" s="51" t="e">
        <f t="shared" si="37"/>
        <v>#DIV/0!</v>
      </c>
      <c r="I53" s="51" t="e">
        <f t="shared" si="38"/>
        <v>#DIV/0!</v>
      </c>
      <c r="J53" s="51">
        <f t="shared" si="56"/>
        <v>0</v>
      </c>
      <c r="K53" s="51" t="e">
        <f t="shared" si="40"/>
        <v>#DIV/0!</v>
      </c>
      <c r="L53" s="51">
        <v>0</v>
      </c>
      <c r="M53" s="51" t="str">
        <f t="shared" si="41"/>
        <v>-</v>
      </c>
      <c r="N53" s="51">
        <v>0</v>
      </c>
      <c r="O53" s="51">
        <f t="shared" ref="O53:P53" si="61">D53/7</f>
        <v>0</v>
      </c>
      <c r="P53" s="51">
        <f t="shared" si="61"/>
        <v>0</v>
      </c>
      <c r="Q53" s="51" t="e">
        <f t="shared" si="43"/>
        <v>#DIV/0!</v>
      </c>
      <c r="R53" s="55" t="str">
        <f ca="1">IFERROR(__xludf.DUMMYFUNCTION("IFERROR(VLOOKUP($B$2,IMPORTRANGE(""https://docs.google.com/spreadsheets/d/1iVgg6Mw12RULLujzHmfOFIY8Q_KaAD8anoZzgtVAQ74/edit#gid=1503384807"",""Second Star - Summary!A1:AD2000""),9,FALSE),"""")"),"")</f>
        <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44"/>
        <v>0</v>
      </c>
      <c r="W53" s="55">
        <f t="shared" si="45"/>
        <v>0</v>
      </c>
      <c r="X53" s="55">
        <v>0</v>
      </c>
      <c r="Y53" s="55" t="e">
        <v>#N/A</v>
      </c>
      <c r="Z53" s="56" t="e">
        <f t="shared" si="51"/>
        <v>#N/A</v>
      </c>
      <c r="AA53" s="55" t="e">
        <v>#N/A</v>
      </c>
      <c r="AB53" s="55">
        <f t="shared" si="47"/>
        <v>0</v>
      </c>
      <c r="AC53" s="55">
        <v>0</v>
      </c>
      <c r="AD53" s="55">
        <v>-6.7370136363636304</v>
      </c>
      <c r="AE53" s="55">
        <v>0</v>
      </c>
      <c r="AF53" s="55">
        <v>0</v>
      </c>
    </row>
    <row r="54" spans="1:32" s="57" customFormat="1">
      <c r="A54" s="2" t="s">
        <v>40</v>
      </c>
      <c r="B54" s="2"/>
      <c r="C54" s="51" t="str">
        <f t="shared" si="36"/>
        <v xml:space="preserve"> - </v>
      </c>
      <c r="D54" s="51">
        <v>0</v>
      </c>
      <c r="E54" s="51">
        <v>0</v>
      </c>
      <c r="F54" s="51">
        <v>0</v>
      </c>
      <c r="G54" s="51">
        <v>0</v>
      </c>
      <c r="H54" s="51" t="e">
        <f t="shared" si="37"/>
        <v>#DIV/0!</v>
      </c>
      <c r="I54" s="51" t="e">
        <f t="shared" si="38"/>
        <v>#DIV/0!</v>
      </c>
      <c r="J54" s="51">
        <f t="shared" si="56"/>
        <v>0</v>
      </c>
      <c r="K54" s="51" t="e">
        <f t="shared" si="40"/>
        <v>#DIV/0!</v>
      </c>
      <c r="L54" s="51">
        <v>0</v>
      </c>
      <c r="M54" s="51" t="str">
        <f t="shared" si="41"/>
        <v>-</v>
      </c>
      <c r="N54" s="51">
        <v>0</v>
      </c>
      <c r="O54" s="51">
        <f t="shared" ref="O54:P54" si="62">D54/7</f>
        <v>0</v>
      </c>
      <c r="P54" s="51">
        <f t="shared" si="62"/>
        <v>0</v>
      </c>
      <c r="Q54" s="51" t="e">
        <f t="shared" si="43"/>
        <v>#DIV/0!</v>
      </c>
      <c r="R54" s="55" t="str">
        <f ca="1">IFERROR(__xludf.DUMMYFUNCTION("IFERROR(VLOOKUP($B$2,IMPORTRANGE(""https://docs.google.com/spreadsheets/d/1iVgg6Mw12RULLujzHmfOFIY8Q_KaAD8anoZzgtVAQ74/edit#gid=1503384807"",""Second Star - Summary!A1:AD2000""),9,FALSE),"""")"),"")</f>
        <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44"/>
        <v>0</v>
      </c>
      <c r="W54" s="55">
        <f t="shared" si="45"/>
        <v>0</v>
      </c>
      <c r="X54" s="55">
        <v>0</v>
      </c>
      <c r="Y54" s="55" t="e">
        <v>#N/A</v>
      </c>
      <c r="Z54" s="56" t="e">
        <f t="shared" si="51"/>
        <v>#N/A</v>
      </c>
      <c r="AA54" s="55" t="e">
        <v>#N/A</v>
      </c>
      <c r="AB54" s="55">
        <f t="shared" si="47"/>
        <v>0</v>
      </c>
      <c r="AC54" s="55">
        <v>0</v>
      </c>
      <c r="AD54" s="55">
        <v>-6.7370136363636304</v>
      </c>
      <c r="AE54" s="55">
        <v>0</v>
      </c>
      <c r="AF54" s="55">
        <v>0</v>
      </c>
    </row>
    <row r="55" spans="1:32" s="57" customFormat="1" ht="15.75" customHeight="1">
      <c r="A55" s="2" t="s">
        <v>32</v>
      </c>
      <c r="B55" s="2"/>
      <c r="C55" s="51" t="str">
        <f t="shared" si="36"/>
        <v xml:space="preserve"> - </v>
      </c>
      <c r="D55" s="51">
        <v>0</v>
      </c>
      <c r="E55" s="51">
        <v>0</v>
      </c>
      <c r="F55" s="51">
        <v>0</v>
      </c>
      <c r="G55" s="51">
        <v>0</v>
      </c>
      <c r="H55" s="51" t="e">
        <f t="shared" si="37"/>
        <v>#DIV/0!</v>
      </c>
      <c r="I55" s="51" t="e">
        <f t="shared" si="38"/>
        <v>#DIV/0!</v>
      </c>
      <c r="J55" s="51">
        <f t="shared" si="56"/>
        <v>0</v>
      </c>
      <c r="K55" s="51" t="e">
        <f t="shared" si="40"/>
        <v>#DIV/0!</v>
      </c>
      <c r="L55" s="51">
        <v>0</v>
      </c>
      <c r="M55" s="51" t="str">
        <f t="shared" si="41"/>
        <v>-</v>
      </c>
      <c r="N55" s="51">
        <v>0</v>
      </c>
      <c r="O55" s="51">
        <f t="shared" ref="O55:P55" si="63">D55/7</f>
        <v>0</v>
      </c>
      <c r="P55" s="51">
        <f t="shared" si="63"/>
        <v>0</v>
      </c>
      <c r="Q55" s="51" t="e">
        <f t="shared" si="43"/>
        <v>#DIV/0!</v>
      </c>
      <c r="R55" s="55">
        <v>1650</v>
      </c>
      <c r="S55" s="53" t="s">
        <v>34</v>
      </c>
      <c r="T55" s="54" t="s">
        <v>34</v>
      </c>
      <c r="U55" s="55">
        <v>0</v>
      </c>
      <c r="V55" s="55">
        <f t="shared" si="44"/>
        <v>0</v>
      </c>
      <c r="W55" s="55">
        <f t="shared" si="45"/>
        <v>0</v>
      </c>
      <c r="X55" s="55">
        <v>0</v>
      </c>
      <c r="Y55" s="55" t="e">
        <v>#N/A</v>
      </c>
      <c r="Z55" s="56" t="e">
        <f t="shared" si="51"/>
        <v>#N/A</v>
      </c>
      <c r="AA55" s="55" t="e">
        <v>#N/A</v>
      </c>
      <c r="AB55" s="55">
        <f t="shared" si="47"/>
        <v>0</v>
      </c>
      <c r="AC55" s="55">
        <v>0</v>
      </c>
      <c r="AD55" s="55">
        <v>-6.7370136363636304</v>
      </c>
      <c r="AE55" s="55">
        <v>0</v>
      </c>
      <c r="AF55" s="55" t="e">
        <v>#N/A</v>
      </c>
    </row>
    <row r="56" spans="1:32" s="57" customFormat="1" ht="15.75" customHeight="1">
      <c r="A56" s="2" t="s">
        <v>36</v>
      </c>
      <c r="B56" s="2"/>
      <c r="C56" s="51" t="str">
        <f t="shared" si="36"/>
        <v xml:space="preserve"> - </v>
      </c>
      <c r="D56" s="51">
        <v>0</v>
      </c>
      <c r="E56" s="51">
        <v>0</v>
      </c>
      <c r="F56" s="51">
        <v>0</v>
      </c>
      <c r="G56" s="51">
        <v>0</v>
      </c>
      <c r="H56" s="51" t="e">
        <f t="shared" si="37"/>
        <v>#DIV/0!</v>
      </c>
      <c r="I56" s="51" t="e">
        <f t="shared" si="38"/>
        <v>#DIV/0!</v>
      </c>
      <c r="J56" s="51">
        <f t="shared" si="56"/>
        <v>0</v>
      </c>
      <c r="K56" s="51" t="e">
        <f t="shared" si="40"/>
        <v>#DIV/0!</v>
      </c>
      <c r="L56" s="51">
        <v>0</v>
      </c>
      <c r="M56" s="51" t="str">
        <f t="shared" si="41"/>
        <v>-</v>
      </c>
      <c r="N56" s="51">
        <v>0</v>
      </c>
      <c r="O56" s="51">
        <f t="shared" ref="O56:P56" si="64">D56/7</f>
        <v>0</v>
      </c>
      <c r="P56" s="51">
        <f t="shared" si="64"/>
        <v>0</v>
      </c>
      <c r="Q56" s="51" t="e">
        <f t="shared" si="43"/>
        <v>#DIV/0!</v>
      </c>
      <c r="R56" s="55" t="str">
        <f ca="1">IFERROR(__xludf.DUMMYFUNCTION("IFERROR(VLOOKUP($B$2,IMPORTRANGE(""https://docs.google.com/spreadsheets/d/1iVgg6Mw12RULLujzHmfOFIY8Q_KaAD8anoZzgtVAQ74/edit#gid=1503384807"",""Second Star - Summary!A1:AD2000""),9,FALSE),"""")"),"")</f>
        <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44"/>
        <v>0</v>
      </c>
      <c r="W56" s="55">
        <f t="shared" si="45"/>
        <v>0</v>
      </c>
      <c r="X56" s="55">
        <v>0</v>
      </c>
      <c r="Y56" s="55" t="e">
        <v>#N/A</v>
      </c>
      <c r="Z56" s="56" t="e">
        <f t="shared" si="51"/>
        <v>#N/A</v>
      </c>
      <c r="AA56" s="55" t="e">
        <v>#N/A</v>
      </c>
      <c r="AB56" s="55">
        <f t="shared" si="47"/>
        <v>0</v>
      </c>
      <c r="AC56" s="55">
        <v>0</v>
      </c>
      <c r="AD56" s="55">
        <v>-6.7370136363636304</v>
      </c>
      <c r="AE56" s="55">
        <v>0</v>
      </c>
      <c r="AF56" s="55" t="e">
        <v>#N/A</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E221" s="2"/>
      <c r="P221" s="2"/>
      <c r="AF221" s="23"/>
    </row>
    <row r="222" spans="1:32" ht="15.75" customHeight="1">
      <c r="E222" s="2"/>
      <c r="P222" s="2"/>
      <c r="AF222" s="23"/>
    </row>
    <row r="223" spans="1:32" ht="15.75" customHeight="1">
      <c r="E223" s="2"/>
      <c r="P223" s="2"/>
      <c r="AF223" s="23"/>
    </row>
    <row r="224" spans="1: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208" priority="1" operator="lessThan">
      <formula>100</formula>
    </cfRule>
  </conditionalFormatting>
  <conditionalFormatting sqref="Q1:Q3 Q57:Q1000">
    <cfRule type="cellIs" dxfId="207" priority="2" operator="lessThan">
      <formula>100</formula>
    </cfRule>
  </conditionalFormatting>
  <conditionalFormatting sqref="I1:I3 I57:I1000">
    <cfRule type="cellIs" dxfId="206" priority="3" operator="lessThan">
      <formula>0.05</formula>
    </cfRule>
  </conditionalFormatting>
  <conditionalFormatting sqref="I4:I17">
    <cfRule type="cellIs" dxfId="205" priority="4" operator="lessThan">
      <formula>0.05</formula>
    </cfRule>
  </conditionalFormatting>
  <conditionalFormatting sqref="I18:I56">
    <cfRule type="cellIs" dxfId="204" priority="5" operator="lessThan">
      <formula>0.05</formula>
    </cfRule>
  </conditionalFormatting>
  <conditionalFormatting sqref="Q4:Q56">
    <cfRule type="cellIs" dxfId="203" priority="6" operator="lessThan">
      <formula>100</formula>
    </cfRule>
  </conditionalFormatting>
  <conditionalFormatting sqref="Q4:Q56">
    <cfRule type="cellIs" dxfId="202" priority="7" operator="lessThan">
      <formula>100</formula>
    </cfRule>
  </conditionalFormatting>
  <pageMargins left="0.7" right="0.7" top="0.75" bottom="0.75" header="0" footer="0"/>
  <pageSetup orientation="portrait"/>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Info!B1:BJ5000""),4,FALSE),"""")"),"Lawn Aerator Shoes with Metal Buckles and 3 Brown Straps - Heavy Duty Spiked Sandals for Aerating Your Lawn or Yard")</f>
        <v>Lawn Aerator Shoes with Metal Buckles and 3 Brown Straps - Heavy Duty Spiked Sandals for Aerating Your Lawn or Yard</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Info!B1:BJ5000""),3,FALSE),"""")"),"B07RG67T12")</f>
        <v>B07RG67T12</v>
      </c>
      <c r="B2" s="4" t="s">
        <v>935</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7.9650692810457411</v>
      </c>
      <c r="D3" s="8">
        <f>SUM(D4:D99819)</f>
        <v>173</v>
      </c>
      <c r="E3" s="8"/>
      <c r="F3" s="9">
        <f t="shared" ref="F3:G3" si="0">SUM(F4:F99819)</f>
        <v>2697.28</v>
      </c>
      <c r="G3" s="9">
        <f t="shared" si="0"/>
        <v>-440.54</v>
      </c>
      <c r="H3" s="10">
        <f t="shared" ref="H3:H39" si="1">G3/F3*-1</f>
        <v>0.1633275002965951</v>
      </c>
      <c r="I3" s="11">
        <f t="shared" ref="I3:I39" si="2">J3/F3</f>
        <v>-0.10105192408379352</v>
      </c>
      <c r="J3" s="9">
        <f>SUM(J4:J99819)</f>
        <v>-272.56533379273458</v>
      </c>
      <c r="K3" s="9">
        <f t="shared" ref="K3:K39" si="3">J3/D3</f>
        <v>-1.575522160651645</v>
      </c>
      <c r="L3" s="8"/>
      <c r="M3" s="12"/>
      <c r="N3" s="13"/>
      <c r="O3" s="8" t="str">
        <f ca="1">IFERROR(__xludf.DUMMYFUNCTION("IFERROR(VLOOKUP(B2,IMPORTRANGE(""https://docs.google.com/spreadsheets/d/1owCo6kL_VFQ5nPTdNogErmCBLjNiktT1m3SzTrxu3R0/edit#gid=2146806407"",""Second Star - Compiled!b1:g5000""),2,FALSE),"""")"),"2 - March
2 - April
2 - May
2 - Jun
2 - Jul
2 - Aug
2 - Sept
2 - Oct
2 - Nov
2 - Dec
not available? - Jan
2 - Feb")</f>
        <v>2 - March
2 - April
2 - May
2 - Jun
2 - Jul
2 - Aug
2 - Sept
2 - Oct
2 - Nov
2 - Dec
not available? - Jan
2 - Feb</v>
      </c>
      <c r="P3" s="8"/>
      <c r="Q3" s="14"/>
      <c r="R3" s="13"/>
      <c r="S3" s="13"/>
      <c r="T3" s="13"/>
      <c r="U3" s="8">
        <f>SUM(U4:U99819)</f>
        <v>82</v>
      </c>
      <c r="V3" s="10">
        <f>AVERAGE(V4:V99819)</f>
        <v>9.9940833063386955E-2</v>
      </c>
      <c r="W3" s="9">
        <f>ROUND(AVERAGE(W4:W99819),2)</f>
        <v>1.64</v>
      </c>
      <c r="X3" s="8"/>
      <c r="Y3" s="8"/>
      <c r="Z3" s="8"/>
      <c r="AA3" s="8"/>
      <c r="AB3" s="8"/>
      <c r="AC3" s="15"/>
      <c r="AD3" s="9"/>
      <c r="AE3" s="9">
        <f>SUM(AE4:AE99819)</f>
        <v>0</v>
      </c>
      <c r="AF3" s="16"/>
    </row>
    <row r="4" spans="1:32" s="57" customFormat="1">
      <c r="A4" s="17" t="s">
        <v>48</v>
      </c>
      <c r="B4" s="2" t="s">
        <v>810</v>
      </c>
      <c r="C4" s="50">
        <v>10.99</v>
      </c>
      <c r="D4" s="51">
        <v>10</v>
      </c>
      <c r="E4" s="51">
        <v>0</v>
      </c>
      <c r="F4" s="51">
        <v>109.89999999999998</v>
      </c>
      <c r="G4" s="51">
        <v>-34.199999999999996</v>
      </c>
      <c r="H4" s="51">
        <f t="shared" si="1"/>
        <v>0.31119199272065518</v>
      </c>
      <c r="I4" s="51">
        <f t="shared" si="2"/>
        <v>-0.58864709336576404</v>
      </c>
      <c r="J4" s="51">
        <f t="shared" ref="J4:J38" si="4">F4*0.85+G4+AD4*D4+D4*AC4+AE4+AB4</f>
        <v>-64.692315560897455</v>
      </c>
      <c r="K4" s="51">
        <f t="shared" si="3"/>
        <v>-6.4692315560897455</v>
      </c>
      <c r="L4" s="51">
        <v>45</v>
      </c>
      <c r="M4" s="51">
        <f t="shared" ref="M4:M39" si="5">IFERROR(D4/L4,"-")</f>
        <v>0.22222222222222221</v>
      </c>
      <c r="N4" s="51">
        <v>161</v>
      </c>
      <c r="O4" s="51">
        <f t="shared" ref="O4:P4" si="6">D4/7</f>
        <v>1.4285714285714286</v>
      </c>
      <c r="P4" s="51">
        <f t="shared" si="6"/>
        <v>0</v>
      </c>
      <c r="Q4" s="51">
        <f t="shared" ref="Q4:Q39" si="7">ROUNDDOWN(N4/(O4+P4),0)</f>
        <v>112</v>
      </c>
      <c r="R4" s="52">
        <v>495</v>
      </c>
      <c r="S4" s="53" t="s">
        <v>34</v>
      </c>
      <c r="T4" s="54" t="s">
        <v>34</v>
      </c>
      <c r="U4" s="52">
        <v>6</v>
      </c>
      <c r="V4" s="55">
        <f t="shared" ref="V4:V39" si="8">IFERROR(U4/D4,0)</f>
        <v>0.6</v>
      </c>
      <c r="W4" s="55">
        <f t="shared" ref="W4:W39" si="9">IFERROR(G4/(U4+X4)*-1,0)</f>
        <v>5.6999999999999993</v>
      </c>
      <c r="X4" s="52">
        <v>0</v>
      </c>
      <c r="Y4" s="56" t="s">
        <v>35</v>
      </c>
      <c r="Z4" s="56">
        <f t="shared" ref="Z4:Z10" si="10">IF(OR(Y4="UsLargeStandardSize",Y4="UsSmallStandardSize"),-0.69,-0.48)</f>
        <v>-0.69</v>
      </c>
      <c r="AA4" s="55">
        <v>0.16210185185185183</v>
      </c>
      <c r="AB4" s="55">
        <f t="shared" ref="AB4:AB17" si="11">IFERROR((Z4*AA4*N4)/4,0)</f>
        <v>-4.5019736805555546</v>
      </c>
      <c r="AC4" s="55">
        <v>-5.26</v>
      </c>
      <c r="AD4" s="55">
        <v>-6.680534188034188</v>
      </c>
      <c r="AE4" s="55">
        <v>0</v>
      </c>
      <c r="AF4" s="55"/>
    </row>
    <row r="5" spans="1:32" s="57" customFormat="1" ht="15.75" customHeight="1">
      <c r="A5" s="2" t="s">
        <v>49</v>
      </c>
      <c r="B5" s="2" t="s">
        <v>936</v>
      </c>
      <c r="C5" s="51">
        <v>10.99</v>
      </c>
      <c r="D5" s="51">
        <v>5</v>
      </c>
      <c r="E5" s="51">
        <v>0</v>
      </c>
      <c r="F5" s="51">
        <v>54.95</v>
      </c>
      <c r="G5" s="51">
        <v>-31.89</v>
      </c>
      <c r="H5" s="51">
        <f t="shared" si="1"/>
        <v>0.58034576888080069</v>
      </c>
      <c r="I5" s="51">
        <f t="shared" si="2"/>
        <v>-0.89622077840772096</v>
      </c>
      <c r="J5" s="51">
        <f t="shared" si="4"/>
        <v>-49.247331773504271</v>
      </c>
      <c r="K5" s="51">
        <f t="shared" si="3"/>
        <v>-9.849466354700855</v>
      </c>
      <c r="L5" s="51">
        <v>53</v>
      </c>
      <c r="M5" s="51">
        <f t="shared" si="5"/>
        <v>9.4339622641509441E-2</v>
      </c>
      <c r="N5" s="51">
        <v>156</v>
      </c>
      <c r="O5" s="51">
        <f t="shared" ref="O5:P5" si="12">D5/7</f>
        <v>0.7142857142857143</v>
      </c>
      <c r="P5" s="51">
        <f t="shared" si="12"/>
        <v>0</v>
      </c>
      <c r="Q5" s="51">
        <f t="shared" si="7"/>
        <v>218</v>
      </c>
      <c r="R5" s="55">
        <v>495</v>
      </c>
      <c r="S5" s="53" t="s">
        <v>34</v>
      </c>
      <c r="T5" s="54" t="s">
        <v>34</v>
      </c>
      <c r="U5" s="55">
        <v>1</v>
      </c>
      <c r="V5" s="55">
        <f t="shared" si="8"/>
        <v>0.2</v>
      </c>
      <c r="W5" s="55">
        <f t="shared" si="9"/>
        <v>31.89</v>
      </c>
      <c r="X5" s="55">
        <v>0</v>
      </c>
      <c r="Y5" s="55" t="s">
        <v>35</v>
      </c>
      <c r="Z5" s="56">
        <f t="shared" si="10"/>
        <v>-0.69</v>
      </c>
      <c r="AA5" s="55">
        <v>0.16210185185185183</v>
      </c>
      <c r="AB5" s="55">
        <f t="shared" si="11"/>
        <v>-4.3621608333333324</v>
      </c>
      <c r="AC5" s="55">
        <v>-5.26</v>
      </c>
      <c r="AD5" s="55">
        <v>-6.680534188034188</v>
      </c>
      <c r="AE5" s="55">
        <v>0</v>
      </c>
      <c r="AF5" s="55"/>
    </row>
    <row r="6" spans="1:32" s="57" customFormat="1" ht="15.75" customHeight="1">
      <c r="A6" s="2" t="s">
        <v>51</v>
      </c>
      <c r="B6" s="2" t="s">
        <v>937</v>
      </c>
      <c r="C6" s="51">
        <v>10.99</v>
      </c>
      <c r="D6" s="51">
        <v>19</v>
      </c>
      <c r="E6" s="51">
        <v>0</v>
      </c>
      <c r="F6" s="51">
        <v>208.81000000000003</v>
      </c>
      <c r="G6" s="51">
        <v>-37.950000000000003</v>
      </c>
      <c r="H6" s="51">
        <f t="shared" si="1"/>
        <v>0.18174416934054882</v>
      </c>
      <c r="I6" s="51">
        <f t="shared" si="2"/>
        <v>-0.44367865689968011</v>
      </c>
      <c r="J6" s="51">
        <f t="shared" si="4"/>
        <v>-92.644540347222218</v>
      </c>
      <c r="K6" s="51">
        <f t="shared" si="3"/>
        <v>-4.8760284393274853</v>
      </c>
      <c r="L6" s="51">
        <v>64</v>
      </c>
      <c r="M6" s="51">
        <f t="shared" si="5"/>
        <v>0.296875</v>
      </c>
      <c r="N6" s="51">
        <v>129</v>
      </c>
      <c r="O6" s="51">
        <f t="shared" ref="O6:P6" si="13">D6/7</f>
        <v>2.7142857142857144</v>
      </c>
      <c r="P6" s="51">
        <f t="shared" si="13"/>
        <v>0</v>
      </c>
      <c r="Q6" s="51">
        <f t="shared" si="7"/>
        <v>47</v>
      </c>
      <c r="R6" s="55">
        <v>495</v>
      </c>
      <c r="S6" s="53" t="s">
        <v>34</v>
      </c>
      <c r="T6" s="54" t="s">
        <v>34</v>
      </c>
      <c r="U6" s="55">
        <v>12</v>
      </c>
      <c r="V6" s="55">
        <f t="shared" si="8"/>
        <v>0.63157894736842102</v>
      </c>
      <c r="W6" s="55">
        <f t="shared" si="9"/>
        <v>3.1625000000000001</v>
      </c>
      <c r="X6" s="55">
        <v>0</v>
      </c>
      <c r="Y6" s="55" t="s">
        <v>35</v>
      </c>
      <c r="Z6" s="56">
        <f t="shared" si="10"/>
        <v>-0.69</v>
      </c>
      <c r="AA6" s="55">
        <v>0.16210185185185183</v>
      </c>
      <c r="AB6" s="55">
        <f t="shared" si="11"/>
        <v>-3.6071714583333327</v>
      </c>
      <c r="AC6" s="55">
        <v>-5.26</v>
      </c>
      <c r="AD6" s="55">
        <v>-6.7703088888888887</v>
      </c>
      <c r="AE6" s="55">
        <v>0</v>
      </c>
      <c r="AF6" s="55"/>
    </row>
    <row r="7" spans="1:32" s="57" customFormat="1" ht="15.75" customHeight="1">
      <c r="A7" s="2" t="s">
        <v>53</v>
      </c>
      <c r="B7" s="2" t="s">
        <v>938</v>
      </c>
      <c r="C7" s="51">
        <v>12.99</v>
      </c>
      <c r="D7" s="51">
        <v>15</v>
      </c>
      <c r="E7" s="51">
        <v>0</v>
      </c>
      <c r="F7" s="51">
        <v>176.85000000000002</v>
      </c>
      <c r="G7" s="51">
        <v>-30.32</v>
      </c>
      <c r="H7" s="51">
        <f t="shared" si="1"/>
        <v>0.17144472716991799</v>
      </c>
      <c r="I7" s="51">
        <f t="shared" si="2"/>
        <v>-0.36143337260075992</v>
      </c>
      <c r="J7" s="51">
        <f t="shared" si="4"/>
        <v>-63.919491944444403</v>
      </c>
      <c r="K7" s="51">
        <f t="shared" si="3"/>
        <v>-4.2612994629629606</v>
      </c>
      <c r="L7" s="51">
        <v>61</v>
      </c>
      <c r="M7" s="51">
        <f t="shared" si="5"/>
        <v>0.24590163934426229</v>
      </c>
      <c r="N7" s="51">
        <v>124</v>
      </c>
      <c r="O7" s="51">
        <f t="shared" ref="O7:P7" si="14">D7/7</f>
        <v>2.1428571428571428</v>
      </c>
      <c r="P7" s="51">
        <f t="shared" si="14"/>
        <v>0</v>
      </c>
      <c r="Q7" s="51">
        <f t="shared" si="7"/>
        <v>57</v>
      </c>
      <c r="R7" s="55">
        <v>495</v>
      </c>
      <c r="S7" s="53" t="s">
        <v>34</v>
      </c>
      <c r="T7" s="54" t="s">
        <v>34</v>
      </c>
      <c r="U7" s="55">
        <v>9</v>
      </c>
      <c r="V7" s="55">
        <f t="shared" si="8"/>
        <v>0.6</v>
      </c>
      <c r="W7" s="55">
        <f t="shared" si="9"/>
        <v>3.3688888888888888</v>
      </c>
      <c r="X7" s="55">
        <v>0</v>
      </c>
      <c r="Y7" s="55" t="s">
        <v>35</v>
      </c>
      <c r="Z7" s="56">
        <f t="shared" si="10"/>
        <v>-0.69</v>
      </c>
      <c r="AA7" s="55">
        <v>0.16210185185185183</v>
      </c>
      <c r="AB7" s="55">
        <f t="shared" si="11"/>
        <v>-3.4673586111111105</v>
      </c>
      <c r="AC7" s="55">
        <v>-5.26</v>
      </c>
      <c r="AD7" s="55">
        <v>-6.7703088888888887</v>
      </c>
      <c r="AE7" s="55">
        <v>0</v>
      </c>
      <c r="AF7" s="55"/>
    </row>
    <row r="8" spans="1:32" s="57" customFormat="1" ht="15.75" customHeight="1">
      <c r="A8" s="2" t="s">
        <v>54</v>
      </c>
      <c r="B8" s="2"/>
      <c r="C8" s="51">
        <v>14.99</v>
      </c>
      <c r="D8" s="51">
        <v>6</v>
      </c>
      <c r="E8" s="51">
        <v>0</v>
      </c>
      <c r="F8" s="51">
        <v>84.94</v>
      </c>
      <c r="G8" s="51">
        <v>-26.37</v>
      </c>
      <c r="H8" s="51">
        <f t="shared" si="1"/>
        <v>0.31045443842712506</v>
      </c>
      <c r="I8" s="51">
        <f t="shared" si="2"/>
        <v>-0.34745259807576595</v>
      </c>
      <c r="J8" s="51">
        <f t="shared" si="4"/>
        <v>-29.51262368055556</v>
      </c>
      <c r="K8" s="51">
        <f t="shared" si="3"/>
        <v>-4.9187706134259264</v>
      </c>
      <c r="L8" s="51">
        <v>52</v>
      </c>
      <c r="M8" s="51">
        <f t="shared" si="5"/>
        <v>0.11538461538461539</v>
      </c>
      <c r="N8" s="51">
        <v>113</v>
      </c>
      <c r="O8" s="51">
        <f t="shared" ref="O8:P8" si="15">D8/7</f>
        <v>0.8571428571428571</v>
      </c>
      <c r="P8" s="51">
        <f t="shared" si="15"/>
        <v>0</v>
      </c>
      <c r="Q8" s="51">
        <f t="shared" si="7"/>
        <v>131</v>
      </c>
      <c r="R8" s="55">
        <v>495</v>
      </c>
      <c r="S8" s="53" t="s">
        <v>34</v>
      </c>
      <c r="T8" s="54" t="s">
        <v>34</v>
      </c>
      <c r="U8" s="55">
        <v>3</v>
      </c>
      <c r="V8" s="55">
        <f t="shared" si="8"/>
        <v>0.5</v>
      </c>
      <c r="W8" s="55">
        <f t="shared" si="9"/>
        <v>8.7900000000000009</v>
      </c>
      <c r="X8" s="55">
        <v>0</v>
      </c>
      <c r="Y8" s="55" t="s">
        <v>35</v>
      </c>
      <c r="Z8" s="56">
        <f t="shared" si="10"/>
        <v>-0.69</v>
      </c>
      <c r="AA8" s="55">
        <v>0.16210185185185183</v>
      </c>
      <c r="AB8" s="55">
        <f t="shared" si="11"/>
        <v>-3.1597703472222216</v>
      </c>
      <c r="AC8" s="55">
        <v>-5.26</v>
      </c>
      <c r="AD8" s="55">
        <v>-6.7703088888888887</v>
      </c>
      <c r="AE8" s="55">
        <v>0</v>
      </c>
      <c r="AF8" s="55"/>
    </row>
    <row r="9" spans="1:32" s="57" customFormat="1" ht="15.75" customHeight="1">
      <c r="A9" s="2" t="s">
        <v>56</v>
      </c>
      <c r="B9" s="2" t="s">
        <v>907</v>
      </c>
      <c r="C9" s="51">
        <v>15.99</v>
      </c>
      <c r="D9" s="51">
        <v>8</v>
      </c>
      <c r="E9" s="51">
        <v>0</v>
      </c>
      <c r="F9" s="51">
        <v>119.91999999999999</v>
      </c>
      <c r="G9" s="51">
        <v>-22.97</v>
      </c>
      <c r="H9" s="51">
        <f t="shared" si="1"/>
        <v>0.19154436290860574</v>
      </c>
      <c r="I9" s="51">
        <f t="shared" si="2"/>
        <v>-0.16974944754836566</v>
      </c>
      <c r="J9" s="51">
        <f t="shared" si="4"/>
        <v>-20.356353750000007</v>
      </c>
      <c r="K9" s="51">
        <f t="shared" si="3"/>
        <v>-2.5445442187500009</v>
      </c>
      <c r="L9" s="51">
        <v>57</v>
      </c>
      <c r="M9" s="51">
        <f t="shared" si="5"/>
        <v>0.14035087719298245</v>
      </c>
      <c r="N9" s="51">
        <v>110</v>
      </c>
      <c r="O9" s="51">
        <f t="shared" ref="O9:P9" si="16">D9/7</f>
        <v>1.1428571428571428</v>
      </c>
      <c r="P9" s="51">
        <f t="shared" si="16"/>
        <v>0</v>
      </c>
      <c r="Q9" s="51">
        <f t="shared" si="7"/>
        <v>96</v>
      </c>
      <c r="R9" s="55">
        <v>495</v>
      </c>
      <c r="S9" s="53" t="s">
        <v>34</v>
      </c>
      <c r="T9" s="54" t="s">
        <v>34</v>
      </c>
      <c r="U9" s="55">
        <v>3</v>
      </c>
      <c r="V9" s="55">
        <f t="shared" si="8"/>
        <v>0.375</v>
      </c>
      <c r="W9" s="55">
        <f t="shared" si="9"/>
        <v>7.6566666666666663</v>
      </c>
      <c r="X9" s="55">
        <v>0</v>
      </c>
      <c r="Y9" s="55" t="s">
        <v>35</v>
      </c>
      <c r="Z9" s="56">
        <f t="shared" si="10"/>
        <v>-0.69</v>
      </c>
      <c r="AA9" s="55">
        <v>0.16210185185185183</v>
      </c>
      <c r="AB9" s="55">
        <f t="shared" si="11"/>
        <v>-3.0758826388888885</v>
      </c>
      <c r="AC9" s="55">
        <v>-5.26</v>
      </c>
      <c r="AD9" s="55">
        <v>-6.7703088888888887</v>
      </c>
      <c r="AE9" s="55">
        <v>0</v>
      </c>
      <c r="AF9" s="55"/>
    </row>
    <row r="10" spans="1:32" s="57" customFormat="1" ht="15.75" customHeight="1">
      <c r="A10" s="2" t="s">
        <v>58</v>
      </c>
      <c r="B10" s="2" t="s">
        <v>939</v>
      </c>
      <c r="C10" s="51">
        <v>16.989999999999998</v>
      </c>
      <c r="D10" s="51">
        <v>11</v>
      </c>
      <c r="E10" s="51">
        <v>0</v>
      </c>
      <c r="F10" s="51">
        <v>178.89000000000001</v>
      </c>
      <c r="G10" s="51">
        <v>-28.320000000000004</v>
      </c>
      <c r="H10" s="51">
        <f t="shared" si="1"/>
        <v>0.15830957571692103</v>
      </c>
      <c r="I10" s="51">
        <f t="shared" si="2"/>
        <v>-6.2124931677443027E-2</v>
      </c>
      <c r="J10" s="51">
        <f t="shared" si="4"/>
        <v>-11.113529027777783</v>
      </c>
      <c r="K10" s="51">
        <f t="shared" si="3"/>
        <v>-1.0103208207070713</v>
      </c>
      <c r="L10" s="51">
        <v>68</v>
      </c>
      <c r="M10" s="51">
        <f t="shared" si="5"/>
        <v>0.16176470588235295</v>
      </c>
      <c r="N10" s="51">
        <v>90</v>
      </c>
      <c r="O10" s="51">
        <f t="shared" ref="O10:P10" si="17">D10/7</f>
        <v>1.5714285714285714</v>
      </c>
      <c r="P10" s="51">
        <f t="shared" si="17"/>
        <v>0</v>
      </c>
      <c r="Q10" s="51">
        <f t="shared" si="7"/>
        <v>57</v>
      </c>
      <c r="R10" s="55">
        <v>0</v>
      </c>
      <c r="S10" s="53" t="s">
        <v>34</v>
      </c>
      <c r="T10" s="54" t="s">
        <v>34</v>
      </c>
      <c r="U10" s="55">
        <v>7</v>
      </c>
      <c r="V10" s="55">
        <f t="shared" si="8"/>
        <v>0.63636363636363635</v>
      </c>
      <c r="W10" s="55">
        <f t="shared" si="9"/>
        <v>4.0457142857142863</v>
      </c>
      <c r="X10" s="55">
        <v>0</v>
      </c>
      <c r="Y10" s="55" t="s">
        <v>35</v>
      </c>
      <c r="Z10" s="56">
        <f t="shared" si="10"/>
        <v>-0.69</v>
      </c>
      <c r="AA10" s="55">
        <v>0.16210185185185183</v>
      </c>
      <c r="AB10" s="55">
        <f t="shared" si="11"/>
        <v>-2.5166312499999997</v>
      </c>
      <c r="AC10" s="55">
        <v>-5.26</v>
      </c>
      <c r="AD10" s="55">
        <v>-6.7703088888888887</v>
      </c>
      <c r="AE10" s="55">
        <v>0</v>
      </c>
      <c r="AF10" s="55"/>
    </row>
    <row r="11" spans="1:32" s="57" customFormat="1" ht="15.75" customHeight="1">
      <c r="A11" s="2" t="s">
        <v>60</v>
      </c>
      <c r="B11" s="2" t="s">
        <v>940</v>
      </c>
      <c r="C11" s="51">
        <v>15.99</v>
      </c>
      <c r="D11" s="51">
        <v>20</v>
      </c>
      <c r="E11" s="51">
        <v>0</v>
      </c>
      <c r="F11" s="51">
        <v>335.80000000000007</v>
      </c>
      <c r="G11" s="51">
        <v>-55.089999999999996</v>
      </c>
      <c r="H11" s="51">
        <f t="shared" si="1"/>
        <v>0.1640559857057772</v>
      </c>
      <c r="I11" s="51">
        <f t="shared" si="2"/>
        <v>-4.7252267594798295E-2</v>
      </c>
      <c r="J11" s="51">
        <f t="shared" si="4"/>
        <v>-15.867311458333271</v>
      </c>
      <c r="K11" s="51">
        <f t="shared" si="3"/>
        <v>-0.79336557291666354</v>
      </c>
      <c r="L11" s="51">
        <v>97</v>
      </c>
      <c r="M11" s="51">
        <f t="shared" si="5"/>
        <v>0.20618556701030927</v>
      </c>
      <c r="N11" s="51">
        <v>79</v>
      </c>
      <c r="O11" s="51">
        <f t="shared" ref="O11:P11" si="18">D11/7</f>
        <v>2.8571428571428572</v>
      </c>
      <c r="P11" s="51">
        <f t="shared" si="18"/>
        <v>0</v>
      </c>
      <c r="Q11" s="51">
        <f t="shared" si="7"/>
        <v>27</v>
      </c>
      <c r="R11" s="55">
        <v>0</v>
      </c>
      <c r="S11" s="53" t="s">
        <v>34</v>
      </c>
      <c r="T11" s="54" t="s">
        <v>34</v>
      </c>
      <c r="U11" s="55">
        <v>10</v>
      </c>
      <c r="V11" s="55">
        <f t="shared" si="8"/>
        <v>0.5</v>
      </c>
      <c r="W11" s="55">
        <f t="shared" si="9"/>
        <v>5.5089999999999995</v>
      </c>
      <c r="X11" s="55">
        <v>0</v>
      </c>
      <c r="Y11" s="55" t="s">
        <v>35</v>
      </c>
      <c r="Z11" s="56">
        <f t="shared" ref="Z11:Z39" si="19">IF(OR(Y11="UsLargeStandardSize",Y11="UsSmallStandardSize"),-0.75,-0.48)</f>
        <v>-0.75</v>
      </c>
      <c r="AA11" s="55">
        <v>0.16210185185185183</v>
      </c>
      <c r="AB11" s="55">
        <f t="shared" si="11"/>
        <v>-2.4011336805555552</v>
      </c>
      <c r="AC11" s="55">
        <v>-5.42</v>
      </c>
      <c r="AD11" s="55">
        <v>-6.7703088888888887</v>
      </c>
      <c r="AE11" s="55">
        <v>0</v>
      </c>
      <c r="AF11" s="55"/>
    </row>
    <row r="12" spans="1:32" s="57" customFormat="1" ht="15.75" customHeight="1">
      <c r="A12" s="2" t="s">
        <v>62</v>
      </c>
      <c r="B12" s="2"/>
      <c r="C12" s="51">
        <v>18.989999999999998</v>
      </c>
      <c r="D12" s="51">
        <v>20</v>
      </c>
      <c r="E12" s="51">
        <v>0</v>
      </c>
      <c r="F12" s="51">
        <v>347.80000000000007</v>
      </c>
      <c r="G12" s="51">
        <v>-76.960000000000008</v>
      </c>
      <c r="H12" s="51">
        <f t="shared" si="1"/>
        <v>0.22127659574468084</v>
      </c>
      <c r="I12" s="51">
        <f t="shared" si="2"/>
        <v>-7.6291852357676673E-2</v>
      </c>
      <c r="J12" s="51">
        <f t="shared" si="4"/>
        <v>-26.534306249999954</v>
      </c>
      <c r="K12" s="51">
        <f t="shared" si="3"/>
        <v>-1.3267153124999977</v>
      </c>
      <c r="L12" s="51">
        <v>123</v>
      </c>
      <c r="M12" s="51">
        <f t="shared" si="5"/>
        <v>0.16260162601626016</v>
      </c>
      <c r="N12" s="51">
        <v>46</v>
      </c>
      <c r="O12" s="51">
        <f t="shared" ref="O12:P12" si="20">D12/7</f>
        <v>2.8571428571428572</v>
      </c>
      <c r="P12" s="51">
        <f t="shared" si="20"/>
        <v>0</v>
      </c>
      <c r="Q12" s="51">
        <f t="shared" si="7"/>
        <v>16</v>
      </c>
      <c r="R12" s="55">
        <v>0</v>
      </c>
      <c r="S12" s="53" t="s">
        <v>34</v>
      </c>
      <c r="T12" s="54" t="s">
        <v>34</v>
      </c>
      <c r="U12" s="55">
        <v>9</v>
      </c>
      <c r="V12" s="55">
        <f t="shared" si="8"/>
        <v>0.45</v>
      </c>
      <c r="W12" s="55">
        <f t="shared" si="9"/>
        <v>8.551111111111112</v>
      </c>
      <c r="X12" s="55">
        <v>0</v>
      </c>
      <c r="Y12" s="55" t="s">
        <v>35</v>
      </c>
      <c r="Z12" s="56">
        <f t="shared" si="19"/>
        <v>-0.75</v>
      </c>
      <c r="AA12" s="55">
        <v>0.16210185185185183</v>
      </c>
      <c r="AB12" s="55">
        <f t="shared" si="11"/>
        <v>-1.398128472222222</v>
      </c>
      <c r="AC12" s="55">
        <v>-5.42</v>
      </c>
      <c r="AD12" s="55">
        <v>-6.7703088888888887</v>
      </c>
      <c r="AE12" s="55">
        <v>0</v>
      </c>
      <c r="AF12" s="55"/>
    </row>
    <row r="13" spans="1:32" s="57" customFormat="1" ht="15.75" customHeight="1">
      <c r="A13" s="2" t="s">
        <v>63</v>
      </c>
      <c r="B13" s="2" t="s">
        <v>810</v>
      </c>
      <c r="C13" s="51">
        <v>19.989999999999998</v>
      </c>
      <c r="D13" s="51">
        <v>42</v>
      </c>
      <c r="E13" s="51">
        <v>0</v>
      </c>
      <c r="F13" s="51">
        <v>757.59000000000026</v>
      </c>
      <c r="G13" s="51">
        <v>-69.190000000000012</v>
      </c>
      <c r="H13" s="51">
        <f t="shared" si="1"/>
        <v>9.1329083013239332E-2</v>
      </c>
      <c r="I13" s="51">
        <f t="shared" si="2"/>
        <v>8.2210986300124439E-2</v>
      </c>
      <c r="J13" s="51">
        <f t="shared" si="4"/>
        <v>62.282221111111291</v>
      </c>
      <c r="K13" s="51">
        <f t="shared" si="3"/>
        <v>1.4829100264550308</v>
      </c>
      <c r="L13" s="51">
        <v>128</v>
      </c>
      <c r="M13" s="51">
        <f t="shared" si="5"/>
        <v>0.328125</v>
      </c>
      <c r="N13" s="51">
        <v>16</v>
      </c>
      <c r="O13" s="51">
        <f t="shared" ref="O13:P13" si="21">D13/7</f>
        <v>6</v>
      </c>
      <c r="P13" s="51">
        <f t="shared" si="21"/>
        <v>0</v>
      </c>
      <c r="Q13" s="51">
        <f t="shared" si="7"/>
        <v>2</v>
      </c>
      <c r="R13" s="55">
        <v>0</v>
      </c>
      <c r="S13" s="53" t="s">
        <v>34</v>
      </c>
      <c r="T13" s="54" t="s">
        <v>34</v>
      </c>
      <c r="U13" s="55">
        <v>14</v>
      </c>
      <c r="V13" s="55">
        <f t="shared" si="8"/>
        <v>0.33333333333333331</v>
      </c>
      <c r="W13" s="55">
        <f t="shared" si="9"/>
        <v>4.9421428571428576</v>
      </c>
      <c r="X13" s="55">
        <v>0</v>
      </c>
      <c r="Y13" s="55" t="s">
        <v>35</v>
      </c>
      <c r="Z13" s="56">
        <f t="shared" si="19"/>
        <v>-0.75</v>
      </c>
      <c r="AA13" s="55">
        <v>0.16210185185185183</v>
      </c>
      <c r="AB13" s="55">
        <f t="shared" si="11"/>
        <v>-0.48630555555555549</v>
      </c>
      <c r="AC13" s="55">
        <v>-5.42</v>
      </c>
      <c r="AD13" s="55">
        <v>-6.7703088888888887</v>
      </c>
      <c r="AE13" s="55">
        <v>0</v>
      </c>
      <c r="AF13" s="55"/>
    </row>
    <row r="14" spans="1:32" s="57" customFormat="1" ht="15.75" customHeight="1">
      <c r="A14" s="2" t="s">
        <v>64</v>
      </c>
      <c r="B14" s="2"/>
      <c r="C14" s="51">
        <v>19.989999999999998</v>
      </c>
      <c r="D14" s="51">
        <v>17</v>
      </c>
      <c r="E14" s="51">
        <v>0</v>
      </c>
      <c r="F14" s="51">
        <v>321.83000000000004</v>
      </c>
      <c r="G14" s="51">
        <v>-26.38</v>
      </c>
      <c r="H14" s="51">
        <f t="shared" si="1"/>
        <v>8.1968741260914135E-2</v>
      </c>
      <c r="I14" s="51">
        <f t="shared" si="2"/>
        <v>0.12410356054093447</v>
      </c>
      <c r="J14" s="51">
        <f t="shared" si="4"/>
        <v>39.940248888888945</v>
      </c>
      <c r="K14" s="51">
        <f t="shared" si="3"/>
        <v>2.3494264052287614</v>
      </c>
      <c r="L14" s="51">
        <v>77</v>
      </c>
      <c r="M14" s="51">
        <f t="shared" si="5"/>
        <v>0.22077922077922077</v>
      </c>
      <c r="N14" s="51">
        <v>0</v>
      </c>
      <c r="O14" s="51">
        <f t="shared" ref="O14:P14" si="22">D14/7</f>
        <v>2.4285714285714284</v>
      </c>
      <c r="P14" s="51">
        <f t="shared" si="22"/>
        <v>0</v>
      </c>
      <c r="Q14" s="51">
        <f t="shared" si="7"/>
        <v>0</v>
      </c>
      <c r="R14" s="55">
        <v>0</v>
      </c>
      <c r="S14" s="53" t="s">
        <v>34</v>
      </c>
      <c r="T14" s="54" t="s">
        <v>34</v>
      </c>
      <c r="U14" s="55">
        <v>8</v>
      </c>
      <c r="V14" s="55">
        <f t="shared" si="8"/>
        <v>0.47058823529411764</v>
      </c>
      <c r="W14" s="55">
        <f t="shared" si="9"/>
        <v>3.2974999999999999</v>
      </c>
      <c r="X14" s="55">
        <v>0</v>
      </c>
      <c r="Y14" s="55" t="s">
        <v>35</v>
      </c>
      <c r="Z14" s="56">
        <f t="shared" si="19"/>
        <v>-0.75</v>
      </c>
      <c r="AA14" s="55">
        <v>0.16210185185185183</v>
      </c>
      <c r="AB14" s="55">
        <f t="shared" si="11"/>
        <v>0</v>
      </c>
      <c r="AC14" s="55">
        <v>-5.42</v>
      </c>
      <c r="AD14" s="55">
        <v>-6.7703088888888887</v>
      </c>
      <c r="AE14" s="55">
        <v>0</v>
      </c>
      <c r="AF14" s="55"/>
    </row>
    <row r="15" spans="1:32" s="57" customFormat="1" ht="15.75" customHeight="1">
      <c r="A15" s="2" t="s">
        <v>65</v>
      </c>
      <c r="B15" s="2"/>
      <c r="C15" s="51" t="s">
        <v>397</v>
      </c>
      <c r="D15" s="51">
        <v>0</v>
      </c>
      <c r="E15" s="51">
        <v>0</v>
      </c>
      <c r="F15" s="51">
        <v>0</v>
      </c>
      <c r="G15" s="51">
        <v>0</v>
      </c>
      <c r="H15" s="51" t="e">
        <f t="shared" si="1"/>
        <v>#DIV/0!</v>
      </c>
      <c r="I15" s="51" t="e">
        <f t="shared" si="2"/>
        <v>#DIV/0!</v>
      </c>
      <c r="J15" s="51">
        <f t="shared" si="4"/>
        <v>0</v>
      </c>
      <c r="K15" s="51" t="e">
        <f t="shared" si="3"/>
        <v>#DIV/0!</v>
      </c>
      <c r="L15" s="51">
        <v>0</v>
      </c>
      <c r="M15" s="51" t="str">
        <f t="shared" si="5"/>
        <v>-</v>
      </c>
      <c r="N15" s="51">
        <v>0</v>
      </c>
      <c r="O15" s="51">
        <f t="shared" ref="O15:P15" si="23">D15/7</f>
        <v>0</v>
      </c>
      <c r="P15" s="51">
        <f t="shared" si="23"/>
        <v>0</v>
      </c>
      <c r="Q15" s="51" t="e">
        <f t="shared" si="7"/>
        <v>#DIV/0!</v>
      </c>
      <c r="R15" s="55">
        <v>0</v>
      </c>
      <c r="S15" s="53" t="s">
        <v>34</v>
      </c>
      <c r="T15" s="54" t="s">
        <v>34</v>
      </c>
      <c r="U15" s="55">
        <v>0</v>
      </c>
      <c r="V15" s="55">
        <f t="shared" si="8"/>
        <v>0</v>
      </c>
      <c r="W15" s="55">
        <f t="shared" si="9"/>
        <v>0</v>
      </c>
      <c r="X15" s="55">
        <v>0</v>
      </c>
      <c r="Y15" s="55" t="e">
        <v>#N/A</v>
      </c>
      <c r="Z15" s="56" t="e">
        <f t="shared" si="19"/>
        <v>#N/A</v>
      </c>
      <c r="AA15" s="55" t="e">
        <v>#N/A</v>
      </c>
      <c r="AB15" s="55">
        <f t="shared" si="11"/>
        <v>0</v>
      </c>
      <c r="AC15" s="55">
        <v>-5.42</v>
      </c>
      <c r="AD15" s="55">
        <v>-6.7703088888888887</v>
      </c>
      <c r="AE15" s="55">
        <v>0</v>
      </c>
      <c r="AF15" s="55"/>
    </row>
    <row r="16" spans="1:32" s="57" customFormat="1" ht="15.75" customHeight="1">
      <c r="A16" s="2" t="s">
        <v>66</v>
      </c>
      <c r="B16" s="2"/>
      <c r="C16" s="51" t="s">
        <v>397</v>
      </c>
      <c r="D16" s="51">
        <v>0</v>
      </c>
      <c r="E16" s="51">
        <v>0</v>
      </c>
      <c r="F16" s="51">
        <v>0</v>
      </c>
      <c r="G16" s="51">
        <v>0</v>
      </c>
      <c r="H16" s="51" t="e">
        <f t="shared" si="1"/>
        <v>#DIV/0!</v>
      </c>
      <c r="I16" s="51" t="e">
        <f t="shared" si="2"/>
        <v>#DIV/0!</v>
      </c>
      <c r="J16" s="51">
        <f t="shared" si="4"/>
        <v>0</v>
      </c>
      <c r="K16" s="51" t="e">
        <f t="shared" si="3"/>
        <v>#DIV/0!</v>
      </c>
      <c r="L16" s="51">
        <v>0</v>
      </c>
      <c r="M16" s="51" t="str">
        <f t="shared" si="5"/>
        <v>-</v>
      </c>
      <c r="N16" s="51">
        <v>0</v>
      </c>
      <c r="O16" s="51">
        <f t="shared" ref="O16:P16" si="24">D16/7</f>
        <v>0</v>
      </c>
      <c r="P16" s="51">
        <f t="shared" si="24"/>
        <v>0</v>
      </c>
      <c r="Q16" s="51" t="e">
        <f t="shared" si="7"/>
        <v>#DIV/0!</v>
      </c>
      <c r="R16" s="55">
        <v>0</v>
      </c>
      <c r="S16" s="53" t="s">
        <v>34</v>
      </c>
      <c r="T16" s="54" t="s">
        <v>34</v>
      </c>
      <c r="U16" s="55">
        <v>0</v>
      </c>
      <c r="V16" s="55">
        <f t="shared" si="8"/>
        <v>0</v>
      </c>
      <c r="W16" s="55">
        <f t="shared" si="9"/>
        <v>0</v>
      </c>
      <c r="X16" s="55">
        <v>0</v>
      </c>
      <c r="Y16" s="55" t="e">
        <v>#N/A</v>
      </c>
      <c r="Z16" s="56" t="e">
        <f t="shared" si="19"/>
        <v>#N/A</v>
      </c>
      <c r="AA16" s="55" t="e">
        <v>#N/A</v>
      </c>
      <c r="AB16" s="55">
        <f t="shared" si="11"/>
        <v>0</v>
      </c>
      <c r="AC16" s="55">
        <v>-5.42</v>
      </c>
      <c r="AD16" s="55">
        <v>-6.7703088888888887</v>
      </c>
      <c r="AE16" s="55">
        <v>0</v>
      </c>
      <c r="AF16" s="55"/>
    </row>
    <row r="17" spans="1:32" s="57" customFormat="1" ht="15.75" customHeight="1">
      <c r="A17" s="2" t="s">
        <v>67</v>
      </c>
      <c r="B17" s="2"/>
      <c r="C17" s="51" t="s">
        <v>397</v>
      </c>
      <c r="D17" s="51">
        <v>0</v>
      </c>
      <c r="E17" s="51">
        <v>0</v>
      </c>
      <c r="F17" s="51">
        <v>0</v>
      </c>
      <c r="G17" s="51">
        <v>0</v>
      </c>
      <c r="H17" s="51" t="e">
        <f t="shared" si="1"/>
        <v>#DIV/0!</v>
      </c>
      <c r="I17" s="51" t="e">
        <f t="shared" si="2"/>
        <v>#DIV/0!</v>
      </c>
      <c r="J17" s="51">
        <f t="shared" si="4"/>
        <v>0</v>
      </c>
      <c r="K17" s="51" t="e">
        <f t="shared" si="3"/>
        <v>#DIV/0!</v>
      </c>
      <c r="L17" s="51">
        <v>0</v>
      </c>
      <c r="M17" s="51" t="str">
        <f t="shared" si="5"/>
        <v>-</v>
      </c>
      <c r="N17" s="51">
        <v>0</v>
      </c>
      <c r="O17" s="51">
        <f t="shared" ref="O17:P17" si="25">D17/7</f>
        <v>0</v>
      </c>
      <c r="P17" s="51">
        <f t="shared" si="25"/>
        <v>0</v>
      </c>
      <c r="Q17" s="51" t="e">
        <f t="shared" si="7"/>
        <v>#DIV/0!</v>
      </c>
      <c r="R17" s="55">
        <v>0</v>
      </c>
      <c r="S17" s="53" t="s">
        <v>34</v>
      </c>
      <c r="T17" s="54" t="s">
        <v>34</v>
      </c>
      <c r="U17" s="55">
        <v>0</v>
      </c>
      <c r="V17" s="55">
        <f t="shared" si="8"/>
        <v>0</v>
      </c>
      <c r="W17" s="55">
        <f t="shared" si="9"/>
        <v>0</v>
      </c>
      <c r="X17" s="55">
        <v>0</v>
      </c>
      <c r="Y17" s="55" t="e">
        <v>#N/A</v>
      </c>
      <c r="Z17" s="56" t="e">
        <f t="shared" si="19"/>
        <v>#N/A</v>
      </c>
      <c r="AA17" s="55" t="e">
        <v>#N/A</v>
      </c>
      <c r="AB17" s="55">
        <f t="shared" si="11"/>
        <v>0</v>
      </c>
      <c r="AC17" s="55">
        <v>-5.42</v>
      </c>
      <c r="AD17" s="55">
        <v>-6.7703088888888887</v>
      </c>
      <c r="AE17" s="55">
        <v>0</v>
      </c>
      <c r="AF17" s="55"/>
    </row>
    <row r="18" spans="1:32" s="57" customFormat="1" ht="15.75" customHeight="1">
      <c r="A18" s="2" t="s">
        <v>69</v>
      </c>
      <c r="B18" s="2"/>
      <c r="C18" s="51" t="s">
        <v>397</v>
      </c>
      <c r="D18" s="51">
        <v>0</v>
      </c>
      <c r="E18" s="51">
        <v>0</v>
      </c>
      <c r="F18" s="51">
        <v>0</v>
      </c>
      <c r="G18" s="51">
        <v>0</v>
      </c>
      <c r="H18" s="51" t="e">
        <f t="shared" si="1"/>
        <v>#DIV/0!</v>
      </c>
      <c r="I18" s="51" t="e">
        <f t="shared" si="2"/>
        <v>#DIV/0!</v>
      </c>
      <c r="J18" s="51">
        <f t="shared" si="4"/>
        <v>0</v>
      </c>
      <c r="K18" s="51" t="e">
        <f t="shared" si="3"/>
        <v>#DIV/0!</v>
      </c>
      <c r="L18" s="51">
        <v>0</v>
      </c>
      <c r="M18" s="51" t="str">
        <f t="shared" si="5"/>
        <v>-</v>
      </c>
      <c r="N18" s="51">
        <v>0</v>
      </c>
      <c r="O18" s="51">
        <f t="shared" ref="O18:P18" si="26">D18/7</f>
        <v>0</v>
      </c>
      <c r="P18" s="51">
        <f t="shared" si="26"/>
        <v>0</v>
      </c>
      <c r="Q18" s="51" t="e">
        <f t="shared" si="7"/>
        <v>#DIV/0!</v>
      </c>
      <c r="R18" s="55">
        <v>0</v>
      </c>
      <c r="S18" s="53" t="s">
        <v>34</v>
      </c>
      <c r="T18" s="54" t="s">
        <v>34</v>
      </c>
      <c r="U18" s="55">
        <v>0</v>
      </c>
      <c r="V18" s="55">
        <f t="shared" si="8"/>
        <v>0</v>
      </c>
      <c r="W18" s="55">
        <f t="shared" si="9"/>
        <v>0</v>
      </c>
      <c r="X18" s="55">
        <v>0</v>
      </c>
      <c r="Y18" s="55" t="e">
        <v>#N/A</v>
      </c>
      <c r="Z18" s="56" t="e">
        <f t="shared" si="19"/>
        <v>#N/A</v>
      </c>
      <c r="AA18" s="55" t="e">
        <v>#N/A</v>
      </c>
      <c r="AB18" s="58">
        <f t="shared" ref="AB18:AB39" si="27">IFERROR(Z18*AA18*D18*3,0)</f>
        <v>0</v>
      </c>
      <c r="AC18" s="55">
        <v>0</v>
      </c>
      <c r="AD18" s="55">
        <v>-6.7703088888888887</v>
      </c>
      <c r="AE18" s="55">
        <v>0</v>
      </c>
      <c r="AF18" s="55"/>
    </row>
    <row r="19" spans="1:32" s="57" customFormat="1" ht="15.75" customHeight="1">
      <c r="A19" s="2" t="s">
        <v>71</v>
      </c>
      <c r="B19" s="2"/>
      <c r="C19" s="51" t="s">
        <v>397</v>
      </c>
      <c r="D19" s="51">
        <v>0</v>
      </c>
      <c r="E19" s="51">
        <v>0</v>
      </c>
      <c r="F19" s="51">
        <v>0</v>
      </c>
      <c r="G19" s="51">
        <v>0</v>
      </c>
      <c r="H19" s="51" t="e">
        <f t="shared" si="1"/>
        <v>#DIV/0!</v>
      </c>
      <c r="I19" s="51" t="e">
        <f t="shared" si="2"/>
        <v>#DIV/0!</v>
      </c>
      <c r="J19" s="51">
        <f t="shared" si="4"/>
        <v>0</v>
      </c>
      <c r="K19" s="51" t="e">
        <f t="shared" si="3"/>
        <v>#DIV/0!</v>
      </c>
      <c r="L19" s="51">
        <v>0</v>
      </c>
      <c r="M19" s="51" t="str">
        <f t="shared" si="5"/>
        <v>-</v>
      </c>
      <c r="N19" s="51">
        <v>0</v>
      </c>
      <c r="O19" s="51">
        <f t="shared" ref="O19:P19" si="28">D19/7</f>
        <v>0</v>
      </c>
      <c r="P19" s="51">
        <f t="shared" si="28"/>
        <v>0</v>
      </c>
      <c r="Q19" s="51" t="e">
        <f t="shared" si="7"/>
        <v>#DIV/0!</v>
      </c>
      <c r="R19" s="55">
        <v>0</v>
      </c>
      <c r="S19" s="53" t="s">
        <v>34</v>
      </c>
      <c r="T19" s="54" t="s">
        <v>34</v>
      </c>
      <c r="U19" s="55">
        <v>0</v>
      </c>
      <c r="V19" s="55">
        <f t="shared" si="8"/>
        <v>0</v>
      </c>
      <c r="W19" s="55">
        <f t="shared" si="9"/>
        <v>0</v>
      </c>
      <c r="X19" s="55">
        <v>0</v>
      </c>
      <c r="Y19" s="55" t="e">
        <v>#N/A</v>
      </c>
      <c r="Z19" s="56" t="e">
        <f t="shared" si="19"/>
        <v>#N/A</v>
      </c>
      <c r="AA19" s="55" t="e">
        <v>#N/A</v>
      </c>
      <c r="AB19" s="55">
        <f t="shared" si="27"/>
        <v>0</v>
      </c>
      <c r="AC19" s="55">
        <v>0</v>
      </c>
      <c r="AD19" s="55">
        <v>-6.7703088888888887</v>
      </c>
      <c r="AE19" s="55">
        <v>0</v>
      </c>
      <c r="AF19" s="55"/>
    </row>
    <row r="20" spans="1:32" s="57" customFormat="1" ht="15.75" customHeight="1">
      <c r="A20" s="2" t="s">
        <v>73</v>
      </c>
      <c r="B20" s="2"/>
      <c r="C20" s="51" t="s">
        <v>397</v>
      </c>
      <c r="D20" s="51">
        <v>0</v>
      </c>
      <c r="E20" s="51">
        <v>0</v>
      </c>
      <c r="F20" s="51">
        <v>0</v>
      </c>
      <c r="G20" s="51">
        <v>0</v>
      </c>
      <c r="H20" s="51" t="e">
        <f t="shared" si="1"/>
        <v>#DIV/0!</v>
      </c>
      <c r="I20" s="51" t="e">
        <f t="shared" si="2"/>
        <v>#DIV/0!</v>
      </c>
      <c r="J20" s="51">
        <f t="shared" si="4"/>
        <v>0</v>
      </c>
      <c r="K20" s="51" t="e">
        <f t="shared" si="3"/>
        <v>#DIV/0!</v>
      </c>
      <c r="L20" s="51">
        <v>0</v>
      </c>
      <c r="M20" s="51" t="str">
        <f t="shared" si="5"/>
        <v>-</v>
      </c>
      <c r="N20" s="51">
        <v>0</v>
      </c>
      <c r="O20" s="51">
        <f t="shared" ref="O20:P20" si="29">D20/7</f>
        <v>0</v>
      </c>
      <c r="P20" s="51">
        <f t="shared" si="29"/>
        <v>0</v>
      </c>
      <c r="Q20" s="51" t="e">
        <f t="shared" si="7"/>
        <v>#DIV/0!</v>
      </c>
      <c r="R20" s="55">
        <v>0</v>
      </c>
      <c r="S20" s="53" t="s">
        <v>34</v>
      </c>
      <c r="T20" s="54" t="s">
        <v>34</v>
      </c>
      <c r="U20" s="55">
        <v>0</v>
      </c>
      <c r="V20" s="55">
        <f t="shared" si="8"/>
        <v>0</v>
      </c>
      <c r="W20" s="55">
        <f t="shared" si="9"/>
        <v>0</v>
      </c>
      <c r="X20" s="55">
        <v>0</v>
      </c>
      <c r="Y20" s="55" t="e">
        <v>#N/A</v>
      </c>
      <c r="Z20" s="56" t="e">
        <f t="shared" si="19"/>
        <v>#N/A</v>
      </c>
      <c r="AA20" s="55" t="e">
        <v>#N/A</v>
      </c>
      <c r="AB20" s="55">
        <f t="shared" si="27"/>
        <v>0</v>
      </c>
      <c r="AC20" s="55">
        <v>0</v>
      </c>
      <c r="AD20" s="55">
        <v>-6.7703088888888887</v>
      </c>
      <c r="AE20" s="55">
        <v>0</v>
      </c>
      <c r="AF20" s="55"/>
    </row>
    <row r="21" spans="1:32" s="57" customFormat="1" ht="15.75" customHeight="1">
      <c r="A21" s="2" t="s">
        <v>75</v>
      </c>
      <c r="B21" s="2"/>
      <c r="C21" s="51" t="s">
        <v>397</v>
      </c>
      <c r="D21" s="51">
        <v>0</v>
      </c>
      <c r="E21" s="51">
        <v>0</v>
      </c>
      <c r="F21" s="51">
        <v>0</v>
      </c>
      <c r="G21" s="51">
        <v>0</v>
      </c>
      <c r="H21" s="51" t="e">
        <f t="shared" si="1"/>
        <v>#DIV/0!</v>
      </c>
      <c r="I21" s="51" t="e">
        <f t="shared" si="2"/>
        <v>#DIV/0!</v>
      </c>
      <c r="J21" s="51">
        <f t="shared" si="4"/>
        <v>0</v>
      </c>
      <c r="K21" s="51" t="e">
        <f t="shared" si="3"/>
        <v>#DIV/0!</v>
      </c>
      <c r="L21" s="51">
        <v>0</v>
      </c>
      <c r="M21" s="51" t="str">
        <f t="shared" si="5"/>
        <v>-</v>
      </c>
      <c r="N21" s="51">
        <v>0</v>
      </c>
      <c r="O21" s="51">
        <f t="shared" ref="O21:P21" si="30">D21/7</f>
        <v>0</v>
      </c>
      <c r="P21" s="51">
        <f t="shared" si="30"/>
        <v>0</v>
      </c>
      <c r="Q21" s="51" t="e">
        <f t="shared" si="7"/>
        <v>#DIV/0!</v>
      </c>
      <c r="R21" s="55">
        <v>0</v>
      </c>
      <c r="S21" s="53" t="s">
        <v>34</v>
      </c>
      <c r="T21" s="54" t="s">
        <v>34</v>
      </c>
      <c r="U21" s="55">
        <v>0</v>
      </c>
      <c r="V21" s="55">
        <f t="shared" si="8"/>
        <v>0</v>
      </c>
      <c r="W21" s="55">
        <f t="shared" si="9"/>
        <v>0</v>
      </c>
      <c r="X21" s="55">
        <v>0</v>
      </c>
      <c r="Y21" s="55" t="e">
        <v>#N/A</v>
      </c>
      <c r="Z21" s="56" t="e">
        <f t="shared" si="19"/>
        <v>#N/A</v>
      </c>
      <c r="AA21" s="55" t="e">
        <v>#N/A</v>
      </c>
      <c r="AB21" s="55">
        <f t="shared" si="27"/>
        <v>0</v>
      </c>
      <c r="AC21" s="55">
        <v>0</v>
      </c>
      <c r="AD21" s="55">
        <v>-6.7703088888888887</v>
      </c>
      <c r="AE21" s="55">
        <v>0</v>
      </c>
      <c r="AF21" s="55"/>
    </row>
    <row r="22" spans="1:32" s="57" customFormat="1" ht="15.75" customHeight="1">
      <c r="A22" s="2" t="s">
        <v>77</v>
      </c>
      <c r="B22" s="2"/>
      <c r="C22" s="51" t="s">
        <v>397</v>
      </c>
      <c r="D22" s="51">
        <v>0</v>
      </c>
      <c r="E22" s="51">
        <v>0</v>
      </c>
      <c r="F22" s="51">
        <v>0</v>
      </c>
      <c r="G22" s="51">
        <v>-0.9</v>
      </c>
      <c r="H22" s="51" t="e">
        <f t="shared" si="1"/>
        <v>#DIV/0!</v>
      </c>
      <c r="I22" s="51" t="e">
        <f t="shared" si="2"/>
        <v>#DIV/0!</v>
      </c>
      <c r="J22" s="51">
        <f t="shared" si="4"/>
        <v>-0.9</v>
      </c>
      <c r="K22" s="51" t="e">
        <f t="shared" si="3"/>
        <v>#DIV/0!</v>
      </c>
      <c r="L22" s="51">
        <v>0</v>
      </c>
      <c r="M22" s="51" t="str">
        <f t="shared" si="5"/>
        <v>-</v>
      </c>
      <c r="N22" s="51">
        <v>0</v>
      </c>
      <c r="O22" s="51">
        <f t="shared" ref="O22:P22" si="31">D22/7</f>
        <v>0</v>
      </c>
      <c r="P22" s="51">
        <f t="shared" si="31"/>
        <v>0</v>
      </c>
      <c r="Q22" s="51" t="e">
        <f t="shared" si="7"/>
        <v>#DIV/0!</v>
      </c>
      <c r="R22" s="55">
        <v>0</v>
      </c>
      <c r="S22" s="53" t="s">
        <v>34</v>
      </c>
      <c r="T22" s="54" t="s">
        <v>34</v>
      </c>
      <c r="U22" s="55">
        <v>0</v>
      </c>
      <c r="V22" s="55">
        <f t="shared" si="8"/>
        <v>0</v>
      </c>
      <c r="W22" s="55">
        <f t="shared" si="9"/>
        <v>0</v>
      </c>
      <c r="X22" s="55">
        <v>0</v>
      </c>
      <c r="Y22" s="55" t="e">
        <v>#N/A</v>
      </c>
      <c r="Z22" s="56" t="e">
        <f t="shared" si="19"/>
        <v>#N/A</v>
      </c>
      <c r="AA22" s="55" t="e">
        <v>#N/A</v>
      </c>
      <c r="AB22" s="55">
        <f t="shared" si="27"/>
        <v>0</v>
      </c>
      <c r="AC22" s="55">
        <v>0</v>
      </c>
      <c r="AD22" s="55">
        <v>-6.7703088888888887</v>
      </c>
      <c r="AE22" s="55">
        <v>0</v>
      </c>
      <c r="AF22" s="55"/>
    </row>
    <row r="23" spans="1:32" s="57" customFormat="1" ht="15.75" customHeight="1">
      <c r="A23" s="2" t="s">
        <v>79</v>
      </c>
      <c r="B23" s="2"/>
      <c r="C23" s="51" t="s">
        <v>397</v>
      </c>
      <c r="D23" s="51">
        <v>0</v>
      </c>
      <c r="E23" s="51">
        <v>0</v>
      </c>
      <c r="F23" s="51">
        <v>0</v>
      </c>
      <c r="G23" s="51">
        <v>0</v>
      </c>
      <c r="H23" s="51" t="e">
        <f t="shared" si="1"/>
        <v>#DIV/0!</v>
      </c>
      <c r="I23" s="51" t="e">
        <f t="shared" si="2"/>
        <v>#DIV/0!</v>
      </c>
      <c r="J23" s="51">
        <f t="shared" si="4"/>
        <v>0</v>
      </c>
      <c r="K23" s="51" t="e">
        <f t="shared" si="3"/>
        <v>#DIV/0!</v>
      </c>
      <c r="L23" s="51">
        <v>0</v>
      </c>
      <c r="M23" s="51" t="str">
        <f t="shared" si="5"/>
        <v>-</v>
      </c>
      <c r="N23" s="51">
        <v>0</v>
      </c>
      <c r="O23" s="51">
        <f t="shared" ref="O23:P23" si="32">D23/7</f>
        <v>0</v>
      </c>
      <c r="P23" s="51">
        <f t="shared" si="32"/>
        <v>0</v>
      </c>
      <c r="Q23" s="51" t="e">
        <f t="shared" si="7"/>
        <v>#DIV/0!</v>
      </c>
      <c r="R23" s="55">
        <v>0</v>
      </c>
      <c r="S23" s="53" t="s">
        <v>34</v>
      </c>
      <c r="T23" s="54" t="s">
        <v>34</v>
      </c>
      <c r="U23" s="55">
        <v>0</v>
      </c>
      <c r="V23" s="55">
        <f t="shared" si="8"/>
        <v>0</v>
      </c>
      <c r="W23" s="55">
        <f t="shared" si="9"/>
        <v>0</v>
      </c>
      <c r="X23" s="55">
        <v>0</v>
      </c>
      <c r="Y23" s="55" t="e">
        <v>#N/A</v>
      </c>
      <c r="Z23" s="56" t="e">
        <f t="shared" si="19"/>
        <v>#N/A</v>
      </c>
      <c r="AA23" s="55" t="e">
        <v>#N/A</v>
      </c>
      <c r="AB23" s="55">
        <f t="shared" si="27"/>
        <v>0</v>
      </c>
      <c r="AC23" s="55">
        <v>0</v>
      </c>
      <c r="AD23" s="55">
        <v>-6.7703088888888887</v>
      </c>
      <c r="AE23" s="55">
        <v>0</v>
      </c>
      <c r="AF23" s="55"/>
    </row>
    <row r="24" spans="1:32" s="57" customFormat="1" ht="15.75" customHeight="1">
      <c r="A24" s="2" t="s">
        <v>80</v>
      </c>
      <c r="B24" s="2"/>
      <c r="C24" s="51"/>
      <c r="D24" s="51">
        <v>0</v>
      </c>
      <c r="E24" s="51">
        <v>0</v>
      </c>
      <c r="F24" s="51">
        <v>0</v>
      </c>
      <c r="G24" s="51">
        <v>0</v>
      </c>
      <c r="H24" s="51" t="e">
        <f t="shared" si="1"/>
        <v>#DIV/0!</v>
      </c>
      <c r="I24" s="51" t="e">
        <f t="shared" si="2"/>
        <v>#DIV/0!</v>
      </c>
      <c r="J24" s="51">
        <f t="shared" si="4"/>
        <v>0</v>
      </c>
      <c r="K24" s="51" t="e">
        <f t="shared" si="3"/>
        <v>#DIV/0!</v>
      </c>
      <c r="L24" s="51">
        <v>0</v>
      </c>
      <c r="M24" s="51" t="str">
        <f t="shared" si="5"/>
        <v>-</v>
      </c>
      <c r="N24" s="51">
        <v>0</v>
      </c>
      <c r="O24" s="51">
        <f t="shared" ref="O24:P24" si="33">D24/7</f>
        <v>0</v>
      </c>
      <c r="P24" s="51">
        <f t="shared" si="33"/>
        <v>0</v>
      </c>
      <c r="Q24" s="51" t="e">
        <f t="shared" si="7"/>
        <v>#DIV/0!</v>
      </c>
      <c r="R24" s="55">
        <v>0</v>
      </c>
      <c r="S24" s="53" t="s">
        <v>34</v>
      </c>
      <c r="T24" s="54" t="s">
        <v>34</v>
      </c>
      <c r="U24" s="55">
        <v>0</v>
      </c>
      <c r="V24" s="55">
        <f t="shared" si="8"/>
        <v>0</v>
      </c>
      <c r="W24" s="55">
        <f t="shared" si="9"/>
        <v>0</v>
      </c>
      <c r="X24" s="55">
        <v>0</v>
      </c>
      <c r="Y24" s="55" t="e">
        <v>#N/A</v>
      </c>
      <c r="Z24" s="56" t="e">
        <f t="shared" si="19"/>
        <v>#N/A</v>
      </c>
      <c r="AA24" s="55" t="e">
        <v>#N/A</v>
      </c>
      <c r="AB24" s="55">
        <f t="shared" si="27"/>
        <v>0</v>
      </c>
      <c r="AC24" s="55">
        <v>0</v>
      </c>
      <c r="AD24" s="55">
        <v>-6.7703088888888887</v>
      </c>
      <c r="AE24" s="55">
        <v>0</v>
      </c>
      <c r="AF24" s="55"/>
    </row>
    <row r="25" spans="1:32" s="57" customFormat="1" ht="15.75" customHeight="1">
      <c r="A25" s="2" t="s">
        <v>81</v>
      </c>
      <c r="B25" s="2"/>
      <c r="C25" s="51"/>
      <c r="D25" s="51">
        <v>0</v>
      </c>
      <c r="E25" s="51">
        <v>0</v>
      </c>
      <c r="F25" s="51">
        <v>0</v>
      </c>
      <c r="G25" s="51">
        <v>0</v>
      </c>
      <c r="H25" s="51" t="e">
        <f t="shared" si="1"/>
        <v>#DIV/0!</v>
      </c>
      <c r="I25" s="51" t="e">
        <f t="shared" si="2"/>
        <v>#DIV/0!</v>
      </c>
      <c r="J25" s="51">
        <f t="shared" si="4"/>
        <v>0</v>
      </c>
      <c r="K25" s="51" t="e">
        <f t="shared" si="3"/>
        <v>#DIV/0!</v>
      </c>
      <c r="L25" s="51">
        <v>0</v>
      </c>
      <c r="M25" s="51" t="str">
        <f t="shared" si="5"/>
        <v>-</v>
      </c>
      <c r="N25" s="51">
        <v>0</v>
      </c>
      <c r="O25" s="51">
        <f t="shared" ref="O25:P25" si="34">D25/7</f>
        <v>0</v>
      </c>
      <c r="P25" s="51">
        <f t="shared" si="34"/>
        <v>0</v>
      </c>
      <c r="Q25" s="51" t="e">
        <f t="shared" si="7"/>
        <v>#DIV/0!</v>
      </c>
      <c r="R25" s="55">
        <v>0</v>
      </c>
      <c r="S25" s="53" t="s">
        <v>34</v>
      </c>
      <c r="T25" s="54" t="s">
        <v>34</v>
      </c>
      <c r="U25" s="55">
        <v>0</v>
      </c>
      <c r="V25" s="55">
        <f t="shared" si="8"/>
        <v>0</v>
      </c>
      <c r="W25" s="55">
        <f t="shared" si="9"/>
        <v>0</v>
      </c>
      <c r="X25" s="55">
        <v>0</v>
      </c>
      <c r="Y25" s="55" t="e">
        <v>#N/A</v>
      </c>
      <c r="Z25" s="56" t="e">
        <f t="shared" si="19"/>
        <v>#N/A</v>
      </c>
      <c r="AA25" s="55" t="e">
        <v>#N/A</v>
      </c>
      <c r="AB25" s="55">
        <f t="shared" si="27"/>
        <v>0</v>
      </c>
      <c r="AC25" s="55">
        <v>0</v>
      </c>
      <c r="AD25" s="55">
        <v>-6.7703088888888887</v>
      </c>
      <c r="AE25" s="55">
        <v>0</v>
      </c>
      <c r="AF25" s="55"/>
    </row>
    <row r="26" spans="1:32" s="57" customFormat="1" ht="15.75" customHeight="1">
      <c r="A26" s="2" t="s">
        <v>83</v>
      </c>
      <c r="B26" s="2"/>
      <c r="C26" s="51" t="str">
        <f t="shared" ref="C26:C39" si="35">IFERROR(F26/D26," - ")</f>
        <v xml:space="preserve"> - </v>
      </c>
      <c r="D26" s="51">
        <v>0</v>
      </c>
      <c r="E26" s="51">
        <v>0</v>
      </c>
      <c r="F26" s="51">
        <v>0</v>
      </c>
      <c r="G26" s="51">
        <v>0</v>
      </c>
      <c r="H26" s="51" t="e">
        <f t="shared" si="1"/>
        <v>#DIV/0!</v>
      </c>
      <c r="I26" s="51" t="e">
        <f t="shared" si="2"/>
        <v>#DIV/0!</v>
      </c>
      <c r="J26" s="51">
        <f t="shared" si="4"/>
        <v>0</v>
      </c>
      <c r="K26" s="51" t="e">
        <f t="shared" si="3"/>
        <v>#DIV/0!</v>
      </c>
      <c r="L26" s="51">
        <v>0</v>
      </c>
      <c r="M26" s="51" t="str">
        <f t="shared" si="5"/>
        <v>-</v>
      </c>
      <c r="N26" s="51">
        <v>0</v>
      </c>
      <c r="O26" s="51">
        <f t="shared" ref="O26:P26" si="36">D26/7</f>
        <v>0</v>
      </c>
      <c r="P26" s="51">
        <f t="shared" si="36"/>
        <v>0</v>
      </c>
      <c r="Q26" s="51" t="e">
        <f t="shared" si="7"/>
        <v>#DIV/0!</v>
      </c>
      <c r="R26" s="55">
        <v>0</v>
      </c>
      <c r="S26" s="53" t="s">
        <v>34</v>
      </c>
      <c r="T26" s="54" t="s">
        <v>34</v>
      </c>
      <c r="U26" s="55">
        <v>0</v>
      </c>
      <c r="V26" s="55">
        <f t="shared" si="8"/>
        <v>0</v>
      </c>
      <c r="W26" s="55">
        <f t="shared" si="9"/>
        <v>0</v>
      </c>
      <c r="X26" s="55">
        <v>0</v>
      </c>
      <c r="Y26" s="55" t="e">
        <v>#N/A</v>
      </c>
      <c r="Z26" s="56" t="e">
        <f t="shared" si="19"/>
        <v>#N/A</v>
      </c>
      <c r="AA26" s="55" t="e">
        <v>#N/A</v>
      </c>
      <c r="AB26" s="55">
        <f t="shared" si="27"/>
        <v>0</v>
      </c>
      <c r="AC26" s="55">
        <v>0</v>
      </c>
      <c r="AD26" s="55">
        <v>-6.7370136363636357</v>
      </c>
      <c r="AE26" s="55">
        <v>0</v>
      </c>
      <c r="AF26" s="55"/>
    </row>
    <row r="27" spans="1:32" s="57" customFormat="1" ht="15.75" customHeight="1">
      <c r="A27" s="2" t="s">
        <v>84</v>
      </c>
      <c r="B27" s="2"/>
      <c r="C27" s="51" t="str">
        <f t="shared" si="35"/>
        <v xml:space="preserve"> - </v>
      </c>
      <c r="D27" s="51">
        <v>0</v>
      </c>
      <c r="E27" s="51">
        <v>0</v>
      </c>
      <c r="F27" s="51">
        <v>0</v>
      </c>
      <c r="G27" s="51">
        <v>0</v>
      </c>
      <c r="H27" s="51" t="e">
        <f t="shared" si="1"/>
        <v>#DIV/0!</v>
      </c>
      <c r="I27" s="51" t="e">
        <f t="shared" si="2"/>
        <v>#DIV/0!</v>
      </c>
      <c r="J27" s="51">
        <f t="shared" si="4"/>
        <v>0</v>
      </c>
      <c r="K27" s="51" t="e">
        <f t="shared" si="3"/>
        <v>#DIV/0!</v>
      </c>
      <c r="L27" s="51">
        <v>0</v>
      </c>
      <c r="M27" s="51" t="str">
        <f t="shared" si="5"/>
        <v>-</v>
      </c>
      <c r="N27" s="51">
        <v>0</v>
      </c>
      <c r="O27" s="51">
        <f t="shared" ref="O27:P27" si="37">D27/7</f>
        <v>0</v>
      </c>
      <c r="P27" s="51">
        <f t="shared" si="37"/>
        <v>0</v>
      </c>
      <c r="Q27" s="51" t="e">
        <f t="shared" si="7"/>
        <v>#DIV/0!</v>
      </c>
      <c r="R27" s="55">
        <v>0</v>
      </c>
      <c r="S27" s="53" t="s">
        <v>34</v>
      </c>
      <c r="T27" s="54" t="s">
        <v>34</v>
      </c>
      <c r="U27" s="55">
        <v>0</v>
      </c>
      <c r="V27" s="55">
        <f t="shared" si="8"/>
        <v>0</v>
      </c>
      <c r="W27" s="55">
        <f t="shared" si="9"/>
        <v>0</v>
      </c>
      <c r="X27" s="55">
        <v>0</v>
      </c>
      <c r="Y27" s="55" t="e">
        <v>#N/A</v>
      </c>
      <c r="Z27" s="56" t="e">
        <f t="shared" si="19"/>
        <v>#N/A</v>
      </c>
      <c r="AA27" s="55" t="e">
        <v>#N/A</v>
      </c>
      <c r="AB27" s="55">
        <f t="shared" si="27"/>
        <v>0</v>
      </c>
      <c r="AC27" s="55">
        <v>0</v>
      </c>
      <c r="AD27" s="55">
        <v>-6.7370136363636357</v>
      </c>
      <c r="AE27" s="55">
        <v>0</v>
      </c>
      <c r="AF27" s="55"/>
    </row>
    <row r="28" spans="1:32" s="57" customFormat="1" ht="15.75" customHeight="1">
      <c r="A28" s="2" t="s">
        <v>86</v>
      </c>
      <c r="B28" s="2"/>
      <c r="C28" s="51" t="str">
        <f t="shared" si="35"/>
        <v xml:space="preserve"> - </v>
      </c>
      <c r="D28" s="51">
        <v>0</v>
      </c>
      <c r="E28" s="51">
        <v>0</v>
      </c>
      <c r="F28" s="51">
        <v>0</v>
      </c>
      <c r="G28" s="51">
        <v>0</v>
      </c>
      <c r="H28" s="51" t="e">
        <f t="shared" si="1"/>
        <v>#DIV/0!</v>
      </c>
      <c r="I28" s="51" t="e">
        <f t="shared" si="2"/>
        <v>#DIV/0!</v>
      </c>
      <c r="J28" s="51">
        <f t="shared" si="4"/>
        <v>0</v>
      </c>
      <c r="K28" s="51" t="e">
        <f t="shared" si="3"/>
        <v>#DIV/0!</v>
      </c>
      <c r="L28" s="51">
        <v>0</v>
      </c>
      <c r="M28" s="51" t="str">
        <f t="shared" si="5"/>
        <v>-</v>
      </c>
      <c r="N28" s="51">
        <v>0</v>
      </c>
      <c r="O28" s="51">
        <f t="shared" ref="O28:P28" si="38">D28/7</f>
        <v>0</v>
      </c>
      <c r="P28" s="51">
        <f t="shared" si="38"/>
        <v>0</v>
      </c>
      <c r="Q28" s="51" t="e">
        <f t="shared" si="7"/>
        <v>#DIV/0!</v>
      </c>
      <c r="R28" s="55">
        <v>0</v>
      </c>
      <c r="S28" s="53" t="s">
        <v>34</v>
      </c>
      <c r="T28" s="54" t="s">
        <v>34</v>
      </c>
      <c r="U28" s="55">
        <v>0</v>
      </c>
      <c r="V28" s="55">
        <f t="shared" si="8"/>
        <v>0</v>
      </c>
      <c r="W28" s="55">
        <f t="shared" si="9"/>
        <v>0</v>
      </c>
      <c r="X28" s="55">
        <v>0</v>
      </c>
      <c r="Y28" s="55" t="e">
        <v>#N/A</v>
      </c>
      <c r="Z28" s="56" t="e">
        <f t="shared" si="19"/>
        <v>#N/A</v>
      </c>
      <c r="AA28" s="55" t="e">
        <v>#N/A</v>
      </c>
      <c r="AB28" s="55">
        <f t="shared" si="27"/>
        <v>0</v>
      </c>
      <c r="AC28" s="55">
        <v>0</v>
      </c>
      <c r="AD28" s="55">
        <v>-6.7370136363636357</v>
      </c>
      <c r="AE28" s="55">
        <v>0</v>
      </c>
      <c r="AF28" s="55"/>
    </row>
    <row r="29" spans="1:32" s="57" customFormat="1" ht="15.75" customHeight="1">
      <c r="A29" s="2" t="s">
        <v>87</v>
      </c>
      <c r="B29" s="2"/>
      <c r="C29" s="51" t="str">
        <f t="shared" si="35"/>
        <v xml:space="preserve"> - </v>
      </c>
      <c r="D29" s="51">
        <v>0</v>
      </c>
      <c r="E29" s="51">
        <v>0</v>
      </c>
      <c r="F29" s="51">
        <v>0</v>
      </c>
      <c r="G29" s="51">
        <v>0</v>
      </c>
      <c r="H29" s="51" t="e">
        <f t="shared" si="1"/>
        <v>#DIV/0!</v>
      </c>
      <c r="I29" s="51" t="e">
        <f t="shared" si="2"/>
        <v>#DIV/0!</v>
      </c>
      <c r="J29" s="51">
        <f t="shared" si="4"/>
        <v>0</v>
      </c>
      <c r="K29" s="51" t="e">
        <f t="shared" si="3"/>
        <v>#DIV/0!</v>
      </c>
      <c r="L29" s="51">
        <v>0</v>
      </c>
      <c r="M29" s="51" t="str">
        <f t="shared" si="5"/>
        <v>-</v>
      </c>
      <c r="N29" s="51">
        <v>0</v>
      </c>
      <c r="O29" s="51">
        <f t="shared" ref="O29:P29" si="39">D29/7</f>
        <v>0</v>
      </c>
      <c r="P29" s="51">
        <f t="shared" si="39"/>
        <v>0</v>
      </c>
      <c r="Q29" s="51" t="e">
        <f t="shared" si="7"/>
        <v>#DIV/0!</v>
      </c>
      <c r="R29" s="55">
        <v>0</v>
      </c>
      <c r="S29" s="53" t="s">
        <v>34</v>
      </c>
      <c r="T29" s="54" t="s">
        <v>34</v>
      </c>
      <c r="U29" s="55">
        <v>0</v>
      </c>
      <c r="V29" s="55">
        <f t="shared" si="8"/>
        <v>0</v>
      </c>
      <c r="W29" s="55">
        <f t="shared" si="9"/>
        <v>0</v>
      </c>
      <c r="X29" s="55">
        <v>0</v>
      </c>
      <c r="Y29" s="55" t="e">
        <v>#N/A</v>
      </c>
      <c r="Z29" s="56" t="e">
        <f t="shared" si="19"/>
        <v>#N/A</v>
      </c>
      <c r="AA29" s="55" t="e">
        <v>#N/A</v>
      </c>
      <c r="AB29" s="55">
        <f t="shared" si="27"/>
        <v>0</v>
      </c>
      <c r="AC29" s="55">
        <v>0</v>
      </c>
      <c r="AD29" s="55">
        <v>-6.7370136363636357</v>
      </c>
      <c r="AE29" s="55">
        <v>0</v>
      </c>
      <c r="AF29" s="55"/>
    </row>
    <row r="30" spans="1:32" s="57" customFormat="1" ht="15.75" customHeight="1">
      <c r="A30" s="2" t="s">
        <v>89</v>
      </c>
      <c r="B30" s="2"/>
      <c r="C30" s="51" t="str">
        <f t="shared" si="35"/>
        <v xml:space="preserve"> - </v>
      </c>
      <c r="D30" s="51">
        <v>0</v>
      </c>
      <c r="E30" s="51">
        <v>0</v>
      </c>
      <c r="F30" s="51">
        <v>0</v>
      </c>
      <c r="G30" s="51">
        <v>0</v>
      </c>
      <c r="H30" s="51" t="e">
        <f t="shared" si="1"/>
        <v>#DIV/0!</v>
      </c>
      <c r="I30" s="51" t="e">
        <f t="shared" si="2"/>
        <v>#DIV/0!</v>
      </c>
      <c r="J30" s="51">
        <f t="shared" si="4"/>
        <v>0</v>
      </c>
      <c r="K30" s="51" t="e">
        <f t="shared" si="3"/>
        <v>#DIV/0!</v>
      </c>
      <c r="L30" s="51">
        <v>0</v>
      </c>
      <c r="M30" s="51" t="str">
        <f t="shared" si="5"/>
        <v>-</v>
      </c>
      <c r="N30" s="51">
        <v>0</v>
      </c>
      <c r="O30" s="51">
        <f t="shared" ref="O30:P30" si="40">D30/7</f>
        <v>0</v>
      </c>
      <c r="P30" s="51">
        <f t="shared" si="40"/>
        <v>0</v>
      </c>
      <c r="Q30" s="51" t="e">
        <f t="shared" si="7"/>
        <v>#DIV/0!</v>
      </c>
      <c r="R30" s="55">
        <v>0</v>
      </c>
      <c r="S30" s="53" t="s">
        <v>34</v>
      </c>
      <c r="T30" s="54" t="s">
        <v>34</v>
      </c>
      <c r="U30" s="55">
        <v>0</v>
      </c>
      <c r="V30" s="55">
        <f t="shared" si="8"/>
        <v>0</v>
      </c>
      <c r="W30" s="55">
        <f t="shared" si="9"/>
        <v>0</v>
      </c>
      <c r="X30" s="55">
        <v>0</v>
      </c>
      <c r="Y30" s="55" t="e">
        <v>#N/A</v>
      </c>
      <c r="Z30" s="56" t="e">
        <f t="shared" si="19"/>
        <v>#N/A</v>
      </c>
      <c r="AA30" s="55" t="e">
        <v>#N/A</v>
      </c>
      <c r="AB30" s="55">
        <f t="shared" si="27"/>
        <v>0</v>
      </c>
      <c r="AC30" s="55">
        <v>0</v>
      </c>
      <c r="AD30" s="55">
        <v>-6.7370136363636357</v>
      </c>
      <c r="AE30" s="55">
        <v>0</v>
      </c>
      <c r="AF30" s="55"/>
    </row>
    <row r="31" spans="1:32" s="57" customFormat="1" ht="15.75" customHeight="1">
      <c r="A31" s="2" t="s">
        <v>90</v>
      </c>
      <c r="B31" s="2"/>
      <c r="C31" s="51" t="str">
        <f t="shared" si="35"/>
        <v xml:space="preserve"> - </v>
      </c>
      <c r="D31" s="51">
        <v>0</v>
      </c>
      <c r="E31" s="51">
        <v>0</v>
      </c>
      <c r="F31" s="51">
        <v>0</v>
      </c>
      <c r="G31" s="51">
        <v>0</v>
      </c>
      <c r="H31" s="51" t="e">
        <f t="shared" si="1"/>
        <v>#DIV/0!</v>
      </c>
      <c r="I31" s="51" t="e">
        <f t="shared" si="2"/>
        <v>#DIV/0!</v>
      </c>
      <c r="J31" s="51">
        <f t="shared" si="4"/>
        <v>0</v>
      </c>
      <c r="K31" s="51" t="e">
        <f t="shared" si="3"/>
        <v>#DIV/0!</v>
      </c>
      <c r="L31" s="51">
        <v>0</v>
      </c>
      <c r="M31" s="51" t="str">
        <f t="shared" si="5"/>
        <v>-</v>
      </c>
      <c r="N31" s="51">
        <v>0</v>
      </c>
      <c r="O31" s="51">
        <f t="shared" ref="O31:P31" si="41">D31/7</f>
        <v>0</v>
      </c>
      <c r="P31" s="51">
        <f t="shared" si="41"/>
        <v>0</v>
      </c>
      <c r="Q31" s="51" t="e">
        <f t="shared" si="7"/>
        <v>#DIV/0!</v>
      </c>
      <c r="R31" s="55">
        <v>0</v>
      </c>
      <c r="S31" s="53" t="s">
        <v>34</v>
      </c>
      <c r="T31" s="54" t="s">
        <v>34</v>
      </c>
      <c r="U31" s="55">
        <v>0</v>
      </c>
      <c r="V31" s="55">
        <f t="shared" si="8"/>
        <v>0</v>
      </c>
      <c r="W31" s="55">
        <f t="shared" si="9"/>
        <v>0</v>
      </c>
      <c r="X31" s="55">
        <v>0</v>
      </c>
      <c r="Y31" s="55" t="e">
        <v>#N/A</v>
      </c>
      <c r="Z31" s="56" t="e">
        <f t="shared" si="19"/>
        <v>#N/A</v>
      </c>
      <c r="AA31" s="55" t="e">
        <v>#N/A</v>
      </c>
      <c r="AB31" s="55">
        <f t="shared" si="27"/>
        <v>0</v>
      </c>
      <c r="AC31" s="55">
        <v>0</v>
      </c>
      <c r="AD31" s="55">
        <v>-6.7370136363636357</v>
      </c>
      <c r="AE31" s="55">
        <v>0</v>
      </c>
      <c r="AF31" s="55"/>
    </row>
    <row r="32" spans="1:32" s="57" customFormat="1" ht="15.75" customHeight="1">
      <c r="A32" s="2" t="s">
        <v>92</v>
      </c>
      <c r="B32" s="2"/>
      <c r="C32" s="51" t="str">
        <f t="shared" si="35"/>
        <v xml:space="preserve"> - </v>
      </c>
      <c r="D32" s="51">
        <v>0</v>
      </c>
      <c r="E32" s="51">
        <v>0</v>
      </c>
      <c r="F32" s="51">
        <v>0</v>
      </c>
      <c r="G32" s="51">
        <v>0</v>
      </c>
      <c r="H32" s="51" t="e">
        <f t="shared" si="1"/>
        <v>#DIV/0!</v>
      </c>
      <c r="I32" s="51" t="e">
        <f t="shared" si="2"/>
        <v>#DIV/0!</v>
      </c>
      <c r="J32" s="51">
        <f t="shared" si="4"/>
        <v>0</v>
      </c>
      <c r="K32" s="51" t="e">
        <f t="shared" si="3"/>
        <v>#DIV/0!</v>
      </c>
      <c r="L32" s="51">
        <v>0</v>
      </c>
      <c r="M32" s="51" t="str">
        <f t="shared" si="5"/>
        <v>-</v>
      </c>
      <c r="N32" s="51">
        <v>0</v>
      </c>
      <c r="O32" s="51">
        <f t="shared" ref="O32:P32" si="42">D32/7</f>
        <v>0</v>
      </c>
      <c r="P32" s="51">
        <f t="shared" si="42"/>
        <v>0</v>
      </c>
      <c r="Q32" s="51" t="e">
        <f t="shared" si="7"/>
        <v>#DIV/0!</v>
      </c>
      <c r="R32" s="55">
        <v>0</v>
      </c>
      <c r="S32" s="53" t="s">
        <v>34</v>
      </c>
      <c r="T32" s="54" t="s">
        <v>34</v>
      </c>
      <c r="U32" s="55">
        <v>0</v>
      </c>
      <c r="V32" s="55">
        <f t="shared" si="8"/>
        <v>0</v>
      </c>
      <c r="W32" s="55">
        <f t="shared" si="9"/>
        <v>0</v>
      </c>
      <c r="X32" s="55">
        <v>0</v>
      </c>
      <c r="Y32" s="55" t="e">
        <v>#N/A</v>
      </c>
      <c r="Z32" s="56" t="e">
        <f t="shared" si="19"/>
        <v>#N/A</v>
      </c>
      <c r="AA32" s="55" t="e">
        <v>#N/A</v>
      </c>
      <c r="AB32" s="55">
        <f t="shared" si="27"/>
        <v>0</v>
      </c>
      <c r="AC32" s="55">
        <v>0</v>
      </c>
      <c r="AD32" s="55">
        <v>-6.7370136363636357</v>
      </c>
      <c r="AE32" s="55">
        <v>0</v>
      </c>
      <c r="AF32" s="52" t="e">
        <v>#N/A</v>
      </c>
    </row>
    <row r="33" spans="1:32" s="57" customFormat="1" ht="15.75" customHeight="1">
      <c r="A33" s="2" t="s">
        <v>94</v>
      </c>
      <c r="B33" s="2"/>
      <c r="C33" s="51" t="str">
        <f t="shared" si="35"/>
        <v xml:space="preserve"> - </v>
      </c>
      <c r="D33" s="51">
        <v>0</v>
      </c>
      <c r="E33" s="51">
        <v>0</v>
      </c>
      <c r="F33" s="51">
        <v>0</v>
      </c>
      <c r="G33" s="51">
        <v>0</v>
      </c>
      <c r="H33" s="51" t="e">
        <f t="shared" si="1"/>
        <v>#DIV/0!</v>
      </c>
      <c r="I33" s="51" t="e">
        <f t="shared" si="2"/>
        <v>#DIV/0!</v>
      </c>
      <c r="J33" s="51">
        <f t="shared" si="4"/>
        <v>0</v>
      </c>
      <c r="K33" s="51" t="e">
        <f t="shared" si="3"/>
        <v>#DIV/0!</v>
      </c>
      <c r="L33" s="51">
        <v>0</v>
      </c>
      <c r="M33" s="51" t="str">
        <f t="shared" si="5"/>
        <v>-</v>
      </c>
      <c r="N33" s="51">
        <v>0</v>
      </c>
      <c r="O33" s="51">
        <f t="shared" ref="O33:P33" si="43">D33/7</f>
        <v>0</v>
      </c>
      <c r="P33" s="51">
        <f t="shared" si="43"/>
        <v>0</v>
      </c>
      <c r="Q33" s="51" t="e">
        <f t="shared" si="7"/>
        <v>#DIV/0!</v>
      </c>
      <c r="R33" s="55">
        <v>0</v>
      </c>
      <c r="S33" s="53" t="s">
        <v>34</v>
      </c>
      <c r="T33" s="54" t="s">
        <v>34</v>
      </c>
      <c r="U33" s="55">
        <v>0</v>
      </c>
      <c r="V33" s="55">
        <f t="shared" si="8"/>
        <v>0</v>
      </c>
      <c r="W33" s="55">
        <f t="shared" si="9"/>
        <v>0</v>
      </c>
      <c r="X33" s="55">
        <v>0</v>
      </c>
      <c r="Y33" s="55" t="e">
        <v>#N/A</v>
      </c>
      <c r="Z33" s="56" t="e">
        <f t="shared" si="19"/>
        <v>#N/A</v>
      </c>
      <c r="AA33" s="55" t="e">
        <v>#N/A</v>
      </c>
      <c r="AB33" s="55">
        <f t="shared" si="27"/>
        <v>0</v>
      </c>
      <c r="AC33" s="55">
        <v>0</v>
      </c>
      <c r="AD33" s="55">
        <v>-6.7370136363636357</v>
      </c>
      <c r="AE33" s="55">
        <v>0</v>
      </c>
      <c r="AF33" s="55" t="e">
        <v>#N/A</v>
      </c>
    </row>
    <row r="34" spans="1:32" s="57" customFormat="1" ht="15.75" customHeight="1">
      <c r="A34" s="2" t="s">
        <v>95</v>
      </c>
      <c r="B34" s="2"/>
      <c r="C34" s="51" t="str">
        <f t="shared" si="35"/>
        <v xml:space="preserve"> - </v>
      </c>
      <c r="D34" s="51">
        <v>0</v>
      </c>
      <c r="E34" s="51">
        <v>0</v>
      </c>
      <c r="F34" s="51">
        <v>0</v>
      </c>
      <c r="G34" s="51">
        <v>0</v>
      </c>
      <c r="H34" s="51" t="e">
        <f t="shared" si="1"/>
        <v>#DIV/0!</v>
      </c>
      <c r="I34" s="51" t="e">
        <f t="shared" si="2"/>
        <v>#DIV/0!</v>
      </c>
      <c r="J34" s="51">
        <f t="shared" si="4"/>
        <v>0</v>
      </c>
      <c r="K34" s="51" t="e">
        <f t="shared" si="3"/>
        <v>#DIV/0!</v>
      </c>
      <c r="L34" s="51">
        <v>0</v>
      </c>
      <c r="M34" s="51" t="str">
        <f t="shared" si="5"/>
        <v>-</v>
      </c>
      <c r="N34" s="51">
        <v>0</v>
      </c>
      <c r="O34" s="51">
        <f t="shared" ref="O34:P34" si="44">D34/7</f>
        <v>0</v>
      </c>
      <c r="P34" s="51">
        <f t="shared" si="44"/>
        <v>0</v>
      </c>
      <c r="Q34" s="51" t="e">
        <f t="shared" si="7"/>
        <v>#DIV/0!</v>
      </c>
      <c r="R34" s="55">
        <v>0</v>
      </c>
      <c r="S34" s="53" t="s">
        <v>34</v>
      </c>
      <c r="T34" s="54" t="s">
        <v>34</v>
      </c>
      <c r="U34" s="55">
        <v>0</v>
      </c>
      <c r="V34" s="55">
        <f t="shared" si="8"/>
        <v>0</v>
      </c>
      <c r="W34" s="55">
        <f t="shared" si="9"/>
        <v>0</v>
      </c>
      <c r="X34" s="55">
        <v>0</v>
      </c>
      <c r="Y34" s="55" t="e">
        <v>#N/A</v>
      </c>
      <c r="Z34" s="56" t="e">
        <f t="shared" si="19"/>
        <v>#N/A</v>
      </c>
      <c r="AA34" s="55" t="e">
        <v>#N/A</v>
      </c>
      <c r="AB34" s="55">
        <f t="shared" si="27"/>
        <v>0</v>
      </c>
      <c r="AC34" s="55">
        <v>0</v>
      </c>
      <c r="AD34" s="55">
        <v>-6.7370136363636357</v>
      </c>
      <c r="AE34" s="55">
        <v>0</v>
      </c>
      <c r="AF34" s="55" t="e">
        <v>#N/A</v>
      </c>
    </row>
    <row r="35" spans="1:32" s="57" customFormat="1" ht="15.75" customHeight="1">
      <c r="A35" s="2" t="s">
        <v>96</v>
      </c>
      <c r="B35" s="2"/>
      <c r="C35" s="51" t="str">
        <f t="shared" si="35"/>
        <v xml:space="preserve"> - </v>
      </c>
      <c r="D35" s="51">
        <v>0</v>
      </c>
      <c r="E35" s="51">
        <v>0</v>
      </c>
      <c r="F35" s="51">
        <v>0</v>
      </c>
      <c r="G35" s="51">
        <v>0</v>
      </c>
      <c r="H35" s="51" t="e">
        <f t="shared" si="1"/>
        <v>#DIV/0!</v>
      </c>
      <c r="I35" s="51" t="e">
        <f t="shared" si="2"/>
        <v>#DIV/0!</v>
      </c>
      <c r="J35" s="51">
        <f t="shared" si="4"/>
        <v>0</v>
      </c>
      <c r="K35" s="51" t="e">
        <f t="shared" si="3"/>
        <v>#DIV/0!</v>
      </c>
      <c r="L35" s="51">
        <v>0</v>
      </c>
      <c r="M35" s="51" t="str">
        <f t="shared" si="5"/>
        <v>-</v>
      </c>
      <c r="N35" s="51">
        <v>0</v>
      </c>
      <c r="O35" s="51">
        <f t="shared" ref="O35:P35" si="45">D35/7</f>
        <v>0</v>
      </c>
      <c r="P35" s="51">
        <f t="shared" si="45"/>
        <v>0</v>
      </c>
      <c r="Q35" s="51" t="e">
        <f t="shared" si="7"/>
        <v>#DIV/0!</v>
      </c>
      <c r="R35" s="55">
        <v>0</v>
      </c>
      <c r="S35" s="53" t="s">
        <v>34</v>
      </c>
      <c r="T35" s="54" t="s">
        <v>34</v>
      </c>
      <c r="U35" s="55">
        <v>0</v>
      </c>
      <c r="V35" s="55">
        <f t="shared" si="8"/>
        <v>0</v>
      </c>
      <c r="W35" s="55">
        <f t="shared" si="9"/>
        <v>0</v>
      </c>
      <c r="X35" s="55">
        <v>0</v>
      </c>
      <c r="Y35" s="55" t="e">
        <v>#N/A</v>
      </c>
      <c r="Z35" s="56" t="e">
        <f t="shared" si="19"/>
        <v>#N/A</v>
      </c>
      <c r="AA35" s="55" t="e">
        <v>#N/A</v>
      </c>
      <c r="AB35" s="55">
        <f t="shared" si="27"/>
        <v>0</v>
      </c>
      <c r="AC35" s="55">
        <v>0</v>
      </c>
      <c r="AD35" s="55">
        <v>-6.7370136363636357</v>
      </c>
      <c r="AE35" s="55">
        <v>0</v>
      </c>
      <c r="AF35" s="55" t="e">
        <v>#N/A</v>
      </c>
    </row>
    <row r="36" spans="1:32" s="57" customFormat="1" ht="15.75" customHeight="1">
      <c r="A36" s="2" t="s">
        <v>98</v>
      </c>
      <c r="B36" s="2"/>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v>0</v>
      </c>
      <c r="S36" s="53"/>
      <c r="T36" s="54" t="s">
        <v>34</v>
      </c>
      <c r="U36" s="55"/>
      <c r="V36" s="55">
        <f t="shared" si="8"/>
        <v>0</v>
      </c>
      <c r="W36" s="55">
        <f t="shared" si="9"/>
        <v>0</v>
      </c>
      <c r="X36" s="55"/>
      <c r="Y36" s="55" t="e">
        <v>#N/A</v>
      </c>
      <c r="Z36" s="56" t="e">
        <f t="shared" si="19"/>
        <v>#N/A</v>
      </c>
      <c r="AA36" s="55" t="e">
        <v>#N/A</v>
      </c>
      <c r="AB36" s="55">
        <f t="shared" si="27"/>
        <v>0</v>
      </c>
      <c r="AC36" s="55">
        <v>0</v>
      </c>
      <c r="AD36" s="55">
        <v>-6.7370136363636357</v>
      </c>
      <c r="AE36" s="55">
        <v>0</v>
      </c>
      <c r="AF36" s="55" t="e">
        <v>#N/A</v>
      </c>
    </row>
    <row r="37" spans="1:32" s="57" customFormat="1" ht="15.75" customHeight="1">
      <c r="A37" s="2" t="s">
        <v>99</v>
      </c>
      <c r="B37" s="2"/>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v>0</v>
      </c>
      <c r="S37" s="53" t="s">
        <v>34</v>
      </c>
      <c r="T37" s="54" t="s">
        <v>34</v>
      </c>
      <c r="U37" s="55">
        <v>0</v>
      </c>
      <c r="V37" s="55">
        <f t="shared" si="8"/>
        <v>0</v>
      </c>
      <c r="W37" s="55">
        <f t="shared" si="9"/>
        <v>0</v>
      </c>
      <c r="X37" s="55">
        <v>0</v>
      </c>
      <c r="Y37" s="55" t="e">
        <v>#N/A</v>
      </c>
      <c r="Z37" s="56" t="e">
        <f t="shared" si="19"/>
        <v>#N/A</v>
      </c>
      <c r="AA37" s="55" t="e">
        <v>#N/A</v>
      </c>
      <c r="AB37" s="55">
        <f t="shared" si="27"/>
        <v>0</v>
      </c>
      <c r="AC37" s="55">
        <v>0</v>
      </c>
      <c r="AD37" s="55">
        <v>-6.7370136363636357</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5">
        <v>0</v>
      </c>
      <c r="S38" s="53"/>
      <c r="T38" s="54" t="s">
        <v>34</v>
      </c>
      <c r="U38" s="55">
        <v>0</v>
      </c>
      <c r="V38" s="55">
        <f t="shared" si="8"/>
        <v>0</v>
      </c>
      <c r="W38" s="55">
        <f t="shared" si="9"/>
        <v>0</v>
      </c>
      <c r="X38" s="55">
        <v>0</v>
      </c>
      <c r="Y38" s="55" t="e">
        <v>#N/A</v>
      </c>
      <c r="Z38" s="56" t="e">
        <f t="shared" si="19"/>
        <v>#N/A</v>
      </c>
      <c r="AA38" s="55" t="e">
        <v>#N/A</v>
      </c>
      <c r="AB38" s="55">
        <f t="shared" si="27"/>
        <v>0</v>
      </c>
      <c r="AC38" s="55">
        <v>0</v>
      </c>
      <c r="AD38" s="55">
        <v>-6.7370136363636357</v>
      </c>
      <c r="AE38" s="55">
        <v>0</v>
      </c>
      <c r="AF38" s="55" t="e">
        <v>#N/A</v>
      </c>
    </row>
    <row r="39" spans="1:32" s="57" customFormat="1" ht="15.75" customHeight="1">
      <c r="A39" s="2" t="s">
        <v>101</v>
      </c>
      <c r="B39" s="2"/>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0</v>
      </c>
      <c r="O39" s="51">
        <f t="shared" ref="O39:P39" si="49">D39/7</f>
        <v>0</v>
      </c>
      <c r="P39" s="51">
        <f t="shared" si="49"/>
        <v>0</v>
      </c>
      <c r="Q39" s="51" t="e">
        <f t="shared" si="7"/>
        <v>#DIV/0!</v>
      </c>
      <c r="R39" s="55">
        <v>0</v>
      </c>
      <c r="S39" s="53" t="s">
        <v>34</v>
      </c>
      <c r="T39" s="54" t="s">
        <v>34</v>
      </c>
      <c r="U39" s="55">
        <v>0</v>
      </c>
      <c r="V39" s="55">
        <f t="shared" si="8"/>
        <v>0</v>
      </c>
      <c r="W39" s="55">
        <f t="shared" si="9"/>
        <v>0</v>
      </c>
      <c r="X39" s="55">
        <v>0</v>
      </c>
      <c r="Y39" s="55" t="e">
        <v>#N/A</v>
      </c>
      <c r="Z39" s="56" t="e">
        <f t="shared" si="19"/>
        <v>#N/A</v>
      </c>
      <c r="AA39" s="55" t="e">
        <v>#N/A</v>
      </c>
      <c r="AB39" s="55">
        <f t="shared" si="27"/>
        <v>0</v>
      </c>
      <c r="AC39" s="55">
        <v>0</v>
      </c>
      <c r="AD39" s="55">
        <v>-6.7370136363636304</v>
      </c>
      <c r="AE39" s="55">
        <v>0</v>
      </c>
      <c r="AF39" s="55" t="e">
        <v>#N/A</v>
      </c>
    </row>
    <row r="40" spans="1:32" s="57" customFormat="1" ht="15.75" customHeight="1">
      <c r="A40" s="2" t="s">
        <v>102</v>
      </c>
      <c r="B40" s="2"/>
      <c r="C40" s="51" t="s">
        <v>103</v>
      </c>
      <c r="D40" s="51">
        <v>0</v>
      </c>
      <c r="E40" s="51">
        <v>0</v>
      </c>
      <c r="F40" s="51">
        <v>0</v>
      </c>
      <c r="G40" s="51">
        <v>0</v>
      </c>
      <c r="H40" s="51" t="e">
        <v>#DIV/0!</v>
      </c>
      <c r="I40" s="51" t="e">
        <v>#DIV/0!</v>
      </c>
      <c r="J40" s="51">
        <v>0</v>
      </c>
      <c r="K40" s="51" t="e">
        <v>#DIV/0!</v>
      </c>
      <c r="L40" s="51">
        <v>0</v>
      </c>
      <c r="M40" s="51" t="s">
        <v>104</v>
      </c>
      <c r="N40" s="51">
        <v>0</v>
      </c>
      <c r="O40" s="51">
        <v>0</v>
      </c>
      <c r="P40" s="51">
        <v>0</v>
      </c>
      <c r="Q40" s="51" t="e">
        <v>#DIV/0!</v>
      </c>
      <c r="R40" s="55">
        <v>0</v>
      </c>
      <c r="S40" s="53" t="s">
        <v>34</v>
      </c>
      <c r="T40" s="54" t="s">
        <v>34</v>
      </c>
      <c r="U40" s="55">
        <v>0</v>
      </c>
      <c r="V40" s="55">
        <v>0</v>
      </c>
      <c r="W40" s="55">
        <v>0</v>
      </c>
      <c r="X40" s="55">
        <v>0</v>
      </c>
      <c r="Y40" s="55" t="e">
        <v>#N/A</v>
      </c>
      <c r="Z40" s="56" t="e">
        <v>#N/A</v>
      </c>
      <c r="AA40" s="55" t="e">
        <v>#N/A</v>
      </c>
      <c r="AB40" s="55">
        <v>0</v>
      </c>
      <c r="AC40" s="55">
        <v>0</v>
      </c>
      <c r="AD40" s="55">
        <v>-6.7370136363636304</v>
      </c>
      <c r="AE40" s="55">
        <v>0</v>
      </c>
      <c r="AF40" s="55" t="e">
        <v>#N/A</v>
      </c>
    </row>
    <row r="41" spans="1:32" s="57" customFormat="1" ht="15.75" customHeight="1">
      <c r="A41" s="2" t="s">
        <v>105</v>
      </c>
      <c r="B41" s="2"/>
      <c r="C41" s="51" t="str">
        <f t="shared" ref="C41:C56" si="50">IFERROR(F41/D41," - ")</f>
        <v xml:space="preserve"> - </v>
      </c>
      <c r="D41" s="51">
        <v>0</v>
      </c>
      <c r="E41" s="51">
        <v>0</v>
      </c>
      <c r="F41" s="51">
        <v>0</v>
      </c>
      <c r="G41" s="51">
        <v>0</v>
      </c>
      <c r="H41" s="51" t="e">
        <f t="shared" ref="H41:H56" si="51">G41/F41*-1</f>
        <v>#DIV/0!</v>
      </c>
      <c r="I41" s="51" t="e">
        <f t="shared" ref="I41:I56" si="52">J41/F41</f>
        <v>#DIV/0!</v>
      </c>
      <c r="J41" s="51">
        <f t="shared" ref="J41:J48" si="53">F41*0.85+G41+AD41*D41+D41*AC41+AE42+AB41</f>
        <v>0</v>
      </c>
      <c r="K41" s="51" t="e">
        <f t="shared" ref="K41:K56" si="54">J41/D41</f>
        <v>#DIV/0!</v>
      </c>
      <c r="L41" s="51">
        <v>0</v>
      </c>
      <c r="M41" s="51" t="str">
        <f t="shared" ref="M41:M56" si="55">IFERROR(D41/L41,"-")</f>
        <v>-</v>
      </c>
      <c r="N41" s="51">
        <v>0</v>
      </c>
      <c r="O41" s="51">
        <f t="shared" ref="O41:P41" si="56">D41/7</f>
        <v>0</v>
      </c>
      <c r="P41" s="51">
        <f t="shared" si="56"/>
        <v>0</v>
      </c>
      <c r="Q41" s="51" t="e">
        <f t="shared" ref="Q41:Q56" si="57">ROUNDDOWN(N41/(O41+P41),0)</f>
        <v>#DIV/0!</v>
      </c>
      <c r="R41" s="55">
        <v>0</v>
      </c>
      <c r="S41" s="53" t="s">
        <v>34</v>
      </c>
      <c r="T41" s="54" t="s">
        <v>34</v>
      </c>
      <c r="U41" s="55">
        <v>0</v>
      </c>
      <c r="V41" s="55">
        <f t="shared" ref="V41:V56" si="58">IFERROR(U41/D41,0)</f>
        <v>0</v>
      </c>
      <c r="W41" s="55">
        <f t="shared" ref="W41:W56" si="59">IFERROR(G41/(U41+X41)*-1,0)</f>
        <v>0</v>
      </c>
      <c r="X41" s="55">
        <v>0</v>
      </c>
      <c r="Y41" s="52" t="e">
        <v>#N/A</v>
      </c>
      <c r="Z41" s="56" t="e">
        <f t="shared" ref="Z41:Z43" si="60">IF(OR(Y41="UsLargeStandardSize",Y41="UsSmallStandardSize"),-0.75,-0.48)</f>
        <v>#N/A</v>
      </c>
      <c r="AA41" s="55" t="e">
        <v>#N/A</v>
      </c>
      <c r="AB41" s="55">
        <f t="shared" ref="AB41:AB56" si="61">IFERROR(Z41*AA41*D41*3,0)</f>
        <v>0</v>
      </c>
      <c r="AC41" s="55">
        <v>0</v>
      </c>
      <c r="AD41" s="55">
        <v>-6.7370136363636304</v>
      </c>
      <c r="AE41" s="55">
        <v>0</v>
      </c>
      <c r="AF41" s="55" t="e">
        <v>#N/A</v>
      </c>
    </row>
    <row r="42" spans="1:32" s="57" customFormat="1" ht="15.75" customHeight="1">
      <c r="A42" s="2" t="s">
        <v>106</v>
      </c>
      <c r="B42" s="2"/>
      <c r="C42" s="51" t="str">
        <f t="shared" si="50"/>
        <v xml:space="preserve"> - </v>
      </c>
      <c r="D42" s="51">
        <v>0</v>
      </c>
      <c r="E42" s="51">
        <v>0</v>
      </c>
      <c r="F42" s="51">
        <v>0</v>
      </c>
      <c r="G42" s="51">
        <v>0</v>
      </c>
      <c r="H42" s="51" t="e">
        <f t="shared" si="51"/>
        <v>#DIV/0!</v>
      </c>
      <c r="I42" s="51" t="e">
        <f t="shared" si="52"/>
        <v>#DIV/0!</v>
      </c>
      <c r="J42" s="51">
        <f t="shared" si="53"/>
        <v>0</v>
      </c>
      <c r="K42" s="51" t="e">
        <f t="shared" si="54"/>
        <v>#DIV/0!</v>
      </c>
      <c r="L42" s="51">
        <v>0</v>
      </c>
      <c r="M42" s="51" t="str">
        <f t="shared" si="55"/>
        <v>-</v>
      </c>
      <c r="N42" s="51">
        <v>0</v>
      </c>
      <c r="O42" s="51">
        <f t="shared" ref="O42:P42" si="62">D42/7</f>
        <v>0</v>
      </c>
      <c r="P42" s="51">
        <f t="shared" si="62"/>
        <v>0</v>
      </c>
      <c r="Q42" s="51" t="e">
        <f t="shared" si="57"/>
        <v>#DIV/0!</v>
      </c>
      <c r="R42" s="55">
        <f ca="1">IFERROR(__xludf.DUMMYFUNCTION("IFERROR(VLOOKUP($B$2,IMPORTRANGE(""https://docs.google.com/spreadsheets/d/1iVgg6Mw12RULLujzHmfOFIY8Q_KaAD8anoZzgtVAQ74/edit#gid=1503384807"",""Second Star - Summary!A1:AD2000""),9,FALSE),"""")"),1005)</f>
        <v>1005</v>
      </c>
      <c r="S42" s="53">
        <f ca="1">IFERROR(__xludf.DUMMYFUNCTION("IFERROR(VLOOKUP($B$2,IMPORTRANGE(""https://docs.google.com/spreadsheets/d/1iVgg6Mw12RULLujzHmfOFIY8Q_KaAD8anoZzgtVAQ74/edit#gid=1503384807"",""Second Star - Summary!A1:AD2000""),28,FALSE),"""")"),450)</f>
        <v>450</v>
      </c>
      <c r="T42" s="54" t="str">
        <f ca="1">IFERROR(__xludf.DUMMYFUNCTION("IFERROR(VLOOKUP($B$2,IMPORTRANGE(""https://docs.google.com/spreadsheets/d/1iVgg6Mw12RULLujzHmfOFIY8Q_KaAD8anoZzgtVAQ74/edit#gid=1503384807"",""Second Star - Summary!A1:AD2000""),29,FALSE),"""")"),"")</f>
        <v/>
      </c>
      <c r="U42" s="55">
        <v>0</v>
      </c>
      <c r="V42" s="55">
        <f t="shared" si="58"/>
        <v>0</v>
      </c>
      <c r="W42" s="55">
        <f t="shared" si="59"/>
        <v>0</v>
      </c>
      <c r="X42" s="55">
        <v>0</v>
      </c>
      <c r="Y42" s="55" t="e">
        <v>#N/A</v>
      </c>
      <c r="Z42" s="56" t="e">
        <f t="shared" si="60"/>
        <v>#N/A</v>
      </c>
      <c r="AA42" s="55" t="e">
        <v>#N/A</v>
      </c>
      <c r="AB42" s="55">
        <f t="shared" si="61"/>
        <v>0</v>
      </c>
      <c r="AC42" s="55">
        <v>0</v>
      </c>
      <c r="AD42" s="55">
        <v>-6.7370136363636304</v>
      </c>
      <c r="AE42" s="55">
        <v>0</v>
      </c>
      <c r="AF42" s="55" t="e">
        <v>#N/A</v>
      </c>
    </row>
    <row r="43" spans="1:32" s="57" customFormat="1" ht="15.75" customHeight="1">
      <c r="A43" s="2" t="s">
        <v>107</v>
      </c>
      <c r="B43" s="2"/>
      <c r="C43" s="51" t="str">
        <f t="shared" si="50"/>
        <v xml:space="preserve"> - </v>
      </c>
      <c r="D43" s="51">
        <v>0</v>
      </c>
      <c r="E43" s="51">
        <v>0</v>
      </c>
      <c r="F43" s="51">
        <v>0</v>
      </c>
      <c r="G43" s="51">
        <v>0</v>
      </c>
      <c r="H43" s="51" t="e">
        <f t="shared" si="51"/>
        <v>#DIV/0!</v>
      </c>
      <c r="I43" s="51" t="e">
        <f t="shared" si="52"/>
        <v>#DIV/0!</v>
      </c>
      <c r="J43" s="51">
        <f t="shared" si="53"/>
        <v>0</v>
      </c>
      <c r="K43" s="51" t="e">
        <f t="shared" si="54"/>
        <v>#DIV/0!</v>
      </c>
      <c r="L43" s="51">
        <v>0</v>
      </c>
      <c r="M43" s="51" t="str">
        <f t="shared" si="55"/>
        <v>-</v>
      </c>
      <c r="N43" s="51">
        <v>0</v>
      </c>
      <c r="O43" s="51">
        <f t="shared" ref="O43:P43" si="63">D43/7</f>
        <v>0</v>
      </c>
      <c r="P43" s="51">
        <f t="shared" si="63"/>
        <v>0</v>
      </c>
      <c r="Q43" s="51" t="e">
        <f t="shared" si="57"/>
        <v>#DIV/0!</v>
      </c>
      <c r="R43" s="55">
        <v>0</v>
      </c>
      <c r="S43" s="53" t="s">
        <v>34</v>
      </c>
      <c r="T43" s="54" t="s">
        <v>34</v>
      </c>
      <c r="U43" s="55">
        <v>0</v>
      </c>
      <c r="V43" s="55">
        <f t="shared" si="58"/>
        <v>0</v>
      </c>
      <c r="W43" s="55">
        <f t="shared" si="59"/>
        <v>0</v>
      </c>
      <c r="X43" s="55">
        <v>0</v>
      </c>
      <c r="Y43" s="55" t="e">
        <v>#N/A</v>
      </c>
      <c r="Z43" s="56" t="e">
        <f t="shared" si="60"/>
        <v>#N/A</v>
      </c>
      <c r="AA43" s="55" t="e">
        <v>#N/A</v>
      </c>
      <c r="AB43" s="55">
        <f t="shared" si="61"/>
        <v>0</v>
      </c>
      <c r="AC43" s="55">
        <v>0</v>
      </c>
      <c r="AD43" s="55">
        <v>-6.7370136363636304</v>
      </c>
      <c r="AE43" s="55">
        <v>0</v>
      </c>
      <c r="AF43" s="55" t="e">
        <v>#N/A</v>
      </c>
    </row>
    <row r="44" spans="1:32" s="57" customFormat="1" ht="15.75" customHeight="1">
      <c r="A44" s="2" t="s">
        <v>108</v>
      </c>
      <c r="B44" s="2"/>
      <c r="C44" s="51" t="str">
        <f t="shared" si="50"/>
        <v xml:space="preserve"> - </v>
      </c>
      <c r="D44" s="51">
        <v>0</v>
      </c>
      <c r="E44" s="51">
        <v>0</v>
      </c>
      <c r="F44" s="51">
        <v>0</v>
      </c>
      <c r="G44" s="51">
        <v>0</v>
      </c>
      <c r="H44" s="51" t="e">
        <f t="shared" si="51"/>
        <v>#DIV/0!</v>
      </c>
      <c r="I44" s="51" t="e">
        <f t="shared" si="52"/>
        <v>#DIV/0!</v>
      </c>
      <c r="J44" s="51">
        <f t="shared" si="53"/>
        <v>0</v>
      </c>
      <c r="K44" s="51" t="e">
        <f t="shared" si="54"/>
        <v>#DIV/0!</v>
      </c>
      <c r="L44" s="51">
        <v>0</v>
      </c>
      <c r="M44" s="51" t="str">
        <f t="shared" si="55"/>
        <v>-</v>
      </c>
      <c r="N44" s="51">
        <v>0</v>
      </c>
      <c r="O44" s="51">
        <f t="shared" ref="O44:P44" si="64">D44/7</f>
        <v>0</v>
      </c>
      <c r="P44" s="51">
        <f t="shared" si="64"/>
        <v>0</v>
      </c>
      <c r="Q44" s="51" t="e">
        <f t="shared" si="57"/>
        <v>#DIV/0!</v>
      </c>
      <c r="R44" s="55">
        <v>0</v>
      </c>
      <c r="S44" s="53" t="s">
        <v>34</v>
      </c>
      <c r="T44" s="54" t="s">
        <v>34</v>
      </c>
      <c r="U44" s="55">
        <v>0</v>
      </c>
      <c r="V44" s="55">
        <f t="shared" si="58"/>
        <v>0</v>
      </c>
      <c r="W44" s="55">
        <f t="shared" si="59"/>
        <v>0</v>
      </c>
      <c r="X44" s="55">
        <v>0</v>
      </c>
      <c r="Y44" s="55" t="e">
        <v>#N/A</v>
      </c>
      <c r="Z44" s="56" t="e">
        <f t="shared" ref="Z44:Z56" si="65">IF(OR(Y44="UsLargeStandardSize",Y44="UsSmallStandardSize"),-2.4,-1.2)</f>
        <v>#N/A</v>
      </c>
      <c r="AA44" s="55" t="e">
        <v>#N/A</v>
      </c>
      <c r="AB44" s="55">
        <f t="shared" si="61"/>
        <v>0</v>
      </c>
      <c r="AC44" s="55">
        <v>0</v>
      </c>
      <c r="AD44" s="55">
        <v>-6.7370136363636304</v>
      </c>
      <c r="AE44" s="55">
        <v>0</v>
      </c>
      <c r="AF44" s="55" t="e">
        <v>#N/A</v>
      </c>
    </row>
    <row r="45" spans="1:32" s="57" customFormat="1" ht="15.75" customHeight="1">
      <c r="A45" s="2" t="s">
        <v>109</v>
      </c>
      <c r="B45" s="2"/>
      <c r="C45" s="51" t="str">
        <f t="shared" si="50"/>
        <v xml:space="preserve"> - </v>
      </c>
      <c r="D45" s="51">
        <v>0</v>
      </c>
      <c r="E45" s="51">
        <v>0</v>
      </c>
      <c r="F45" s="51">
        <v>0</v>
      </c>
      <c r="G45" s="51">
        <v>0</v>
      </c>
      <c r="H45" s="51" t="e">
        <f t="shared" si="51"/>
        <v>#DIV/0!</v>
      </c>
      <c r="I45" s="51" t="e">
        <f t="shared" si="52"/>
        <v>#DIV/0!</v>
      </c>
      <c r="J45" s="51">
        <f t="shared" si="53"/>
        <v>0</v>
      </c>
      <c r="K45" s="51" t="e">
        <f t="shared" si="54"/>
        <v>#DIV/0!</v>
      </c>
      <c r="L45" s="51">
        <v>0</v>
      </c>
      <c r="M45" s="51" t="str">
        <f t="shared" si="55"/>
        <v>-</v>
      </c>
      <c r="N45" s="51">
        <v>0</v>
      </c>
      <c r="O45" s="51">
        <f t="shared" ref="O45:P45" si="66">D45/7</f>
        <v>0</v>
      </c>
      <c r="P45" s="51">
        <f t="shared" si="66"/>
        <v>0</v>
      </c>
      <c r="Q45" s="51" t="e">
        <f t="shared" si="57"/>
        <v>#DIV/0!</v>
      </c>
      <c r="R45" s="55">
        <v>0</v>
      </c>
      <c r="S45" s="53" t="s">
        <v>34</v>
      </c>
      <c r="T45" s="54" t="s">
        <v>34</v>
      </c>
      <c r="U45" s="55">
        <v>0</v>
      </c>
      <c r="V45" s="55">
        <f t="shared" si="58"/>
        <v>0</v>
      </c>
      <c r="W45" s="55">
        <f t="shared" si="59"/>
        <v>0</v>
      </c>
      <c r="X45" s="55">
        <v>0</v>
      </c>
      <c r="Y45" s="55" t="e">
        <v>#N/A</v>
      </c>
      <c r="Z45" s="56" t="e">
        <f t="shared" si="65"/>
        <v>#N/A</v>
      </c>
      <c r="AA45" s="55" t="e">
        <v>#N/A</v>
      </c>
      <c r="AB45" s="55">
        <f t="shared" si="61"/>
        <v>0</v>
      </c>
      <c r="AC45" s="55">
        <v>0</v>
      </c>
      <c r="AD45" s="55">
        <v>-6.7370136363636304</v>
      </c>
      <c r="AE45" s="55">
        <v>0</v>
      </c>
      <c r="AF45" s="55" t="e">
        <v>#N/A</v>
      </c>
    </row>
    <row r="46" spans="1:32" s="57" customFormat="1" ht="15.75" customHeight="1">
      <c r="A46" s="2" t="s">
        <v>111</v>
      </c>
      <c r="B46" s="2"/>
      <c r="C46" s="51" t="str">
        <f t="shared" si="50"/>
        <v xml:space="preserve"> - </v>
      </c>
      <c r="D46" s="51">
        <v>0</v>
      </c>
      <c r="E46" s="51">
        <v>0</v>
      </c>
      <c r="F46" s="51">
        <v>0</v>
      </c>
      <c r="G46" s="51">
        <v>0</v>
      </c>
      <c r="H46" s="51" t="e">
        <f t="shared" si="51"/>
        <v>#DIV/0!</v>
      </c>
      <c r="I46" s="51" t="e">
        <f t="shared" si="52"/>
        <v>#DIV/0!</v>
      </c>
      <c r="J46" s="51">
        <f t="shared" si="53"/>
        <v>0</v>
      </c>
      <c r="K46" s="51" t="e">
        <f t="shared" si="54"/>
        <v>#DIV/0!</v>
      </c>
      <c r="L46" s="51">
        <v>0</v>
      </c>
      <c r="M46" s="51" t="str">
        <f t="shared" si="55"/>
        <v>-</v>
      </c>
      <c r="N46" s="51">
        <v>0</v>
      </c>
      <c r="O46" s="51">
        <f t="shared" ref="O46:P46" si="67">D46/7</f>
        <v>0</v>
      </c>
      <c r="P46" s="51">
        <f t="shared" si="67"/>
        <v>0</v>
      </c>
      <c r="Q46" s="51" t="e">
        <f t="shared" si="57"/>
        <v>#DIV/0!</v>
      </c>
      <c r="R46" s="55">
        <v>0</v>
      </c>
      <c r="S46" s="53" t="s">
        <v>34</v>
      </c>
      <c r="T46" s="54" t="s">
        <v>34</v>
      </c>
      <c r="U46" s="55">
        <v>0</v>
      </c>
      <c r="V46" s="55">
        <f t="shared" si="58"/>
        <v>0</v>
      </c>
      <c r="W46" s="55">
        <f t="shared" si="59"/>
        <v>0</v>
      </c>
      <c r="X46" s="55">
        <v>0</v>
      </c>
      <c r="Y46" s="55" t="e">
        <v>#N/A</v>
      </c>
      <c r="Z46" s="56" t="e">
        <f t="shared" si="65"/>
        <v>#N/A</v>
      </c>
      <c r="AA46" s="55" t="e">
        <v>#N/A</v>
      </c>
      <c r="AB46" s="55">
        <f t="shared" si="61"/>
        <v>0</v>
      </c>
      <c r="AC46" s="55">
        <v>0</v>
      </c>
      <c r="AD46" s="55">
        <v>-6.7370136363636304</v>
      </c>
      <c r="AE46" s="55">
        <v>0</v>
      </c>
      <c r="AF46" s="55" t="e">
        <v>#N/A</v>
      </c>
    </row>
    <row r="47" spans="1:32" s="57" customFormat="1" ht="15.75" customHeight="1">
      <c r="A47" s="2" t="s">
        <v>113</v>
      </c>
      <c r="B47" s="2"/>
      <c r="C47" s="51" t="str">
        <f t="shared" si="50"/>
        <v xml:space="preserve"> - </v>
      </c>
      <c r="D47" s="51">
        <v>0</v>
      </c>
      <c r="E47" s="51">
        <v>0</v>
      </c>
      <c r="F47" s="51">
        <v>0</v>
      </c>
      <c r="G47" s="51">
        <v>0</v>
      </c>
      <c r="H47" s="51" t="e">
        <f t="shared" si="51"/>
        <v>#DIV/0!</v>
      </c>
      <c r="I47" s="51" t="e">
        <f t="shared" si="52"/>
        <v>#DIV/0!</v>
      </c>
      <c r="J47" s="51">
        <f t="shared" si="53"/>
        <v>0</v>
      </c>
      <c r="K47" s="51" t="e">
        <f t="shared" si="54"/>
        <v>#DIV/0!</v>
      </c>
      <c r="L47" s="51">
        <v>0</v>
      </c>
      <c r="M47" s="51" t="str">
        <f t="shared" si="55"/>
        <v>-</v>
      </c>
      <c r="N47" s="51">
        <v>0</v>
      </c>
      <c r="O47" s="51">
        <f t="shared" ref="O47:P47" si="68">D47/7</f>
        <v>0</v>
      </c>
      <c r="P47" s="51">
        <f t="shared" si="68"/>
        <v>0</v>
      </c>
      <c r="Q47" s="51" t="e">
        <f t="shared" si="57"/>
        <v>#DIV/0!</v>
      </c>
      <c r="R47" s="55">
        <v>0</v>
      </c>
      <c r="S47" s="53" t="s">
        <v>34</v>
      </c>
      <c r="T47" s="54" t="s">
        <v>34</v>
      </c>
      <c r="U47" s="55">
        <v>0</v>
      </c>
      <c r="V47" s="55">
        <f t="shared" si="58"/>
        <v>0</v>
      </c>
      <c r="W47" s="55">
        <f t="shared" si="59"/>
        <v>0</v>
      </c>
      <c r="X47" s="55">
        <v>0</v>
      </c>
      <c r="Y47" s="55" t="e">
        <v>#N/A</v>
      </c>
      <c r="Z47" s="56" t="e">
        <f t="shared" si="65"/>
        <v>#N/A</v>
      </c>
      <c r="AA47" s="55" t="e">
        <v>#N/A</v>
      </c>
      <c r="AB47" s="55">
        <f t="shared" si="61"/>
        <v>0</v>
      </c>
      <c r="AC47" s="55">
        <v>0</v>
      </c>
      <c r="AD47" s="55">
        <v>-6.7370136363636304</v>
      </c>
      <c r="AE47" s="55">
        <v>0</v>
      </c>
      <c r="AF47" s="55" t="e">
        <v>#N/A</v>
      </c>
    </row>
    <row r="48" spans="1:32" s="57" customFormat="1" ht="15.75" customHeight="1">
      <c r="A48" s="2" t="s">
        <v>115</v>
      </c>
      <c r="B48" s="2"/>
      <c r="C48" s="51" t="str">
        <f t="shared" si="50"/>
        <v xml:space="preserve"> - </v>
      </c>
      <c r="D48" s="51">
        <v>0</v>
      </c>
      <c r="E48" s="51">
        <v>0</v>
      </c>
      <c r="F48" s="51">
        <v>0</v>
      </c>
      <c r="G48" s="51">
        <v>0</v>
      </c>
      <c r="H48" s="51" t="e">
        <f t="shared" si="51"/>
        <v>#DIV/0!</v>
      </c>
      <c r="I48" s="51" t="e">
        <f t="shared" si="52"/>
        <v>#DIV/0!</v>
      </c>
      <c r="J48" s="51">
        <f t="shared" si="53"/>
        <v>0</v>
      </c>
      <c r="K48" s="51" t="e">
        <f t="shared" si="54"/>
        <v>#DIV/0!</v>
      </c>
      <c r="L48" s="51">
        <v>0</v>
      </c>
      <c r="M48" s="51" t="str">
        <f t="shared" si="55"/>
        <v>-</v>
      </c>
      <c r="N48" s="51">
        <v>0</v>
      </c>
      <c r="O48" s="51">
        <f t="shared" ref="O48:P48" si="69">D48/7</f>
        <v>0</v>
      </c>
      <c r="P48" s="51">
        <f t="shared" si="69"/>
        <v>0</v>
      </c>
      <c r="Q48" s="51" t="e">
        <f t="shared" si="57"/>
        <v>#DIV/0!</v>
      </c>
      <c r="R48" s="55">
        <f ca="1">IFERROR(__xludf.DUMMYFUNCTION("IFERROR(VLOOKUP($B$2,IMPORTRANGE(""https://docs.google.com/spreadsheets/d/1iVgg6Mw12RULLujzHmfOFIY8Q_KaAD8anoZzgtVAQ74/edit#gid=1503384807"",""Second Star - Summary!A1:AD2000""),9,FALSE),"""")"),1005)</f>
        <v>1005</v>
      </c>
      <c r="S48" s="53">
        <f ca="1">IFERROR(__xludf.DUMMYFUNCTION("IFERROR(VLOOKUP($B$2,IMPORTRANGE(""https://docs.google.com/spreadsheets/d/1iVgg6Mw12RULLujzHmfOFIY8Q_KaAD8anoZzgtVAQ74/edit#gid=1503384807"",""Second Star - Summary!A1:AD2000""),28,FALSE),"""")"),450)</f>
        <v>450</v>
      </c>
      <c r="T48" s="54" t="str">
        <f ca="1">IFERROR(__xludf.DUMMYFUNCTION("IFERROR(VLOOKUP($B$2,IMPORTRANGE(""https://docs.google.com/spreadsheets/d/1iVgg6Mw12RULLujzHmfOFIY8Q_KaAD8anoZzgtVAQ74/edit#gid=1503384807"",""Second Star - Summary!A1:AD2000""),29,FALSE),"""")"),"")</f>
        <v/>
      </c>
      <c r="U48" s="55">
        <v>0</v>
      </c>
      <c r="V48" s="55">
        <f t="shared" si="58"/>
        <v>0</v>
      </c>
      <c r="W48" s="55">
        <f t="shared" si="59"/>
        <v>0</v>
      </c>
      <c r="X48" s="55">
        <v>0</v>
      </c>
      <c r="Y48" s="55" t="e">
        <v>#N/A</v>
      </c>
      <c r="Z48" s="56" t="e">
        <f t="shared" si="65"/>
        <v>#N/A</v>
      </c>
      <c r="AA48" s="55" t="e">
        <v>#N/A</v>
      </c>
      <c r="AB48" s="55">
        <f t="shared" si="61"/>
        <v>0</v>
      </c>
      <c r="AC48" s="55">
        <v>0</v>
      </c>
      <c r="AD48" s="55">
        <v>-6.7370136363636304</v>
      </c>
      <c r="AE48" s="55">
        <v>0</v>
      </c>
      <c r="AF48" s="55" t="e">
        <v>#N/A</v>
      </c>
    </row>
    <row r="49" spans="1:32" s="57" customFormat="1" ht="15.75" customHeight="1">
      <c r="A49" s="2" t="s">
        <v>117</v>
      </c>
      <c r="B49" s="2"/>
      <c r="C49" s="51" t="str">
        <f t="shared" si="50"/>
        <v xml:space="preserve"> - </v>
      </c>
      <c r="D49" s="51">
        <v>0</v>
      </c>
      <c r="E49" s="51">
        <v>0</v>
      </c>
      <c r="F49" s="51">
        <v>0</v>
      </c>
      <c r="G49" s="51">
        <v>0</v>
      </c>
      <c r="H49" s="51" t="e">
        <f t="shared" si="51"/>
        <v>#DIV/0!</v>
      </c>
      <c r="I49" s="51" t="e">
        <f t="shared" si="52"/>
        <v>#DIV/0!</v>
      </c>
      <c r="J49" s="51">
        <f t="shared" ref="J49:J56" si="70">F49*0.85+G49+AD49*D49+D49*AC49+AE49+AB49</f>
        <v>0</v>
      </c>
      <c r="K49" s="51" t="e">
        <f t="shared" si="54"/>
        <v>#DIV/0!</v>
      </c>
      <c r="L49" s="51">
        <v>0</v>
      </c>
      <c r="M49" s="51" t="str">
        <f t="shared" si="55"/>
        <v>-</v>
      </c>
      <c r="N49" s="51">
        <v>0</v>
      </c>
      <c r="O49" s="51">
        <f t="shared" ref="O49:P49" si="71">D49/7</f>
        <v>0</v>
      </c>
      <c r="P49" s="51">
        <f t="shared" si="71"/>
        <v>0</v>
      </c>
      <c r="Q49" s="51" t="e">
        <f t="shared" si="57"/>
        <v>#DIV/0!</v>
      </c>
      <c r="R49" s="55">
        <f ca="1">IFERROR(__xludf.DUMMYFUNCTION("IFERROR(VLOOKUP($B$2,IMPORTRANGE(""https://docs.google.com/spreadsheets/d/1iVgg6Mw12RULLujzHmfOFIY8Q_KaAD8anoZzgtVAQ74/edit#gid=1503384807"",""Second Star - Summary!A1:AD2000""),9,FALSE),"""")"),1005)</f>
        <v>1005</v>
      </c>
      <c r="S49" s="53">
        <f ca="1">IFERROR(__xludf.DUMMYFUNCTION("IFERROR(VLOOKUP($B$2,IMPORTRANGE(""https://docs.google.com/spreadsheets/d/1iVgg6Mw12RULLujzHmfOFIY8Q_KaAD8anoZzgtVAQ74/edit#gid=1503384807"",""Second Star - Summary!A1:AD2000""),28,FALSE),"""")"),450)</f>
        <v>450</v>
      </c>
      <c r="T49" s="54" t="str">
        <f ca="1">IFERROR(__xludf.DUMMYFUNCTION("IFERROR(VLOOKUP($B$2,IMPORTRANGE(""https://docs.google.com/spreadsheets/d/1iVgg6Mw12RULLujzHmfOFIY8Q_KaAD8anoZzgtVAQ74/edit#gid=1503384807"",""Second Star - Summary!A1:AD2000""),29,FALSE),"""")"),"")</f>
        <v/>
      </c>
      <c r="U49" s="55">
        <v>0</v>
      </c>
      <c r="V49" s="55">
        <f t="shared" si="58"/>
        <v>0</v>
      </c>
      <c r="W49" s="55">
        <f t="shared" si="59"/>
        <v>0</v>
      </c>
      <c r="X49" s="55">
        <v>0</v>
      </c>
      <c r="Y49" s="55" t="e">
        <v>#N/A</v>
      </c>
      <c r="Z49" s="56" t="e">
        <f t="shared" si="65"/>
        <v>#N/A</v>
      </c>
      <c r="AA49" s="55" t="e">
        <v>#N/A</v>
      </c>
      <c r="AB49" s="55">
        <f t="shared" si="61"/>
        <v>0</v>
      </c>
      <c r="AC49" s="55">
        <v>0</v>
      </c>
      <c r="AD49" s="55">
        <v>-6.7703088888888798</v>
      </c>
      <c r="AE49" s="55">
        <v>0</v>
      </c>
      <c r="AF49" s="55" t="e">
        <v>#N/A</v>
      </c>
    </row>
    <row r="50" spans="1:32" s="57" customFormat="1" ht="15.75" customHeight="1">
      <c r="A50" s="2" t="s">
        <v>119</v>
      </c>
      <c r="B50" s="2"/>
      <c r="C50" s="51" t="str">
        <f t="shared" si="50"/>
        <v xml:space="preserve"> - </v>
      </c>
      <c r="D50" s="51">
        <v>0</v>
      </c>
      <c r="E50" s="51">
        <v>0</v>
      </c>
      <c r="F50" s="51">
        <v>0</v>
      </c>
      <c r="G50" s="51">
        <v>0</v>
      </c>
      <c r="H50" s="51" t="e">
        <f t="shared" si="51"/>
        <v>#DIV/0!</v>
      </c>
      <c r="I50" s="51" t="e">
        <f t="shared" si="52"/>
        <v>#DIV/0!</v>
      </c>
      <c r="J50" s="51">
        <f t="shared" si="70"/>
        <v>0</v>
      </c>
      <c r="K50" s="51" t="e">
        <f t="shared" si="54"/>
        <v>#DIV/0!</v>
      </c>
      <c r="L50" s="51">
        <v>0</v>
      </c>
      <c r="M50" s="51" t="str">
        <f t="shared" si="55"/>
        <v>-</v>
      </c>
      <c r="N50" s="51">
        <v>0</v>
      </c>
      <c r="O50" s="51">
        <f t="shared" ref="O50:P50" si="72">D50/7</f>
        <v>0</v>
      </c>
      <c r="P50" s="51">
        <f t="shared" si="72"/>
        <v>0</v>
      </c>
      <c r="Q50" s="51" t="e">
        <f t="shared" si="57"/>
        <v>#DIV/0!</v>
      </c>
      <c r="R50" s="55">
        <f ca="1">IFERROR(__xludf.DUMMYFUNCTION("IFERROR(VLOOKUP($B$2,IMPORTRANGE(""https://docs.google.com/spreadsheets/d/1iVgg6Mw12RULLujzHmfOFIY8Q_KaAD8anoZzgtVAQ74/edit#gid=1503384807"",""Second Star - Summary!A1:AD2000""),9,FALSE),"""")"),1005)</f>
        <v>1005</v>
      </c>
      <c r="S50" s="53">
        <f ca="1">IFERROR(__xludf.DUMMYFUNCTION("IFERROR(VLOOKUP($B$2,IMPORTRANGE(""https://docs.google.com/spreadsheets/d/1iVgg6Mw12RULLujzHmfOFIY8Q_KaAD8anoZzgtVAQ74/edit#gid=1503384807"",""Second Star - Summary!A1:AD2000""),28,FALSE),"""")"),450)</f>
        <v>450</v>
      </c>
      <c r="T50" s="54" t="str">
        <f ca="1">IFERROR(__xludf.DUMMYFUNCTION("IFERROR(VLOOKUP($B$2,IMPORTRANGE(""https://docs.google.com/spreadsheets/d/1iVgg6Mw12RULLujzHmfOFIY8Q_KaAD8anoZzgtVAQ74/edit#gid=1503384807"",""Second Star - Summary!A1:AD2000""),29,FALSE),"""")"),"")</f>
        <v/>
      </c>
      <c r="U50" s="55">
        <v>0</v>
      </c>
      <c r="V50" s="55">
        <f t="shared" si="58"/>
        <v>0</v>
      </c>
      <c r="W50" s="55">
        <f t="shared" si="59"/>
        <v>0</v>
      </c>
      <c r="X50" s="55">
        <v>0</v>
      </c>
      <c r="Y50" s="55" t="e">
        <v>#N/A</v>
      </c>
      <c r="Z50" s="56" t="e">
        <f t="shared" si="65"/>
        <v>#N/A</v>
      </c>
      <c r="AA50" s="55" t="e">
        <v>#N/A</v>
      </c>
      <c r="AB50" s="55">
        <f t="shared" si="61"/>
        <v>0</v>
      </c>
      <c r="AC50" s="55">
        <v>0</v>
      </c>
      <c r="AD50" s="55">
        <v>-6.7703088888888798</v>
      </c>
      <c r="AE50" s="55">
        <v>0</v>
      </c>
      <c r="AF50" s="55" t="e">
        <v>#N/A</v>
      </c>
    </row>
    <row r="51" spans="1:32" s="57" customFormat="1" ht="15.75" customHeight="1">
      <c r="A51" s="2" t="s">
        <v>121</v>
      </c>
      <c r="B51" s="2"/>
      <c r="C51" s="51" t="str">
        <f t="shared" si="50"/>
        <v xml:space="preserve"> - </v>
      </c>
      <c r="D51" s="51">
        <v>0</v>
      </c>
      <c r="E51" s="51">
        <v>0</v>
      </c>
      <c r="F51" s="51">
        <v>0</v>
      </c>
      <c r="G51" s="51">
        <v>0</v>
      </c>
      <c r="H51" s="51" t="e">
        <f t="shared" si="51"/>
        <v>#DIV/0!</v>
      </c>
      <c r="I51" s="51" t="e">
        <f t="shared" si="52"/>
        <v>#DIV/0!</v>
      </c>
      <c r="J51" s="51">
        <f t="shared" si="70"/>
        <v>0</v>
      </c>
      <c r="K51" s="51" t="e">
        <f t="shared" si="54"/>
        <v>#DIV/0!</v>
      </c>
      <c r="L51" s="51">
        <v>0</v>
      </c>
      <c r="M51" s="51" t="str">
        <f t="shared" si="55"/>
        <v>-</v>
      </c>
      <c r="N51" s="51">
        <v>0</v>
      </c>
      <c r="O51" s="51">
        <f t="shared" ref="O51:P51" si="73">D51/7</f>
        <v>0</v>
      </c>
      <c r="P51" s="51">
        <f t="shared" si="73"/>
        <v>0</v>
      </c>
      <c r="Q51" s="51" t="e">
        <f t="shared" si="57"/>
        <v>#DIV/0!</v>
      </c>
      <c r="R51" s="55">
        <f ca="1">IFERROR(__xludf.DUMMYFUNCTION("IFERROR(VLOOKUP($B$2,IMPORTRANGE(""https://docs.google.com/spreadsheets/d/1iVgg6Mw12RULLujzHmfOFIY8Q_KaAD8anoZzgtVAQ74/edit#gid=1503384807"",""Second Star - Summary!A1:AD2000""),9,FALSE),"""")"),1005)</f>
        <v>1005</v>
      </c>
      <c r="S51" s="53">
        <f ca="1">IFERROR(__xludf.DUMMYFUNCTION("IFERROR(VLOOKUP($B$2,IMPORTRANGE(""https://docs.google.com/spreadsheets/d/1iVgg6Mw12RULLujzHmfOFIY8Q_KaAD8anoZzgtVAQ74/edit#gid=1503384807"",""Second Star - Summary!A1:AD2000""),28,FALSE),"""")"),450)</f>
        <v>450</v>
      </c>
      <c r="T51" s="54" t="str">
        <f ca="1">IFERROR(__xludf.DUMMYFUNCTION("IFERROR(VLOOKUP($B$2,IMPORTRANGE(""https://docs.google.com/spreadsheets/d/1iVgg6Mw12RULLujzHmfOFIY8Q_KaAD8anoZzgtVAQ74/edit#gid=1503384807"",""Second Star - Summary!A1:AD2000""),29,FALSE),"""")"),"")</f>
        <v/>
      </c>
      <c r="U51" s="55">
        <v>0</v>
      </c>
      <c r="V51" s="55">
        <f t="shared" si="58"/>
        <v>0</v>
      </c>
      <c r="W51" s="55">
        <f t="shared" si="59"/>
        <v>0</v>
      </c>
      <c r="X51" s="55">
        <v>0</v>
      </c>
      <c r="Y51" s="55" t="e">
        <v>#N/A</v>
      </c>
      <c r="Z51" s="56" t="e">
        <f t="shared" si="65"/>
        <v>#N/A</v>
      </c>
      <c r="AA51" s="55" t="e">
        <v>#N/A</v>
      </c>
      <c r="AB51" s="55">
        <f t="shared" si="61"/>
        <v>0</v>
      </c>
      <c r="AC51" s="55">
        <v>0</v>
      </c>
      <c r="AD51" s="55">
        <v>-6.7703088888888798</v>
      </c>
      <c r="AE51" s="55">
        <v>0</v>
      </c>
      <c r="AF51" s="55" t="e">
        <v>#N/A</v>
      </c>
    </row>
    <row r="52" spans="1:32" s="57" customFormat="1" ht="15.75" customHeight="1">
      <c r="A52" s="2" t="s">
        <v>123</v>
      </c>
      <c r="B52" s="2"/>
      <c r="C52" s="51" t="str">
        <f t="shared" si="50"/>
        <v xml:space="preserve"> - </v>
      </c>
      <c r="D52" s="51">
        <v>0</v>
      </c>
      <c r="E52" s="51">
        <v>0</v>
      </c>
      <c r="F52" s="51">
        <v>0</v>
      </c>
      <c r="G52" s="51">
        <v>0</v>
      </c>
      <c r="H52" s="51" t="e">
        <f t="shared" si="51"/>
        <v>#DIV/0!</v>
      </c>
      <c r="I52" s="51" t="e">
        <f t="shared" si="52"/>
        <v>#DIV/0!</v>
      </c>
      <c r="J52" s="51">
        <f t="shared" si="70"/>
        <v>0</v>
      </c>
      <c r="K52" s="51" t="e">
        <f t="shared" si="54"/>
        <v>#DIV/0!</v>
      </c>
      <c r="L52" s="51">
        <v>0</v>
      </c>
      <c r="M52" s="51" t="str">
        <f t="shared" si="55"/>
        <v>-</v>
      </c>
      <c r="N52" s="51">
        <v>0</v>
      </c>
      <c r="O52" s="51">
        <f t="shared" ref="O52:P52" si="74">D52/7</f>
        <v>0</v>
      </c>
      <c r="P52" s="51">
        <f t="shared" si="74"/>
        <v>0</v>
      </c>
      <c r="Q52" s="51" t="e">
        <f t="shared" si="57"/>
        <v>#DIV/0!</v>
      </c>
      <c r="R52" s="55">
        <f ca="1">IFERROR(__xludf.DUMMYFUNCTION("IFERROR(VLOOKUP($B$2,IMPORTRANGE(""https://docs.google.com/spreadsheets/d/1iVgg6Mw12RULLujzHmfOFIY8Q_KaAD8anoZzgtVAQ74/edit#gid=1503384807"",""Second Star - Summary!A1:AD2000""),9,FALSE),"""")"),1005)</f>
        <v>1005</v>
      </c>
      <c r="S52" s="53">
        <f ca="1">IFERROR(__xludf.DUMMYFUNCTION("IFERROR(VLOOKUP($B$2,IMPORTRANGE(""https://docs.google.com/spreadsheets/d/1iVgg6Mw12RULLujzHmfOFIY8Q_KaAD8anoZzgtVAQ74/edit#gid=1503384807"",""Second Star - Summary!A1:AD2000""),28,FALSE),"""")"),450)</f>
        <v>450</v>
      </c>
      <c r="T52" s="54" t="str">
        <f ca="1">IFERROR(__xludf.DUMMYFUNCTION("IFERROR(VLOOKUP($B$2,IMPORTRANGE(""https://docs.google.com/spreadsheets/d/1iVgg6Mw12RULLujzHmfOFIY8Q_KaAD8anoZzgtVAQ74/edit#gid=1503384807"",""Second Star - Summary!A1:AD2000""),29,FALSE),"""")"),"")</f>
        <v/>
      </c>
      <c r="U52" s="55">
        <v>0</v>
      </c>
      <c r="V52" s="55">
        <f t="shared" si="58"/>
        <v>0</v>
      </c>
      <c r="W52" s="55">
        <f t="shared" si="59"/>
        <v>0</v>
      </c>
      <c r="X52" s="55">
        <v>0</v>
      </c>
      <c r="Y52" s="55" t="e">
        <v>#N/A</v>
      </c>
      <c r="Z52" s="56" t="e">
        <f t="shared" si="65"/>
        <v>#N/A</v>
      </c>
      <c r="AA52" s="55" t="e">
        <v>#N/A</v>
      </c>
      <c r="AB52" s="55">
        <f t="shared" si="61"/>
        <v>0</v>
      </c>
      <c r="AC52" s="55">
        <v>0</v>
      </c>
      <c r="AD52" s="55">
        <v>-6.7703088888888798</v>
      </c>
      <c r="AE52" s="55">
        <v>0</v>
      </c>
      <c r="AF52" s="55">
        <v>0</v>
      </c>
    </row>
    <row r="53" spans="1:32" s="57" customFormat="1">
      <c r="A53" s="2" t="s">
        <v>38</v>
      </c>
      <c r="B53" s="2"/>
      <c r="C53" s="51" t="str">
        <f t="shared" si="50"/>
        <v xml:space="preserve"> - </v>
      </c>
      <c r="D53" s="51">
        <v>0</v>
      </c>
      <c r="E53" s="51">
        <v>0</v>
      </c>
      <c r="F53" s="51">
        <v>0</v>
      </c>
      <c r="G53" s="51">
        <v>0</v>
      </c>
      <c r="H53" s="51" t="e">
        <f t="shared" si="51"/>
        <v>#DIV/0!</v>
      </c>
      <c r="I53" s="51" t="e">
        <f t="shared" si="52"/>
        <v>#DIV/0!</v>
      </c>
      <c r="J53" s="51">
        <f t="shared" si="70"/>
        <v>0</v>
      </c>
      <c r="K53" s="51" t="e">
        <f t="shared" si="54"/>
        <v>#DIV/0!</v>
      </c>
      <c r="L53" s="51">
        <v>0</v>
      </c>
      <c r="M53" s="51" t="str">
        <f t="shared" si="55"/>
        <v>-</v>
      </c>
      <c r="N53" s="51">
        <v>0</v>
      </c>
      <c r="O53" s="51">
        <f t="shared" ref="O53:P53" si="75">D53/7</f>
        <v>0</v>
      </c>
      <c r="P53" s="51">
        <f t="shared" si="75"/>
        <v>0</v>
      </c>
      <c r="Q53" s="51" t="e">
        <f t="shared" si="57"/>
        <v>#DIV/0!</v>
      </c>
      <c r="R53" s="55">
        <f ca="1">IFERROR(__xludf.DUMMYFUNCTION("IFERROR(VLOOKUP($B$2,IMPORTRANGE(""https://docs.google.com/spreadsheets/d/1iVgg6Mw12RULLujzHmfOFIY8Q_KaAD8anoZzgtVAQ74/edit#gid=1503384807"",""Second Star - Summary!A1:AD2000""),9,FALSE),"""")"),1005)</f>
        <v>1005</v>
      </c>
      <c r="S53" s="53">
        <f ca="1">IFERROR(__xludf.DUMMYFUNCTION("IFERROR(VLOOKUP($B$2,IMPORTRANGE(""https://docs.google.com/spreadsheets/d/1iVgg6Mw12RULLujzHmfOFIY8Q_KaAD8anoZzgtVAQ74/edit#gid=1503384807"",""Second Star - Summary!A1:AD2000""),28,FALSE),"""")"),450)</f>
        <v>450</v>
      </c>
      <c r="T53" s="54" t="str">
        <f ca="1">IFERROR(__xludf.DUMMYFUNCTION("IFERROR(VLOOKUP($B$2,IMPORTRANGE(""https://docs.google.com/spreadsheets/d/1iVgg6Mw12RULLujzHmfOFIY8Q_KaAD8anoZzgtVAQ74/edit#gid=1503384807"",""Second Star - Summary!A1:AD2000""),29,FALSE),"""")"),"")</f>
        <v/>
      </c>
      <c r="U53" s="55">
        <v>0</v>
      </c>
      <c r="V53" s="55">
        <f t="shared" si="58"/>
        <v>0</v>
      </c>
      <c r="W53" s="55">
        <f t="shared" si="59"/>
        <v>0</v>
      </c>
      <c r="X53" s="55">
        <v>0</v>
      </c>
      <c r="Y53" s="55" t="e">
        <v>#N/A</v>
      </c>
      <c r="Z53" s="56" t="e">
        <f t="shared" si="65"/>
        <v>#N/A</v>
      </c>
      <c r="AA53" s="55" t="e">
        <v>#N/A</v>
      </c>
      <c r="AB53" s="55">
        <f t="shared" si="61"/>
        <v>0</v>
      </c>
      <c r="AC53" s="55">
        <v>0</v>
      </c>
      <c r="AD53" s="55">
        <v>-6.7703088888888798</v>
      </c>
      <c r="AE53" s="55">
        <v>0</v>
      </c>
      <c r="AF53" s="55">
        <v>0</v>
      </c>
    </row>
    <row r="54" spans="1:32" s="57" customFormat="1">
      <c r="A54" s="2" t="s">
        <v>40</v>
      </c>
      <c r="B54" s="2"/>
      <c r="C54" s="51" t="str">
        <f t="shared" si="50"/>
        <v xml:space="preserve"> - </v>
      </c>
      <c r="D54" s="51">
        <v>0</v>
      </c>
      <c r="E54" s="51">
        <v>0</v>
      </c>
      <c r="F54" s="51">
        <v>0</v>
      </c>
      <c r="G54" s="51">
        <v>0</v>
      </c>
      <c r="H54" s="51" t="e">
        <f t="shared" si="51"/>
        <v>#DIV/0!</v>
      </c>
      <c r="I54" s="51" t="e">
        <f t="shared" si="52"/>
        <v>#DIV/0!</v>
      </c>
      <c r="J54" s="51">
        <f t="shared" si="70"/>
        <v>0</v>
      </c>
      <c r="K54" s="51" t="e">
        <f t="shared" si="54"/>
        <v>#DIV/0!</v>
      </c>
      <c r="L54" s="51">
        <v>0</v>
      </c>
      <c r="M54" s="51" t="str">
        <f t="shared" si="55"/>
        <v>-</v>
      </c>
      <c r="N54" s="51">
        <v>0</v>
      </c>
      <c r="O54" s="51">
        <f t="shared" ref="O54:P54" si="76">D54/7</f>
        <v>0</v>
      </c>
      <c r="P54" s="51">
        <f t="shared" si="76"/>
        <v>0</v>
      </c>
      <c r="Q54" s="51" t="e">
        <f t="shared" si="57"/>
        <v>#DIV/0!</v>
      </c>
      <c r="R54" s="55">
        <f ca="1">IFERROR(__xludf.DUMMYFUNCTION("IFERROR(VLOOKUP($B$2,IMPORTRANGE(""https://docs.google.com/spreadsheets/d/1iVgg6Mw12RULLujzHmfOFIY8Q_KaAD8anoZzgtVAQ74/edit#gid=1503384807"",""Second Star - Summary!A1:AD2000""),9,FALSE),"""")"),1005)</f>
        <v>1005</v>
      </c>
      <c r="S54" s="53">
        <f ca="1">IFERROR(__xludf.DUMMYFUNCTION("IFERROR(VLOOKUP($B$2,IMPORTRANGE(""https://docs.google.com/spreadsheets/d/1iVgg6Mw12RULLujzHmfOFIY8Q_KaAD8anoZzgtVAQ74/edit#gid=1503384807"",""Second Star - Summary!A1:AD2000""),28,FALSE),"""")"),450)</f>
        <v>450</v>
      </c>
      <c r="T54" s="54" t="str">
        <f ca="1">IFERROR(__xludf.DUMMYFUNCTION("IFERROR(VLOOKUP($B$2,IMPORTRANGE(""https://docs.google.com/spreadsheets/d/1iVgg6Mw12RULLujzHmfOFIY8Q_KaAD8anoZzgtVAQ74/edit#gid=1503384807"",""Second Star - Summary!A1:AD2000""),29,FALSE),"""")"),"")</f>
        <v/>
      </c>
      <c r="U54" s="55">
        <v>0</v>
      </c>
      <c r="V54" s="55">
        <f t="shared" si="58"/>
        <v>0</v>
      </c>
      <c r="W54" s="55">
        <f t="shared" si="59"/>
        <v>0</v>
      </c>
      <c r="X54" s="55">
        <v>0</v>
      </c>
      <c r="Y54" s="55" t="e">
        <v>#N/A</v>
      </c>
      <c r="Z54" s="56" t="e">
        <f t="shared" si="65"/>
        <v>#N/A</v>
      </c>
      <c r="AA54" s="55" t="e">
        <v>#N/A</v>
      </c>
      <c r="AB54" s="55">
        <f t="shared" si="61"/>
        <v>0</v>
      </c>
      <c r="AC54" s="55">
        <v>0</v>
      </c>
      <c r="AD54" s="55">
        <v>-6.7703088888888798</v>
      </c>
      <c r="AE54" s="55">
        <v>0</v>
      </c>
      <c r="AF54" s="55">
        <v>0</v>
      </c>
    </row>
    <row r="55" spans="1:32" s="57" customFormat="1" ht="15.75" customHeight="1">
      <c r="A55" s="2" t="s">
        <v>32</v>
      </c>
      <c r="B55" s="2"/>
      <c r="C55" s="51" t="str">
        <f t="shared" si="50"/>
        <v xml:space="preserve"> - </v>
      </c>
      <c r="D55" s="51">
        <v>0</v>
      </c>
      <c r="E55" s="51">
        <v>0</v>
      </c>
      <c r="F55" s="51">
        <v>0</v>
      </c>
      <c r="G55" s="51">
        <v>0</v>
      </c>
      <c r="H55" s="51" t="e">
        <f t="shared" si="51"/>
        <v>#DIV/0!</v>
      </c>
      <c r="I55" s="51" t="e">
        <f t="shared" si="52"/>
        <v>#DIV/0!</v>
      </c>
      <c r="J55" s="51">
        <f t="shared" si="70"/>
        <v>0</v>
      </c>
      <c r="K55" s="51" t="e">
        <f t="shared" si="54"/>
        <v>#DIV/0!</v>
      </c>
      <c r="L55" s="51">
        <v>0</v>
      </c>
      <c r="M55" s="51" t="str">
        <f t="shared" si="55"/>
        <v>-</v>
      </c>
      <c r="N55" s="51">
        <v>0</v>
      </c>
      <c r="O55" s="51">
        <f t="shared" ref="O55:P55" si="77">D55/7</f>
        <v>0</v>
      </c>
      <c r="P55" s="51">
        <f t="shared" si="77"/>
        <v>0</v>
      </c>
      <c r="Q55" s="51" t="e">
        <f t="shared" si="57"/>
        <v>#DIV/0!</v>
      </c>
      <c r="R55" s="55">
        <v>1005</v>
      </c>
      <c r="S55" s="53" t="s">
        <v>34</v>
      </c>
      <c r="T55" s="54" t="s">
        <v>34</v>
      </c>
      <c r="U55" s="55">
        <v>0</v>
      </c>
      <c r="V55" s="55">
        <f t="shared" si="58"/>
        <v>0</v>
      </c>
      <c r="W55" s="55">
        <f t="shared" si="59"/>
        <v>0</v>
      </c>
      <c r="X55" s="55">
        <v>0</v>
      </c>
      <c r="Y55" s="55" t="e">
        <v>#N/A</v>
      </c>
      <c r="Z55" s="56" t="e">
        <f t="shared" si="65"/>
        <v>#N/A</v>
      </c>
      <c r="AA55" s="55" t="e">
        <v>#N/A</v>
      </c>
      <c r="AB55" s="55">
        <f t="shared" si="61"/>
        <v>0</v>
      </c>
      <c r="AC55" s="55">
        <v>0</v>
      </c>
      <c r="AD55" s="55">
        <v>-6.7703088888888798</v>
      </c>
      <c r="AE55" s="55">
        <v>0</v>
      </c>
      <c r="AF55" s="55" t="e">
        <v>#N/A</v>
      </c>
    </row>
    <row r="56" spans="1:32" s="57" customFormat="1" ht="15.75" customHeight="1">
      <c r="A56" s="2" t="s">
        <v>36</v>
      </c>
      <c r="B56" s="2"/>
      <c r="C56" s="51" t="str">
        <f t="shared" si="50"/>
        <v xml:space="preserve"> - </v>
      </c>
      <c r="D56" s="51">
        <v>0</v>
      </c>
      <c r="E56" s="51">
        <v>0</v>
      </c>
      <c r="F56" s="51">
        <v>0</v>
      </c>
      <c r="G56" s="51">
        <v>0</v>
      </c>
      <c r="H56" s="51" t="e">
        <f t="shared" si="51"/>
        <v>#DIV/0!</v>
      </c>
      <c r="I56" s="51" t="e">
        <f t="shared" si="52"/>
        <v>#DIV/0!</v>
      </c>
      <c r="J56" s="51">
        <f t="shared" si="70"/>
        <v>0</v>
      </c>
      <c r="K56" s="51" t="e">
        <f t="shared" si="54"/>
        <v>#DIV/0!</v>
      </c>
      <c r="L56" s="51">
        <v>0</v>
      </c>
      <c r="M56" s="51" t="str">
        <f t="shared" si="55"/>
        <v>-</v>
      </c>
      <c r="N56" s="51">
        <v>0</v>
      </c>
      <c r="O56" s="51">
        <f t="shared" ref="O56:P56" si="78">D56/7</f>
        <v>0</v>
      </c>
      <c r="P56" s="51">
        <f t="shared" si="78"/>
        <v>0</v>
      </c>
      <c r="Q56" s="51" t="e">
        <f t="shared" si="57"/>
        <v>#DIV/0!</v>
      </c>
      <c r="R56" s="55">
        <f ca="1">IFERROR(__xludf.DUMMYFUNCTION("IFERROR(VLOOKUP($B$2,IMPORTRANGE(""https://docs.google.com/spreadsheets/d/1iVgg6Mw12RULLujzHmfOFIY8Q_KaAD8anoZzgtVAQ74/edit#gid=1503384807"",""Second Star - Summary!A1:AD2000""),9,FALSE),"""")"),1005)</f>
        <v>1005</v>
      </c>
      <c r="S56" s="53">
        <f ca="1">IFERROR(__xludf.DUMMYFUNCTION("IFERROR(VLOOKUP($B$2,IMPORTRANGE(""https://docs.google.com/spreadsheets/d/1iVgg6Mw12RULLujzHmfOFIY8Q_KaAD8anoZzgtVAQ74/edit#gid=1503384807"",""Second Star - Summary!A1:AD2000""),28,FALSE),"""")"),450)</f>
        <v>450</v>
      </c>
      <c r="T56" s="54" t="str">
        <f ca="1">IFERROR(__xludf.DUMMYFUNCTION("IFERROR(VLOOKUP($B$2,IMPORTRANGE(""https://docs.google.com/spreadsheets/d/1iVgg6Mw12RULLujzHmfOFIY8Q_KaAD8anoZzgtVAQ74/edit#gid=1503384807"",""Second Star - Summary!A1:AD2000""),29,FALSE),"""")"),"")</f>
        <v/>
      </c>
      <c r="U56" s="55">
        <v>0</v>
      </c>
      <c r="V56" s="55">
        <f t="shared" si="58"/>
        <v>0</v>
      </c>
      <c r="W56" s="55">
        <f t="shared" si="59"/>
        <v>0</v>
      </c>
      <c r="X56" s="55">
        <v>0</v>
      </c>
      <c r="Y56" s="55" t="e">
        <v>#N/A</v>
      </c>
      <c r="Z56" s="56" t="e">
        <f t="shared" si="65"/>
        <v>#N/A</v>
      </c>
      <c r="AA56" s="55" t="e">
        <v>#N/A</v>
      </c>
      <c r="AB56" s="55">
        <f t="shared" si="61"/>
        <v>0</v>
      </c>
      <c r="AC56" s="55">
        <v>0</v>
      </c>
      <c r="AD56" s="55">
        <v>-6.7703088888888798</v>
      </c>
      <c r="AE56" s="55">
        <v>0</v>
      </c>
      <c r="AF56" s="55" t="e">
        <v>#N/A</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201" priority="1" operator="lessThan">
      <formula>100</formula>
    </cfRule>
  </conditionalFormatting>
  <conditionalFormatting sqref="Q1:Q3 Q57:Q1000">
    <cfRule type="cellIs" dxfId="200" priority="2" operator="lessThan">
      <formula>100</formula>
    </cfRule>
  </conditionalFormatting>
  <conditionalFormatting sqref="I1:I3 I57:I1000">
    <cfRule type="cellIs" dxfId="199" priority="3" operator="lessThan">
      <formula>0.05</formula>
    </cfRule>
  </conditionalFormatting>
  <conditionalFormatting sqref="I4:I17">
    <cfRule type="cellIs" dxfId="198" priority="4" operator="lessThan">
      <formula>0.05</formula>
    </cfRule>
  </conditionalFormatting>
  <conditionalFormatting sqref="I18:I56">
    <cfRule type="cellIs" dxfId="197" priority="5" operator="lessThan">
      <formula>0.05</formula>
    </cfRule>
  </conditionalFormatting>
  <conditionalFormatting sqref="Q4:Q56">
    <cfRule type="cellIs" dxfId="196" priority="6" operator="lessThan">
      <formula>100</formula>
    </cfRule>
  </conditionalFormatting>
  <conditionalFormatting sqref="Q4:Q56">
    <cfRule type="cellIs" dxfId="195" priority="7" operator="lessThan">
      <formula>100</formula>
    </cfRule>
  </conditionalFormatting>
  <pageMargins left="0.7" right="0.7" top="0.75" bottom="0.75" header="0" footer="0"/>
  <pageSetup orientation="portrait"/>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20"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f>
        <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f>
        <v/>
      </c>
      <c r="B2" s="4" t="s">
        <v>941</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Info!B1:BJ5000""),38,FALSE),"""")*100)"),"#N/A")</f>
        <v>#N/A</v>
      </c>
      <c r="C3" s="7" t="e">
        <f>((AC56+AD56/0.85)*-1)</f>
        <v>#N/A</v>
      </c>
      <c r="D3" s="8">
        <f>SUM(D4:D99819)</f>
        <v>3</v>
      </c>
      <c r="E3" s="8"/>
      <c r="F3" s="9">
        <f t="shared" ref="F3:G3" si="0">SUM(F4:F99819)</f>
        <v>209.96999999999997</v>
      </c>
      <c r="G3" s="9">
        <f t="shared" si="0"/>
        <v>0</v>
      </c>
      <c r="H3" s="10">
        <f>G3/F3*-1</f>
        <v>0</v>
      </c>
      <c r="I3" s="11" t="e">
        <f>J3/F3</f>
        <v>#N/A</v>
      </c>
      <c r="J3" s="9" t="e">
        <f>SUM(J4:J99819)</f>
        <v>#N/A</v>
      </c>
      <c r="K3" s="9" t="e">
        <f>J3/D3</f>
        <v>#N/A</v>
      </c>
      <c r="L3" s="8"/>
      <c r="M3" s="12"/>
      <c r="N3" s="13"/>
      <c r="O3" s="8" t="str">
        <f ca="1">IFERROR(__xludf.DUMMYFUNCTION("IFERROR(VLOOKUP(B2,IMPORTRANGE(""https://docs.google.com/spreadsheets/d/1owCo6kL_VFQ5nPTdNogErmCBLjNiktT1m3SzTrxu3R0/edit#gid=2146806407"",""Second Star - Compiled!b1:g5000""),2,FALSE),"""")"),"")</f>
        <v/>
      </c>
      <c r="P3" s="8"/>
      <c r="Q3" s="14"/>
      <c r="R3" s="13"/>
      <c r="S3" s="13"/>
      <c r="T3" s="13"/>
      <c r="U3" s="8">
        <f>SUM(U4:U99819)</f>
        <v>0</v>
      </c>
      <c r="V3" s="10">
        <f>AVERAGE(V4:V99819)</f>
        <v>0</v>
      </c>
      <c r="W3" s="9">
        <f>ROUND(AVERAGE(W4:W99819),2)</f>
        <v>0</v>
      </c>
      <c r="X3" s="8"/>
      <c r="Y3" s="8"/>
      <c r="Z3" s="8"/>
      <c r="AA3" s="8"/>
      <c r="AB3" s="8"/>
      <c r="AC3" s="15"/>
      <c r="AD3" s="9"/>
      <c r="AE3" s="9">
        <f>SUM(AE4:AE99819)</f>
        <v>0</v>
      </c>
      <c r="AF3" s="16"/>
    </row>
    <row r="4" spans="1:32" s="57" customFormat="1" hidden="1">
      <c r="A4" s="17" t="s">
        <v>48</v>
      </c>
      <c r="B4" s="2"/>
      <c r="C4" s="50"/>
      <c r="D4" s="51"/>
      <c r="E4" s="51">
        <v>0</v>
      </c>
      <c r="F4" s="51"/>
      <c r="G4" s="51"/>
      <c r="H4" s="51"/>
      <c r="I4" s="51"/>
      <c r="J4" s="51"/>
      <c r="K4" s="51"/>
      <c r="L4" s="51"/>
      <c r="M4" s="51"/>
      <c r="N4" s="51"/>
      <c r="O4" s="51"/>
      <c r="P4" s="51">
        <f t="shared" ref="P4:P26" si="1">E4/7</f>
        <v>0</v>
      </c>
      <c r="Q4" s="51" t="e">
        <f t="shared" ref="Q4:Q26" si="2">ROUNDDOWN(N4/(O4+P4),0)</f>
        <v>#DIV/0!</v>
      </c>
      <c r="R4" s="52"/>
      <c r="S4" s="53"/>
      <c r="T4" s="54"/>
      <c r="U4" s="52"/>
      <c r="V4" s="55"/>
      <c r="W4" s="55"/>
      <c r="X4" s="52"/>
      <c r="Y4" s="56"/>
      <c r="Z4" s="56"/>
      <c r="AA4" s="55"/>
      <c r="AB4" s="55"/>
      <c r="AC4" s="55"/>
      <c r="AD4" s="55"/>
      <c r="AE4" s="55"/>
      <c r="AF4" s="55"/>
    </row>
    <row r="5" spans="1:32" s="57" customFormat="1" ht="15.75" hidden="1" customHeight="1">
      <c r="A5" s="2" t="s">
        <v>49</v>
      </c>
      <c r="B5" s="2"/>
      <c r="C5" s="51"/>
      <c r="D5" s="51"/>
      <c r="E5" s="51">
        <v>0</v>
      </c>
      <c r="F5" s="51"/>
      <c r="G5" s="51"/>
      <c r="H5" s="51"/>
      <c r="I5" s="51"/>
      <c r="J5" s="51"/>
      <c r="K5" s="51"/>
      <c r="L5" s="51"/>
      <c r="M5" s="51"/>
      <c r="N5" s="51"/>
      <c r="O5" s="51"/>
      <c r="P5" s="51">
        <f t="shared" si="1"/>
        <v>0</v>
      </c>
      <c r="Q5" s="51" t="e">
        <f t="shared" si="2"/>
        <v>#DIV/0!</v>
      </c>
      <c r="R5" s="55"/>
      <c r="S5" s="53"/>
      <c r="T5" s="54"/>
      <c r="U5" s="55"/>
      <c r="V5" s="55"/>
      <c r="W5" s="55"/>
      <c r="X5" s="55"/>
      <c r="Y5" s="55"/>
      <c r="Z5" s="56"/>
      <c r="AA5" s="55"/>
      <c r="AB5" s="55"/>
      <c r="AC5" s="55"/>
      <c r="AD5" s="55"/>
      <c r="AE5" s="55"/>
      <c r="AF5" s="55"/>
    </row>
    <row r="6" spans="1:32" s="57" customFormat="1" ht="15.75" hidden="1" customHeight="1">
      <c r="A6" s="2" t="s">
        <v>51</v>
      </c>
      <c r="B6" s="2"/>
      <c r="C6" s="51"/>
      <c r="D6" s="51"/>
      <c r="E6" s="51">
        <v>0</v>
      </c>
      <c r="F6" s="51"/>
      <c r="G6" s="51"/>
      <c r="H6" s="51"/>
      <c r="I6" s="51"/>
      <c r="J6" s="51"/>
      <c r="K6" s="51"/>
      <c r="L6" s="51"/>
      <c r="M6" s="51"/>
      <c r="N6" s="51"/>
      <c r="O6" s="51"/>
      <c r="P6" s="51">
        <f t="shared" si="1"/>
        <v>0</v>
      </c>
      <c r="Q6" s="51" t="e">
        <f t="shared" si="2"/>
        <v>#DIV/0!</v>
      </c>
      <c r="R6" s="55"/>
      <c r="S6" s="53"/>
      <c r="T6" s="54"/>
      <c r="U6" s="55"/>
      <c r="V6" s="55"/>
      <c r="W6" s="55"/>
      <c r="X6" s="55"/>
      <c r="Y6" s="55"/>
      <c r="Z6" s="56"/>
      <c r="AA6" s="55"/>
      <c r="AB6" s="55"/>
      <c r="AC6" s="55"/>
      <c r="AD6" s="55"/>
      <c r="AE6" s="55"/>
      <c r="AF6" s="55"/>
    </row>
    <row r="7" spans="1:32" s="57" customFormat="1" ht="15.75" hidden="1" customHeight="1">
      <c r="A7" s="2" t="s">
        <v>53</v>
      </c>
      <c r="B7" s="2"/>
      <c r="C7" s="51"/>
      <c r="D7" s="51"/>
      <c r="E7" s="51">
        <v>0</v>
      </c>
      <c r="F7" s="51"/>
      <c r="G7" s="51"/>
      <c r="H7" s="51"/>
      <c r="I7" s="51"/>
      <c r="J7" s="51"/>
      <c r="K7" s="51"/>
      <c r="L7" s="51"/>
      <c r="M7" s="51"/>
      <c r="N7" s="51"/>
      <c r="O7" s="51"/>
      <c r="P7" s="51">
        <f t="shared" si="1"/>
        <v>0</v>
      </c>
      <c r="Q7" s="51" t="e">
        <f t="shared" si="2"/>
        <v>#DIV/0!</v>
      </c>
      <c r="R7" s="55"/>
      <c r="S7" s="53"/>
      <c r="T7" s="54"/>
      <c r="U7" s="55"/>
      <c r="V7" s="55"/>
      <c r="W7" s="55"/>
      <c r="X7" s="55"/>
      <c r="Y7" s="55"/>
      <c r="Z7" s="56"/>
      <c r="AA7" s="55"/>
      <c r="AB7" s="55"/>
      <c r="AC7" s="55"/>
      <c r="AD7" s="55"/>
      <c r="AE7" s="55"/>
      <c r="AF7" s="55"/>
    </row>
    <row r="8" spans="1:32" s="57" customFormat="1" ht="15.75" hidden="1" customHeight="1">
      <c r="A8" s="2" t="s">
        <v>54</v>
      </c>
      <c r="B8" s="2"/>
      <c r="C8" s="51"/>
      <c r="D8" s="51"/>
      <c r="E8" s="51">
        <v>0</v>
      </c>
      <c r="F8" s="51"/>
      <c r="G8" s="51"/>
      <c r="H8" s="51"/>
      <c r="I8" s="51"/>
      <c r="J8" s="51"/>
      <c r="K8" s="51"/>
      <c r="L8" s="51"/>
      <c r="M8" s="51"/>
      <c r="N8" s="51"/>
      <c r="O8" s="51"/>
      <c r="P8" s="51">
        <f t="shared" si="1"/>
        <v>0</v>
      </c>
      <c r="Q8" s="51" t="e">
        <f t="shared" si="2"/>
        <v>#DIV/0!</v>
      </c>
      <c r="R8" s="55"/>
      <c r="S8" s="53"/>
      <c r="T8" s="54"/>
      <c r="U8" s="55"/>
      <c r="V8" s="55"/>
      <c r="W8" s="55"/>
      <c r="X8" s="55"/>
      <c r="Y8" s="55"/>
      <c r="Z8" s="56"/>
      <c r="AA8" s="55"/>
      <c r="AB8" s="55"/>
      <c r="AC8" s="55"/>
      <c r="AD8" s="55"/>
      <c r="AE8" s="55"/>
      <c r="AF8" s="55"/>
    </row>
    <row r="9" spans="1:32" s="57" customFormat="1" ht="15.75" hidden="1" customHeight="1">
      <c r="A9" s="2" t="s">
        <v>56</v>
      </c>
      <c r="B9" s="2"/>
      <c r="C9" s="51"/>
      <c r="D9" s="51"/>
      <c r="E9" s="51">
        <v>0</v>
      </c>
      <c r="F9" s="51"/>
      <c r="G9" s="51"/>
      <c r="H9" s="51"/>
      <c r="I9" s="51"/>
      <c r="J9" s="51"/>
      <c r="K9" s="51"/>
      <c r="L9" s="51"/>
      <c r="M9" s="51"/>
      <c r="N9" s="51"/>
      <c r="O9" s="51"/>
      <c r="P9" s="51">
        <f t="shared" si="1"/>
        <v>0</v>
      </c>
      <c r="Q9" s="51" t="e">
        <f t="shared" si="2"/>
        <v>#DIV/0!</v>
      </c>
      <c r="R9" s="55"/>
      <c r="S9" s="53"/>
      <c r="T9" s="54"/>
      <c r="U9" s="55"/>
      <c r="V9" s="55"/>
      <c r="W9" s="55"/>
      <c r="X9" s="55"/>
      <c r="Y9" s="55"/>
      <c r="Z9" s="56"/>
      <c r="AA9" s="55"/>
      <c r="AB9" s="55"/>
      <c r="AC9" s="55"/>
      <c r="AD9" s="55"/>
      <c r="AE9" s="55"/>
      <c r="AF9" s="55"/>
    </row>
    <row r="10" spans="1:32" s="57" customFormat="1" ht="15.75" hidden="1" customHeight="1">
      <c r="A10" s="2" t="s">
        <v>58</v>
      </c>
      <c r="B10" s="2"/>
      <c r="C10" s="51"/>
      <c r="D10" s="51"/>
      <c r="E10" s="51">
        <v>0</v>
      </c>
      <c r="F10" s="51"/>
      <c r="G10" s="51"/>
      <c r="H10" s="51"/>
      <c r="I10" s="51"/>
      <c r="J10" s="51"/>
      <c r="K10" s="51"/>
      <c r="L10" s="51"/>
      <c r="M10" s="51"/>
      <c r="N10" s="51"/>
      <c r="O10" s="51"/>
      <c r="P10" s="51">
        <f t="shared" si="1"/>
        <v>0</v>
      </c>
      <c r="Q10" s="51" t="e">
        <f t="shared" si="2"/>
        <v>#DIV/0!</v>
      </c>
      <c r="R10" s="55"/>
      <c r="S10" s="53"/>
      <c r="T10" s="54"/>
      <c r="U10" s="55"/>
      <c r="V10" s="55"/>
      <c r="W10" s="55"/>
      <c r="X10" s="55"/>
      <c r="Y10" s="55"/>
      <c r="Z10" s="56"/>
      <c r="AA10" s="55"/>
      <c r="AB10" s="55"/>
      <c r="AC10" s="55"/>
      <c r="AD10" s="55"/>
      <c r="AE10" s="55"/>
      <c r="AF10" s="55"/>
    </row>
    <row r="11" spans="1:32" s="57" customFormat="1" ht="15.75" hidden="1" customHeight="1">
      <c r="A11" s="2" t="s">
        <v>60</v>
      </c>
      <c r="B11" s="2"/>
      <c r="C11" s="51"/>
      <c r="D11" s="51"/>
      <c r="E11" s="51">
        <v>0</v>
      </c>
      <c r="F11" s="51"/>
      <c r="G11" s="51"/>
      <c r="H11" s="51"/>
      <c r="I11" s="51"/>
      <c r="J11" s="51"/>
      <c r="K11" s="51"/>
      <c r="L11" s="51"/>
      <c r="M11" s="51"/>
      <c r="N11" s="51"/>
      <c r="O11" s="51"/>
      <c r="P11" s="51">
        <f t="shared" si="1"/>
        <v>0</v>
      </c>
      <c r="Q11" s="51" t="e">
        <f t="shared" si="2"/>
        <v>#DIV/0!</v>
      </c>
      <c r="R11" s="55"/>
      <c r="S11" s="53"/>
      <c r="T11" s="54"/>
      <c r="U11" s="55"/>
      <c r="V11" s="55"/>
      <c r="W11" s="55"/>
      <c r="X11" s="55"/>
      <c r="Y11" s="55"/>
      <c r="Z11" s="56"/>
      <c r="AA11" s="55"/>
      <c r="AB11" s="55"/>
      <c r="AC11" s="55"/>
      <c r="AD11" s="55"/>
      <c r="AE11" s="55"/>
      <c r="AF11" s="55"/>
    </row>
    <row r="12" spans="1:32" s="57" customFormat="1" ht="15.75" hidden="1" customHeight="1">
      <c r="A12" s="2" t="s">
        <v>62</v>
      </c>
      <c r="B12" s="2"/>
      <c r="C12" s="51"/>
      <c r="D12" s="51"/>
      <c r="E12" s="51">
        <v>0</v>
      </c>
      <c r="F12" s="51"/>
      <c r="G12" s="51"/>
      <c r="H12" s="51"/>
      <c r="I12" s="51"/>
      <c r="J12" s="51"/>
      <c r="K12" s="51"/>
      <c r="L12" s="51"/>
      <c r="M12" s="51"/>
      <c r="N12" s="51"/>
      <c r="O12" s="51"/>
      <c r="P12" s="51">
        <f t="shared" si="1"/>
        <v>0</v>
      </c>
      <c r="Q12" s="51" t="e">
        <f t="shared" si="2"/>
        <v>#DIV/0!</v>
      </c>
      <c r="R12" s="55"/>
      <c r="S12" s="53"/>
      <c r="T12" s="54"/>
      <c r="U12" s="55"/>
      <c r="V12" s="55"/>
      <c r="W12" s="55"/>
      <c r="X12" s="55"/>
      <c r="Y12" s="55"/>
      <c r="Z12" s="56"/>
      <c r="AA12" s="55"/>
      <c r="AB12" s="55"/>
      <c r="AC12" s="55"/>
      <c r="AD12" s="55"/>
      <c r="AE12" s="55"/>
      <c r="AF12" s="55"/>
    </row>
    <row r="13" spans="1:32" s="57" customFormat="1" ht="15.75" hidden="1" customHeight="1">
      <c r="A13" s="2" t="s">
        <v>63</v>
      </c>
      <c r="B13" s="2"/>
      <c r="C13" s="51"/>
      <c r="D13" s="51"/>
      <c r="E13" s="51">
        <v>0</v>
      </c>
      <c r="F13" s="51"/>
      <c r="G13" s="51"/>
      <c r="H13" s="51"/>
      <c r="I13" s="51"/>
      <c r="J13" s="51"/>
      <c r="K13" s="51"/>
      <c r="L13" s="51"/>
      <c r="M13" s="51"/>
      <c r="N13" s="51"/>
      <c r="O13" s="51"/>
      <c r="P13" s="51">
        <f t="shared" si="1"/>
        <v>0</v>
      </c>
      <c r="Q13" s="51" t="e">
        <f t="shared" si="2"/>
        <v>#DIV/0!</v>
      </c>
      <c r="R13" s="55"/>
      <c r="S13" s="53"/>
      <c r="T13" s="54"/>
      <c r="U13" s="55"/>
      <c r="V13" s="55"/>
      <c r="W13" s="55"/>
      <c r="X13" s="55"/>
      <c r="Y13" s="55"/>
      <c r="Z13" s="56"/>
      <c r="AA13" s="55"/>
      <c r="AB13" s="55"/>
      <c r="AC13" s="55"/>
      <c r="AD13" s="55"/>
      <c r="AE13" s="55"/>
      <c r="AF13" s="55"/>
    </row>
    <row r="14" spans="1:32" s="57" customFormat="1" ht="15.75" hidden="1" customHeight="1">
      <c r="A14" s="2" t="s">
        <v>64</v>
      </c>
      <c r="B14" s="2"/>
      <c r="C14" s="51"/>
      <c r="D14" s="51"/>
      <c r="E14" s="51">
        <v>0</v>
      </c>
      <c r="F14" s="51"/>
      <c r="G14" s="51"/>
      <c r="H14" s="51"/>
      <c r="I14" s="51"/>
      <c r="J14" s="51"/>
      <c r="K14" s="51"/>
      <c r="L14" s="51"/>
      <c r="M14" s="51"/>
      <c r="N14" s="51"/>
      <c r="O14" s="51"/>
      <c r="P14" s="51">
        <f t="shared" si="1"/>
        <v>0</v>
      </c>
      <c r="Q14" s="51" t="e">
        <f t="shared" si="2"/>
        <v>#DIV/0!</v>
      </c>
      <c r="R14" s="55"/>
      <c r="S14" s="53"/>
      <c r="T14" s="54"/>
      <c r="U14" s="55"/>
      <c r="V14" s="55"/>
      <c r="W14" s="55"/>
      <c r="X14" s="55"/>
      <c r="Y14" s="55"/>
      <c r="Z14" s="56"/>
      <c r="AA14" s="55"/>
      <c r="AB14" s="55"/>
      <c r="AC14" s="55"/>
      <c r="AD14" s="55"/>
      <c r="AE14" s="55"/>
      <c r="AF14" s="55"/>
    </row>
    <row r="15" spans="1:32" s="57" customFormat="1" ht="15.75" hidden="1" customHeight="1">
      <c r="A15" s="2" t="s">
        <v>65</v>
      </c>
      <c r="B15" s="2"/>
      <c r="C15" s="51"/>
      <c r="D15" s="51"/>
      <c r="E15" s="51">
        <v>0</v>
      </c>
      <c r="F15" s="51"/>
      <c r="G15" s="51"/>
      <c r="H15" s="51"/>
      <c r="I15" s="51"/>
      <c r="J15" s="51"/>
      <c r="K15" s="51"/>
      <c r="L15" s="51"/>
      <c r="M15" s="51"/>
      <c r="N15" s="51"/>
      <c r="O15" s="51"/>
      <c r="P15" s="51">
        <f t="shared" si="1"/>
        <v>0</v>
      </c>
      <c r="Q15" s="51" t="e">
        <f t="shared" si="2"/>
        <v>#DIV/0!</v>
      </c>
      <c r="R15" s="55"/>
      <c r="S15" s="53"/>
      <c r="T15" s="54"/>
      <c r="U15" s="55"/>
      <c r="V15" s="55"/>
      <c r="W15" s="55"/>
      <c r="X15" s="55"/>
      <c r="Y15" s="55"/>
      <c r="Z15" s="56"/>
      <c r="AA15" s="55"/>
      <c r="AB15" s="55"/>
      <c r="AC15" s="55"/>
      <c r="AD15" s="55"/>
      <c r="AE15" s="55"/>
      <c r="AF15" s="55"/>
    </row>
    <row r="16" spans="1:32" s="57" customFormat="1" ht="15.75" hidden="1" customHeight="1">
      <c r="A16" s="2" t="s">
        <v>66</v>
      </c>
      <c r="B16" s="2"/>
      <c r="C16" s="51"/>
      <c r="D16" s="51"/>
      <c r="E16" s="51">
        <v>0</v>
      </c>
      <c r="F16" s="51"/>
      <c r="G16" s="51"/>
      <c r="H16" s="51"/>
      <c r="I16" s="51"/>
      <c r="J16" s="51"/>
      <c r="K16" s="51"/>
      <c r="L16" s="51"/>
      <c r="M16" s="51"/>
      <c r="N16" s="51"/>
      <c r="O16" s="51"/>
      <c r="P16" s="51">
        <f t="shared" si="1"/>
        <v>0</v>
      </c>
      <c r="Q16" s="51" t="e">
        <f t="shared" si="2"/>
        <v>#DIV/0!</v>
      </c>
      <c r="R16" s="55"/>
      <c r="S16" s="53"/>
      <c r="T16" s="54"/>
      <c r="U16" s="55"/>
      <c r="V16" s="55"/>
      <c r="W16" s="55"/>
      <c r="X16" s="55"/>
      <c r="Y16" s="55"/>
      <c r="Z16" s="56"/>
      <c r="AA16" s="55"/>
      <c r="AB16" s="55"/>
      <c r="AC16" s="55"/>
      <c r="AD16" s="55"/>
      <c r="AE16" s="55"/>
      <c r="AF16" s="55"/>
    </row>
    <row r="17" spans="1:32" s="57" customFormat="1" ht="15.75" hidden="1" customHeight="1">
      <c r="A17" s="2" t="s">
        <v>67</v>
      </c>
      <c r="B17" s="2"/>
      <c r="C17" s="51"/>
      <c r="D17" s="51"/>
      <c r="E17" s="51">
        <v>0</v>
      </c>
      <c r="F17" s="51"/>
      <c r="G17" s="51"/>
      <c r="H17" s="51"/>
      <c r="I17" s="51"/>
      <c r="J17" s="51"/>
      <c r="K17" s="51"/>
      <c r="L17" s="51"/>
      <c r="M17" s="51"/>
      <c r="N17" s="51"/>
      <c r="O17" s="51"/>
      <c r="P17" s="51">
        <f t="shared" si="1"/>
        <v>0</v>
      </c>
      <c r="Q17" s="51" t="e">
        <f t="shared" si="2"/>
        <v>#DIV/0!</v>
      </c>
      <c r="R17" s="55"/>
      <c r="S17" s="53"/>
      <c r="T17" s="54"/>
      <c r="U17" s="55"/>
      <c r="V17" s="55"/>
      <c r="W17" s="55"/>
      <c r="X17" s="55"/>
      <c r="Y17" s="55"/>
      <c r="Z17" s="56"/>
      <c r="AA17" s="55"/>
      <c r="AB17" s="55"/>
      <c r="AC17" s="55"/>
      <c r="AD17" s="55"/>
      <c r="AE17" s="55"/>
      <c r="AF17" s="55"/>
    </row>
    <row r="18" spans="1:32" s="57" customFormat="1" ht="15.75" hidden="1" customHeight="1">
      <c r="A18" s="2" t="s">
        <v>69</v>
      </c>
      <c r="B18" s="2"/>
      <c r="C18" s="51"/>
      <c r="D18" s="51"/>
      <c r="E18" s="51">
        <v>0</v>
      </c>
      <c r="F18" s="51"/>
      <c r="G18" s="51"/>
      <c r="H18" s="51"/>
      <c r="I18" s="51"/>
      <c r="J18" s="51"/>
      <c r="K18" s="51"/>
      <c r="L18" s="51"/>
      <c r="M18" s="51"/>
      <c r="N18" s="51"/>
      <c r="O18" s="51"/>
      <c r="P18" s="51">
        <f t="shared" si="1"/>
        <v>0</v>
      </c>
      <c r="Q18" s="51" t="e">
        <f t="shared" si="2"/>
        <v>#DIV/0!</v>
      </c>
      <c r="R18" s="55"/>
      <c r="S18" s="53"/>
      <c r="T18" s="54"/>
      <c r="U18" s="55"/>
      <c r="V18" s="55"/>
      <c r="W18" s="55"/>
      <c r="X18" s="55"/>
      <c r="Y18" s="55"/>
      <c r="Z18" s="56"/>
      <c r="AA18" s="55"/>
      <c r="AB18" s="58"/>
      <c r="AC18" s="55"/>
      <c r="AD18" s="55"/>
      <c r="AE18" s="55"/>
      <c r="AF18" s="55"/>
    </row>
    <row r="19" spans="1:32" s="57" customFormat="1" ht="15.75" hidden="1" customHeight="1">
      <c r="A19" s="2" t="s">
        <v>71</v>
      </c>
      <c r="B19" s="2"/>
      <c r="C19" s="51"/>
      <c r="D19" s="51"/>
      <c r="E19" s="51">
        <v>0</v>
      </c>
      <c r="F19" s="51"/>
      <c r="G19" s="51"/>
      <c r="H19" s="51"/>
      <c r="I19" s="51"/>
      <c r="J19" s="51"/>
      <c r="K19" s="51"/>
      <c r="L19" s="51"/>
      <c r="M19" s="51"/>
      <c r="N19" s="51"/>
      <c r="O19" s="51"/>
      <c r="P19" s="51">
        <f t="shared" si="1"/>
        <v>0</v>
      </c>
      <c r="Q19" s="51" t="e">
        <f t="shared" si="2"/>
        <v>#DIV/0!</v>
      </c>
      <c r="R19" s="55"/>
      <c r="S19" s="53"/>
      <c r="T19" s="54"/>
      <c r="U19" s="55"/>
      <c r="V19" s="55"/>
      <c r="W19" s="55"/>
      <c r="X19" s="55"/>
      <c r="Y19" s="55"/>
      <c r="Z19" s="56"/>
      <c r="AA19" s="55"/>
      <c r="AB19" s="55"/>
      <c r="AC19" s="55"/>
      <c r="AD19" s="55"/>
      <c r="AE19" s="55"/>
      <c r="AF19" s="55"/>
    </row>
    <row r="20" spans="1:32" s="57" customFormat="1" ht="15.75" hidden="1" customHeight="1">
      <c r="A20" s="2" t="s">
        <v>73</v>
      </c>
      <c r="B20" s="2"/>
      <c r="C20" s="51"/>
      <c r="D20" s="51"/>
      <c r="E20" s="51">
        <v>0</v>
      </c>
      <c r="F20" s="51"/>
      <c r="G20" s="51"/>
      <c r="H20" s="51"/>
      <c r="I20" s="51"/>
      <c r="J20" s="51"/>
      <c r="K20" s="51"/>
      <c r="L20" s="51"/>
      <c r="M20" s="51"/>
      <c r="N20" s="51"/>
      <c r="O20" s="51"/>
      <c r="P20" s="51">
        <f t="shared" si="1"/>
        <v>0</v>
      </c>
      <c r="Q20" s="51" t="e">
        <f t="shared" si="2"/>
        <v>#DIV/0!</v>
      </c>
      <c r="R20" s="55"/>
      <c r="S20" s="53"/>
      <c r="T20" s="54"/>
      <c r="U20" s="55"/>
      <c r="V20" s="55"/>
      <c r="W20" s="55"/>
      <c r="X20" s="55"/>
      <c r="Y20" s="55"/>
      <c r="Z20" s="56"/>
      <c r="AA20" s="55"/>
      <c r="AB20" s="55"/>
      <c r="AC20" s="55"/>
      <c r="AD20" s="55"/>
      <c r="AE20" s="55"/>
      <c r="AF20" s="55"/>
    </row>
    <row r="21" spans="1:32" s="57" customFormat="1" ht="15.75" hidden="1" customHeight="1">
      <c r="A21" s="2" t="s">
        <v>75</v>
      </c>
      <c r="B21" s="2"/>
      <c r="C21" s="51"/>
      <c r="D21" s="51"/>
      <c r="E21" s="51">
        <v>0</v>
      </c>
      <c r="F21" s="51"/>
      <c r="G21" s="51"/>
      <c r="H21" s="51"/>
      <c r="I21" s="51"/>
      <c r="J21" s="51"/>
      <c r="K21" s="51"/>
      <c r="L21" s="51"/>
      <c r="M21" s="51"/>
      <c r="N21" s="51"/>
      <c r="O21" s="51"/>
      <c r="P21" s="51">
        <f t="shared" si="1"/>
        <v>0</v>
      </c>
      <c r="Q21" s="51" t="e">
        <f t="shared" si="2"/>
        <v>#DIV/0!</v>
      </c>
      <c r="R21" s="55"/>
      <c r="S21" s="53"/>
      <c r="T21" s="54"/>
      <c r="U21" s="55"/>
      <c r="V21" s="55"/>
      <c r="W21" s="55"/>
      <c r="X21" s="55"/>
      <c r="Y21" s="55"/>
      <c r="Z21" s="56"/>
      <c r="AA21" s="55"/>
      <c r="AB21" s="55"/>
      <c r="AC21" s="55"/>
      <c r="AD21" s="55"/>
      <c r="AE21" s="55"/>
      <c r="AF21" s="55"/>
    </row>
    <row r="22" spans="1:32" s="57" customFormat="1" ht="15.75" hidden="1" customHeight="1">
      <c r="A22" s="2" t="s">
        <v>77</v>
      </c>
      <c r="B22" s="2"/>
      <c r="C22" s="51"/>
      <c r="D22" s="51"/>
      <c r="E22" s="51">
        <v>0</v>
      </c>
      <c r="F22" s="51"/>
      <c r="G22" s="51"/>
      <c r="H22" s="51"/>
      <c r="I22" s="51"/>
      <c r="J22" s="51"/>
      <c r="K22" s="51"/>
      <c r="L22" s="51"/>
      <c r="M22" s="51"/>
      <c r="N22" s="51"/>
      <c r="O22" s="51"/>
      <c r="P22" s="51">
        <f t="shared" si="1"/>
        <v>0</v>
      </c>
      <c r="Q22" s="51" t="e">
        <f t="shared" si="2"/>
        <v>#DIV/0!</v>
      </c>
      <c r="R22" s="55"/>
      <c r="S22" s="53"/>
      <c r="T22" s="54"/>
      <c r="U22" s="55"/>
      <c r="V22" s="55"/>
      <c r="W22" s="55"/>
      <c r="X22" s="55"/>
      <c r="Y22" s="55"/>
      <c r="Z22" s="56"/>
      <c r="AA22" s="55"/>
      <c r="AB22" s="55"/>
      <c r="AC22" s="55"/>
      <c r="AD22" s="55"/>
      <c r="AE22" s="55"/>
      <c r="AF22" s="55"/>
    </row>
    <row r="23" spans="1:32" s="57" customFormat="1" ht="15.75" hidden="1" customHeight="1">
      <c r="A23" s="2" t="s">
        <v>79</v>
      </c>
      <c r="B23" s="2"/>
      <c r="C23" s="51"/>
      <c r="D23" s="51"/>
      <c r="E23" s="51">
        <v>0</v>
      </c>
      <c r="F23" s="51"/>
      <c r="G23" s="51"/>
      <c r="H23" s="51"/>
      <c r="I23" s="51"/>
      <c r="J23" s="51"/>
      <c r="K23" s="51"/>
      <c r="L23" s="51"/>
      <c r="M23" s="51"/>
      <c r="N23" s="51"/>
      <c r="O23" s="51"/>
      <c r="P23" s="51">
        <f t="shared" si="1"/>
        <v>0</v>
      </c>
      <c r="Q23" s="51" t="e">
        <f t="shared" si="2"/>
        <v>#DIV/0!</v>
      </c>
      <c r="R23" s="55"/>
      <c r="S23" s="53"/>
      <c r="T23" s="54"/>
      <c r="U23" s="55"/>
      <c r="V23" s="55"/>
      <c r="W23" s="55"/>
      <c r="X23" s="55"/>
      <c r="Y23" s="55"/>
      <c r="Z23" s="56"/>
      <c r="AA23" s="55"/>
      <c r="AB23" s="55"/>
      <c r="AC23" s="55"/>
      <c r="AD23" s="55"/>
      <c r="AE23" s="55"/>
      <c r="AF23" s="55"/>
    </row>
    <row r="24" spans="1:32" s="57" customFormat="1" ht="15.75" hidden="1" customHeight="1">
      <c r="A24" s="2" t="s">
        <v>80</v>
      </c>
      <c r="B24" s="2"/>
      <c r="C24" s="51"/>
      <c r="D24" s="51"/>
      <c r="E24" s="51">
        <v>0</v>
      </c>
      <c r="F24" s="51"/>
      <c r="G24" s="51"/>
      <c r="H24" s="51"/>
      <c r="I24" s="51"/>
      <c r="J24" s="51"/>
      <c r="K24" s="51"/>
      <c r="L24" s="51"/>
      <c r="M24" s="51"/>
      <c r="N24" s="51"/>
      <c r="O24" s="51"/>
      <c r="P24" s="51">
        <f t="shared" si="1"/>
        <v>0</v>
      </c>
      <c r="Q24" s="51" t="e">
        <f t="shared" si="2"/>
        <v>#DIV/0!</v>
      </c>
      <c r="R24" s="55"/>
      <c r="S24" s="53"/>
      <c r="T24" s="54"/>
      <c r="U24" s="55"/>
      <c r="V24" s="55"/>
      <c r="W24" s="55"/>
      <c r="X24" s="55"/>
      <c r="Y24" s="55"/>
      <c r="Z24" s="56"/>
      <c r="AA24" s="55"/>
      <c r="AB24" s="55"/>
      <c r="AC24" s="55"/>
      <c r="AD24" s="55"/>
      <c r="AE24" s="55"/>
      <c r="AF24" s="55"/>
    </row>
    <row r="25" spans="1:32" s="57" customFormat="1" ht="15.75" hidden="1" customHeight="1">
      <c r="A25" s="2" t="s">
        <v>81</v>
      </c>
      <c r="B25" s="2"/>
      <c r="C25" s="51"/>
      <c r="D25" s="51"/>
      <c r="E25" s="51">
        <v>0</v>
      </c>
      <c r="F25" s="51"/>
      <c r="G25" s="51"/>
      <c r="H25" s="51"/>
      <c r="I25" s="51"/>
      <c r="J25" s="51"/>
      <c r="K25" s="51"/>
      <c r="L25" s="51"/>
      <c r="M25" s="51"/>
      <c r="N25" s="51"/>
      <c r="O25" s="51"/>
      <c r="P25" s="51">
        <f t="shared" si="1"/>
        <v>0</v>
      </c>
      <c r="Q25" s="51" t="e">
        <f t="shared" si="2"/>
        <v>#DIV/0!</v>
      </c>
      <c r="R25" s="55"/>
      <c r="S25" s="53"/>
      <c r="T25" s="54"/>
      <c r="U25" s="55"/>
      <c r="V25" s="55"/>
      <c r="W25" s="55"/>
      <c r="X25" s="55"/>
      <c r="Y25" s="55"/>
      <c r="Z25" s="56"/>
      <c r="AA25" s="55"/>
      <c r="AB25" s="55"/>
      <c r="AC25" s="55"/>
      <c r="AD25" s="55"/>
      <c r="AE25" s="55"/>
      <c r="AF25" s="55"/>
    </row>
    <row r="26" spans="1:32" s="57" customFormat="1" ht="15.75" hidden="1" customHeight="1">
      <c r="A26" s="2" t="s">
        <v>83</v>
      </c>
      <c r="B26" s="2"/>
      <c r="C26" s="51"/>
      <c r="D26" s="51"/>
      <c r="E26" s="51">
        <v>0</v>
      </c>
      <c r="F26" s="51"/>
      <c r="G26" s="51"/>
      <c r="H26" s="51"/>
      <c r="I26" s="51"/>
      <c r="J26" s="51"/>
      <c r="K26" s="51"/>
      <c r="L26" s="51"/>
      <c r="M26" s="51"/>
      <c r="N26" s="51"/>
      <c r="O26" s="51"/>
      <c r="P26" s="51">
        <f t="shared" si="1"/>
        <v>0</v>
      </c>
      <c r="Q26" s="51" t="e">
        <f t="shared" si="2"/>
        <v>#DIV/0!</v>
      </c>
      <c r="R26" s="55"/>
      <c r="S26" s="53"/>
      <c r="T26" s="54"/>
      <c r="U26" s="55"/>
      <c r="V26" s="55"/>
      <c r="W26" s="55"/>
      <c r="X26" s="55"/>
      <c r="Y26" s="55"/>
      <c r="Z26" s="56"/>
      <c r="AA26" s="55"/>
      <c r="AB26" s="55"/>
      <c r="AC26" s="55"/>
      <c r="AD26" s="55"/>
      <c r="AE26" s="55"/>
      <c r="AF26" s="55"/>
    </row>
    <row r="27" spans="1:32" s="57" customFormat="1" ht="15.75" hidden="1" customHeight="1">
      <c r="A27" s="2" t="s">
        <v>84</v>
      </c>
      <c r="B27" s="2"/>
      <c r="C27" s="51"/>
      <c r="D27" s="51"/>
      <c r="E27" s="51"/>
      <c r="F27" s="51"/>
      <c r="G27" s="51"/>
      <c r="H27" s="51"/>
      <c r="I27" s="51"/>
      <c r="J27" s="51"/>
      <c r="K27" s="51"/>
      <c r="L27" s="51"/>
      <c r="M27" s="51"/>
      <c r="N27" s="51"/>
      <c r="O27" s="51"/>
      <c r="P27" s="51"/>
      <c r="Q27" s="51"/>
      <c r="R27" s="55"/>
      <c r="S27" s="53"/>
      <c r="T27" s="54"/>
      <c r="U27" s="55"/>
      <c r="V27" s="55"/>
      <c r="W27" s="55"/>
      <c r="X27" s="55"/>
      <c r="Y27" s="55"/>
      <c r="Z27" s="56"/>
      <c r="AA27" s="55"/>
      <c r="AB27" s="55"/>
      <c r="AC27" s="55"/>
      <c r="AD27" s="55"/>
      <c r="AE27" s="55"/>
      <c r="AF27" s="55"/>
    </row>
    <row r="28" spans="1:32" s="57" customFormat="1" ht="15.75" customHeight="1">
      <c r="A28" s="2" t="s">
        <v>86</v>
      </c>
      <c r="B28" s="2"/>
      <c r="C28" s="51">
        <f t="shared" ref="C28:C39" si="3">IFERROR(F28/D28," - ")</f>
        <v>69.989999999999995</v>
      </c>
      <c r="D28" s="51">
        <v>2</v>
      </c>
      <c r="E28" s="51">
        <v>0</v>
      </c>
      <c r="F28" s="51">
        <v>139.97999999999999</v>
      </c>
      <c r="G28" s="51">
        <v>0</v>
      </c>
      <c r="H28" s="51">
        <f t="shared" ref="H28:H39" si="4">G28/F28*-1</f>
        <v>0</v>
      </c>
      <c r="I28" s="51">
        <f t="shared" ref="I28:I39" si="5">J28/F28</f>
        <v>0.25169065494204779</v>
      </c>
      <c r="J28" s="51">
        <f t="shared" ref="J28:J38" si="6">F28*0.85+G28+AD28*D28+D28*AC28+AE28+AB28</f>
        <v>35.23165787878785</v>
      </c>
      <c r="K28" s="51">
        <f t="shared" ref="K28:K39" si="7">J28/D28</f>
        <v>17.615828939393925</v>
      </c>
      <c r="L28" s="51">
        <v>32</v>
      </c>
      <c r="M28" s="51">
        <f t="shared" ref="M28:M39" si="8">IFERROR(D28/L28,"-")</f>
        <v>6.25E-2</v>
      </c>
      <c r="N28" s="51">
        <v>0</v>
      </c>
      <c r="O28" s="51">
        <f t="shared" ref="O28:P28" si="9">D28/7</f>
        <v>0.2857142857142857</v>
      </c>
      <c r="P28" s="51">
        <f t="shared" si="9"/>
        <v>0</v>
      </c>
      <c r="Q28" s="51">
        <f t="shared" ref="Q28:Q39" si="10">ROUNDDOWN(N28/(O28+P28),0)</f>
        <v>0</v>
      </c>
      <c r="R28" s="55" t="s">
        <v>34</v>
      </c>
      <c r="S28" s="53" t="s">
        <v>34</v>
      </c>
      <c r="T28" s="54" t="s">
        <v>34</v>
      </c>
      <c r="U28" s="55">
        <v>0</v>
      </c>
      <c r="V28" s="55">
        <f t="shared" ref="V28:V39" si="11">IFERROR(U28/D28,0)</f>
        <v>0</v>
      </c>
      <c r="W28" s="55">
        <f t="shared" ref="W28:W39" si="12">IFERROR(G28/(U28+X28)*-1,0)</f>
        <v>0</v>
      </c>
      <c r="X28" s="55">
        <v>0</v>
      </c>
      <c r="Y28" s="55" t="s">
        <v>760</v>
      </c>
      <c r="Z28" s="56">
        <f t="shared" ref="Z28:Z39" si="13">IF(OR(Y28="UsLargeStandardSize",Y28="UsSmallStandardSize"),-0.75,-0.48)</f>
        <v>-0.48</v>
      </c>
      <c r="AA28" s="55">
        <v>1.7910520833333334</v>
      </c>
      <c r="AB28" s="55">
        <f t="shared" ref="AB28:AB39" si="14">IFERROR(Z28*AA28*D28*3,0)</f>
        <v>-5.1582300000000005</v>
      </c>
      <c r="AC28" s="55">
        <v>-16.62</v>
      </c>
      <c r="AD28" s="55">
        <v>-22.676556060606064</v>
      </c>
      <c r="AE28" s="55">
        <v>0</v>
      </c>
      <c r="AF28" s="55"/>
    </row>
    <row r="29" spans="1:32" s="57" customFormat="1" ht="15.75" customHeight="1">
      <c r="A29" s="2" t="s">
        <v>87</v>
      </c>
      <c r="B29" s="2"/>
      <c r="C29" s="51">
        <f t="shared" si="3"/>
        <v>69.989999999999995</v>
      </c>
      <c r="D29" s="51">
        <v>1</v>
      </c>
      <c r="E29" s="51">
        <v>0</v>
      </c>
      <c r="F29" s="51">
        <v>69.989999999999995</v>
      </c>
      <c r="G29" s="51">
        <v>0</v>
      </c>
      <c r="H29" s="51">
        <f t="shared" si="4"/>
        <v>0</v>
      </c>
      <c r="I29" s="51">
        <f t="shared" si="5"/>
        <v>0.25169065494204779</v>
      </c>
      <c r="J29" s="51">
        <f t="shared" si="6"/>
        <v>17.615828939393925</v>
      </c>
      <c r="K29" s="51">
        <f t="shared" si="7"/>
        <v>17.615828939393925</v>
      </c>
      <c r="L29" s="51">
        <v>9</v>
      </c>
      <c r="M29" s="51">
        <f t="shared" si="8"/>
        <v>0.1111111111111111</v>
      </c>
      <c r="N29" s="51">
        <v>0</v>
      </c>
      <c r="O29" s="51">
        <f t="shared" ref="O29:P29" si="15">D29/7</f>
        <v>0.14285714285714285</v>
      </c>
      <c r="P29" s="51">
        <f t="shared" si="15"/>
        <v>0</v>
      </c>
      <c r="Q29" s="51">
        <f t="shared" si="10"/>
        <v>0</v>
      </c>
      <c r="R29" s="55" t="s">
        <v>34</v>
      </c>
      <c r="S29" s="53" t="s">
        <v>34</v>
      </c>
      <c r="T29" s="54" t="s">
        <v>34</v>
      </c>
      <c r="U29" s="55">
        <v>0</v>
      </c>
      <c r="V29" s="55">
        <f t="shared" si="11"/>
        <v>0</v>
      </c>
      <c r="W29" s="55">
        <f t="shared" si="12"/>
        <v>0</v>
      </c>
      <c r="X29" s="55">
        <v>0</v>
      </c>
      <c r="Y29" s="55" t="s">
        <v>760</v>
      </c>
      <c r="Z29" s="56">
        <f t="shared" si="13"/>
        <v>-0.48</v>
      </c>
      <c r="AA29" s="55">
        <v>1.7910520833333334</v>
      </c>
      <c r="AB29" s="55">
        <f t="shared" si="14"/>
        <v>-2.5791150000000003</v>
      </c>
      <c r="AC29" s="55">
        <v>-16.62</v>
      </c>
      <c r="AD29" s="55">
        <v>-22.676556060606064</v>
      </c>
      <c r="AE29" s="55">
        <v>0</v>
      </c>
      <c r="AF29" s="55"/>
    </row>
    <row r="30" spans="1:32" s="57" customFormat="1" ht="15.75" customHeight="1">
      <c r="A30" s="2" t="s">
        <v>89</v>
      </c>
      <c r="B30" s="2"/>
      <c r="C30" s="51" t="str">
        <f t="shared" si="3"/>
        <v xml:space="preserve"> - </v>
      </c>
      <c r="D30" s="51">
        <v>0</v>
      </c>
      <c r="E30" s="51">
        <v>0</v>
      </c>
      <c r="F30" s="51">
        <v>0</v>
      </c>
      <c r="G30" s="51">
        <v>0</v>
      </c>
      <c r="H30" s="51" t="e">
        <f t="shared" si="4"/>
        <v>#DIV/0!</v>
      </c>
      <c r="I30" s="51" t="e">
        <f t="shared" si="5"/>
        <v>#DIV/0!</v>
      </c>
      <c r="J30" s="51">
        <f t="shared" si="6"/>
        <v>0</v>
      </c>
      <c r="K30" s="51" t="e">
        <f t="shared" si="7"/>
        <v>#DIV/0!</v>
      </c>
      <c r="L30" s="51">
        <v>0</v>
      </c>
      <c r="M30" s="51" t="str">
        <f t="shared" si="8"/>
        <v>-</v>
      </c>
      <c r="N30" s="51">
        <v>0</v>
      </c>
      <c r="O30" s="51">
        <f t="shared" ref="O30:P30" si="16">D30/7</f>
        <v>0</v>
      </c>
      <c r="P30" s="51">
        <f t="shared" si="16"/>
        <v>0</v>
      </c>
      <c r="Q30" s="51" t="e">
        <f t="shared" si="10"/>
        <v>#DIV/0!</v>
      </c>
      <c r="R30" s="55" t="s">
        <v>34</v>
      </c>
      <c r="S30" s="53" t="s">
        <v>34</v>
      </c>
      <c r="T30" s="54" t="s">
        <v>34</v>
      </c>
      <c r="U30" s="55">
        <v>0</v>
      </c>
      <c r="V30" s="55">
        <f t="shared" si="11"/>
        <v>0</v>
      </c>
      <c r="W30" s="55">
        <f t="shared" si="12"/>
        <v>0</v>
      </c>
      <c r="X30" s="55">
        <v>0</v>
      </c>
      <c r="Y30" s="55" t="s">
        <v>760</v>
      </c>
      <c r="Z30" s="56">
        <f t="shared" si="13"/>
        <v>-0.48</v>
      </c>
      <c r="AA30" s="55">
        <v>1.7910520833333334</v>
      </c>
      <c r="AB30" s="55">
        <f t="shared" si="14"/>
        <v>0</v>
      </c>
      <c r="AC30" s="55">
        <v>-16.62</v>
      </c>
      <c r="AD30" s="55">
        <v>-22.676556060606064</v>
      </c>
      <c r="AE30" s="55">
        <v>0</v>
      </c>
      <c r="AF30" s="55"/>
    </row>
    <row r="31" spans="1:32" s="57" customFormat="1" ht="15.75" customHeight="1">
      <c r="A31" s="2" t="s">
        <v>90</v>
      </c>
      <c r="B31" s="2"/>
      <c r="C31" s="51" t="str">
        <f t="shared" si="3"/>
        <v xml:space="preserve"> - </v>
      </c>
      <c r="D31" s="51">
        <v>0</v>
      </c>
      <c r="E31" s="51">
        <v>0</v>
      </c>
      <c r="F31" s="51">
        <v>0</v>
      </c>
      <c r="G31" s="51">
        <v>0</v>
      </c>
      <c r="H31" s="51" t="e">
        <f t="shared" si="4"/>
        <v>#DIV/0!</v>
      </c>
      <c r="I31" s="51" t="e">
        <f t="shared" si="5"/>
        <v>#N/A</v>
      </c>
      <c r="J31" s="51" t="e">
        <f t="shared" si="6"/>
        <v>#N/A</v>
      </c>
      <c r="K31" s="51" t="e">
        <f t="shared" si="7"/>
        <v>#N/A</v>
      </c>
      <c r="L31" s="51">
        <v>0</v>
      </c>
      <c r="M31" s="51" t="str">
        <f t="shared" si="8"/>
        <v>-</v>
      </c>
      <c r="N31" s="51">
        <v>0</v>
      </c>
      <c r="O31" s="51">
        <f t="shared" ref="O31:P31" si="17">D31/7</f>
        <v>0</v>
      </c>
      <c r="P31" s="51">
        <f t="shared" si="17"/>
        <v>0</v>
      </c>
      <c r="Q31" s="51" t="e">
        <f t="shared" si="10"/>
        <v>#DIV/0!</v>
      </c>
      <c r="R31" s="55" t="s">
        <v>34</v>
      </c>
      <c r="S31" s="53" t="s">
        <v>34</v>
      </c>
      <c r="T31" s="54" t="s">
        <v>34</v>
      </c>
      <c r="U31" s="55">
        <v>0</v>
      </c>
      <c r="V31" s="55">
        <f t="shared" si="11"/>
        <v>0</v>
      </c>
      <c r="W31" s="55">
        <f t="shared" si="12"/>
        <v>0</v>
      </c>
      <c r="X31" s="55">
        <v>0</v>
      </c>
      <c r="Y31" s="55" t="s">
        <v>760</v>
      </c>
      <c r="Z31" s="56">
        <f t="shared" si="13"/>
        <v>-0.48</v>
      </c>
      <c r="AA31" s="55">
        <v>1.7910520833333334</v>
      </c>
      <c r="AB31" s="55">
        <f t="shared" si="14"/>
        <v>0</v>
      </c>
      <c r="AC31" s="55">
        <v>-16.62</v>
      </c>
      <c r="AD31" s="55" t="e">
        <v>#N/A</v>
      </c>
      <c r="AE31" s="55">
        <v>0</v>
      </c>
      <c r="AF31" s="55"/>
    </row>
    <row r="32" spans="1:32" s="57" customFormat="1" ht="15.75" customHeight="1">
      <c r="A32" s="2" t="s">
        <v>92</v>
      </c>
      <c r="B32" s="2"/>
      <c r="C32" s="51" t="str">
        <f t="shared" si="3"/>
        <v xml:space="preserve"> - </v>
      </c>
      <c r="D32" s="51">
        <v>0</v>
      </c>
      <c r="E32" s="51">
        <v>0</v>
      </c>
      <c r="F32" s="51">
        <v>0</v>
      </c>
      <c r="G32" s="51">
        <v>0</v>
      </c>
      <c r="H32" s="51" t="e">
        <f t="shared" si="4"/>
        <v>#DIV/0!</v>
      </c>
      <c r="I32" s="51" t="e">
        <f t="shared" si="5"/>
        <v>#N/A</v>
      </c>
      <c r="J32" s="51" t="e">
        <f t="shared" si="6"/>
        <v>#N/A</v>
      </c>
      <c r="K32" s="51" t="e">
        <f t="shared" si="7"/>
        <v>#N/A</v>
      </c>
      <c r="L32" s="51">
        <v>0</v>
      </c>
      <c r="M32" s="51" t="str">
        <f t="shared" si="8"/>
        <v>-</v>
      </c>
      <c r="N32" s="51">
        <v>0</v>
      </c>
      <c r="O32" s="51">
        <f t="shared" ref="O32:P32" si="18">D32/7</f>
        <v>0</v>
      </c>
      <c r="P32" s="51">
        <f t="shared" si="18"/>
        <v>0</v>
      </c>
      <c r="Q32" s="51" t="e">
        <f t="shared" si="10"/>
        <v>#DIV/0!</v>
      </c>
      <c r="R32" s="55" t="s">
        <v>34</v>
      </c>
      <c r="S32" s="53" t="s">
        <v>34</v>
      </c>
      <c r="T32" s="54" t="s">
        <v>34</v>
      </c>
      <c r="U32" s="55">
        <v>0</v>
      </c>
      <c r="V32" s="55">
        <f t="shared" si="11"/>
        <v>0</v>
      </c>
      <c r="W32" s="55">
        <f t="shared" si="12"/>
        <v>0</v>
      </c>
      <c r="X32" s="55">
        <v>0</v>
      </c>
      <c r="Y32" s="55" t="e">
        <v>#N/A</v>
      </c>
      <c r="Z32" s="56" t="e">
        <f t="shared" si="13"/>
        <v>#N/A</v>
      </c>
      <c r="AA32" s="55" t="e">
        <v>#N/A</v>
      </c>
      <c r="AB32" s="55">
        <f t="shared" si="14"/>
        <v>0</v>
      </c>
      <c r="AC32" s="55">
        <v>0</v>
      </c>
      <c r="AD32" s="55" t="e">
        <v>#N/A</v>
      </c>
      <c r="AE32" s="55">
        <v>0</v>
      </c>
      <c r="AF32" s="52" t="e">
        <v>#N/A</v>
      </c>
    </row>
    <row r="33" spans="1:32" s="57" customFormat="1" ht="15.75" customHeight="1">
      <c r="A33" s="2" t="s">
        <v>94</v>
      </c>
      <c r="B33" s="2"/>
      <c r="C33" s="51" t="str">
        <f t="shared" si="3"/>
        <v xml:space="preserve"> - </v>
      </c>
      <c r="D33" s="51">
        <v>0</v>
      </c>
      <c r="E33" s="51">
        <v>0</v>
      </c>
      <c r="F33" s="51">
        <v>0</v>
      </c>
      <c r="G33" s="51">
        <v>0</v>
      </c>
      <c r="H33" s="51" t="e">
        <f t="shared" si="4"/>
        <v>#DIV/0!</v>
      </c>
      <c r="I33" s="51" t="e">
        <f t="shared" si="5"/>
        <v>#N/A</v>
      </c>
      <c r="J33" s="51" t="e">
        <f t="shared" si="6"/>
        <v>#N/A</v>
      </c>
      <c r="K33" s="51" t="e">
        <f t="shared" si="7"/>
        <v>#N/A</v>
      </c>
      <c r="L33" s="51">
        <v>0</v>
      </c>
      <c r="M33" s="51" t="str">
        <f t="shared" si="8"/>
        <v>-</v>
      </c>
      <c r="N33" s="51">
        <v>0</v>
      </c>
      <c r="O33" s="51">
        <f t="shared" ref="O33:P33" si="19">D33/7</f>
        <v>0</v>
      </c>
      <c r="P33" s="51">
        <f t="shared" si="19"/>
        <v>0</v>
      </c>
      <c r="Q33" s="51" t="e">
        <f t="shared" si="10"/>
        <v>#DIV/0!</v>
      </c>
      <c r="R33" s="55" t="s">
        <v>34</v>
      </c>
      <c r="S33" s="53" t="s">
        <v>34</v>
      </c>
      <c r="T33" s="54" t="s">
        <v>34</v>
      </c>
      <c r="U33" s="55">
        <v>0</v>
      </c>
      <c r="V33" s="55">
        <f t="shared" si="11"/>
        <v>0</v>
      </c>
      <c r="W33" s="55">
        <f t="shared" si="12"/>
        <v>0</v>
      </c>
      <c r="X33" s="55">
        <v>0</v>
      </c>
      <c r="Y33" s="55" t="e">
        <v>#N/A</v>
      </c>
      <c r="Z33" s="56" t="e">
        <f t="shared" si="13"/>
        <v>#N/A</v>
      </c>
      <c r="AA33" s="55" t="e">
        <v>#N/A</v>
      </c>
      <c r="AB33" s="55">
        <f t="shared" si="14"/>
        <v>0</v>
      </c>
      <c r="AC33" s="55">
        <v>0</v>
      </c>
      <c r="AD33" s="55" t="e">
        <v>#N/A</v>
      </c>
      <c r="AE33" s="55">
        <v>0</v>
      </c>
      <c r="AF33" s="55" t="e">
        <v>#N/A</v>
      </c>
    </row>
    <row r="34" spans="1:32" s="57" customFormat="1" ht="15.75" customHeight="1">
      <c r="A34" s="2" t="s">
        <v>95</v>
      </c>
      <c r="B34" s="2"/>
      <c r="C34" s="51" t="str">
        <f t="shared" si="3"/>
        <v xml:space="preserve"> - </v>
      </c>
      <c r="D34" s="51">
        <v>0</v>
      </c>
      <c r="E34" s="51">
        <v>0</v>
      </c>
      <c r="F34" s="51">
        <v>0</v>
      </c>
      <c r="G34" s="51">
        <v>0</v>
      </c>
      <c r="H34" s="51" t="e">
        <f t="shared" si="4"/>
        <v>#DIV/0!</v>
      </c>
      <c r="I34" s="51" t="e">
        <f t="shared" si="5"/>
        <v>#N/A</v>
      </c>
      <c r="J34" s="51" t="e">
        <f t="shared" si="6"/>
        <v>#N/A</v>
      </c>
      <c r="K34" s="51" t="e">
        <f t="shared" si="7"/>
        <v>#N/A</v>
      </c>
      <c r="L34" s="51">
        <v>0</v>
      </c>
      <c r="M34" s="51" t="str">
        <f t="shared" si="8"/>
        <v>-</v>
      </c>
      <c r="N34" s="51">
        <v>0</v>
      </c>
      <c r="O34" s="51">
        <f t="shared" ref="O34:P34" si="20">D34/7</f>
        <v>0</v>
      </c>
      <c r="P34" s="51">
        <f t="shared" si="20"/>
        <v>0</v>
      </c>
      <c r="Q34" s="51" t="e">
        <f t="shared" si="10"/>
        <v>#DIV/0!</v>
      </c>
      <c r="R34" s="55" t="s">
        <v>34</v>
      </c>
      <c r="S34" s="53" t="s">
        <v>34</v>
      </c>
      <c r="T34" s="54" t="s">
        <v>34</v>
      </c>
      <c r="U34" s="55">
        <v>0</v>
      </c>
      <c r="V34" s="55">
        <f t="shared" si="11"/>
        <v>0</v>
      </c>
      <c r="W34" s="55">
        <f t="shared" si="12"/>
        <v>0</v>
      </c>
      <c r="X34" s="55">
        <v>0</v>
      </c>
      <c r="Y34" s="55" t="e">
        <v>#N/A</v>
      </c>
      <c r="Z34" s="56" t="e">
        <f t="shared" si="13"/>
        <v>#N/A</v>
      </c>
      <c r="AA34" s="55" t="e">
        <v>#N/A</v>
      </c>
      <c r="AB34" s="55">
        <f t="shared" si="14"/>
        <v>0</v>
      </c>
      <c r="AC34" s="55">
        <v>0</v>
      </c>
      <c r="AD34" s="55" t="e">
        <v>#N/A</v>
      </c>
      <c r="AE34" s="55">
        <v>0</v>
      </c>
      <c r="AF34" s="55" t="e">
        <v>#N/A</v>
      </c>
    </row>
    <row r="35" spans="1:32" s="57" customFormat="1" ht="15.75" customHeight="1">
      <c r="A35" s="2" t="s">
        <v>96</v>
      </c>
      <c r="B35" s="2"/>
      <c r="C35" s="51" t="str">
        <f t="shared" si="3"/>
        <v xml:space="preserve"> - </v>
      </c>
      <c r="D35" s="51">
        <v>0</v>
      </c>
      <c r="E35" s="51">
        <v>0</v>
      </c>
      <c r="F35" s="51">
        <v>0</v>
      </c>
      <c r="G35" s="51">
        <v>0</v>
      </c>
      <c r="H35" s="51" t="e">
        <f t="shared" si="4"/>
        <v>#DIV/0!</v>
      </c>
      <c r="I35" s="51" t="e">
        <f t="shared" si="5"/>
        <v>#N/A</v>
      </c>
      <c r="J35" s="51" t="e">
        <f t="shared" si="6"/>
        <v>#N/A</v>
      </c>
      <c r="K35" s="51" t="e">
        <f t="shared" si="7"/>
        <v>#N/A</v>
      </c>
      <c r="L35" s="51">
        <v>0</v>
      </c>
      <c r="M35" s="51" t="str">
        <f t="shared" si="8"/>
        <v>-</v>
      </c>
      <c r="N35" s="51">
        <v>0</v>
      </c>
      <c r="O35" s="51">
        <f t="shared" ref="O35:P35" si="21">D35/7</f>
        <v>0</v>
      </c>
      <c r="P35" s="51">
        <f t="shared" si="21"/>
        <v>0</v>
      </c>
      <c r="Q35" s="51" t="e">
        <f t="shared" si="10"/>
        <v>#DIV/0!</v>
      </c>
      <c r="R35" s="55" t="s">
        <v>34</v>
      </c>
      <c r="S35" s="53" t="s">
        <v>34</v>
      </c>
      <c r="T35" s="54" t="s">
        <v>34</v>
      </c>
      <c r="U35" s="55">
        <v>0</v>
      </c>
      <c r="V35" s="55">
        <f t="shared" si="11"/>
        <v>0</v>
      </c>
      <c r="W35" s="55">
        <f t="shared" si="12"/>
        <v>0</v>
      </c>
      <c r="X35" s="55">
        <v>0</v>
      </c>
      <c r="Y35" s="55" t="e">
        <v>#N/A</v>
      </c>
      <c r="Z35" s="56" t="e">
        <f t="shared" si="13"/>
        <v>#N/A</v>
      </c>
      <c r="AA35" s="55" t="e">
        <v>#N/A</v>
      </c>
      <c r="AB35" s="55">
        <f t="shared" si="14"/>
        <v>0</v>
      </c>
      <c r="AC35" s="55">
        <v>0</v>
      </c>
      <c r="AD35" s="55" t="e">
        <v>#N/A</v>
      </c>
      <c r="AE35" s="55">
        <v>0</v>
      </c>
      <c r="AF35" s="55" t="e">
        <v>#N/A</v>
      </c>
    </row>
    <row r="36" spans="1:32" s="57" customFormat="1" ht="15.75" customHeight="1">
      <c r="A36" s="2" t="s">
        <v>98</v>
      </c>
      <c r="B36" s="2"/>
      <c r="C36" s="51" t="str">
        <f t="shared" si="3"/>
        <v xml:space="preserve"> - </v>
      </c>
      <c r="D36" s="51">
        <v>0</v>
      </c>
      <c r="E36" s="51">
        <v>0</v>
      </c>
      <c r="F36" s="51">
        <v>0</v>
      </c>
      <c r="G36" s="51">
        <v>0</v>
      </c>
      <c r="H36" s="51" t="e">
        <f t="shared" si="4"/>
        <v>#DIV/0!</v>
      </c>
      <c r="I36" s="51" t="e">
        <f t="shared" si="5"/>
        <v>#N/A</v>
      </c>
      <c r="J36" s="51" t="e">
        <f t="shared" si="6"/>
        <v>#N/A</v>
      </c>
      <c r="K36" s="51" t="e">
        <f t="shared" si="7"/>
        <v>#N/A</v>
      </c>
      <c r="L36" s="51">
        <v>0</v>
      </c>
      <c r="M36" s="51" t="str">
        <f t="shared" si="8"/>
        <v>-</v>
      </c>
      <c r="N36" s="51">
        <v>0</v>
      </c>
      <c r="O36" s="51">
        <f t="shared" ref="O36:P36" si="22">D36/7</f>
        <v>0</v>
      </c>
      <c r="P36" s="51">
        <f t="shared" si="22"/>
        <v>0</v>
      </c>
      <c r="Q36" s="51" t="e">
        <f t="shared" si="10"/>
        <v>#DIV/0!</v>
      </c>
      <c r="R36" s="55" t="s">
        <v>34</v>
      </c>
      <c r="S36" s="53"/>
      <c r="T36" s="54" t="s">
        <v>34</v>
      </c>
      <c r="U36" s="55"/>
      <c r="V36" s="55">
        <f t="shared" si="11"/>
        <v>0</v>
      </c>
      <c r="W36" s="55">
        <f t="shared" si="12"/>
        <v>0</v>
      </c>
      <c r="X36" s="55"/>
      <c r="Y36" s="55" t="e">
        <v>#N/A</v>
      </c>
      <c r="Z36" s="56" t="e">
        <f t="shared" si="13"/>
        <v>#N/A</v>
      </c>
      <c r="AA36" s="55" t="e">
        <v>#N/A</v>
      </c>
      <c r="AB36" s="55">
        <f t="shared" si="14"/>
        <v>0</v>
      </c>
      <c r="AC36" s="55">
        <v>0</v>
      </c>
      <c r="AD36" s="55" t="e">
        <v>#N/A</v>
      </c>
      <c r="AE36" s="55">
        <v>0</v>
      </c>
      <c r="AF36" s="55" t="e">
        <v>#N/A</v>
      </c>
    </row>
    <row r="37" spans="1:32" s="57" customFormat="1" ht="15.75" customHeight="1">
      <c r="A37" s="2" t="s">
        <v>99</v>
      </c>
      <c r="B37" s="2"/>
      <c r="C37" s="51" t="str">
        <f t="shared" si="3"/>
        <v xml:space="preserve"> - </v>
      </c>
      <c r="D37" s="51">
        <v>0</v>
      </c>
      <c r="E37" s="51">
        <v>0</v>
      </c>
      <c r="F37" s="51">
        <v>0</v>
      </c>
      <c r="G37" s="51">
        <v>0</v>
      </c>
      <c r="H37" s="51" t="e">
        <f t="shared" si="4"/>
        <v>#DIV/0!</v>
      </c>
      <c r="I37" s="51" t="e">
        <f t="shared" si="5"/>
        <v>#N/A</v>
      </c>
      <c r="J37" s="51" t="e">
        <f t="shared" si="6"/>
        <v>#N/A</v>
      </c>
      <c r="K37" s="51" t="e">
        <f t="shared" si="7"/>
        <v>#N/A</v>
      </c>
      <c r="L37" s="51">
        <v>0</v>
      </c>
      <c r="M37" s="51" t="str">
        <f t="shared" si="8"/>
        <v>-</v>
      </c>
      <c r="N37" s="51">
        <v>0</v>
      </c>
      <c r="O37" s="51">
        <f t="shared" ref="O37:P37" si="23">D37/7</f>
        <v>0</v>
      </c>
      <c r="P37" s="51">
        <f t="shared" si="23"/>
        <v>0</v>
      </c>
      <c r="Q37" s="51" t="e">
        <f t="shared" si="10"/>
        <v>#DIV/0!</v>
      </c>
      <c r="R37" s="55" t="s">
        <v>34</v>
      </c>
      <c r="S37" s="53" t="s">
        <v>34</v>
      </c>
      <c r="T37" s="54" t="s">
        <v>34</v>
      </c>
      <c r="U37" s="55">
        <v>0</v>
      </c>
      <c r="V37" s="55">
        <f t="shared" si="11"/>
        <v>0</v>
      </c>
      <c r="W37" s="55">
        <f t="shared" si="12"/>
        <v>0</v>
      </c>
      <c r="X37" s="55">
        <v>0</v>
      </c>
      <c r="Y37" s="55" t="e">
        <v>#N/A</v>
      </c>
      <c r="Z37" s="56" t="e">
        <f t="shared" si="13"/>
        <v>#N/A</v>
      </c>
      <c r="AA37" s="55" t="e">
        <v>#N/A</v>
      </c>
      <c r="AB37" s="55">
        <f t="shared" si="14"/>
        <v>0</v>
      </c>
      <c r="AC37" s="55">
        <v>0</v>
      </c>
      <c r="AD37" s="55" t="e">
        <v>#N/A</v>
      </c>
      <c r="AE37" s="55">
        <v>0</v>
      </c>
      <c r="AF37" s="55" t="e">
        <v>#N/A</v>
      </c>
    </row>
    <row r="38" spans="1:32" s="57" customFormat="1" ht="15.75" customHeight="1">
      <c r="A38" s="2" t="s">
        <v>100</v>
      </c>
      <c r="B38" s="2"/>
      <c r="C38" s="51" t="str">
        <f t="shared" si="3"/>
        <v xml:space="preserve"> - </v>
      </c>
      <c r="D38" s="51">
        <v>0</v>
      </c>
      <c r="E38" s="51">
        <v>0</v>
      </c>
      <c r="F38" s="51">
        <v>0</v>
      </c>
      <c r="G38" s="51">
        <v>0</v>
      </c>
      <c r="H38" s="51" t="e">
        <f t="shared" si="4"/>
        <v>#DIV/0!</v>
      </c>
      <c r="I38" s="51" t="e">
        <f t="shared" si="5"/>
        <v>#N/A</v>
      </c>
      <c r="J38" s="51" t="e">
        <f t="shared" si="6"/>
        <v>#N/A</v>
      </c>
      <c r="K38" s="51" t="e">
        <f t="shared" si="7"/>
        <v>#N/A</v>
      </c>
      <c r="L38" s="51">
        <v>0</v>
      </c>
      <c r="M38" s="51" t="str">
        <f t="shared" si="8"/>
        <v>-</v>
      </c>
      <c r="N38" s="51">
        <v>0</v>
      </c>
      <c r="O38" s="51">
        <f t="shared" ref="O38:P38" si="24">D38/7</f>
        <v>0</v>
      </c>
      <c r="P38" s="51">
        <f t="shared" si="24"/>
        <v>0</v>
      </c>
      <c r="Q38" s="51" t="e">
        <f t="shared" si="10"/>
        <v>#DIV/0!</v>
      </c>
      <c r="R38" s="55" t="s">
        <v>34</v>
      </c>
      <c r="S38" s="53"/>
      <c r="T38" s="54" t="s">
        <v>34</v>
      </c>
      <c r="U38" s="55">
        <v>0</v>
      </c>
      <c r="V38" s="55">
        <f t="shared" si="11"/>
        <v>0</v>
      </c>
      <c r="W38" s="55">
        <f t="shared" si="12"/>
        <v>0</v>
      </c>
      <c r="X38" s="55">
        <v>0</v>
      </c>
      <c r="Y38" s="55" t="e">
        <v>#N/A</v>
      </c>
      <c r="Z38" s="56" t="e">
        <f t="shared" si="13"/>
        <v>#N/A</v>
      </c>
      <c r="AA38" s="55" t="e">
        <v>#N/A</v>
      </c>
      <c r="AB38" s="55">
        <f t="shared" si="14"/>
        <v>0</v>
      </c>
      <c r="AC38" s="55">
        <v>0</v>
      </c>
      <c r="AD38" s="55" t="e">
        <v>#N/A</v>
      </c>
      <c r="AE38" s="55">
        <v>0</v>
      </c>
      <c r="AF38" s="55" t="e">
        <v>#N/A</v>
      </c>
    </row>
    <row r="39" spans="1:32" s="57" customFormat="1" ht="15.75" customHeight="1">
      <c r="A39" s="2" t="s">
        <v>101</v>
      </c>
      <c r="B39" s="2"/>
      <c r="C39" s="51" t="str">
        <f t="shared" si="3"/>
        <v xml:space="preserve"> - </v>
      </c>
      <c r="D39" s="51">
        <v>0</v>
      </c>
      <c r="E39" s="51">
        <v>0</v>
      </c>
      <c r="F39" s="51">
        <v>0</v>
      </c>
      <c r="G39" s="51">
        <v>0</v>
      </c>
      <c r="H39" s="51" t="e">
        <f t="shared" si="4"/>
        <v>#DIV/0!</v>
      </c>
      <c r="I39" s="51" t="e">
        <f t="shared" si="5"/>
        <v>#DIV/0!</v>
      </c>
      <c r="J39" s="51">
        <f>F39*0.85+G39+AD39*D39+D39*AC39+AE40+AB39</f>
        <v>0</v>
      </c>
      <c r="K39" s="51" t="e">
        <f t="shared" si="7"/>
        <v>#DIV/0!</v>
      </c>
      <c r="L39" s="51">
        <v>0</v>
      </c>
      <c r="M39" s="51" t="str">
        <f t="shared" si="8"/>
        <v>-</v>
      </c>
      <c r="N39" s="51">
        <v>0</v>
      </c>
      <c r="O39" s="51">
        <f t="shared" ref="O39:P39" si="25">D39/7</f>
        <v>0</v>
      </c>
      <c r="P39" s="51">
        <f t="shared" si="25"/>
        <v>0</v>
      </c>
      <c r="Q39" s="51" t="e">
        <f t="shared" si="10"/>
        <v>#DIV/0!</v>
      </c>
      <c r="R39" s="55" t="s">
        <v>34</v>
      </c>
      <c r="S39" s="53" t="s">
        <v>34</v>
      </c>
      <c r="T39" s="54" t="s">
        <v>34</v>
      </c>
      <c r="U39" s="55">
        <v>0</v>
      </c>
      <c r="V39" s="55">
        <f t="shared" si="11"/>
        <v>0</v>
      </c>
      <c r="W39" s="55">
        <f t="shared" si="12"/>
        <v>0</v>
      </c>
      <c r="X39" s="55">
        <v>0</v>
      </c>
      <c r="Y39" s="55" t="e">
        <v>#N/A</v>
      </c>
      <c r="Z39" s="56" t="e">
        <f t="shared" si="13"/>
        <v>#N/A</v>
      </c>
      <c r="AA39" s="55" t="e">
        <v>#N/A</v>
      </c>
      <c r="AB39" s="55">
        <f t="shared" si="14"/>
        <v>0</v>
      </c>
      <c r="AC39" s="55">
        <v>0</v>
      </c>
      <c r="AD39" s="55">
        <v>0</v>
      </c>
      <c r="AE39" s="55">
        <v>0</v>
      </c>
      <c r="AF39" s="55" t="e">
        <v>#N/A</v>
      </c>
    </row>
    <row r="40" spans="1:32" s="57" customFormat="1" ht="15.75" customHeight="1">
      <c r="A40" s="2" t="s">
        <v>102</v>
      </c>
      <c r="B40" s="2"/>
      <c r="C40" s="51" t="s">
        <v>103</v>
      </c>
      <c r="D40" s="51">
        <v>0</v>
      </c>
      <c r="E40" s="51">
        <v>0</v>
      </c>
      <c r="F40" s="51">
        <v>0</v>
      </c>
      <c r="G40" s="51">
        <v>0</v>
      </c>
      <c r="H40" s="51" t="e">
        <v>#DIV/0!</v>
      </c>
      <c r="I40" s="51" t="e">
        <v>#DIV/0!</v>
      </c>
      <c r="J40" s="51">
        <v>0</v>
      </c>
      <c r="K40" s="51" t="e">
        <v>#DIV/0!</v>
      </c>
      <c r="L40" s="51">
        <v>0</v>
      </c>
      <c r="M40" s="51" t="s">
        <v>104</v>
      </c>
      <c r="N40" s="51">
        <v>0</v>
      </c>
      <c r="O40" s="51">
        <v>0</v>
      </c>
      <c r="P40" s="51">
        <v>0</v>
      </c>
      <c r="Q40" s="51" t="e">
        <v>#DIV/0!</v>
      </c>
      <c r="R40" s="55" t="s">
        <v>34</v>
      </c>
      <c r="S40" s="53" t="s">
        <v>34</v>
      </c>
      <c r="T40" s="54" t="s">
        <v>34</v>
      </c>
      <c r="U40" s="55">
        <v>0</v>
      </c>
      <c r="V40" s="55">
        <v>0</v>
      </c>
      <c r="W40" s="55">
        <v>0</v>
      </c>
      <c r="X40" s="55">
        <v>0</v>
      </c>
      <c r="Y40" s="55" t="e">
        <v>#N/A</v>
      </c>
      <c r="Z40" s="56" t="e">
        <v>#N/A</v>
      </c>
      <c r="AA40" s="55" t="e">
        <v>#N/A</v>
      </c>
      <c r="AB40" s="55">
        <v>0</v>
      </c>
      <c r="AC40" s="55">
        <v>0</v>
      </c>
      <c r="AD40" s="55">
        <v>0</v>
      </c>
      <c r="AE40" s="55">
        <v>0</v>
      </c>
      <c r="AF40" s="55" t="e">
        <v>#N/A</v>
      </c>
    </row>
    <row r="41" spans="1:32" s="57" customFormat="1" ht="15.75" customHeight="1">
      <c r="A41" s="2" t="s">
        <v>105</v>
      </c>
      <c r="B41" s="2"/>
      <c r="C41" s="51" t="str">
        <f t="shared" ref="C41:C56" si="26">IFERROR(F41/D41," - ")</f>
        <v xml:space="preserve"> - </v>
      </c>
      <c r="D41" s="51">
        <v>0</v>
      </c>
      <c r="E41" s="51">
        <v>0</v>
      </c>
      <c r="F41" s="51">
        <v>0</v>
      </c>
      <c r="G41" s="51">
        <v>0</v>
      </c>
      <c r="H41" s="51" t="e">
        <f t="shared" ref="H41:H56" si="27">G41/F41*-1</f>
        <v>#DIV/0!</v>
      </c>
      <c r="I41" s="51" t="e">
        <f t="shared" ref="I41:I56" si="28">J41/F41</f>
        <v>#DIV/0!</v>
      </c>
      <c r="J41" s="51">
        <f t="shared" ref="J41:J48" si="29">F41*0.85+G41+AD41*D41+D41*AC41+AE42+AB41</f>
        <v>0</v>
      </c>
      <c r="K41" s="51" t="e">
        <f t="shared" ref="K41:K56" si="30">J41/D41</f>
        <v>#DIV/0!</v>
      </c>
      <c r="L41" s="51">
        <v>0</v>
      </c>
      <c r="M41" s="51" t="str">
        <f t="shared" ref="M41:M56" si="31">IFERROR(D41/L41,"-")</f>
        <v>-</v>
      </c>
      <c r="N41" s="51">
        <v>0</v>
      </c>
      <c r="O41" s="51">
        <f t="shared" ref="O41:P41" si="32">D41/7</f>
        <v>0</v>
      </c>
      <c r="P41" s="51">
        <f t="shared" si="32"/>
        <v>0</v>
      </c>
      <c r="Q41" s="51" t="e">
        <f t="shared" ref="Q41:Q56" si="33">ROUNDDOWN(N41/(O41+P41),0)</f>
        <v>#DIV/0!</v>
      </c>
      <c r="R41" s="55" t="s">
        <v>34</v>
      </c>
      <c r="S41" s="53" t="s">
        <v>34</v>
      </c>
      <c r="T41" s="54" t="s">
        <v>34</v>
      </c>
      <c r="U41" s="55">
        <v>0</v>
      </c>
      <c r="V41" s="55">
        <f t="shared" ref="V41:V56" si="34">IFERROR(U41/D41,0)</f>
        <v>0</v>
      </c>
      <c r="W41" s="55">
        <f t="shared" ref="W41:W56" si="35">IFERROR(G41/(U41+X41)*-1,0)</f>
        <v>0</v>
      </c>
      <c r="X41" s="55">
        <v>0</v>
      </c>
      <c r="Y41" s="52" t="e">
        <v>#N/A</v>
      </c>
      <c r="Z41" s="56" t="e">
        <f t="shared" ref="Z41:Z43" si="36">IF(OR(Y41="UsLargeStandardSize",Y41="UsSmallStandardSize"),-0.75,-0.48)</f>
        <v>#N/A</v>
      </c>
      <c r="AA41" s="55" t="e">
        <v>#N/A</v>
      </c>
      <c r="AB41" s="55">
        <f t="shared" ref="AB41:AB56" si="37">IFERROR(Z41*AA41*D41*3,0)</f>
        <v>0</v>
      </c>
      <c r="AC41" s="55">
        <v>0</v>
      </c>
      <c r="AD41" s="55">
        <v>0</v>
      </c>
      <c r="AE41" s="55">
        <v>0</v>
      </c>
      <c r="AF41" s="55" t="e">
        <v>#N/A</v>
      </c>
    </row>
    <row r="42" spans="1:32" s="57" customFormat="1" ht="15.75" customHeight="1">
      <c r="A42" s="2" t="s">
        <v>106</v>
      </c>
      <c r="B42" s="2"/>
      <c r="C42" s="51" t="str">
        <f t="shared" si="26"/>
        <v xml:space="preserve"> - </v>
      </c>
      <c r="D42" s="51">
        <v>0</v>
      </c>
      <c r="E42" s="51">
        <v>0</v>
      </c>
      <c r="F42" s="51">
        <v>0</v>
      </c>
      <c r="G42" s="51">
        <v>0</v>
      </c>
      <c r="H42" s="51" t="e">
        <f t="shared" si="27"/>
        <v>#DIV/0!</v>
      </c>
      <c r="I42" s="51" t="e">
        <f t="shared" si="28"/>
        <v>#DIV/0!</v>
      </c>
      <c r="J42" s="51">
        <f t="shared" si="29"/>
        <v>0</v>
      </c>
      <c r="K42" s="51" t="e">
        <f t="shared" si="30"/>
        <v>#DIV/0!</v>
      </c>
      <c r="L42" s="51">
        <v>0</v>
      </c>
      <c r="M42" s="51" t="str">
        <f t="shared" si="31"/>
        <v>-</v>
      </c>
      <c r="N42" s="51">
        <v>0</v>
      </c>
      <c r="O42" s="51">
        <f t="shared" ref="O42:P42" si="38">D42/7</f>
        <v>0</v>
      </c>
      <c r="P42" s="51">
        <f t="shared" si="38"/>
        <v>0</v>
      </c>
      <c r="Q42" s="51" t="e">
        <f t="shared" si="33"/>
        <v>#DIV/0!</v>
      </c>
      <c r="R42" s="55" t="str">
        <f ca="1">IFERROR(__xludf.DUMMYFUNCTION("IFERROR(VLOOKUP($B$2,IMPORTRANGE(""https://docs.google.com/spreadsheets/d/1iVgg6Mw12RULLujzHmfOFIY8Q_KaAD8anoZzgtVAQ74/edit#gid=1503384807"",""Second Star - Summary!A1:AD2000""),9,FALSE),"""")"),"")</f>
        <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0</v>
      </c>
      <c r="V42" s="55">
        <f t="shared" si="34"/>
        <v>0</v>
      </c>
      <c r="W42" s="55">
        <f t="shared" si="35"/>
        <v>0</v>
      </c>
      <c r="X42" s="55">
        <v>0</v>
      </c>
      <c r="Y42" s="55" t="e">
        <v>#N/A</v>
      </c>
      <c r="Z42" s="56" t="e">
        <f t="shared" si="36"/>
        <v>#N/A</v>
      </c>
      <c r="AA42" s="55" t="e">
        <v>#N/A</v>
      </c>
      <c r="AB42" s="55">
        <f t="shared" si="37"/>
        <v>0</v>
      </c>
      <c r="AC42" s="55">
        <v>0</v>
      </c>
      <c r="AD42" s="55">
        <v>0</v>
      </c>
      <c r="AE42" s="55">
        <v>0</v>
      </c>
      <c r="AF42" s="55" t="e">
        <v>#N/A</v>
      </c>
    </row>
    <row r="43" spans="1:32" s="57" customFormat="1" ht="15.75" customHeight="1">
      <c r="A43" s="2" t="s">
        <v>107</v>
      </c>
      <c r="B43" s="2"/>
      <c r="C43" s="51" t="str">
        <f t="shared" si="26"/>
        <v xml:space="preserve"> - </v>
      </c>
      <c r="D43" s="51">
        <v>0</v>
      </c>
      <c r="E43" s="51">
        <v>0</v>
      </c>
      <c r="F43" s="51">
        <v>0</v>
      </c>
      <c r="G43" s="51">
        <v>0</v>
      </c>
      <c r="H43" s="51" t="e">
        <f t="shared" si="27"/>
        <v>#DIV/0!</v>
      </c>
      <c r="I43" s="51" t="e">
        <f t="shared" si="28"/>
        <v>#DIV/0!</v>
      </c>
      <c r="J43" s="51">
        <f t="shared" si="29"/>
        <v>0</v>
      </c>
      <c r="K43" s="51" t="e">
        <f t="shared" si="30"/>
        <v>#DIV/0!</v>
      </c>
      <c r="L43" s="51">
        <v>0</v>
      </c>
      <c r="M43" s="51" t="str">
        <f t="shared" si="31"/>
        <v>-</v>
      </c>
      <c r="N43" s="51">
        <v>0</v>
      </c>
      <c r="O43" s="51">
        <f t="shared" ref="O43:P43" si="39">D43/7</f>
        <v>0</v>
      </c>
      <c r="P43" s="51">
        <f t="shared" si="39"/>
        <v>0</v>
      </c>
      <c r="Q43" s="51" t="e">
        <f t="shared" si="33"/>
        <v>#DIV/0!</v>
      </c>
      <c r="R43" s="55" t="s">
        <v>34</v>
      </c>
      <c r="S43" s="53" t="s">
        <v>34</v>
      </c>
      <c r="T43" s="54" t="s">
        <v>34</v>
      </c>
      <c r="U43" s="55">
        <v>0</v>
      </c>
      <c r="V43" s="55">
        <f t="shared" si="34"/>
        <v>0</v>
      </c>
      <c r="W43" s="55">
        <f t="shared" si="35"/>
        <v>0</v>
      </c>
      <c r="X43" s="55">
        <v>0</v>
      </c>
      <c r="Y43" s="55" t="e">
        <v>#N/A</v>
      </c>
      <c r="Z43" s="56" t="e">
        <f t="shared" si="36"/>
        <v>#N/A</v>
      </c>
      <c r="AA43" s="55" t="e">
        <v>#N/A</v>
      </c>
      <c r="AB43" s="55">
        <f t="shared" si="37"/>
        <v>0</v>
      </c>
      <c r="AC43" s="55">
        <v>0</v>
      </c>
      <c r="AD43" s="55">
        <v>0</v>
      </c>
      <c r="AE43" s="55">
        <v>0</v>
      </c>
      <c r="AF43" s="55" t="e">
        <v>#N/A</v>
      </c>
    </row>
    <row r="44" spans="1:32" s="57" customFormat="1" ht="15.75" customHeight="1">
      <c r="A44" s="2" t="s">
        <v>108</v>
      </c>
      <c r="B44" s="2"/>
      <c r="C44" s="51" t="str">
        <f t="shared" si="26"/>
        <v xml:space="preserve"> - </v>
      </c>
      <c r="D44" s="51">
        <v>0</v>
      </c>
      <c r="E44" s="51">
        <v>0</v>
      </c>
      <c r="F44" s="51">
        <v>0</v>
      </c>
      <c r="G44" s="51">
        <v>0</v>
      </c>
      <c r="H44" s="51" t="e">
        <f t="shared" si="27"/>
        <v>#DIV/0!</v>
      </c>
      <c r="I44" s="51" t="e">
        <f t="shared" si="28"/>
        <v>#DIV/0!</v>
      </c>
      <c r="J44" s="51">
        <f t="shared" si="29"/>
        <v>0</v>
      </c>
      <c r="K44" s="51" t="e">
        <f t="shared" si="30"/>
        <v>#DIV/0!</v>
      </c>
      <c r="L44" s="51">
        <v>0</v>
      </c>
      <c r="M44" s="51" t="str">
        <f t="shared" si="31"/>
        <v>-</v>
      </c>
      <c r="N44" s="51">
        <v>0</v>
      </c>
      <c r="O44" s="51">
        <f t="shared" ref="O44:P44" si="40">D44/7</f>
        <v>0</v>
      </c>
      <c r="P44" s="51">
        <f t="shared" si="40"/>
        <v>0</v>
      </c>
      <c r="Q44" s="51" t="e">
        <f t="shared" si="33"/>
        <v>#DIV/0!</v>
      </c>
      <c r="R44" s="55" t="s">
        <v>34</v>
      </c>
      <c r="S44" s="53" t="s">
        <v>34</v>
      </c>
      <c r="T44" s="54" t="s">
        <v>34</v>
      </c>
      <c r="U44" s="55">
        <v>0</v>
      </c>
      <c r="V44" s="55">
        <f t="shared" si="34"/>
        <v>0</v>
      </c>
      <c r="W44" s="55">
        <f t="shared" si="35"/>
        <v>0</v>
      </c>
      <c r="X44" s="55">
        <v>0</v>
      </c>
      <c r="Y44" s="55" t="e">
        <v>#N/A</v>
      </c>
      <c r="Z44" s="56" t="e">
        <f t="shared" ref="Z44:Z56" si="41">IF(OR(Y44="UsLargeStandardSize",Y44="UsSmallStandardSize"),-2.4,-1.2)</f>
        <v>#N/A</v>
      </c>
      <c r="AA44" s="55" t="e">
        <v>#N/A</v>
      </c>
      <c r="AB44" s="55">
        <f t="shared" si="37"/>
        <v>0</v>
      </c>
      <c r="AC44" s="55">
        <v>0</v>
      </c>
      <c r="AD44" s="55">
        <v>0</v>
      </c>
      <c r="AE44" s="55">
        <v>0</v>
      </c>
      <c r="AF44" s="55" t="e">
        <v>#N/A</v>
      </c>
    </row>
    <row r="45" spans="1:32" s="57" customFormat="1" ht="15.75" customHeight="1">
      <c r="A45" s="2" t="s">
        <v>109</v>
      </c>
      <c r="B45" s="2"/>
      <c r="C45" s="51" t="str">
        <f t="shared" si="26"/>
        <v xml:space="preserve"> - </v>
      </c>
      <c r="D45" s="51">
        <v>0</v>
      </c>
      <c r="E45" s="51">
        <v>0</v>
      </c>
      <c r="F45" s="51">
        <v>0</v>
      </c>
      <c r="G45" s="51">
        <v>0</v>
      </c>
      <c r="H45" s="51" t="e">
        <f t="shared" si="27"/>
        <v>#DIV/0!</v>
      </c>
      <c r="I45" s="51" t="e">
        <f t="shared" si="28"/>
        <v>#DIV/0!</v>
      </c>
      <c r="J45" s="51">
        <f t="shared" si="29"/>
        <v>0</v>
      </c>
      <c r="K45" s="51" t="e">
        <f t="shared" si="30"/>
        <v>#DIV/0!</v>
      </c>
      <c r="L45" s="51">
        <v>0</v>
      </c>
      <c r="M45" s="51" t="str">
        <f t="shared" si="31"/>
        <v>-</v>
      </c>
      <c r="N45" s="51">
        <v>0</v>
      </c>
      <c r="O45" s="51">
        <f t="shared" ref="O45:P45" si="42">D45/7</f>
        <v>0</v>
      </c>
      <c r="P45" s="51">
        <f t="shared" si="42"/>
        <v>0</v>
      </c>
      <c r="Q45" s="51" t="e">
        <f t="shared" si="33"/>
        <v>#DIV/0!</v>
      </c>
      <c r="R45" s="55" t="s">
        <v>34</v>
      </c>
      <c r="S45" s="53" t="s">
        <v>34</v>
      </c>
      <c r="T45" s="54" t="s">
        <v>34</v>
      </c>
      <c r="U45" s="55">
        <v>0</v>
      </c>
      <c r="V45" s="55">
        <f t="shared" si="34"/>
        <v>0</v>
      </c>
      <c r="W45" s="55">
        <f t="shared" si="35"/>
        <v>0</v>
      </c>
      <c r="X45" s="55">
        <v>0</v>
      </c>
      <c r="Y45" s="55" t="e">
        <v>#N/A</v>
      </c>
      <c r="Z45" s="56" t="e">
        <f t="shared" si="41"/>
        <v>#N/A</v>
      </c>
      <c r="AA45" s="55" t="e">
        <v>#N/A</v>
      </c>
      <c r="AB45" s="55">
        <f t="shared" si="37"/>
        <v>0</v>
      </c>
      <c r="AC45" s="55">
        <v>0</v>
      </c>
      <c r="AD45" s="55">
        <v>0</v>
      </c>
      <c r="AE45" s="55">
        <v>0</v>
      </c>
      <c r="AF45" s="55" t="e">
        <v>#N/A</v>
      </c>
    </row>
    <row r="46" spans="1:32" s="57" customFormat="1" ht="15.75" customHeight="1">
      <c r="A46" s="2" t="s">
        <v>111</v>
      </c>
      <c r="B46" s="2"/>
      <c r="C46" s="51" t="str">
        <f t="shared" si="26"/>
        <v xml:space="preserve"> - </v>
      </c>
      <c r="D46" s="51">
        <v>0</v>
      </c>
      <c r="E46" s="51">
        <v>0</v>
      </c>
      <c r="F46" s="51">
        <v>0</v>
      </c>
      <c r="G46" s="51">
        <v>0</v>
      </c>
      <c r="H46" s="51" t="e">
        <f t="shared" si="27"/>
        <v>#DIV/0!</v>
      </c>
      <c r="I46" s="51" t="e">
        <f t="shared" si="28"/>
        <v>#DIV/0!</v>
      </c>
      <c r="J46" s="51">
        <f t="shared" si="29"/>
        <v>0</v>
      </c>
      <c r="K46" s="51" t="e">
        <f t="shared" si="30"/>
        <v>#DIV/0!</v>
      </c>
      <c r="L46" s="51">
        <v>0</v>
      </c>
      <c r="M46" s="51" t="str">
        <f t="shared" si="31"/>
        <v>-</v>
      </c>
      <c r="N46" s="51">
        <v>0</v>
      </c>
      <c r="O46" s="51">
        <f t="shared" ref="O46:P46" si="43">D46/7</f>
        <v>0</v>
      </c>
      <c r="P46" s="51">
        <f t="shared" si="43"/>
        <v>0</v>
      </c>
      <c r="Q46" s="51" t="e">
        <f t="shared" si="33"/>
        <v>#DIV/0!</v>
      </c>
      <c r="R46" s="55" t="s">
        <v>34</v>
      </c>
      <c r="S46" s="53" t="s">
        <v>34</v>
      </c>
      <c r="T46" s="54" t="s">
        <v>34</v>
      </c>
      <c r="U46" s="55">
        <v>0</v>
      </c>
      <c r="V46" s="55">
        <f t="shared" si="34"/>
        <v>0</v>
      </c>
      <c r="W46" s="55">
        <f t="shared" si="35"/>
        <v>0</v>
      </c>
      <c r="X46" s="55">
        <v>0</v>
      </c>
      <c r="Y46" s="55" t="e">
        <v>#N/A</v>
      </c>
      <c r="Z46" s="56" t="e">
        <f t="shared" si="41"/>
        <v>#N/A</v>
      </c>
      <c r="AA46" s="55" t="e">
        <v>#N/A</v>
      </c>
      <c r="AB46" s="55">
        <f t="shared" si="37"/>
        <v>0</v>
      </c>
      <c r="AC46" s="55">
        <v>0</v>
      </c>
      <c r="AD46" s="55">
        <v>0</v>
      </c>
      <c r="AE46" s="55">
        <v>0</v>
      </c>
      <c r="AF46" s="55" t="e">
        <v>#N/A</v>
      </c>
    </row>
    <row r="47" spans="1:32" s="57" customFormat="1" ht="15.75" customHeight="1">
      <c r="A47" s="2" t="s">
        <v>113</v>
      </c>
      <c r="B47" s="2"/>
      <c r="C47" s="51" t="str">
        <f t="shared" si="26"/>
        <v xml:space="preserve"> - </v>
      </c>
      <c r="D47" s="51">
        <v>0</v>
      </c>
      <c r="E47" s="51">
        <v>0</v>
      </c>
      <c r="F47" s="51">
        <v>0</v>
      </c>
      <c r="G47" s="51">
        <v>0</v>
      </c>
      <c r="H47" s="51" t="e">
        <f t="shared" si="27"/>
        <v>#DIV/0!</v>
      </c>
      <c r="I47" s="51" t="e">
        <f t="shared" si="28"/>
        <v>#N/A</v>
      </c>
      <c r="J47" s="51" t="e">
        <f t="shared" si="29"/>
        <v>#N/A</v>
      </c>
      <c r="K47" s="51" t="e">
        <f t="shared" si="30"/>
        <v>#N/A</v>
      </c>
      <c r="L47" s="51">
        <v>0</v>
      </c>
      <c r="M47" s="51" t="str">
        <f t="shared" si="31"/>
        <v>-</v>
      </c>
      <c r="N47" s="51">
        <v>0</v>
      </c>
      <c r="O47" s="51">
        <f t="shared" ref="O47:P47" si="44">D47/7</f>
        <v>0</v>
      </c>
      <c r="P47" s="51">
        <f t="shared" si="44"/>
        <v>0</v>
      </c>
      <c r="Q47" s="51" t="e">
        <f t="shared" si="33"/>
        <v>#DIV/0!</v>
      </c>
      <c r="R47" s="55" t="s">
        <v>34</v>
      </c>
      <c r="S47" s="53" t="s">
        <v>34</v>
      </c>
      <c r="T47" s="54" t="s">
        <v>34</v>
      </c>
      <c r="U47" s="55">
        <v>0</v>
      </c>
      <c r="V47" s="55">
        <f t="shared" si="34"/>
        <v>0</v>
      </c>
      <c r="W47" s="55">
        <f t="shared" si="35"/>
        <v>0</v>
      </c>
      <c r="X47" s="55">
        <v>0</v>
      </c>
      <c r="Y47" s="55" t="e">
        <v>#N/A</v>
      </c>
      <c r="Z47" s="56" t="e">
        <f t="shared" si="41"/>
        <v>#N/A</v>
      </c>
      <c r="AA47" s="55" t="e">
        <v>#N/A</v>
      </c>
      <c r="AB47" s="55">
        <f t="shared" si="37"/>
        <v>0</v>
      </c>
      <c r="AC47" s="55">
        <v>0</v>
      </c>
      <c r="AD47" s="55" t="e">
        <v>#N/A</v>
      </c>
      <c r="AE47" s="55">
        <v>0</v>
      </c>
      <c r="AF47" s="55" t="e">
        <v>#N/A</v>
      </c>
    </row>
    <row r="48" spans="1:32" s="57" customFormat="1" ht="15.75" customHeight="1">
      <c r="A48" s="2" t="s">
        <v>115</v>
      </c>
      <c r="B48" s="2"/>
      <c r="C48" s="51" t="str">
        <f t="shared" si="26"/>
        <v xml:space="preserve"> - </v>
      </c>
      <c r="D48" s="51">
        <v>0</v>
      </c>
      <c r="E48" s="51">
        <v>0</v>
      </c>
      <c r="F48" s="51">
        <v>0</v>
      </c>
      <c r="G48" s="51">
        <v>0</v>
      </c>
      <c r="H48" s="51" t="e">
        <f t="shared" si="27"/>
        <v>#DIV/0!</v>
      </c>
      <c r="I48" s="51" t="e">
        <f t="shared" si="28"/>
        <v>#N/A</v>
      </c>
      <c r="J48" s="51" t="e">
        <f t="shared" si="29"/>
        <v>#N/A</v>
      </c>
      <c r="K48" s="51" t="e">
        <f t="shared" si="30"/>
        <v>#N/A</v>
      </c>
      <c r="L48" s="51">
        <v>0</v>
      </c>
      <c r="M48" s="51" t="str">
        <f t="shared" si="31"/>
        <v>-</v>
      </c>
      <c r="N48" s="51">
        <v>0</v>
      </c>
      <c r="O48" s="51">
        <f t="shared" ref="O48:P48" si="45">D48/7</f>
        <v>0</v>
      </c>
      <c r="P48" s="51">
        <f t="shared" si="45"/>
        <v>0</v>
      </c>
      <c r="Q48" s="51" t="e">
        <f t="shared" si="33"/>
        <v>#DIV/0!</v>
      </c>
      <c r="R48" s="55" t="str">
        <f ca="1">IFERROR(__xludf.DUMMYFUNCTION("IFERROR(VLOOKUP($B$2,IMPORTRANGE(""https://docs.google.com/spreadsheets/d/1iVgg6Mw12RULLujzHmfOFIY8Q_KaAD8anoZzgtVAQ74/edit#gid=1503384807"",""Second Star - Summary!A1:AD2000""),9,FALSE),"""")"),"")</f>
        <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si="34"/>
        <v>0</v>
      </c>
      <c r="W48" s="55">
        <f t="shared" si="35"/>
        <v>0</v>
      </c>
      <c r="X48" s="55">
        <v>0</v>
      </c>
      <c r="Y48" s="55" t="e">
        <v>#N/A</v>
      </c>
      <c r="Z48" s="56" t="e">
        <f t="shared" si="41"/>
        <v>#N/A</v>
      </c>
      <c r="AA48" s="55" t="e">
        <v>#N/A</v>
      </c>
      <c r="AB48" s="55">
        <f t="shared" si="37"/>
        <v>0</v>
      </c>
      <c r="AC48" s="55">
        <v>0</v>
      </c>
      <c r="AD48" s="55" t="e">
        <v>#N/A</v>
      </c>
      <c r="AE48" s="55">
        <v>0</v>
      </c>
      <c r="AF48" s="55" t="e">
        <v>#N/A</v>
      </c>
    </row>
    <row r="49" spans="1:32" s="57" customFormat="1" ht="15.75" customHeight="1">
      <c r="A49" s="2" t="s">
        <v>117</v>
      </c>
      <c r="B49" s="2"/>
      <c r="C49" s="51" t="str">
        <f t="shared" si="26"/>
        <v xml:space="preserve"> - </v>
      </c>
      <c r="D49" s="51">
        <v>0</v>
      </c>
      <c r="E49" s="51">
        <v>0</v>
      </c>
      <c r="F49" s="51">
        <v>0</v>
      </c>
      <c r="G49" s="51">
        <v>0</v>
      </c>
      <c r="H49" s="51" t="e">
        <f t="shared" si="27"/>
        <v>#DIV/0!</v>
      </c>
      <c r="I49" s="51" t="e">
        <f t="shared" si="28"/>
        <v>#N/A</v>
      </c>
      <c r="J49" s="51" t="e">
        <f t="shared" ref="J49:J56" si="46">F49*0.85+G49+AD49*D49+D49*AC49+AE49+AB49</f>
        <v>#N/A</v>
      </c>
      <c r="K49" s="51" t="e">
        <f t="shared" si="30"/>
        <v>#N/A</v>
      </c>
      <c r="L49" s="51">
        <v>0</v>
      </c>
      <c r="M49" s="51" t="str">
        <f t="shared" si="31"/>
        <v>-</v>
      </c>
      <c r="N49" s="51">
        <v>0</v>
      </c>
      <c r="O49" s="51">
        <f t="shared" ref="O49:P49" si="47">D49/7</f>
        <v>0</v>
      </c>
      <c r="P49" s="51">
        <f t="shared" si="47"/>
        <v>0</v>
      </c>
      <c r="Q49" s="51" t="e">
        <f t="shared" si="33"/>
        <v>#DIV/0!</v>
      </c>
      <c r="R49" s="55" t="str">
        <f ca="1">IFERROR(__xludf.DUMMYFUNCTION("IFERROR(VLOOKUP($B$2,IMPORTRANGE(""https://docs.google.com/spreadsheets/d/1iVgg6Mw12RULLujzHmfOFIY8Q_KaAD8anoZzgtVAQ74/edit#gid=1503384807"",""Second Star - Summary!A1:AD2000""),9,FALSE),"""")"),"")</f>
        <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34"/>
        <v>0</v>
      </c>
      <c r="W49" s="55">
        <f t="shared" si="35"/>
        <v>0</v>
      </c>
      <c r="X49" s="55">
        <v>0</v>
      </c>
      <c r="Y49" s="55" t="e">
        <v>#N/A</v>
      </c>
      <c r="Z49" s="56" t="e">
        <f t="shared" si="41"/>
        <v>#N/A</v>
      </c>
      <c r="AA49" s="55" t="e">
        <v>#N/A</v>
      </c>
      <c r="AB49" s="55">
        <f t="shared" si="37"/>
        <v>0</v>
      </c>
      <c r="AC49" s="55" t="e">
        <v>#N/A</v>
      </c>
      <c r="AD49" s="55" t="e">
        <v>#N/A</v>
      </c>
      <c r="AE49" s="55">
        <v>0</v>
      </c>
      <c r="AF49" s="55" t="e">
        <v>#N/A</v>
      </c>
    </row>
    <row r="50" spans="1:32" s="57" customFormat="1" ht="15.75" customHeight="1">
      <c r="A50" s="2" t="s">
        <v>119</v>
      </c>
      <c r="B50" s="2"/>
      <c r="C50" s="51" t="str">
        <f t="shared" si="26"/>
        <v xml:space="preserve"> - </v>
      </c>
      <c r="D50" s="51">
        <v>0</v>
      </c>
      <c r="E50" s="51">
        <v>0</v>
      </c>
      <c r="F50" s="51">
        <v>0</v>
      </c>
      <c r="G50" s="51">
        <v>0</v>
      </c>
      <c r="H50" s="51" t="e">
        <f t="shared" si="27"/>
        <v>#DIV/0!</v>
      </c>
      <c r="I50" s="51" t="e">
        <f t="shared" si="28"/>
        <v>#N/A</v>
      </c>
      <c r="J50" s="51" t="e">
        <f t="shared" si="46"/>
        <v>#N/A</v>
      </c>
      <c r="K50" s="51" t="e">
        <f t="shared" si="30"/>
        <v>#N/A</v>
      </c>
      <c r="L50" s="51">
        <v>0</v>
      </c>
      <c r="M50" s="51" t="str">
        <f t="shared" si="31"/>
        <v>-</v>
      </c>
      <c r="N50" s="51">
        <v>0</v>
      </c>
      <c r="O50" s="51">
        <f t="shared" ref="O50:P50" si="48">D50/7</f>
        <v>0</v>
      </c>
      <c r="P50" s="51">
        <f t="shared" si="48"/>
        <v>0</v>
      </c>
      <c r="Q50" s="51" t="e">
        <f t="shared" si="33"/>
        <v>#DIV/0!</v>
      </c>
      <c r="R50" s="55" t="str">
        <f ca="1">IFERROR(__xludf.DUMMYFUNCTION("IFERROR(VLOOKUP($B$2,IMPORTRANGE(""https://docs.google.com/spreadsheets/d/1iVgg6Mw12RULLujzHmfOFIY8Q_KaAD8anoZzgtVAQ74/edit#gid=1503384807"",""Second Star - Summary!A1:AD2000""),9,FALSE),"""")"),"")</f>
        <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34"/>
        <v>0</v>
      </c>
      <c r="W50" s="55">
        <f t="shared" si="35"/>
        <v>0</v>
      </c>
      <c r="X50" s="55">
        <v>0</v>
      </c>
      <c r="Y50" s="55" t="e">
        <v>#N/A</v>
      </c>
      <c r="Z50" s="56" t="e">
        <f t="shared" si="41"/>
        <v>#N/A</v>
      </c>
      <c r="AA50" s="55" t="e">
        <v>#N/A</v>
      </c>
      <c r="AB50" s="55">
        <f t="shared" si="37"/>
        <v>0</v>
      </c>
      <c r="AC50" s="55">
        <v>0</v>
      </c>
      <c r="AD50" s="55" t="e">
        <v>#N/A</v>
      </c>
      <c r="AE50" s="55">
        <v>0</v>
      </c>
      <c r="AF50" s="55" t="e">
        <v>#N/A</v>
      </c>
    </row>
    <row r="51" spans="1:32" s="57" customFormat="1" ht="15.75" customHeight="1">
      <c r="A51" s="2" t="s">
        <v>121</v>
      </c>
      <c r="B51" s="2"/>
      <c r="C51" s="51" t="str">
        <f t="shared" si="26"/>
        <v xml:space="preserve"> - </v>
      </c>
      <c r="D51" s="51">
        <v>0</v>
      </c>
      <c r="E51" s="51">
        <v>0</v>
      </c>
      <c r="F51" s="51">
        <v>0</v>
      </c>
      <c r="G51" s="51">
        <v>0</v>
      </c>
      <c r="H51" s="51" t="e">
        <f t="shared" si="27"/>
        <v>#DIV/0!</v>
      </c>
      <c r="I51" s="51" t="e">
        <f t="shared" si="28"/>
        <v>#N/A</v>
      </c>
      <c r="J51" s="51" t="e">
        <f t="shared" si="46"/>
        <v>#N/A</v>
      </c>
      <c r="K51" s="51" t="e">
        <f t="shared" si="30"/>
        <v>#N/A</v>
      </c>
      <c r="L51" s="51">
        <v>0</v>
      </c>
      <c r="M51" s="51" t="str">
        <f t="shared" si="31"/>
        <v>-</v>
      </c>
      <c r="N51" s="51">
        <v>0</v>
      </c>
      <c r="O51" s="51">
        <f t="shared" ref="O51:P51" si="49">D51/7</f>
        <v>0</v>
      </c>
      <c r="P51" s="51">
        <f t="shared" si="49"/>
        <v>0</v>
      </c>
      <c r="Q51" s="51" t="e">
        <f t="shared" si="33"/>
        <v>#DIV/0!</v>
      </c>
      <c r="R51" s="55" t="str">
        <f ca="1">IFERROR(__xludf.DUMMYFUNCTION("IFERROR(VLOOKUP($B$2,IMPORTRANGE(""https://docs.google.com/spreadsheets/d/1iVgg6Mw12RULLujzHmfOFIY8Q_KaAD8anoZzgtVAQ74/edit#gid=1503384807"",""Second Star - Summary!A1:AD2000""),9,FALSE),"""")"),"")</f>
        <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34"/>
        <v>0</v>
      </c>
      <c r="W51" s="55">
        <f t="shared" si="35"/>
        <v>0</v>
      </c>
      <c r="X51" s="55">
        <v>0</v>
      </c>
      <c r="Y51" s="55" t="e">
        <v>#N/A</v>
      </c>
      <c r="Z51" s="56" t="e">
        <f t="shared" si="41"/>
        <v>#N/A</v>
      </c>
      <c r="AA51" s="55" t="e">
        <v>#N/A</v>
      </c>
      <c r="AB51" s="55">
        <f t="shared" si="37"/>
        <v>0</v>
      </c>
      <c r="AC51" s="55">
        <v>0</v>
      </c>
      <c r="AD51" s="55" t="e">
        <v>#N/A</v>
      </c>
      <c r="AE51" s="55">
        <v>0</v>
      </c>
      <c r="AF51" s="55" t="e">
        <v>#N/A</v>
      </c>
    </row>
    <row r="52" spans="1:32" s="57" customFormat="1" ht="15.75" customHeight="1">
      <c r="A52" s="2" t="s">
        <v>123</v>
      </c>
      <c r="B52" s="2"/>
      <c r="C52" s="51" t="str">
        <f t="shared" si="26"/>
        <v xml:space="preserve"> - </v>
      </c>
      <c r="D52" s="51">
        <v>0</v>
      </c>
      <c r="E52" s="51">
        <v>0</v>
      </c>
      <c r="F52" s="51">
        <v>0</v>
      </c>
      <c r="G52" s="51">
        <v>0</v>
      </c>
      <c r="H52" s="51" t="e">
        <f t="shared" si="27"/>
        <v>#DIV/0!</v>
      </c>
      <c r="I52" s="51" t="e">
        <f t="shared" si="28"/>
        <v>#N/A</v>
      </c>
      <c r="J52" s="51" t="e">
        <f t="shared" si="46"/>
        <v>#N/A</v>
      </c>
      <c r="K52" s="51" t="e">
        <f t="shared" si="30"/>
        <v>#N/A</v>
      </c>
      <c r="L52" s="51">
        <v>0</v>
      </c>
      <c r="M52" s="51" t="str">
        <f t="shared" si="31"/>
        <v>-</v>
      </c>
      <c r="N52" s="51">
        <v>0</v>
      </c>
      <c r="O52" s="51">
        <f t="shared" ref="O52:P52" si="50">D52/7</f>
        <v>0</v>
      </c>
      <c r="P52" s="51">
        <f t="shared" si="50"/>
        <v>0</v>
      </c>
      <c r="Q52" s="51" t="e">
        <f t="shared" si="33"/>
        <v>#DIV/0!</v>
      </c>
      <c r="R52" s="55" t="str">
        <f ca="1">IFERROR(__xludf.DUMMYFUNCTION("IFERROR(VLOOKUP($B$2,IMPORTRANGE(""https://docs.google.com/spreadsheets/d/1iVgg6Mw12RULLujzHmfOFIY8Q_KaAD8anoZzgtVAQ74/edit#gid=1503384807"",""Second Star - Summary!A1:AD2000""),9,FALSE),"""")"),"")</f>
        <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34"/>
        <v>0</v>
      </c>
      <c r="W52" s="55">
        <f t="shared" si="35"/>
        <v>0</v>
      </c>
      <c r="X52" s="55">
        <v>0</v>
      </c>
      <c r="Y52" s="55" t="e">
        <v>#N/A</v>
      </c>
      <c r="Z52" s="56" t="e">
        <f t="shared" si="41"/>
        <v>#N/A</v>
      </c>
      <c r="AA52" s="55" t="e">
        <v>#N/A</v>
      </c>
      <c r="AB52" s="55">
        <f t="shared" si="37"/>
        <v>0</v>
      </c>
      <c r="AC52" s="55">
        <v>0</v>
      </c>
      <c r="AD52" s="55" t="e">
        <v>#N/A</v>
      </c>
      <c r="AE52" s="55">
        <v>0</v>
      </c>
      <c r="AF52" s="55">
        <v>0</v>
      </c>
    </row>
    <row r="53" spans="1:32" s="57" customFormat="1">
      <c r="A53" s="2" t="s">
        <v>38</v>
      </c>
      <c r="B53" s="2"/>
      <c r="C53" s="51" t="str">
        <f t="shared" si="26"/>
        <v xml:space="preserve"> - </v>
      </c>
      <c r="D53" s="51">
        <v>0</v>
      </c>
      <c r="E53" s="51">
        <v>0</v>
      </c>
      <c r="F53" s="51">
        <v>0</v>
      </c>
      <c r="G53" s="51">
        <v>0</v>
      </c>
      <c r="H53" s="51" t="e">
        <f t="shared" si="27"/>
        <v>#DIV/0!</v>
      </c>
      <c r="I53" s="51" t="e">
        <f t="shared" si="28"/>
        <v>#DIV/0!</v>
      </c>
      <c r="J53" s="51">
        <f t="shared" si="46"/>
        <v>0</v>
      </c>
      <c r="K53" s="51" t="e">
        <f t="shared" si="30"/>
        <v>#DIV/0!</v>
      </c>
      <c r="L53" s="51">
        <v>0</v>
      </c>
      <c r="M53" s="51" t="str">
        <f t="shared" si="31"/>
        <v>-</v>
      </c>
      <c r="N53" s="51">
        <v>0</v>
      </c>
      <c r="O53" s="51">
        <f t="shared" ref="O53:P53" si="51">D53/7</f>
        <v>0</v>
      </c>
      <c r="P53" s="51">
        <f t="shared" si="51"/>
        <v>0</v>
      </c>
      <c r="Q53" s="51" t="e">
        <f t="shared" si="33"/>
        <v>#DIV/0!</v>
      </c>
      <c r="R53" s="55" t="str">
        <f ca="1">IFERROR(__xludf.DUMMYFUNCTION("IFERROR(VLOOKUP($B$2,IMPORTRANGE(""https://docs.google.com/spreadsheets/d/1iVgg6Mw12RULLujzHmfOFIY8Q_KaAD8anoZzgtVAQ74/edit#gid=1503384807"",""Second Star - Summary!A1:AD2000""),9,FALSE),"""")"),"")</f>
        <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34"/>
        <v>0</v>
      </c>
      <c r="W53" s="55">
        <f t="shared" si="35"/>
        <v>0</v>
      </c>
      <c r="X53" s="55">
        <v>0</v>
      </c>
      <c r="Y53" s="55" t="e">
        <v>#N/A</v>
      </c>
      <c r="Z53" s="56" t="e">
        <f t="shared" si="41"/>
        <v>#N/A</v>
      </c>
      <c r="AA53" s="55" t="e">
        <v>#N/A</v>
      </c>
      <c r="AB53" s="55">
        <f t="shared" si="37"/>
        <v>0</v>
      </c>
      <c r="AC53" s="55">
        <v>0</v>
      </c>
      <c r="AD53" s="55">
        <v>0</v>
      </c>
      <c r="AE53" s="55">
        <v>0</v>
      </c>
      <c r="AF53" s="55">
        <v>0</v>
      </c>
    </row>
    <row r="54" spans="1:32" s="57" customFormat="1">
      <c r="A54" s="2" t="s">
        <v>40</v>
      </c>
      <c r="B54" s="2"/>
      <c r="C54" s="51" t="str">
        <f t="shared" si="26"/>
        <v xml:space="preserve"> - </v>
      </c>
      <c r="D54" s="51">
        <v>0</v>
      </c>
      <c r="E54" s="51">
        <v>0</v>
      </c>
      <c r="F54" s="51">
        <v>0</v>
      </c>
      <c r="G54" s="51">
        <v>0</v>
      </c>
      <c r="H54" s="51" t="e">
        <f t="shared" si="27"/>
        <v>#DIV/0!</v>
      </c>
      <c r="I54" s="51" t="e">
        <f t="shared" si="28"/>
        <v>#DIV/0!</v>
      </c>
      <c r="J54" s="51">
        <f t="shared" si="46"/>
        <v>0</v>
      </c>
      <c r="K54" s="51" t="e">
        <f t="shared" si="30"/>
        <v>#DIV/0!</v>
      </c>
      <c r="L54" s="51">
        <v>0</v>
      </c>
      <c r="M54" s="51" t="str">
        <f t="shared" si="31"/>
        <v>-</v>
      </c>
      <c r="N54" s="51">
        <v>0</v>
      </c>
      <c r="O54" s="51">
        <f t="shared" ref="O54:P54" si="52">D54/7</f>
        <v>0</v>
      </c>
      <c r="P54" s="51">
        <f t="shared" si="52"/>
        <v>0</v>
      </c>
      <c r="Q54" s="51" t="e">
        <f t="shared" si="33"/>
        <v>#DIV/0!</v>
      </c>
      <c r="R54" s="55" t="str">
        <f ca="1">IFERROR(__xludf.DUMMYFUNCTION("IFERROR(VLOOKUP($B$2,IMPORTRANGE(""https://docs.google.com/spreadsheets/d/1iVgg6Mw12RULLujzHmfOFIY8Q_KaAD8anoZzgtVAQ74/edit#gid=1503384807"",""Second Star - Summary!A1:AD2000""),9,FALSE),"""")"),"")</f>
        <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34"/>
        <v>0</v>
      </c>
      <c r="W54" s="55">
        <f t="shared" si="35"/>
        <v>0</v>
      </c>
      <c r="X54" s="55">
        <v>0</v>
      </c>
      <c r="Y54" s="55" t="e">
        <v>#N/A</v>
      </c>
      <c r="Z54" s="56" t="e">
        <f t="shared" si="41"/>
        <v>#N/A</v>
      </c>
      <c r="AA54" s="55" t="e">
        <v>#N/A</v>
      </c>
      <c r="AB54" s="55">
        <f t="shared" si="37"/>
        <v>0</v>
      </c>
      <c r="AC54" s="55">
        <v>0</v>
      </c>
      <c r="AD54" s="55">
        <v>0</v>
      </c>
      <c r="AE54" s="55">
        <v>0</v>
      </c>
      <c r="AF54" s="55">
        <v>0</v>
      </c>
    </row>
    <row r="55" spans="1:32" s="57" customFormat="1" ht="15.75" customHeight="1">
      <c r="A55" s="2" t="s">
        <v>32</v>
      </c>
      <c r="B55" s="2"/>
      <c r="C55" s="51" t="str">
        <f t="shared" si="26"/>
        <v xml:space="preserve"> - </v>
      </c>
      <c r="D55" s="51">
        <v>0</v>
      </c>
      <c r="E55" s="51">
        <v>0</v>
      </c>
      <c r="F55" s="51">
        <v>0</v>
      </c>
      <c r="G55" s="51">
        <v>0</v>
      </c>
      <c r="H55" s="51" t="e">
        <f t="shared" si="27"/>
        <v>#DIV/0!</v>
      </c>
      <c r="I55" s="51" t="e">
        <f t="shared" si="28"/>
        <v>#N/A</v>
      </c>
      <c r="J55" s="51" t="e">
        <f t="shared" si="46"/>
        <v>#N/A</v>
      </c>
      <c r="K55" s="51" t="e">
        <f t="shared" si="30"/>
        <v>#N/A</v>
      </c>
      <c r="L55" s="51">
        <v>0</v>
      </c>
      <c r="M55" s="51" t="str">
        <f t="shared" si="31"/>
        <v>-</v>
      </c>
      <c r="N55" s="51">
        <v>0</v>
      </c>
      <c r="O55" s="51">
        <f t="shared" ref="O55:P55" si="53">D55/7</f>
        <v>0</v>
      </c>
      <c r="P55" s="51">
        <f t="shared" si="53"/>
        <v>0</v>
      </c>
      <c r="Q55" s="51" t="e">
        <f t="shared" si="33"/>
        <v>#DIV/0!</v>
      </c>
      <c r="R55" s="55" t="s">
        <v>34</v>
      </c>
      <c r="S55" s="53" t="s">
        <v>34</v>
      </c>
      <c r="T55" s="54" t="s">
        <v>34</v>
      </c>
      <c r="U55" s="55">
        <v>0</v>
      </c>
      <c r="V55" s="55">
        <f t="shared" si="34"/>
        <v>0</v>
      </c>
      <c r="W55" s="55">
        <f t="shared" si="35"/>
        <v>0</v>
      </c>
      <c r="X55" s="55">
        <v>0</v>
      </c>
      <c r="Y55" s="55" t="e">
        <v>#N/A</v>
      </c>
      <c r="Z55" s="56" t="e">
        <f t="shared" si="41"/>
        <v>#N/A</v>
      </c>
      <c r="AA55" s="55" t="e">
        <v>#N/A</v>
      </c>
      <c r="AB55" s="55">
        <f t="shared" si="37"/>
        <v>0</v>
      </c>
      <c r="AC55" s="55">
        <v>0</v>
      </c>
      <c r="AD55" s="55" t="e">
        <v>#N/A</v>
      </c>
      <c r="AE55" s="55">
        <v>0</v>
      </c>
      <c r="AF55" s="55" t="e">
        <v>#N/A</v>
      </c>
    </row>
    <row r="56" spans="1:32" s="57" customFormat="1" ht="15.75" customHeight="1">
      <c r="A56" s="2" t="s">
        <v>36</v>
      </c>
      <c r="B56" s="2"/>
      <c r="C56" s="51" t="str">
        <f t="shared" si="26"/>
        <v xml:space="preserve"> - </v>
      </c>
      <c r="D56" s="51">
        <v>0</v>
      </c>
      <c r="E56" s="51">
        <v>0</v>
      </c>
      <c r="F56" s="51">
        <v>0</v>
      </c>
      <c r="G56" s="51">
        <v>0</v>
      </c>
      <c r="H56" s="51" t="e">
        <f t="shared" si="27"/>
        <v>#DIV/0!</v>
      </c>
      <c r="I56" s="51" t="e">
        <f t="shared" si="28"/>
        <v>#N/A</v>
      </c>
      <c r="J56" s="51" t="e">
        <f t="shared" si="46"/>
        <v>#N/A</v>
      </c>
      <c r="K56" s="51" t="e">
        <f t="shared" si="30"/>
        <v>#N/A</v>
      </c>
      <c r="L56" s="51">
        <v>0</v>
      </c>
      <c r="M56" s="51" t="str">
        <f t="shared" si="31"/>
        <v>-</v>
      </c>
      <c r="N56" s="51">
        <v>0</v>
      </c>
      <c r="O56" s="51">
        <f t="shared" ref="O56:P56" si="54">D56/7</f>
        <v>0</v>
      </c>
      <c r="P56" s="51">
        <f t="shared" si="54"/>
        <v>0</v>
      </c>
      <c r="Q56" s="51" t="e">
        <f t="shared" si="33"/>
        <v>#DIV/0!</v>
      </c>
      <c r="R56" s="55" t="str">
        <f ca="1">IFERROR(__xludf.DUMMYFUNCTION("IFERROR(VLOOKUP($B$2,IMPORTRANGE(""https://docs.google.com/spreadsheets/d/1iVgg6Mw12RULLujzHmfOFIY8Q_KaAD8anoZzgtVAQ74/edit#gid=1503384807"",""Second Star - Summary!A1:AD2000""),9,FALSE),"""")"),"")</f>
        <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34"/>
        <v>0</v>
      </c>
      <c r="W56" s="55">
        <f t="shared" si="35"/>
        <v>0</v>
      </c>
      <c r="X56" s="55">
        <v>0</v>
      </c>
      <c r="Y56" s="55" t="e">
        <v>#N/A</v>
      </c>
      <c r="Z56" s="56" t="e">
        <f t="shared" si="41"/>
        <v>#N/A</v>
      </c>
      <c r="AA56" s="55" t="e">
        <v>#N/A</v>
      </c>
      <c r="AB56" s="55">
        <f t="shared" si="37"/>
        <v>0</v>
      </c>
      <c r="AC56" s="55">
        <v>0</v>
      </c>
      <c r="AD56" s="55" t="e">
        <v>#N/A</v>
      </c>
      <c r="AE56" s="55">
        <v>0</v>
      </c>
      <c r="AF56" s="55" t="e">
        <v>#N/A</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3"/>
    </row>
    <row r="222" spans="1:3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3"/>
    </row>
    <row r="223" spans="1:32"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3"/>
    </row>
    <row r="224" spans="1:32"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3"/>
    </row>
    <row r="225" spans="1:32"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3"/>
    </row>
    <row r="226" spans="1:32"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3"/>
    </row>
    <row r="227" spans="1:32"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3"/>
    </row>
    <row r="228" spans="1:32"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3"/>
    </row>
    <row r="229" spans="1:32"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3"/>
    </row>
    <row r="230" spans="1:32" ht="15.75" customHeight="1">
      <c r="AF230" s="23"/>
    </row>
    <row r="231" spans="1:32" ht="15.75" customHeight="1">
      <c r="AF231" s="23"/>
    </row>
    <row r="232" spans="1:32" ht="15.75" customHeight="1">
      <c r="AF232" s="23"/>
    </row>
    <row r="233" spans="1:32" ht="15.75" customHeight="1">
      <c r="AF233" s="23"/>
    </row>
    <row r="234" spans="1:32" ht="15.75" customHeight="1">
      <c r="AF234" s="23"/>
    </row>
    <row r="235" spans="1:32" ht="15.75" customHeight="1">
      <c r="AF235" s="23"/>
    </row>
    <row r="236" spans="1:32" ht="15.75" customHeight="1">
      <c r="AF236" s="23"/>
    </row>
    <row r="237" spans="1:32" ht="15.75" customHeight="1">
      <c r="AF237" s="23"/>
    </row>
    <row r="238" spans="1:32" ht="15.75" customHeight="1">
      <c r="AF238" s="23"/>
    </row>
    <row r="239" spans="1:32" ht="15.75" customHeight="1"/>
    <row r="240" spans="1: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194" priority="1" operator="lessThan">
      <formula>100</formula>
    </cfRule>
  </conditionalFormatting>
  <conditionalFormatting sqref="Q1:Q3 Q57:Q1000">
    <cfRule type="cellIs" dxfId="193" priority="2" operator="lessThan">
      <formula>100</formula>
    </cfRule>
  </conditionalFormatting>
  <conditionalFormatting sqref="I1:I3 I57:I1000">
    <cfRule type="cellIs" dxfId="192" priority="3" operator="lessThan">
      <formula>0.05</formula>
    </cfRule>
  </conditionalFormatting>
  <conditionalFormatting sqref="I4:I17">
    <cfRule type="cellIs" dxfId="191" priority="4" operator="lessThan">
      <formula>0.05</formula>
    </cfRule>
  </conditionalFormatting>
  <conditionalFormatting sqref="I18:I56">
    <cfRule type="cellIs" dxfId="190" priority="5" operator="lessThan">
      <formula>0.05</formula>
    </cfRule>
  </conditionalFormatting>
  <conditionalFormatting sqref="Q4:Q56">
    <cfRule type="cellIs" dxfId="189" priority="6" operator="lessThan">
      <formula>100</formula>
    </cfRule>
  </conditionalFormatting>
  <conditionalFormatting sqref="Q4:Q56">
    <cfRule type="cellIs" dxfId="188" priority="7" operator="lessThan">
      <formula>100</formula>
    </cfRule>
  </conditionalFormatting>
  <pageMargins left="0.7" right="0.7" top="0.75" bottom="0.75" header="0" footer="0"/>
  <pageSetup orientation="portrait"/>
  <legacy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20"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f>
        <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f>
        <v/>
      </c>
      <c r="B2" s="4" t="s">
        <v>942</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Info!B1:BJ5000""),38,FALSE),"""")*100)"),"#N/A")</f>
        <v>#N/A</v>
      </c>
      <c r="C3" s="7" t="e">
        <f>((AC56+AD56/0.85)*-1)</f>
        <v>#VALUE!</v>
      </c>
      <c r="D3" s="8">
        <f>SUM(D4:D99819)</f>
        <v>143</v>
      </c>
      <c r="E3" s="8"/>
      <c r="F3" s="9">
        <f t="shared" ref="F3:G3" si="0">SUM(F4:F99819)</f>
        <v>10522.569999999987</v>
      </c>
      <c r="G3" s="9">
        <f t="shared" si="0"/>
        <v>-15.370000000000003</v>
      </c>
      <c r="H3" s="10">
        <f>G3/F3*-1</f>
        <v>1.4606697793409806E-3</v>
      </c>
      <c r="I3" s="11" t="e">
        <f>J3/F3</f>
        <v>#N/A</v>
      </c>
      <c r="J3" s="9" t="e">
        <f>SUM(J4:J99819)</f>
        <v>#N/A</v>
      </c>
      <c r="K3" s="9" t="e">
        <f>J3/D3</f>
        <v>#N/A</v>
      </c>
      <c r="L3" s="8"/>
      <c r="M3" s="12"/>
      <c r="N3" s="13"/>
      <c r="O3" s="8" t="str">
        <f ca="1">IFERROR(__xludf.DUMMYFUNCTION("IFERROR(VLOOKUP(B2,IMPORTRANGE(""https://docs.google.com/spreadsheets/d/1owCo6kL_VFQ5nPTdNogErmCBLjNiktT1m3SzTrxu3R0/edit#gid=2146806407"",""Second Star - Compiled!b1:g5000""),2,FALSE),"""")"),"")</f>
        <v/>
      </c>
      <c r="P3" s="8"/>
      <c r="Q3" s="14"/>
      <c r="R3" s="13"/>
      <c r="S3" s="13"/>
      <c r="T3" s="13"/>
      <c r="U3" s="8">
        <f>SUM(U4:U99819)</f>
        <v>8</v>
      </c>
      <c r="V3" s="10">
        <f>AVERAGE(V4:V99819)</f>
        <v>3.4188034188034188E-3</v>
      </c>
      <c r="W3" s="9">
        <f>ROUND(AVERAGE(W4:W99819),2)</f>
        <v>0.06</v>
      </c>
      <c r="X3" s="8"/>
      <c r="Y3" s="8"/>
      <c r="Z3" s="8"/>
      <c r="AA3" s="8"/>
      <c r="AB3" s="8"/>
      <c r="AC3" s="15"/>
      <c r="AD3" s="9"/>
      <c r="AE3" s="9">
        <f>SUM(AE4:AE99819)</f>
        <v>0</v>
      </c>
      <c r="AF3" s="16"/>
    </row>
    <row r="4" spans="1:32" s="57" customFormat="1" hidden="1">
      <c r="A4" s="17" t="s">
        <v>48</v>
      </c>
      <c r="B4" s="2"/>
      <c r="C4" s="50"/>
      <c r="D4" s="51"/>
      <c r="E4" s="51">
        <v>0</v>
      </c>
      <c r="F4" s="51"/>
      <c r="G4" s="51"/>
      <c r="H4" s="51"/>
      <c r="I4" s="51"/>
      <c r="J4" s="51"/>
      <c r="K4" s="51"/>
      <c r="L4" s="51"/>
      <c r="M4" s="51"/>
      <c r="N4" s="51"/>
      <c r="O4" s="51"/>
      <c r="P4" s="51">
        <f t="shared" ref="P4:P26" si="1">E4/7</f>
        <v>0</v>
      </c>
      <c r="Q4" s="51" t="e">
        <f t="shared" ref="Q4:Q39" si="2">ROUNDDOWN(N4/(O4+P4),0)</f>
        <v>#DIV/0!</v>
      </c>
      <c r="R4" s="52"/>
      <c r="S4" s="53"/>
      <c r="T4" s="54"/>
      <c r="U4" s="52"/>
      <c r="V4" s="55"/>
      <c r="W4" s="55"/>
      <c r="X4" s="52"/>
      <c r="Y4" s="56"/>
      <c r="Z4" s="56"/>
      <c r="AA4" s="55"/>
      <c r="AB4" s="55"/>
      <c r="AC4" s="55"/>
      <c r="AD4" s="55"/>
      <c r="AE4" s="55"/>
      <c r="AF4" s="55"/>
    </row>
    <row r="5" spans="1:32" s="57" customFormat="1" ht="15.75" hidden="1" customHeight="1">
      <c r="A5" s="2" t="s">
        <v>49</v>
      </c>
      <c r="B5" s="2"/>
      <c r="C5" s="51"/>
      <c r="D5" s="51"/>
      <c r="E5" s="51">
        <v>0</v>
      </c>
      <c r="F5" s="51"/>
      <c r="G5" s="51"/>
      <c r="H5" s="51"/>
      <c r="I5" s="51"/>
      <c r="J5" s="51"/>
      <c r="K5" s="51"/>
      <c r="L5" s="51"/>
      <c r="M5" s="51"/>
      <c r="N5" s="51"/>
      <c r="O5" s="51"/>
      <c r="P5" s="51">
        <f t="shared" si="1"/>
        <v>0</v>
      </c>
      <c r="Q5" s="51" t="e">
        <f t="shared" si="2"/>
        <v>#DIV/0!</v>
      </c>
      <c r="R5" s="55"/>
      <c r="S5" s="53"/>
      <c r="T5" s="54"/>
      <c r="U5" s="55"/>
      <c r="V5" s="55"/>
      <c r="W5" s="55"/>
      <c r="X5" s="55"/>
      <c r="Y5" s="55"/>
      <c r="Z5" s="56"/>
      <c r="AA5" s="55"/>
      <c r="AB5" s="55"/>
      <c r="AC5" s="55"/>
      <c r="AD5" s="55"/>
      <c r="AE5" s="55"/>
      <c r="AF5" s="55"/>
    </row>
    <row r="6" spans="1:32" s="57" customFormat="1" ht="15.75" hidden="1" customHeight="1">
      <c r="A6" s="2" t="s">
        <v>51</v>
      </c>
      <c r="B6" s="2"/>
      <c r="C6" s="51"/>
      <c r="D6" s="51"/>
      <c r="E6" s="51">
        <v>0</v>
      </c>
      <c r="F6" s="51"/>
      <c r="G6" s="51"/>
      <c r="H6" s="51"/>
      <c r="I6" s="51"/>
      <c r="J6" s="51"/>
      <c r="K6" s="51"/>
      <c r="L6" s="51"/>
      <c r="M6" s="51"/>
      <c r="N6" s="51"/>
      <c r="O6" s="51"/>
      <c r="P6" s="51">
        <f t="shared" si="1"/>
        <v>0</v>
      </c>
      <c r="Q6" s="51" t="e">
        <f t="shared" si="2"/>
        <v>#DIV/0!</v>
      </c>
      <c r="R6" s="55"/>
      <c r="S6" s="53"/>
      <c r="T6" s="54"/>
      <c r="U6" s="55"/>
      <c r="V6" s="55"/>
      <c r="W6" s="55"/>
      <c r="X6" s="55"/>
      <c r="Y6" s="55"/>
      <c r="Z6" s="56"/>
      <c r="AA6" s="55"/>
      <c r="AB6" s="55"/>
      <c r="AC6" s="55"/>
      <c r="AD6" s="55"/>
      <c r="AE6" s="55"/>
      <c r="AF6" s="55"/>
    </row>
    <row r="7" spans="1:32" s="57" customFormat="1" ht="15.75" hidden="1" customHeight="1">
      <c r="A7" s="2" t="s">
        <v>53</v>
      </c>
      <c r="B7" s="2"/>
      <c r="C7" s="51"/>
      <c r="D7" s="51"/>
      <c r="E7" s="51">
        <v>0</v>
      </c>
      <c r="F7" s="51"/>
      <c r="G7" s="51"/>
      <c r="H7" s="51"/>
      <c r="I7" s="51"/>
      <c r="J7" s="51"/>
      <c r="K7" s="51"/>
      <c r="L7" s="51"/>
      <c r="M7" s="51"/>
      <c r="N7" s="51"/>
      <c r="O7" s="51"/>
      <c r="P7" s="51">
        <f t="shared" si="1"/>
        <v>0</v>
      </c>
      <c r="Q7" s="51" t="e">
        <f t="shared" si="2"/>
        <v>#DIV/0!</v>
      </c>
      <c r="R7" s="55"/>
      <c r="S7" s="53"/>
      <c r="T7" s="54"/>
      <c r="U7" s="55"/>
      <c r="V7" s="55"/>
      <c r="W7" s="55"/>
      <c r="X7" s="55"/>
      <c r="Y7" s="55"/>
      <c r="Z7" s="56"/>
      <c r="AA7" s="55"/>
      <c r="AB7" s="55"/>
      <c r="AC7" s="55"/>
      <c r="AD7" s="55"/>
      <c r="AE7" s="55"/>
      <c r="AF7" s="55"/>
    </row>
    <row r="8" spans="1:32" s="57" customFormat="1" ht="15.75" hidden="1" customHeight="1">
      <c r="A8" s="2" t="s">
        <v>54</v>
      </c>
      <c r="B8" s="2"/>
      <c r="C8" s="51"/>
      <c r="D8" s="51"/>
      <c r="E8" s="51">
        <v>0</v>
      </c>
      <c r="F8" s="51"/>
      <c r="G8" s="51"/>
      <c r="H8" s="51"/>
      <c r="I8" s="51"/>
      <c r="J8" s="51"/>
      <c r="K8" s="51"/>
      <c r="L8" s="51"/>
      <c r="M8" s="51"/>
      <c r="N8" s="51"/>
      <c r="O8" s="51"/>
      <c r="P8" s="51">
        <f t="shared" si="1"/>
        <v>0</v>
      </c>
      <c r="Q8" s="51" t="e">
        <f t="shared" si="2"/>
        <v>#DIV/0!</v>
      </c>
      <c r="R8" s="55"/>
      <c r="S8" s="53"/>
      <c r="T8" s="54"/>
      <c r="U8" s="55"/>
      <c r="V8" s="55"/>
      <c r="W8" s="55"/>
      <c r="X8" s="55"/>
      <c r="Y8" s="55"/>
      <c r="Z8" s="56"/>
      <c r="AA8" s="55"/>
      <c r="AB8" s="55"/>
      <c r="AC8" s="55"/>
      <c r="AD8" s="55"/>
      <c r="AE8" s="55"/>
      <c r="AF8" s="55"/>
    </row>
    <row r="9" spans="1:32" s="57" customFormat="1" ht="15.75" hidden="1" customHeight="1">
      <c r="A9" s="2" t="s">
        <v>56</v>
      </c>
      <c r="B9" s="2"/>
      <c r="C9" s="51"/>
      <c r="D9" s="51"/>
      <c r="E9" s="51">
        <v>0</v>
      </c>
      <c r="F9" s="51"/>
      <c r="G9" s="51"/>
      <c r="H9" s="51"/>
      <c r="I9" s="51"/>
      <c r="J9" s="51"/>
      <c r="K9" s="51"/>
      <c r="L9" s="51"/>
      <c r="M9" s="51"/>
      <c r="N9" s="51"/>
      <c r="O9" s="51"/>
      <c r="P9" s="51">
        <f t="shared" si="1"/>
        <v>0</v>
      </c>
      <c r="Q9" s="51" t="e">
        <f t="shared" si="2"/>
        <v>#DIV/0!</v>
      </c>
      <c r="R9" s="55"/>
      <c r="S9" s="53"/>
      <c r="T9" s="54"/>
      <c r="U9" s="55"/>
      <c r="V9" s="55"/>
      <c r="W9" s="55"/>
      <c r="X9" s="55"/>
      <c r="Y9" s="55"/>
      <c r="Z9" s="56"/>
      <c r="AA9" s="55"/>
      <c r="AB9" s="55"/>
      <c r="AC9" s="55"/>
      <c r="AD9" s="55"/>
      <c r="AE9" s="55"/>
      <c r="AF9" s="55"/>
    </row>
    <row r="10" spans="1:32" s="57" customFormat="1" ht="15.75" hidden="1" customHeight="1">
      <c r="A10" s="2" t="s">
        <v>58</v>
      </c>
      <c r="B10" s="2"/>
      <c r="C10" s="51"/>
      <c r="D10" s="51"/>
      <c r="E10" s="51">
        <v>0</v>
      </c>
      <c r="F10" s="51"/>
      <c r="G10" s="51"/>
      <c r="H10" s="51"/>
      <c r="I10" s="51"/>
      <c r="J10" s="51"/>
      <c r="K10" s="51"/>
      <c r="L10" s="51"/>
      <c r="M10" s="51"/>
      <c r="N10" s="51"/>
      <c r="O10" s="51"/>
      <c r="P10" s="51">
        <f t="shared" si="1"/>
        <v>0</v>
      </c>
      <c r="Q10" s="51" t="e">
        <f t="shared" si="2"/>
        <v>#DIV/0!</v>
      </c>
      <c r="R10" s="55"/>
      <c r="S10" s="53"/>
      <c r="T10" s="54"/>
      <c r="U10" s="55"/>
      <c r="V10" s="55"/>
      <c r="W10" s="55"/>
      <c r="X10" s="55"/>
      <c r="Y10" s="55"/>
      <c r="Z10" s="56"/>
      <c r="AA10" s="55"/>
      <c r="AB10" s="55"/>
      <c r="AC10" s="55"/>
      <c r="AD10" s="55"/>
      <c r="AE10" s="55"/>
      <c r="AF10" s="55"/>
    </row>
    <row r="11" spans="1:32" s="57" customFormat="1" ht="15.75" hidden="1" customHeight="1">
      <c r="A11" s="2" t="s">
        <v>60</v>
      </c>
      <c r="B11" s="2"/>
      <c r="C11" s="51"/>
      <c r="D11" s="51"/>
      <c r="E11" s="51">
        <v>0</v>
      </c>
      <c r="F11" s="51"/>
      <c r="G11" s="51"/>
      <c r="H11" s="51"/>
      <c r="I11" s="51"/>
      <c r="J11" s="51"/>
      <c r="K11" s="51"/>
      <c r="L11" s="51"/>
      <c r="M11" s="51"/>
      <c r="N11" s="51"/>
      <c r="O11" s="51"/>
      <c r="P11" s="51">
        <f t="shared" si="1"/>
        <v>0</v>
      </c>
      <c r="Q11" s="51" t="e">
        <f t="shared" si="2"/>
        <v>#DIV/0!</v>
      </c>
      <c r="R11" s="55"/>
      <c r="S11" s="53"/>
      <c r="T11" s="54"/>
      <c r="U11" s="55"/>
      <c r="V11" s="55"/>
      <c r="W11" s="55"/>
      <c r="X11" s="55"/>
      <c r="Y11" s="55"/>
      <c r="Z11" s="56"/>
      <c r="AA11" s="55"/>
      <c r="AB11" s="55"/>
      <c r="AC11" s="55"/>
      <c r="AD11" s="55"/>
      <c r="AE11" s="55"/>
      <c r="AF11" s="55"/>
    </row>
    <row r="12" spans="1:32" s="57" customFormat="1" ht="15.75" hidden="1" customHeight="1">
      <c r="A12" s="2" t="s">
        <v>62</v>
      </c>
      <c r="B12" s="2"/>
      <c r="C12" s="51"/>
      <c r="D12" s="51"/>
      <c r="E12" s="51">
        <v>0</v>
      </c>
      <c r="F12" s="51"/>
      <c r="G12" s="51"/>
      <c r="H12" s="51"/>
      <c r="I12" s="51"/>
      <c r="J12" s="51"/>
      <c r="K12" s="51"/>
      <c r="L12" s="51"/>
      <c r="M12" s="51"/>
      <c r="N12" s="51"/>
      <c r="O12" s="51"/>
      <c r="P12" s="51">
        <f t="shared" si="1"/>
        <v>0</v>
      </c>
      <c r="Q12" s="51" t="e">
        <f t="shared" si="2"/>
        <v>#DIV/0!</v>
      </c>
      <c r="R12" s="55"/>
      <c r="S12" s="53"/>
      <c r="T12" s="54"/>
      <c r="U12" s="55"/>
      <c r="V12" s="55"/>
      <c r="W12" s="55"/>
      <c r="X12" s="55"/>
      <c r="Y12" s="55"/>
      <c r="Z12" s="56"/>
      <c r="AA12" s="55"/>
      <c r="AB12" s="55"/>
      <c r="AC12" s="55"/>
      <c r="AD12" s="55"/>
      <c r="AE12" s="55"/>
      <c r="AF12" s="55"/>
    </row>
    <row r="13" spans="1:32" s="57" customFormat="1" ht="15.75" hidden="1" customHeight="1">
      <c r="A13" s="2" t="s">
        <v>63</v>
      </c>
      <c r="B13" s="2"/>
      <c r="C13" s="51"/>
      <c r="D13" s="51"/>
      <c r="E13" s="51">
        <v>0</v>
      </c>
      <c r="F13" s="51"/>
      <c r="G13" s="51"/>
      <c r="H13" s="51"/>
      <c r="I13" s="51"/>
      <c r="J13" s="51"/>
      <c r="K13" s="51"/>
      <c r="L13" s="51"/>
      <c r="M13" s="51"/>
      <c r="N13" s="51"/>
      <c r="O13" s="51"/>
      <c r="P13" s="51">
        <f t="shared" si="1"/>
        <v>0</v>
      </c>
      <c r="Q13" s="51" t="e">
        <f t="shared" si="2"/>
        <v>#DIV/0!</v>
      </c>
      <c r="R13" s="55"/>
      <c r="S13" s="53"/>
      <c r="T13" s="54"/>
      <c r="U13" s="55"/>
      <c r="V13" s="55"/>
      <c r="W13" s="55"/>
      <c r="X13" s="55"/>
      <c r="Y13" s="55"/>
      <c r="Z13" s="56"/>
      <c r="AA13" s="55"/>
      <c r="AB13" s="55"/>
      <c r="AC13" s="55"/>
      <c r="AD13" s="55"/>
      <c r="AE13" s="55"/>
      <c r="AF13" s="55"/>
    </row>
    <row r="14" spans="1:32" s="57" customFormat="1" ht="15.75" hidden="1" customHeight="1">
      <c r="A14" s="2" t="s">
        <v>64</v>
      </c>
      <c r="B14" s="2"/>
      <c r="C14" s="51"/>
      <c r="D14" s="51"/>
      <c r="E14" s="51">
        <v>0</v>
      </c>
      <c r="F14" s="51"/>
      <c r="G14" s="51"/>
      <c r="H14" s="51"/>
      <c r="I14" s="51"/>
      <c r="J14" s="51"/>
      <c r="K14" s="51"/>
      <c r="L14" s="51"/>
      <c r="M14" s="51"/>
      <c r="N14" s="51"/>
      <c r="O14" s="51"/>
      <c r="P14" s="51">
        <f t="shared" si="1"/>
        <v>0</v>
      </c>
      <c r="Q14" s="51" t="e">
        <f t="shared" si="2"/>
        <v>#DIV/0!</v>
      </c>
      <c r="R14" s="55"/>
      <c r="S14" s="53"/>
      <c r="T14" s="54"/>
      <c r="U14" s="55"/>
      <c r="V14" s="55"/>
      <c r="W14" s="55"/>
      <c r="X14" s="55"/>
      <c r="Y14" s="55"/>
      <c r="Z14" s="56"/>
      <c r="AA14" s="55"/>
      <c r="AB14" s="55"/>
      <c r="AC14" s="55"/>
      <c r="AD14" s="55"/>
      <c r="AE14" s="55"/>
      <c r="AF14" s="55"/>
    </row>
    <row r="15" spans="1:32" s="57" customFormat="1" ht="15.75" hidden="1" customHeight="1">
      <c r="A15" s="2" t="s">
        <v>65</v>
      </c>
      <c r="B15" s="2"/>
      <c r="C15" s="51"/>
      <c r="D15" s="51"/>
      <c r="E15" s="51">
        <v>0</v>
      </c>
      <c r="F15" s="51"/>
      <c r="G15" s="51"/>
      <c r="H15" s="51"/>
      <c r="I15" s="51"/>
      <c r="J15" s="51"/>
      <c r="K15" s="51"/>
      <c r="L15" s="51"/>
      <c r="M15" s="51"/>
      <c r="N15" s="51"/>
      <c r="O15" s="51"/>
      <c r="P15" s="51">
        <f t="shared" si="1"/>
        <v>0</v>
      </c>
      <c r="Q15" s="51" t="e">
        <f t="shared" si="2"/>
        <v>#DIV/0!</v>
      </c>
      <c r="R15" s="55"/>
      <c r="S15" s="53"/>
      <c r="T15" s="54"/>
      <c r="U15" s="55"/>
      <c r="V15" s="55"/>
      <c r="W15" s="55"/>
      <c r="X15" s="55"/>
      <c r="Y15" s="55"/>
      <c r="Z15" s="56"/>
      <c r="AA15" s="55"/>
      <c r="AB15" s="55"/>
      <c r="AC15" s="55"/>
      <c r="AD15" s="55"/>
      <c r="AE15" s="55"/>
      <c r="AF15" s="55"/>
    </row>
    <row r="16" spans="1:32" s="57" customFormat="1" ht="15.75" hidden="1" customHeight="1">
      <c r="A16" s="2" t="s">
        <v>66</v>
      </c>
      <c r="B16" s="2"/>
      <c r="C16" s="51"/>
      <c r="D16" s="51"/>
      <c r="E16" s="51">
        <v>0</v>
      </c>
      <c r="F16" s="51"/>
      <c r="G16" s="51"/>
      <c r="H16" s="51"/>
      <c r="I16" s="51"/>
      <c r="J16" s="51"/>
      <c r="K16" s="51"/>
      <c r="L16" s="51"/>
      <c r="M16" s="51"/>
      <c r="N16" s="51"/>
      <c r="O16" s="51"/>
      <c r="P16" s="51">
        <f t="shared" si="1"/>
        <v>0</v>
      </c>
      <c r="Q16" s="51" t="e">
        <f t="shared" si="2"/>
        <v>#DIV/0!</v>
      </c>
      <c r="R16" s="55"/>
      <c r="S16" s="53"/>
      <c r="T16" s="54"/>
      <c r="U16" s="55"/>
      <c r="V16" s="55"/>
      <c r="W16" s="55"/>
      <c r="X16" s="55"/>
      <c r="Y16" s="55"/>
      <c r="Z16" s="56"/>
      <c r="AA16" s="55"/>
      <c r="AB16" s="55"/>
      <c r="AC16" s="55"/>
      <c r="AD16" s="55"/>
      <c r="AE16" s="55"/>
      <c r="AF16" s="55"/>
    </row>
    <row r="17" spans="1:32" s="57" customFormat="1" ht="15.75" hidden="1" customHeight="1">
      <c r="A17" s="2" t="s">
        <v>67</v>
      </c>
      <c r="B17" s="2"/>
      <c r="C17" s="51"/>
      <c r="D17" s="51"/>
      <c r="E17" s="51">
        <v>0</v>
      </c>
      <c r="F17" s="51"/>
      <c r="G17" s="51"/>
      <c r="H17" s="51"/>
      <c r="I17" s="51"/>
      <c r="J17" s="51"/>
      <c r="K17" s="51"/>
      <c r="L17" s="51"/>
      <c r="M17" s="51"/>
      <c r="N17" s="51"/>
      <c r="O17" s="51"/>
      <c r="P17" s="51">
        <f t="shared" si="1"/>
        <v>0</v>
      </c>
      <c r="Q17" s="51" t="e">
        <f t="shared" si="2"/>
        <v>#DIV/0!</v>
      </c>
      <c r="R17" s="55"/>
      <c r="S17" s="53"/>
      <c r="T17" s="54"/>
      <c r="U17" s="55"/>
      <c r="V17" s="55"/>
      <c r="W17" s="55"/>
      <c r="X17" s="55"/>
      <c r="Y17" s="55"/>
      <c r="Z17" s="56"/>
      <c r="AA17" s="55"/>
      <c r="AB17" s="55"/>
      <c r="AC17" s="55"/>
      <c r="AD17" s="55"/>
      <c r="AE17" s="55"/>
      <c r="AF17" s="55"/>
    </row>
    <row r="18" spans="1:32" s="57" customFormat="1" ht="15.75" hidden="1" customHeight="1">
      <c r="A18" s="2" t="s">
        <v>69</v>
      </c>
      <c r="B18" s="2"/>
      <c r="C18" s="51"/>
      <c r="D18" s="51"/>
      <c r="E18" s="51">
        <v>0</v>
      </c>
      <c r="F18" s="51"/>
      <c r="G18" s="51"/>
      <c r="H18" s="51"/>
      <c r="I18" s="51"/>
      <c r="J18" s="51"/>
      <c r="K18" s="51"/>
      <c r="L18" s="51"/>
      <c r="M18" s="51"/>
      <c r="N18" s="51"/>
      <c r="O18" s="51"/>
      <c r="P18" s="51">
        <f t="shared" si="1"/>
        <v>0</v>
      </c>
      <c r="Q18" s="51" t="e">
        <f t="shared" si="2"/>
        <v>#DIV/0!</v>
      </c>
      <c r="R18" s="55"/>
      <c r="S18" s="53"/>
      <c r="T18" s="54"/>
      <c r="U18" s="55"/>
      <c r="V18" s="55"/>
      <c r="W18" s="55"/>
      <c r="X18" s="55"/>
      <c r="Y18" s="55"/>
      <c r="Z18" s="56"/>
      <c r="AA18" s="55"/>
      <c r="AB18" s="58"/>
      <c r="AC18" s="55"/>
      <c r="AD18" s="55"/>
      <c r="AE18" s="55"/>
      <c r="AF18" s="55"/>
    </row>
    <row r="19" spans="1:32" s="57" customFormat="1" ht="15.75" hidden="1" customHeight="1">
      <c r="A19" s="2" t="s">
        <v>71</v>
      </c>
      <c r="B19" s="2"/>
      <c r="C19" s="51"/>
      <c r="D19" s="51"/>
      <c r="E19" s="51">
        <v>0</v>
      </c>
      <c r="F19" s="51"/>
      <c r="G19" s="51"/>
      <c r="H19" s="51"/>
      <c r="I19" s="51"/>
      <c r="J19" s="51"/>
      <c r="K19" s="51"/>
      <c r="L19" s="51"/>
      <c r="M19" s="51"/>
      <c r="N19" s="51"/>
      <c r="O19" s="51"/>
      <c r="P19" s="51">
        <f t="shared" si="1"/>
        <v>0</v>
      </c>
      <c r="Q19" s="51" t="e">
        <f t="shared" si="2"/>
        <v>#DIV/0!</v>
      </c>
      <c r="R19" s="55"/>
      <c r="S19" s="53"/>
      <c r="T19" s="54"/>
      <c r="U19" s="55"/>
      <c r="V19" s="55"/>
      <c r="W19" s="55"/>
      <c r="X19" s="55"/>
      <c r="Y19" s="55"/>
      <c r="Z19" s="56"/>
      <c r="AA19" s="55"/>
      <c r="AB19" s="55"/>
      <c r="AC19" s="55"/>
      <c r="AD19" s="55"/>
      <c r="AE19" s="55"/>
      <c r="AF19" s="55"/>
    </row>
    <row r="20" spans="1:32" s="57" customFormat="1" ht="15.75" hidden="1" customHeight="1">
      <c r="A20" s="2" t="s">
        <v>73</v>
      </c>
      <c r="B20" s="2"/>
      <c r="C20" s="51"/>
      <c r="D20" s="51"/>
      <c r="E20" s="51">
        <v>0</v>
      </c>
      <c r="F20" s="51"/>
      <c r="G20" s="51"/>
      <c r="H20" s="51"/>
      <c r="I20" s="51"/>
      <c r="J20" s="51"/>
      <c r="K20" s="51"/>
      <c r="L20" s="51"/>
      <c r="M20" s="51"/>
      <c r="N20" s="51"/>
      <c r="O20" s="51"/>
      <c r="P20" s="51">
        <f t="shared" si="1"/>
        <v>0</v>
      </c>
      <c r="Q20" s="51" t="e">
        <f t="shared" si="2"/>
        <v>#DIV/0!</v>
      </c>
      <c r="R20" s="55"/>
      <c r="S20" s="53"/>
      <c r="T20" s="54"/>
      <c r="U20" s="55"/>
      <c r="V20" s="55"/>
      <c r="W20" s="55"/>
      <c r="X20" s="55"/>
      <c r="Y20" s="55"/>
      <c r="Z20" s="56"/>
      <c r="AA20" s="55"/>
      <c r="AB20" s="55"/>
      <c r="AC20" s="55"/>
      <c r="AD20" s="55"/>
      <c r="AE20" s="55"/>
      <c r="AF20" s="55"/>
    </row>
    <row r="21" spans="1:32" s="57" customFormat="1" ht="15.75" hidden="1" customHeight="1">
      <c r="A21" s="2" t="s">
        <v>75</v>
      </c>
      <c r="B21" s="2"/>
      <c r="C21" s="51"/>
      <c r="D21" s="51"/>
      <c r="E21" s="51">
        <v>0</v>
      </c>
      <c r="F21" s="51"/>
      <c r="G21" s="51"/>
      <c r="H21" s="51"/>
      <c r="I21" s="51"/>
      <c r="J21" s="51"/>
      <c r="K21" s="51"/>
      <c r="L21" s="51"/>
      <c r="M21" s="51"/>
      <c r="N21" s="51"/>
      <c r="O21" s="51"/>
      <c r="P21" s="51">
        <f t="shared" si="1"/>
        <v>0</v>
      </c>
      <c r="Q21" s="51" t="e">
        <f t="shared" si="2"/>
        <v>#DIV/0!</v>
      </c>
      <c r="R21" s="55"/>
      <c r="S21" s="53"/>
      <c r="T21" s="54"/>
      <c r="U21" s="55"/>
      <c r="V21" s="55"/>
      <c r="W21" s="55"/>
      <c r="X21" s="55"/>
      <c r="Y21" s="55"/>
      <c r="Z21" s="56"/>
      <c r="AA21" s="55"/>
      <c r="AB21" s="55"/>
      <c r="AC21" s="55"/>
      <c r="AD21" s="55"/>
      <c r="AE21" s="55"/>
      <c r="AF21" s="55"/>
    </row>
    <row r="22" spans="1:32" s="57" customFormat="1" ht="15.75" hidden="1" customHeight="1">
      <c r="A22" s="2" t="s">
        <v>77</v>
      </c>
      <c r="B22" s="2"/>
      <c r="C22" s="51"/>
      <c r="D22" s="51"/>
      <c r="E22" s="51">
        <v>0</v>
      </c>
      <c r="F22" s="51"/>
      <c r="G22" s="51"/>
      <c r="H22" s="51"/>
      <c r="I22" s="51"/>
      <c r="J22" s="51"/>
      <c r="K22" s="51"/>
      <c r="L22" s="51"/>
      <c r="M22" s="51"/>
      <c r="N22" s="51"/>
      <c r="O22" s="51"/>
      <c r="P22" s="51">
        <f t="shared" si="1"/>
        <v>0</v>
      </c>
      <c r="Q22" s="51" t="e">
        <f t="shared" si="2"/>
        <v>#DIV/0!</v>
      </c>
      <c r="R22" s="55"/>
      <c r="S22" s="53"/>
      <c r="T22" s="54"/>
      <c r="U22" s="55"/>
      <c r="V22" s="55"/>
      <c r="W22" s="55"/>
      <c r="X22" s="55"/>
      <c r="Y22" s="55"/>
      <c r="Z22" s="56"/>
      <c r="AA22" s="55"/>
      <c r="AB22" s="55"/>
      <c r="AC22" s="55"/>
      <c r="AD22" s="55"/>
      <c r="AE22" s="55"/>
      <c r="AF22" s="55"/>
    </row>
    <row r="23" spans="1:32" s="57" customFormat="1" ht="15.75" hidden="1" customHeight="1">
      <c r="A23" s="2" t="s">
        <v>79</v>
      </c>
      <c r="B23" s="2"/>
      <c r="C23" s="51"/>
      <c r="D23" s="51"/>
      <c r="E23" s="51">
        <v>0</v>
      </c>
      <c r="F23" s="51"/>
      <c r="G23" s="51"/>
      <c r="H23" s="51"/>
      <c r="I23" s="51"/>
      <c r="J23" s="51"/>
      <c r="K23" s="51"/>
      <c r="L23" s="51"/>
      <c r="M23" s="51"/>
      <c r="N23" s="51"/>
      <c r="O23" s="51"/>
      <c r="P23" s="51">
        <f t="shared" si="1"/>
        <v>0</v>
      </c>
      <c r="Q23" s="51" t="e">
        <f t="shared" si="2"/>
        <v>#DIV/0!</v>
      </c>
      <c r="R23" s="55"/>
      <c r="S23" s="53"/>
      <c r="T23" s="54"/>
      <c r="U23" s="55"/>
      <c r="V23" s="55"/>
      <c r="W23" s="55"/>
      <c r="X23" s="55"/>
      <c r="Y23" s="55"/>
      <c r="Z23" s="56"/>
      <c r="AA23" s="55"/>
      <c r="AB23" s="55"/>
      <c r="AC23" s="55"/>
      <c r="AD23" s="55"/>
      <c r="AE23" s="55"/>
      <c r="AF23" s="55"/>
    </row>
    <row r="24" spans="1:32" s="57" customFormat="1" ht="15.75" hidden="1" customHeight="1">
      <c r="A24" s="2" t="s">
        <v>80</v>
      </c>
      <c r="B24" s="2"/>
      <c r="C24" s="51"/>
      <c r="D24" s="51"/>
      <c r="E24" s="51">
        <v>0</v>
      </c>
      <c r="F24" s="51"/>
      <c r="G24" s="51"/>
      <c r="H24" s="51"/>
      <c r="I24" s="51"/>
      <c r="J24" s="51"/>
      <c r="K24" s="51"/>
      <c r="L24" s="51"/>
      <c r="M24" s="51"/>
      <c r="N24" s="51"/>
      <c r="O24" s="51"/>
      <c r="P24" s="51">
        <f t="shared" si="1"/>
        <v>0</v>
      </c>
      <c r="Q24" s="51" t="e">
        <f t="shared" si="2"/>
        <v>#DIV/0!</v>
      </c>
      <c r="R24" s="55"/>
      <c r="S24" s="53"/>
      <c r="T24" s="54"/>
      <c r="U24" s="55"/>
      <c r="V24" s="55"/>
      <c r="W24" s="55"/>
      <c r="X24" s="55"/>
      <c r="Y24" s="55"/>
      <c r="Z24" s="56"/>
      <c r="AA24" s="55"/>
      <c r="AB24" s="55"/>
      <c r="AC24" s="55"/>
      <c r="AD24" s="55"/>
      <c r="AE24" s="55"/>
      <c r="AF24" s="55"/>
    </row>
    <row r="25" spans="1:32" s="57" customFormat="1" ht="15.75" hidden="1" customHeight="1">
      <c r="A25" s="2" t="s">
        <v>81</v>
      </c>
      <c r="B25" s="2"/>
      <c r="C25" s="51"/>
      <c r="D25" s="51"/>
      <c r="E25" s="51">
        <v>0</v>
      </c>
      <c r="F25" s="51"/>
      <c r="G25" s="51"/>
      <c r="H25" s="51"/>
      <c r="I25" s="51"/>
      <c r="J25" s="51"/>
      <c r="K25" s="51"/>
      <c r="L25" s="51"/>
      <c r="M25" s="51"/>
      <c r="N25" s="51"/>
      <c r="O25" s="51"/>
      <c r="P25" s="51">
        <f t="shared" si="1"/>
        <v>0</v>
      </c>
      <c r="Q25" s="51" t="e">
        <f t="shared" si="2"/>
        <v>#DIV/0!</v>
      </c>
      <c r="R25" s="55"/>
      <c r="S25" s="53"/>
      <c r="T25" s="54"/>
      <c r="U25" s="55"/>
      <c r="V25" s="55"/>
      <c r="W25" s="55"/>
      <c r="X25" s="55"/>
      <c r="Y25" s="55"/>
      <c r="Z25" s="56"/>
      <c r="AA25" s="55"/>
      <c r="AB25" s="55"/>
      <c r="AC25" s="55"/>
      <c r="AD25" s="55"/>
      <c r="AE25" s="55"/>
      <c r="AF25" s="55"/>
    </row>
    <row r="26" spans="1:32" s="57" customFormat="1" ht="15.75" hidden="1" customHeight="1">
      <c r="A26" s="2" t="s">
        <v>83</v>
      </c>
      <c r="B26" s="2"/>
      <c r="C26" s="51"/>
      <c r="D26" s="51"/>
      <c r="E26" s="51">
        <v>0</v>
      </c>
      <c r="F26" s="51"/>
      <c r="G26" s="51"/>
      <c r="H26" s="51"/>
      <c r="I26" s="51"/>
      <c r="J26" s="51"/>
      <c r="K26" s="51"/>
      <c r="L26" s="51"/>
      <c r="M26" s="51"/>
      <c r="N26" s="51"/>
      <c r="O26" s="51"/>
      <c r="P26" s="51">
        <f t="shared" si="1"/>
        <v>0</v>
      </c>
      <c r="Q26" s="51" t="e">
        <f t="shared" si="2"/>
        <v>#DIV/0!</v>
      </c>
      <c r="R26" s="55"/>
      <c r="S26" s="53"/>
      <c r="T26" s="54"/>
      <c r="U26" s="55"/>
      <c r="V26" s="55"/>
      <c r="W26" s="55"/>
      <c r="X26" s="55"/>
      <c r="Y26" s="55"/>
      <c r="Z26" s="56"/>
      <c r="AA26" s="55"/>
      <c r="AB26" s="55"/>
      <c r="AC26" s="55"/>
      <c r="AD26" s="55"/>
      <c r="AE26" s="55"/>
      <c r="AF26" s="55"/>
    </row>
    <row r="27" spans="1:32" s="57" customFormat="1" ht="15.75" customHeight="1">
      <c r="A27" s="2" t="s">
        <v>84</v>
      </c>
      <c r="B27" s="2"/>
      <c r="C27" s="51">
        <f t="shared" ref="C27:C39" si="3">IFERROR(F27/D27," - ")</f>
        <v>51.99</v>
      </c>
      <c r="D27" s="51">
        <v>16</v>
      </c>
      <c r="E27" s="51">
        <v>0</v>
      </c>
      <c r="F27" s="51">
        <v>831.84</v>
      </c>
      <c r="G27" s="51">
        <v>0</v>
      </c>
      <c r="H27" s="51">
        <f t="shared" ref="H27:H39" si="4">G27/F27*-1</f>
        <v>0</v>
      </c>
      <c r="I27" s="51">
        <f t="shared" ref="I27:I39" si="5">J27/F27</f>
        <v>0.10011300250048082</v>
      </c>
      <c r="J27" s="51">
        <f t="shared" ref="J27:J38" si="6">F27*0.85+G27+AD27*D27+D27*AC27+AE27+AB27</f>
        <v>83.277999999999963</v>
      </c>
      <c r="K27" s="51">
        <f t="shared" ref="K27:K39" si="7">J27/D27</f>
        <v>5.2048749999999977</v>
      </c>
      <c r="L27" s="51">
        <v>0</v>
      </c>
      <c r="M27" s="51" t="str">
        <f t="shared" ref="M27:M39" si="8">IFERROR(D27/L27,"-")</f>
        <v>-</v>
      </c>
      <c r="N27" s="51">
        <v>29</v>
      </c>
      <c r="O27" s="51">
        <f t="shared" ref="O27:P27" si="9">D27/7</f>
        <v>2.2857142857142856</v>
      </c>
      <c r="P27" s="51">
        <f t="shared" si="9"/>
        <v>0</v>
      </c>
      <c r="Q27" s="51">
        <f t="shared" si="2"/>
        <v>12</v>
      </c>
      <c r="R27" s="55" t="s">
        <v>34</v>
      </c>
      <c r="S27" s="53" t="s">
        <v>34</v>
      </c>
      <c r="T27" s="54" t="s">
        <v>34</v>
      </c>
      <c r="U27" s="55">
        <v>0</v>
      </c>
      <c r="V27" s="55">
        <f t="shared" ref="V27:V39" si="10">IFERROR(U27/D27,0)</f>
        <v>0</v>
      </c>
      <c r="W27" s="55">
        <f t="shared" ref="W27:W39" si="11">IFERROR(G27/(U27+X27)*-1,0)</f>
        <v>0</v>
      </c>
      <c r="X27" s="55">
        <v>0</v>
      </c>
      <c r="Y27" s="55" t="s">
        <v>760</v>
      </c>
      <c r="Z27" s="56">
        <f t="shared" ref="Z27:Z39" si="12">IF(OR(Y27="UsLargeStandardSize",Y27="UsSmallStandardSize"),-0.75,-0.48)</f>
        <v>-0.48</v>
      </c>
      <c r="AA27" s="55">
        <v>0.93515625000000002</v>
      </c>
      <c r="AB27" s="55">
        <f t="shared" ref="AB27:AB39" si="13">IFERROR(Z27*AA27*D27*3,0)</f>
        <v>-21.545999999999999</v>
      </c>
      <c r="AC27" s="55">
        <v>-13.96</v>
      </c>
      <c r="AD27" s="55">
        <v>-23.68</v>
      </c>
      <c r="AE27" s="55">
        <v>0</v>
      </c>
      <c r="AF27" s="55"/>
    </row>
    <row r="28" spans="1:32" s="57" customFormat="1" ht="15.75" customHeight="1">
      <c r="A28" s="2" t="s">
        <v>86</v>
      </c>
      <c r="B28" s="2"/>
      <c r="C28" s="51">
        <f t="shared" si="3"/>
        <v>70.220769230769122</v>
      </c>
      <c r="D28" s="51">
        <v>78</v>
      </c>
      <c r="E28" s="51">
        <v>0</v>
      </c>
      <c r="F28" s="51">
        <v>5477.2199999999912</v>
      </c>
      <c r="G28" s="51">
        <v>-15.370000000000003</v>
      </c>
      <c r="H28" s="51">
        <f t="shared" si="4"/>
        <v>2.8061680925725143E-3</v>
      </c>
      <c r="I28" s="51">
        <f t="shared" si="5"/>
        <v>0.29199306399961933</v>
      </c>
      <c r="J28" s="51">
        <f t="shared" si="6"/>
        <v>1599.3102499999925</v>
      </c>
      <c r="K28" s="51">
        <f t="shared" si="7"/>
        <v>20.503977564102467</v>
      </c>
      <c r="L28" s="51">
        <v>330</v>
      </c>
      <c r="M28" s="51">
        <f t="shared" si="8"/>
        <v>0.23636363636363636</v>
      </c>
      <c r="N28" s="51">
        <v>1</v>
      </c>
      <c r="O28" s="51">
        <f t="shared" ref="O28:P28" si="14">D28/7</f>
        <v>11.142857142857142</v>
      </c>
      <c r="P28" s="51">
        <f t="shared" si="14"/>
        <v>0</v>
      </c>
      <c r="Q28" s="51">
        <f t="shared" si="2"/>
        <v>0</v>
      </c>
      <c r="R28" s="55" t="s">
        <v>34</v>
      </c>
      <c r="S28" s="53" t="s">
        <v>34</v>
      </c>
      <c r="T28" s="54" t="s">
        <v>34</v>
      </c>
      <c r="U28" s="55">
        <v>8</v>
      </c>
      <c r="V28" s="55">
        <f t="shared" si="10"/>
        <v>0.10256410256410256</v>
      </c>
      <c r="W28" s="55">
        <f t="shared" si="11"/>
        <v>1.9212500000000003</v>
      </c>
      <c r="X28" s="55">
        <v>0</v>
      </c>
      <c r="Y28" s="55" t="s">
        <v>760</v>
      </c>
      <c r="Z28" s="56">
        <f t="shared" si="12"/>
        <v>-0.48</v>
      </c>
      <c r="AA28" s="55">
        <v>0.93515625000000002</v>
      </c>
      <c r="AB28" s="55">
        <f t="shared" si="13"/>
        <v>-105.03674999999998</v>
      </c>
      <c r="AC28" s="55">
        <v>-13.96</v>
      </c>
      <c r="AD28" s="55">
        <v>-23.68</v>
      </c>
      <c r="AE28" s="55">
        <v>0</v>
      </c>
      <c r="AF28" s="55"/>
    </row>
    <row r="29" spans="1:32" s="57" customFormat="1" ht="15.75" customHeight="1">
      <c r="A29" s="2" t="s">
        <v>87</v>
      </c>
      <c r="B29" s="2"/>
      <c r="C29" s="51" t="str">
        <f t="shared" si="3"/>
        <v xml:space="preserve"> - </v>
      </c>
      <c r="D29" s="51">
        <v>0</v>
      </c>
      <c r="E29" s="51">
        <v>0</v>
      </c>
      <c r="F29" s="51">
        <v>0</v>
      </c>
      <c r="G29" s="51">
        <v>0</v>
      </c>
      <c r="H29" s="51" t="e">
        <f t="shared" si="4"/>
        <v>#DIV/0!</v>
      </c>
      <c r="I29" s="51" t="e">
        <f t="shared" si="5"/>
        <v>#DIV/0!</v>
      </c>
      <c r="J29" s="51">
        <f t="shared" si="6"/>
        <v>0</v>
      </c>
      <c r="K29" s="51" t="e">
        <f t="shared" si="7"/>
        <v>#DIV/0!</v>
      </c>
      <c r="L29" s="51">
        <v>0</v>
      </c>
      <c r="M29" s="51" t="str">
        <f t="shared" si="8"/>
        <v>-</v>
      </c>
      <c r="N29" s="51">
        <v>1</v>
      </c>
      <c r="O29" s="51">
        <f t="shared" ref="O29:P29" si="15">D29/7</f>
        <v>0</v>
      </c>
      <c r="P29" s="51">
        <f t="shared" si="15"/>
        <v>0</v>
      </c>
      <c r="Q29" s="51" t="e">
        <f t="shared" si="2"/>
        <v>#DIV/0!</v>
      </c>
      <c r="R29" s="55" t="s">
        <v>34</v>
      </c>
      <c r="S29" s="53" t="s">
        <v>34</v>
      </c>
      <c r="T29" s="54" t="s">
        <v>34</v>
      </c>
      <c r="U29" s="55">
        <v>0</v>
      </c>
      <c r="V29" s="55">
        <f t="shared" si="10"/>
        <v>0</v>
      </c>
      <c r="W29" s="55">
        <f t="shared" si="11"/>
        <v>0</v>
      </c>
      <c r="X29" s="55">
        <v>0</v>
      </c>
      <c r="Y29" s="55" t="s">
        <v>760</v>
      </c>
      <c r="Z29" s="56">
        <f t="shared" si="12"/>
        <v>-0.48</v>
      </c>
      <c r="AA29" s="55">
        <v>0.93515625000000002</v>
      </c>
      <c r="AB29" s="55">
        <f t="shared" si="13"/>
        <v>0</v>
      </c>
      <c r="AC29" s="55">
        <v>-13.96</v>
      </c>
      <c r="AD29" s="55">
        <v>-23.68</v>
      </c>
      <c r="AE29" s="55">
        <v>0</v>
      </c>
      <c r="AF29" s="55"/>
    </row>
    <row r="30" spans="1:32" s="57" customFormat="1" ht="15.75" customHeight="1">
      <c r="A30" s="2" t="s">
        <v>89</v>
      </c>
      <c r="B30" s="2"/>
      <c r="C30" s="51">
        <f t="shared" si="3"/>
        <v>85.99</v>
      </c>
      <c r="D30" s="51">
        <v>1</v>
      </c>
      <c r="E30" s="51">
        <v>0</v>
      </c>
      <c r="F30" s="51">
        <v>85.99</v>
      </c>
      <c r="G30" s="51">
        <v>0</v>
      </c>
      <c r="H30" s="51">
        <f t="shared" si="4"/>
        <v>0</v>
      </c>
      <c r="I30" s="51">
        <f t="shared" si="5"/>
        <v>0.39661443191068724</v>
      </c>
      <c r="J30" s="51">
        <f t="shared" si="6"/>
        <v>34.104874999999993</v>
      </c>
      <c r="K30" s="51">
        <f t="shared" si="7"/>
        <v>34.104874999999993</v>
      </c>
      <c r="L30" s="51">
        <v>0</v>
      </c>
      <c r="M30" s="51" t="str">
        <f t="shared" si="8"/>
        <v>-</v>
      </c>
      <c r="N30" s="51">
        <v>22</v>
      </c>
      <c r="O30" s="51">
        <f t="shared" ref="O30:P30" si="16">D30/7</f>
        <v>0.14285714285714285</v>
      </c>
      <c r="P30" s="51">
        <f t="shared" si="16"/>
        <v>0</v>
      </c>
      <c r="Q30" s="51">
        <f t="shared" si="2"/>
        <v>154</v>
      </c>
      <c r="R30" s="55" t="s">
        <v>34</v>
      </c>
      <c r="S30" s="53" t="s">
        <v>34</v>
      </c>
      <c r="T30" s="54" t="s">
        <v>34</v>
      </c>
      <c r="U30" s="55">
        <v>0</v>
      </c>
      <c r="V30" s="55">
        <f t="shared" si="10"/>
        <v>0</v>
      </c>
      <c r="W30" s="55">
        <f t="shared" si="11"/>
        <v>0</v>
      </c>
      <c r="X30" s="55">
        <v>0</v>
      </c>
      <c r="Y30" s="55" t="s">
        <v>760</v>
      </c>
      <c r="Z30" s="56">
        <f t="shared" si="12"/>
        <v>-0.48</v>
      </c>
      <c r="AA30" s="55">
        <v>0.93515625000000002</v>
      </c>
      <c r="AB30" s="55">
        <f t="shared" si="13"/>
        <v>-1.346625</v>
      </c>
      <c r="AC30" s="55">
        <v>-13.96</v>
      </c>
      <c r="AD30" s="55">
        <v>-23.68</v>
      </c>
      <c r="AE30" s="55">
        <v>0</v>
      </c>
      <c r="AF30" s="55"/>
    </row>
    <row r="31" spans="1:32" s="57" customFormat="1" ht="15.75" customHeight="1">
      <c r="A31" s="2" t="s">
        <v>90</v>
      </c>
      <c r="B31" s="2"/>
      <c r="C31" s="51">
        <f t="shared" si="3"/>
        <v>85.989999999999924</v>
      </c>
      <c r="D31" s="51">
        <v>37</v>
      </c>
      <c r="E31" s="51">
        <v>0</v>
      </c>
      <c r="F31" s="51">
        <v>3181.6299999999969</v>
      </c>
      <c r="G31" s="51">
        <v>0</v>
      </c>
      <c r="H31" s="51">
        <f t="shared" si="4"/>
        <v>0</v>
      </c>
      <c r="I31" s="51">
        <f t="shared" si="5"/>
        <v>0.39661443191068679</v>
      </c>
      <c r="J31" s="51">
        <f t="shared" si="6"/>
        <v>1261.8803749999972</v>
      </c>
      <c r="K31" s="51">
        <f t="shared" si="7"/>
        <v>34.104874999999922</v>
      </c>
      <c r="L31" s="51">
        <v>108</v>
      </c>
      <c r="M31" s="51">
        <f t="shared" si="8"/>
        <v>0.34259259259259262</v>
      </c>
      <c r="N31" s="51">
        <v>10</v>
      </c>
      <c r="O31" s="51">
        <f t="shared" ref="O31:P31" si="17">D31/7</f>
        <v>5.2857142857142856</v>
      </c>
      <c r="P31" s="51">
        <f t="shared" si="17"/>
        <v>0</v>
      </c>
      <c r="Q31" s="51">
        <f t="shared" si="2"/>
        <v>1</v>
      </c>
      <c r="R31" s="55" t="s">
        <v>34</v>
      </c>
      <c r="S31" s="53" t="s">
        <v>34</v>
      </c>
      <c r="T31" s="54" t="s">
        <v>34</v>
      </c>
      <c r="U31" s="55">
        <v>0</v>
      </c>
      <c r="V31" s="55">
        <f t="shared" si="10"/>
        <v>0</v>
      </c>
      <c r="W31" s="55">
        <f t="shared" si="11"/>
        <v>0</v>
      </c>
      <c r="X31" s="55">
        <v>0</v>
      </c>
      <c r="Y31" s="55" t="s">
        <v>760</v>
      </c>
      <c r="Z31" s="56">
        <f t="shared" si="12"/>
        <v>-0.48</v>
      </c>
      <c r="AA31" s="55">
        <v>0.93515625000000002</v>
      </c>
      <c r="AB31" s="55">
        <f t="shared" si="13"/>
        <v>-49.825125</v>
      </c>
      <c r="AC31" s="55">
        <v>-13.96</v>
      </c>
      <c r="AD31" s="55">
        <v>-23.68</v>
      </c>
      <c r="AE31" s="55">
        <v>0</v>
      </c>
      <c r="AF31" s="55"/>
    </row>
    <row r="32" spans="1:32" s="57" customFormat="1" ht="15.75" customHeight="1">
      <c r="A32" s="2" t="s">
        <v>92</v>
      </c>
      <c r="B32" s="2"/>
      <c r="C32" s="51">
        <f t="shared" si="3"/>
        <v>85.99</v>
      </c>
      <c r="D32" s="51">
        <v>11</v>
      </c>
      <c r="E32" s="51">
        <v>0</v>
      </c>
      <c r="F32" s="51">
        <v>945.89</v>
      </c>
      <c r="G32" s="51">
        <v>0</v>
      </c>
      <c r="H32" s="51">
        <f t="shared" si="4"/>
        <v>0</v>
      </c>
      <c r="I32" s="51">
        <f t="shared" si="5"/>
        <v>0.39661443191068724</v>
      </c>
      <c r="J32" s="51">
        <f t="shared" si="6"/>
        <v>375.15362499999992</v>
      </c>
      <c r="K32" s="51">
        <f t="shared" si="7"/>
        <v>34.104874999999993</v>
      </c>
      <c r="L32" s="51">
        <v>8</v>
      </c>
      <c r="M32" s="51">
        <f t="shared" si="8"/>
        <v>1.375</v>
      </c>
      <c r="N32" s="51">
        <v>0</v>
      </c>
      <c r="O32" s="51">
        <f t="shared" ref="O32:P32" si="18">D32/7</f>
        <v>1.5714285714285714</v>
      </c>
      <c r="P32" s="51">
        <f t="shared" si="18"/>
        <v>0</v>
      </c>
      <c r="Q32" s="51">
        <f t="shared" si="2"/>
        <v>0</v>
      </c>
      <c r="R32" s="55" t="s">
        <v>34</v>
      </c>
      <c r="S32" s="53" t="s">
        <v>34</v>
      </c>
      <c r="T32" s="54" t="s">
        <v>34</v>
      </c>
      <c r="U32" s="55">
        <v>0</v>
      </c>
      <c r="V32" s="55">
        <f t="shared" si="10"/>
        <v>0</v>
      </c>
      <c r="W32" s="55">
        <f t="shared" si="11"/>
        <v>0</v>
      </c>
      <c r="X32" s="55">
        <v>0</v>
      </c>
      <c r="Y32" s="55" t="s">
        <v>760</v>
      </c>
      <c r="Z32" s="56">
        <f t="shared" si="12"/>
        <v>-0.48</v>
      </c>
      <c r="AA32" s="55">
        <v>0.93515625000000002</v>
      </c>
      <c r="AB32" s="55">
        <f t="shared" si="13"/>
        <v>-14.812874999999998</v>
      </c>
      <c r="AC32" s="55">
        <v>-13.96</v>
      </c>
      <c r="AD32" s="55">
        <v>-23.68</v>
      </c>
      <c r="AE32" s="55">
        <v>0</v>
      </c>
      <c r="AF32" s="52" t="e">
        <v>#N/A</v>
      </c>
    </row>
    <row r="33" spans="1:32" s="57" customFormat="1" ht="15.75" customHeight="1">
      <c r="A33" s="2" t="s">
        <v>94</v>
      </c>
      <c r="B33" s="2"/>
      <c r="C33" s="51" t="str">
        <f t="shared" si="3"/>
        <v xml:space="preserve"> - </v>
      </c>
      <c r="D33" s="51">
        <v>0</v>
      </c>
      <c r="E33" s="51">
        <v>0</v>
      </c>
      <c r="F33" s="51">
        <v>0</v>
      </c>
      <c r="G33" s="51">
        <v>0</v>
      </c>
      <c r="H33" s="51" t="e">
        <f t="shared" si="4"/>
        <v>#DIV/0!</v>
      </c>
      <c r="I33" s="51" t="e">
        <f t="shared" si="5"/>
        <v>#DIV/0!</v>
      </c>
      <c r="J33" s="51">
        <f t="shared" si="6"/>
        <v>0</v>
      </c>
      <c r="K33" s="51" t="e">
        <f t="shared" si="7"/>
        <v>#DIV/0!</v>
      </c>
      <c r="L33" s="51">
        <v>0</v>
      </c>
      <c r="M33" s="51" t="str">
        <f t="shared" si="8"/>
        <v>-</v>
      </c>
      <c r="N33" s="51">
        <v>0</v>
      </c>
      <c r="O33" s="51">
        <f t="shared" ref="O33:P33" si="19">D33/7</f>
        <v>0</v>
      </c>
      <c r="P33" s="51">
        <f t="shared" si="19"/>
        <v>0</v>
      </c>
      <c r="Q33" s="51" t="e">
        <f t="shared" si="2"/>
        <v>#DIV/0!</v>
      </c>
      <c r="R33" s="55" t="s">
        <v>34</v>
      </c>
      <c r="S33" s="53" t="s">
        <v>34</v>
      </c>
      <c r="T33" s="54" t="s">
        <v>34</v>
      </c>
      <c r="U33" s="55">
        <v>0</v>
      </c>
      <c r="V33" s="55">
        <f t="shared" si="10"/>
        <v>0</v>
      </c>
      <c r="W33" s="55">
        <f t="shared" si="11"/>
        <v>0</v>
      </c>
      <c r="X33" s="55">
        <v>0</v>
      </c>
      <c r="Y33" s="55" t="e">
        <v>#N/A</v>
      </c>
      <c r="Z33" s="56" t="e">
        <f t="shared" si="12"/>
        <v>#N/A</v>
      </c>
      <c r="AA33" s="55" t="e">
        <v>#N/A</v>
      </c>
      <c r="AB33" s="55">
        <f t="shared" si="13"/>
        <v>0</v>
      </c>
      <c r="AC33" s="55">
        <v>0</v>
      </c>
      <c r="AD33" s="55">
        <v>0</v>
      </c>
      <c r="AE33" s="55">
        <v>0</v>
      </c>
      <c r="AF33" s="55">
        <v>40.857142857142797</v>
      </c>
    </row>
    <row r="34" spans="1:32" s="57" customFormat="1" ht="15.75" customHeight="1">
      <c r="A34" s="2" t="s">
        <v>95</v>
      </c>
      <c r="B34" s="2"/>
      <c r="C34" s="51" t="str">
        <f t="shared" si="3"/>
        <v xml:space="preserve"> - </v>
      </c>
      <c r="D34" s="51">
        <v>0</v>
      </c>
      <c r="E34" s="51">
        <v>0</v>
      </c>
      <c r="F34" s="51">
        <v>0</v>
      </c>
      <c r="G34" s="51">
        <v>0</v>
      </c>
      <c r="H34" s="51" t="e">
        <f t="shared" si="4"/>
        <v>#DIV/0!</v>
      </c>
      <c r="I34" s="51" t="e">
        <f t="shared" si="5"/>
        <v>#N/A</v>
      </c>
      <c r="J34" s="51" t="e">
        <f t="shared" si="6"/>
        <v>#N/A</v>
      </c>
      <c r="K34" s="51" t="e">
        <f t="shared" si="7"/>
        <v>#N/A</v>
      </c>
      <c r="L34" s="51">
        <v>0</v>
      </c>
      <c r="M34" s="51" t="str">
        <f t="shared" si="8"/>
        <v>-</v>
      </c>
      <c r="N34" s="51">
        <v>0</v>
      </c>
      <c r="O34" s="51">
        <f t="shared" ref="O34:P34" si="20">D34/7</f>
        <v>0</v>
      </c>
      <c r="P34" s="51">
        <f t="shared" si="20"/>
        <v>0</v>
      </c>
      <c r="Q34" s="51" t="e">
        <f t="shared" si="2"/>
        <v>#DIV/0!</v>
      </c>
      <c r="R34" s="55" t="s">
        <v>34</v>
      </c>
      <c r="S34" s="53" t="s">
        <v>34</v>
      </c>
      <c r="T34" s="54" t="s">
        <v>34</v>
      </c>
      <c r="U34" s="55">
        <v>0</v>
      </c>
      <c r="V34" s="55">
        <f t="shared" si="10"/>
        <v>0</v>
      </c>
      <c r="W34" s="55">
        <f t="shared" si="11"/>
        <v>0</v>
      </c>
      <c r="X34" s="55">
        <v>0</v>
      </c>
      <c r="Y34" s="55" t="e">
        <v>#N/A</v>
      </c>
      <c r="Z34" s="56" t="e">
        <f t="shared" si="12"/>
        <v>#N/A</v>
      </c>
      <c r="AA34" s="55" t="e">
        <v>#N/A</v>
      </c>
      <c r="AB34" s="55">
        <f t="shared" si="13"/>
        <v>0</v>
      </c>
      <c r="AC34" s="55">
        <v>0</v>
      </c>
      <c r="AD34" s="55" t="e">
        <v>#N/A</v>
      </c>
      <c r="AE34" s="55">
        <v>0</v>
      </c>
      <c r="AF34" s="55" t="e">
        <v>#N/A</v>
      </c>
    </row>
    <row r="35" spans="1:32" s="57" customFormat="1" ht="15.75" customHeight="1">
      <c r="A35" s="2" t="s">
        <v>96</v>
      </c>
      <c r="B35" s="2"/>
      <c r="C35" s="51" t="str">
        <f t="shared" si="3"/>
        <v xml:space="preserve"> - </v>
      </c>
      <c r="D35" s="51">
        <v>0</v>
      </c>
      <c r="E35" s="51">
        <v>0</v>
      </c>
      <c r="F35" s="51">
        <v>0</v>
      </c>
      <c r="G35" s="51">
        <v>0</v>
      </c>
      <c r="H35" s="51" t="e">
        <f t="shared" si="4"/>
        <v>#DIV/0!</v>
      </c>
      <c r="I35" s="51" t="e">
        <f t="shared" si="5"/>
        <v>#DIV/0!</v>
      </c>
      <c r="J35" s="51">
        <f t="shared" si="6"/>
        <v>0</v>
      </c>
      <c r="K35" s="51" t="e">
        <f t="shared" si="7"/>
        <v>#DIV/0!</v>
      </c>
      <c r="L35" s="51">
        <v>0</v>
      </c>
      <c r="M35" s="51" t="str">
        <f t="shared" si="8"/>
        <v>-</v>
      </c>
      <c r="N35" s="51">
        <v>0</v>
      </c>
      <c r="O35" s="51">
        <f t="shared" ref="O35:P35" si="21">D35/7</f>
        <v>0</v>
      </c>
      <c r="P35" s="51">
        <f t="shared" si="21"/>
        <v>0</v>
      </c>
      <c r="Q35" s="51" t="e">
        <f t="shared" si="2"/>
        <v>#DIV/0!</v>
      </c>
      <c r="R35" s="55" t="s">
        <v>34</v>
      </c>
      <c r="S35" s="53" t="s">
        <v>34</v>
      </c>
      <c r="T35" s="54" t="s">
        <v>34</v>
      </c>
      <c r="U35" s="55">
        <v>0</v>
      </c>
      <c r="V35" s="55">
        <f t="shared" si="10"/>
        <v>0</v>
      </c>
      <c r="W35" s="55">
        <f t="shared" si="11"/>
        <v>0</v>
      </c>
      <c r="X35" s="55">
        <v>0</v>
      </c>
      <c r="Y35" s="55" t="e">
        <v>#N/A</v>
      </c>
      <c r="Z35" s="56" t="e">
        <f t="shared" si="12"/>
        <v>#N/A</v>
      </c>
      <c r="AA35" s="55" t="e">
        <v>#N/A</v>
      </c>
      <c r="AB35" s="55">
        <f t="shared" si="13"/>
        <v>0</v>
      </c>
      <c r="AC35" s="55">
        <v>0</v>
      </c>
      <c r="AD35" s="55">
        <v>0</v>
      </c>
      <c r="AE35" s="55">
        <v>0</v>
      </c>
      <c r="AF35" s="55" t="e">
        <v>#N/A</v>
      </c>
    </row>
    <row r="36" spans="1:32" s="57" customFormat="1" ht="15.75" customHeight="1">
      <c r="A36" s="2" t="s">
        <v>98</v>
      </c>
      <c r="B36" s="2"/>
      <c r="C36" s="51" t="str">
        <f t="shared" si="3"/>
        <v xml:space="preserve"> - </v>
      </c>
      <c r="D36" s="51">
        <v>0</v>
      </c>
      <c r="E36" s="51">
        <v>0</v>
      </c>
      <c r="F36" s="51">
        <v>0</v>
      </c>
      <c r="G36" s="51">
        <v>0</v>
      </c>
      <c r="H36" s="51" t="e">
        <f t="shared" si="4"/>
        <v>#DIV/0!</v>
      </c>
      <c r="I36" s="51" t="e">
        <f t="shared" si="5"/>
        <v>#DIV/0!</v>
      </c>
      <c r="J36" s="51">
        <f t="shared" si="6"/>
        <v>0</v>
      </c>
      <c r="K36" s="51" t="e">
        <f t="shared" si="7"/>
        <v>#DIV/0!</v>
      </c>
      <c r="L36" s="51">
        <v>0</v>
      </c>
      <c r="M36" s="51" t="str">
        <f t="shared" si="8"/>
        <v>-</v>
      </c>
      <c r="N36" s="51">
        <v>0</v>
      </c>
      <c r="O36" s="51">
        <f t="shared" ref="O36:P36" si="22">D36/7</f>
        <v>0</v>
      </c>
      <c r="P36" s="51">
        <f t="shared" si="22"/>
        <v>0</v>
      </c>
      <c r="Q36" s="51" t="e">
        <f t="shared" si="2"/>
        <v>#DIV/0!</v>
      </c>
      <c r="R36" s="55" t="s">
        <v>34</v>
      </c>
      <c r="S36" s="53"/>
      <c r="T36" s="54" t="s">
        <v>34</v>
      </c>
      <c r="U36" s="55"/>
      <c r="V36" s="55">
        <f t="shared" si="10"/>
        <v>0</v>
      </c>
      <c r="W36" s="55">
        <f t="shared" si="11"/>
        <v>0</v>
      </c>
      <c r="X36" s="55"/>
      <c r="Y36" s="55" t="e">
        <v>#N/A</v>
      </c>
      <c r="Z36" s="56" t="e">
        <f t="shared" si="12"/>
        <v>#N/A</v>
      </c>
      <c r="AA36" s="55" t="e">
        <v>#N/A</v>
      </c>
      <c r="AB36" s="55">
        <f t="shared" si="13"/>
        <v>0</v>
      </c>
      <c r="AC36" s="55">
        <v>0</v>
      </c>
      <c r="AD36" s="55">
        <v>0</v>
      </c>
      <c r="AE36" s="55">
        <v>0</v>
      </c>
      <c r="AF36" s="55" t="e">
        <v>#N/A</v>
      </c>
    </row>
    <row r="37" spans="1:32" s="57" customFormat="1" ht="15.75" customHeight="1">
      <c r="A37" s="2" t="s">
        <v>99</v>
      </c>
      <c r="B37" s="2"/>
      <c r="C37" s="51" t="str">
        <f t="shared" si="3"/>
        <v xml:space="preserve"> - </v>
      </c>
      <c r="D37" s="51">
        <v>0</v>
      </c>
      <c r="E37" s="51">
        <v>0</v>
      </c>
      <c r="F37" s="51">
        <v>0</v>
      </c>
      <c r="G37" s="51">
        <v>0</v>
      </c>
      <c r="H37" s="51" t="e">
        <f t="shared" si="4"/>
        <v>#DIV/0!</v>
      </c>
      <c r="I37" s="51" t="e">
        <f t="shared" si="5"/>
        <v>#DIV/0!</v>
      </c>
      <c r="J37" s="51">
        <f t="shared" si="6"/>
        <v>0</v>
      </c>
      <c r="K37" s="51" t="e">
        <f t="shared" si="7"/>
        <v>#DIV/0!</v>
      </c>
      <c r="L37" s="51">
        <v>0</v>
      </c>
      <c r="M37" s="51" t="str">
        <f t="shared" si="8"/>
        <v>-</v>
      </c>
      <c r="N37" s="51">
        <v>0</v>
      </c>
      <c r="O37" s="51">
        <f t="shared" ref="O37:P37" si="23">D37/7</f>
        <v>0</v>
      </c>
      <c r="P37" s="51">
        <f t="shared" si="23"/>
        <v>0</v>
      </c>
      <c r="Q37" s="51" t="e">
        <f t="shared" si="2"/>
        <v>#DIV/0!</v>
      </c>
      <c r="R37" s="55" t="s">
        <v>34</v>
      </c>
      <c r="S37" s="53" t="s">
        <v>34</v>
      </c>
      <c r="T37" s="54" t="s">
        <v>34</v>
      </c>
      <c r="U37" s="55">
        <v>0</v>
      </c>
      <c r="V37" s="55">
        <f t="shared" si="10"/>
        <v>0</v>
      </c>
      <c r="W37" s="55">
        <f t="shared" si="11"/>
        <v>0</v>
      </c>
      <c r="X37" s="55">
        <v>0</v>
      </c>
      <c r="Y37" s="55" t="e">
        <v>#N/A</v>
      </c>
      <c r="Z37" s="56" t="e">
        <f t="shared" si="12"/>
        <v>#N/A</v>
      </c>
      <c r="AA37" s="55" t="e">
        <v>#N/A</v>
      </c>
      <c r="AB37" s="55">
        <f t="shared" si="13"/>
        <v>0</v>
      </c>
      <c r="AC37" s="55">
        <v>0</v>
      </c>
      <c r="AD37" s="55">
        <v>0</v>
      </c>
      <c r="AE37" s="55">
        <v>0</v>
      </c>
      <c r="AF37" s="55" t="e">
        <v>#N/A</v>
      </c>
    </row>
    <row r="38" spans="1:32" s="57" customFormat="1" ht="15.75" customHeight="1">
      <c r="A38" s="2" t="s">
        <v>100</v>
      </c>
      <c r="B38" s="2"/>
      <c r="C38" s="51" t="str">
        <f t="shared" si="3"/>
        <v xml:space="preserve"> - </v>
      </c>
      <c r="D38" s="51">
        <v>0</v>
      </c>
      <c r="E38" s="51">
        <v>0</v>
      </c>
      <c r="F38" s="51">
        <v>0</v>
      </c>
      <c r="G38" s="51">
        <v>0</v>
      </c>
      <c r="H38" s="51" t="e">
        <f t="shared" si="4"/>
        <v>#DIV/0!</v>
      </c>
      <c r="I38" s="51" t="e">
        <f t="shared" si="5"/>
        <v>#DIV/0!</v>
      </c>
      <c r="J38" s="51">
        <f t="shared" si="6"/>
        <v>0</v>
      </c>
      <c r="K38" s="51" t="e">
        <f t="shared" si="7"/>
        <v>#DIV/0!</v>
      </c>
      <c r="L38" s="51">
        <v>0</v>
      </c>
      <c r="M38" s="51" t="str">
        <f t="shared" si="8"/>
        <v>-</v>
      </c>
      <c r="N38" s="51">
        <v>0</v>
      </c>
      <c r="O38" s="51">
        <f t="shared" ref="O38:P38" si="24">D38/7</f>
        <v>0</v>
      </c>
      <c r="P38" s="51">
        <f t="shared" si="24"/>
        <v>0</v>
      </c>
      <c r="Q38" s="51" t="e">
        <f t="shared" si="2"/>
        <v>#DIV/0!</v>
      </c>
      <c r="R38" s="55" t="s">
        <v>34</v>
      </c>
      <c r="S38" s="53"/>
      <c r="T38" s="54" t="s">
        <v>34</v>
      </c>
      <c r="U38" s="55">
        <v>0</v>
      </c>
      <c r="V38" s="55">
        <f t="shared" si="10"/>
        <v>0</v>
      </c>
      <c r="W38" s="55">
        <f t="shared" si="11"/>
        <v>0</v>
      </c>
      <c r="X38" s="55">
        <v>0</v>
      </c>
      <c r="Y38" s="55" t="e">
        <v>#N/A</v>
      </c>
      <c r="Z38" s="56" t="e">
        <f t="shared" si="12"/>
        <v>#N/A</v>
      </c>
      <c r="AA38" s="55" t="e">
        <v>#N/A</v>
      </c>
      <c r="AB38" s="55">
        <f t="shared" si="13"/>
        <v>0</v>
      </c>
      <c r="AC38" s="55">
        <v>0</v>
      </c>
      <c r="AD38" s="55">
        <v>0</v>
      </c>
      <c r="AE38" s="55">
        <v>0</v>
      </c>
      <c r="AF38" s="55" t="e">
        <v>#N/A</v>
      </c>
    </row>
    <row r="39" spans="1:32" s="57" customFormat="1" ht="15.75" customHeight="1">
      <c r="A39" s="2" t="s">
        <v>101</v>
      </c>
      <c r="B39" s="2"/>
      <c r="C39" s="51" t="str">
        <f t="shared" si="3"/>
        <v xml:space="preserve"> - </v>
      </c>
      <c r="D39" s="51">
        <v>0</v>
      </c>
      <c r="E39" s="51">
        <v>0</v>
      </c>
      <c r="F39" s="51">
        <v>0</v>
      </c>
      <c r="G39" s="51">
        <v>0</v>
      </c>
      <c r="H39" s="51" t="e">
        <f t="shared" si="4"/>
        <v>#DIV/0!</v>
      </c>
      <c r="I39" s="51" t="e">
        <f t="shared" si="5"/>
        <v>#DIV/0!</v>
      </c>
      <c r="J39" s="51">
        <f>F39*0.85+G39+AD39*D39+D39*AC39+AE40+AB39</f>
        <v>0</v>
      </c>
      <c r="K39" s="51" t="e">
        <f t="shared" si="7"/>
        <v>#DIV/0!</v>
      </c>
      <c r="L39" s="51">
        <v>0</v>
      </c>
      <c r="M39" s="51" t="str">
        <f t="shared" si="8"/>
        <v>-</v>
      </c>
      <c r="N39" s="51">
        <v>0</v>
      </c>
      <c r="O39" s="51">
        <f t="shared" ref="O39:P39" si="25">D39/7</f>
        <v>0</v>
      </c>
      <c r="P39" s="51">
        <f t="shared" si="25"/>
        <v>0</v>
      </c>
      <c r="Q39" s="51" t="e">
        <f t="shared" si="2"/>
        <v>#DIV/0!</v>
      </c>
      <c r="R39" s="55" t="s">
        <v>34</v>
      </c>
      <c r="S39" s="53" t="s">
        <v>34</v>
      </c>
      <c r="T39" s="54" t="s">
        <v>34</v>
      </c>
      <c r="U39" s="55">
        <v>0</v>
      </c>
      <c r="V39" s="55">
        <f t="shared" si="10"/>
        <v>0</v>
      </c>
      <c r="W39" s="55">
        <f t="shared" si="11"/>
        <v>0</v>
      </c>
      <c r="X39" s="55">
        <v>0</v>
      </c>
      <c r="Y39" s="55" t="e">
        <v>#N/A</v>
      </c>
      <c r="Z39" s="56" t="e">
        <f t="shared" si="12"/>
        <v>#N/A</v>
      </c>
      <c r="AA39" s="55" t="e">
        <v>#N/A</v>
      </c>
      <c r="AB39" s="55">
        <f t="shared" si="13"/>
        <v>0</v>
      </c>
      <c r="AC39" s="55">
        <v>0</v>
      </c>
      <c r="AD39" s="55">
        <v>0</v>
      </c>
      <c r="AE39" s="55">
        <v>0</v>
      </c>
      <c r="AF39" s="55" t="e">
        <v>#N/A</v>
      </c>
    </row>
    <row r="40" spans="1:32" s="57" customFormat="1" ht="15.75" customHeight="1">
      <c r="A40" s="2" t="s">
        <v>102</v>
      </c>
      <c r="B40" s="2"/>
      <c r="C40" s="51" t="s">
        <v>103</v>
      </c>
      <c r="D40" s="51">
        <v>0</v>
      </c>
      <c r="E40" s="51">
        <v>0</v>
      </c>
      <c r="F40" s="51">
        <v>0</v>
      </c>
      <c r="G40" s="51">
        <v>0</v>
      </c>
      <c r="H40" s="51" t="e">
        <v>#DIV/0!</v>
      </c>
      <c r="I40" s="51" t="e">
        <v>#DIV/0!</v>
      </c>
      <c r="J40" s="51">
        <v>0</v>
      </c>
      <c r="K40" s="51" t="e">
        <v>#DIV/0!</v>
      </c>
      <c r="L40" s="51">
        <v>0</v>
      </c>
      <c r="M40" s="51" t="s">
        <v>104</v>
      </c>
      <c r="N40" s="51">
        <v>0</v>
      </c>
      <c r="O40" s="51">
        <v>0</v>
      </c>
      <c r="P40" s="51">
        <v>0</v>
      </c>
      <c r="Q40" s="51" t="e">
        <v>#DIV/0!</v>
      </c>
      <c r="R40" s="55" t="s">
        <v>34</v>
      </c>
      <c r="S40" s="53" t="s">
        <v>34</v>
      </c>
      <c r="T40" s="54" t="s">
        <v>34</v>
      </c>
      <c r="U40" s="55">
        <v>0</v>
      </c>
      <c r="V40" s="55">
        <v>0</v>
      </c>
      <c r="W40" s="55">
        <v>0</v>
      </c>
      <c r="X40" s="55">
        <v>0</v>
      </c>
      <c r="Y40" s="55" t="e">
        <v>#N/A</v>
      </c>
      <c r="Z40" s="56" t="e">
        <v>#N/A</v>
      </c>
      <c r="AA40" s="55" t="e">
        <v>#N/A</v>
      </c>
      <c r="AB40" s="55">
        <v>0</v>
      </c>
      <c r="AC40" s="55">
        <v>0</v>
      </c>
      <c r="AD40" s="55">
        <v>0</v>
      </c>
      <c r="AE40" s="55">
        <v>0</v>
      </c>
      <c r="AF40" s="55" t="e">
        <v>#N/A</v>
      </c>
    </row>
    <row r="41" spans="1:32" s="57" customFormat="1" ht="15.75" customHeight="1">
      <c r="A41" s="2" t="s">
        <v>105</v>
      </c>
      <c r="B41" s="2"/>
      <c r="C41" s="51" t="str">
        <f t="shared" ref="C41:C56" si="26">IFERROR(F41/D41," - ")</f>
        <v xml:space="preserve"> - </v>
      </c>
      <c r="D41" s="51">
        <v>0</v>
      </c>
      <c r="E41" s="51">
        <v>0</v>
      </c>
      <c r="F41" s="51">
        <v>0</v>
      </c>
      <c r="G41" s="51">
        <v>0</v>
      </c>
      <c r="H41" s="51" t="e">
        <f t="shared" ref="H41:H56" si="27">G41/F41*-1</f>
        <v>#DIV/0!</v>
      </c>
      <c r="I41" s="51" t="e">
        <f t="shared" ref="I41:I56" si="28">J41/F41</f>
        <v>#DIV/0!</v>
      </c>
      <c r="J41" s="51">
        <f t="shared" ref="J41:J48" si="29">F41*0.85+G41+AD41*D41+D41*AC41+AE42+AB41</f>
        <v>0</v>
      </c>
      <c r="K41" s="51" t="e">
        <f t="shared" ref="K41:K56" si="30">J41/D41</f>
        <v>#DIV/0!</v>
      </c>
      <c r="L41" s="51">
        <v>0</v>
      </c>
      <c r="M41" s="51" t="str">
        <f t="shared" ref="M41:M56" si="31">IFERROR(D41/L41,"-")</f>
        <v>-</v>
      </c>
      <c r="N41" s="51">
        <v>0</v>
      </c>
      <c r="O41" s="51">
        <f t="shared" ref="O41:P41" si="32">D41/7</f>
        <v>0</v>
      </c>
      <c r="P41" s="51">
        <f t="shared" si="32"/>
        <v>0</v>
      </c>
      <c r="Q41" s="51" t="e">
        <f t="shared" ref="Q41:Q56" si="33">ROUNDDOWN(N41/(O41+P41),0)</f>
        <v>#DIV/0!</v>
      </c>
      <c r="R41" s="55" t="s">
        <v>34</v>
      </c>
      <c r="S41" s="53" t="s">
        <v>34</v>
      </c>
      <c r="T41" s="54" t="s">
        <v>34</v>
      </c>
      <c r="U41" s="55">
        <v>0</v>
      </c>
      <c r="V41" s="55">
        <f t="shared" ref="V41:V56" si="34">IFERROR(U41/D41,0)</f>
        <v>0</v>
      </c>
      <c r="W41" s="55">
        <f t="shared" ref="W41:W56" si="35">IFERROR(G41/(U41+X41)*-1,0)</f>
        <v>0</v>
      </c>
      <c r="X41" s="55">
        <v>0</v>
      </c>
      <c r="Y41" s="52" t="e">
        <v>#N/A</v>
      </c>
      <c r="Z41" s="56" t="e">
        <f t="shared" ref="Z41:Z43" si="36">IF(OR(Y41="UsLargeStandardSize",Y41="UsSmallStandardSize"),-0.75,-0.48)</f>
        <v>#N/A</v>
      </c>
      <c r="AA41" s="55" t="e">
        <v>#N/A</v>
      </c>
      <c r="AB41" s="55">
        <f t="shared" ref="AB41:AB56" si="37">IFERROR(Z41*AA41*D41*3,0)</f>
        <v>0</v>
      </c>
      <c r="AC41" s="55">
        <v>0</v>
      </c>
      <c r="AD41" s="55">
        <v>0</v>
      </c>
      <c r="AE41" s="55">
        <v>0</v>
      </c>
      <c r="AF41" s="55" t="e">
        <v>#N/A</v>
      </c>
    </row>
    <row r="42" spans="1:32" s="57" customFormat="1" ht="15.75" customHeight="1">
      <c r="A42" s="2" t="s">
        <v>106</v>
      </c>
      <c r="B42" s="2"/>
      <c r="C42" s="51" t="str">
        <f t="shared" si="26"/>
        <v xml:space="preserve"> - </v>
      </c>
      <c r="D42" s="51">
        <v>0</v>
      </c>
      <c r="E42" s="51">
        <v>0</v>
      </c>
      <c r="F42" s="51">
        <v>0</v>
      </c>
      <c r="G42" s="51">
        <v>0</v>
      </c>
      <c r="H42" s="51" t="e">
        <f t="shared" si="27"/>
        <v>#DIV/0!</v>
      </c>
      <c r="I42" s="51" t="e">
        <f t="shared" si="28"/>
        <v>#DIV/0!</v>
      </c>
      <c r="J42" s="51">
        <f t="shared" si="29"/>
        <v>0</v>
      </c>
      <c r="K42" s="51" t="e">
        <f t="shared" si="30"/>
        <v>#DIV/0!</v>
      </c>
      <c r="L42" s="51">
        <v>0</v>
      </c>
      <c r="M42" s="51" t="str">
        <f t="shared" si="31"/>
        <v>-</v>
      </c>
      <c r="N42" s="51">
        <v>0</v>
      </c>
      <c r="O42" s="51">
        <f t="shared" ref="O42:P42" si="38">D42/7</f>
        <v>0</v>
      </c>
      <c r="P42" s="51">
        <f t="shared" si="38"/>
        <v>0</v>
      </c>
      <c r="Q42" s="51" t="e">
        <f t="shared" si="33"/>
        <v>#DIV/0!</v>
      </c>
      <c r="R42" s="55" t="str">
        <f ca="1">IFERROR(__xludf.DUMMYFUNCTION("IFERROR(VLOOKUP($B$2,IMPORTRANGE(""https://docs.google.com/spreadsheets/d/1iVgg6Mw12RULLujzHmfOFIY8Q_KaAD8anoZzgtVAQ74/edit#gid=1503384807"",""Second Star - Summary!A1:AD2000""),9,FALSE),"""")"),"")</f>
        <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0</v>
      </c>
      <c r="V42" s="55">
        <f t="shared" si="34"/>
        <v>0</v>
      </c>
      <c r="W42" s="55">
        <f t="shared" si="35"/>
        <v>0</v>
      </c>
      <c r="X42" s="55">
        <v>0</v>
      </c>
      <c r="Y42" s="55" t="e">
        <v>#N/A</v>
      </c>
      <c r="Z42" s="56" t="e">
        <f t="shared" si="36"/>
        <v>#N/A</v>
      </c>
      <c r="AA42" s="55" t="e">
        <v>#N/A</v>
      </c>
      <c r="AB42" s="55">
        <f t="shared" si="37"/>
        <v>0</v>
      </c>
      <c r="AC42" s="55">
        <v>0</v>
      </c>
      <c r="AD42" s="55">
        <v>0</v>
      </c>
      <c r="AE42" s="55">
        <v>0</v>
      </c>
      <c r="AF42" s="55" t="e">
        <v>#N/A</v>
      </c>
    </row>
    <row r="43" spans="1:32" s="57" customFormat="1" ht="15.75" customHeight="1">
      <c r="A43" s="2" t="s">
        <v>107</v>
      </c>
      <c r="B43" s="2"/>
      <c r="C43" s="51" t="str">
        <f t="shared" si="26"/>
        <v xml:space="preserve"> - </v>
      </c>
      <c r="D43" s="51">
        <v>0</v>
      </c>
      <c r="E43" s="51">
        <v>0</v>
      </c>
      <c r="F43" s="51">
        <v>0</v>
      </c>
      <c r="G43" s="51">
        <v>0</v>
      </c>
      <c r="H43" s="51" t="e">
        <f t="shared" si="27"/>
        <v>#DIV/0!</v>
      </c>
      <c r="I43" s="51" t="e">
        <f t="shared" si="28"/>
        <v>#DIV/0!</v>
      </c>
      <c r="J43" s="51">
        <f t="shared" si="29"/>
        <v>0</v>
      </c>
      <c r="K43" s="51" t="e">
        <f t="shared" si="30"/>
        <v>#DIV/0!</v>
      </c>
      <c r="L43" s="51">
        <v>0</v>
      </c>
      <c r="M43" s="51" t="str">
        <f t="shared" si="31"/>
        <v>-</v>
      </c>
      <c r="N43" s="51">
        <v>0</v>
      </c>
      <c r="O43" s="51">
        <f t="shared" ref="O43:P43" si="39">D43/7</f>
        <v>0</v>
      </c>
      <c r="P43" s="51">
        <f t="shared" si="39"/>
        <v>0</v>
      </c>
      <c r="Q43" s="51" t="e">
        <f t="shared" si="33"/>
        <v>#DIV/0!</v>
      </c>
      <c r="R43" s="55" t="s">
        <v>34</v>
      </c>
      <c r="S43" s="53" t="s">
        <v>34</v>
      </c>
      <c r="T43" s="54" t="s">
        <v>34</v>
      </c>
      <c r="U43" s="55">
        <v>0</v>
      </c>
      <c r="V43" s="55">
        <f t="shared" si="34"/>
        <v>0</v>
      </c>
      <c r="W43" s="55">
        <f t="shared" si="35"/>
        <v>0</v>
      </c>
      <c r="X43" s="55">
        <v>0</v>
      </c>
      <c r="Y43" s="55" t="e">
        <v>#N/A</v>
      </c>
      <c r="Z43" s="56" t="e">
        <f t="shared" si="36"/>
        <v>#N/A</v>
      </c>
      <c r="AA43" s="55" t="e">
        <v>#N/A</v>
      </c>
      <c r="AB43" s="55">
        <f t="shared" si="37"/>
        <v>0</v>
      </c>
      <c r="AC43" s="55">
        <v>0</v>
      </c>
      <c r="AD43" s="55">
        <v>0</v>
      </c>
      <c r="AE43" s="55">
        <v>0</v>
      </c>
      <c r="AF43" s="55" t="e">
        <v>#N/A</v>
      </c>
    </row>
    <row r="44" spans="1:32" s="57" customFormat="1" ht="15.75" customHeight="1">
      <c r="A44" s="2" t="s">
        <v>108</v>
      </c>
      <c r="B44" s="2"/>
      <c r="C44" s="51" t="str">
        <f t="shared" si="26"/>
        <v xml:space="preserve"> - </v>
      </c>
      <c r="D44" s="51">
        <v>0</v>
      </c>
      <c r="E44" s="51">
        <v>0</v>
      </c>
      <c r="F44" s="51">
        <v>0</v>
      </c>
      <c r="G44" s="51">
        <v>0</v>
      </c>
      <c r="H44" s="51" t="e">
        <f t="shared" si="27"/>
        <v>#DIV/0!</v>
      </c>
      <c r="I44" s="51" t="e">
        <f t="shared" si="28"/>
        <v>#DIV/0!</v>
      </c>
      <c r="J44" s="51">
        <f t="shared" si="29"/>
        <v>0</v>
      </c>
      <c r="K44" s="51" t="e">
        <f t="shared" si="30"/>
        <v>#DIV/0!</v>
      </c>
      <c r="L44" s="51">
        <v>0</v>
      </c>
      <c r="M44" s="51" t="str">
        <f t="shared" si="31"/>
        <v>-</v>
      </c>
      <c r="N44" s="51">
        <v>0</v>
      </c>
      <c r="O44" s="51">
        <f t="shared" ref="O44:P44" si="40">D44/7</f>
        <v>0</v>
      </c>
      <c r="P44" s="51">
        <f t="shared" si="40"/>
        <v>0</v>
      </c>
      <c r="Q44" s="51" t="e">
        <f t="shared" si="33"/>
        <v>#DIV/0!</v>
      </c>
      <c r="R44" s="55" t="s">
        <v>34</v>
      </c>
      <c r="S44" s="53" t="s">
        <v>34</v>
      </c>
      <c r="T44" s="54" t="s">
        <v>34</v>
      </c>
      <c r="U44" s="55">
        <v>0</v>
      </c>
      <c r="V44" s="55">
        <f t="shared" si="34"/>
        <v>0</v>
      </c>
      <c r="W44" s="55">
        <f t="shared" si="35"/>
        <v>0</v>
      </c>
      <c r="X44" s="55">
        <v>0</v>
      </c>
      <c r="Y44" s="55" t="e">
        <v>#N/A</v>
      </c>
      <c r="Z44" s="56" t="e">
        <f t="shared" ref="Z44:Z56" si="41">IF(OR(Y44="UsLargeStandardSize",Y44="UsSmallStandardSize"),-2.4,-1.2)</f>
        <v>#N/A</v>
      </c>
      <c r="AA44" s="55" t="e">
        <v>#N/A</v>
      </c>
      <c r="AB44" s="55">
        <f t="shared" si="37"/>
        <v>0</v>
      </c>
      <c r="AC44" s="55">
        <v>0</v>
      </c>
      <c r="AD44" s="55">
        <v>0</v>
      </c>
      <c r="AE44" s="55">
        <v>0</v>
      </c>
      <c r="AF44" s="55" t="e">
        <v>#N/A</v>
      </c>
    </row>
    <row r="45" spans="1:32" s="57" customFormat="1" ht="15.75" customHeight="1">
      <c r="A45" s="2" t="s">
        <v>109</v>
      </c>
      <c r="B45" s="2"/>
      <c r="C45" s="51" t="str">
        <f t="shared" si="26"/>
        <v xml:space="preserve"> - </v>
      </c>
      <c r="D45" s="51">
        <v>0</v>
      </c>
      <c r="E45" s="51">
        <v>0</v>
      </c>
      <c r="F45" s="51">
        <v>0</v>
      </c>
      <c r="G45" s="51">
        <v>0</v>
      </c>
      <c r="H45" s="51" t="e">
        <f t="shared" si="27"/>
        <v>#DIV/0!</v>
      </c>
      <c r="I45" s="51" t="e">
        <f t="shared" si="28"/>
        <v>#DIV/0!</v>
      </c>
      <c r="J45" s="51">
        <f t="shared" si="29"/>
        <v>0</v>
      </c>
      <c r="K45" s="51" t="e">
        <f t="shared" si="30"/>
        <v>#DIV/0!</v>
      </c>
      <c r="L45" s="51">
        <v>0</v>
      </c>
      <c r="M45" s="51" t="str">
        <f t="shared" si="31"/>
        <v>-</v>
      </c>
      <c r="N45" s="51">
        <v>0</v>
      </c>
      <c r="O45" s="51">
        <f t="shared" ref="O45:P45" si="42">D45/7</f>
        <v>0</v>
      </c>
      <c r="P45" s="51">
        <f t="shared" si="42"/>
        <v>0</v>
      </c>
      <c r="Q45" s="51" t="e">
        <f t="shared" si="33"/>
        <v>#DIV/0!</v>
      </c>
      <c r="R45" s="55" t="s">
        <v>34</v>
      </c>
      <c r="S45" s="53" t="s">
        <v>34</v>
      </c>
      <c r="T45" s="54" t="s">
        <v>34</v>
      </c>
      <c r="U45" s="55">
        <v>0</v>
      </c>
      <c r="V45" s="55">
        <f t="shared" si="34"/>
        <v>0</v>
      </c>
      <c r="W45" s="55">
        <f t="shared" si="35"/>
        <v>0</v>
      </c>
      <c r="X45" s="55">
        <v>0</v>
      </c>
      <c r="Y45" s="55" t="e">
        <v>#N/A</v>
      </c>
      <c r="Z45" s="56" t="e">
        <f t="shared" si="41"/>
        <v>#N/A</v>
      </c>
      <c r="AA45" s="55" t="e">
        <v>#N/A</v>
      </c>
      <c r="AB45" s="55">
        <f t="shared" si="37"/>
        <v>0</v>
      </c>
      <c r="AC45" s="55">
        <v>0</v>
      </c>
      <c r="AD45" s="55">
        <v>0</v>
      </c>
      <c r="AE45" s="55">
        <v>0</v>
      </c>
      <c r="AF45" s="55" t="e">
        <v>#N/A</v>
      </c>
    </row>
    <row r="46" spans="1:32" s="57" customFormat="1" ht="15.75" customHeight="1">
      <c r="A46" s="2" t="s">
        <v>111</v>
      </c>
      <c r="B46" s="2"/>
      <c r="C46" s="51" t="str">
        <f t="shared" si="26"/>
        <v xml:space="preserve"> - </v>
      </c>
      <c r="D46" s="51">
        <v>0</v>
      </c>
      <c r="E46" s="51">
        <v>0</v>
      </c>
      <c r="F46" s="51">
        <v>0</v>
      </c>
      <c r="G46" s="51">
        <v>0</v>
      </c>
      <c r="H46" s="51" t="e">
        <f t="shared" si="27"/>
        <v>#DIV/0!</v>
      </c>
      <c r="I46" s="51" t="e">
        <f t="shared" si="28"/>
        <v>#DIV/0!</v>
      </c>
      <c r="J46" s="51">
        <f t="shared" si="29"/>
        <v>0</v>
      </c>
      <c r="K46" s="51" t="e">
        <f t="shared" si="30"/>
        <v>#DIV/0!</v>
      </c>
      <c r="L46" s="51">
        <v>0</v>
      </c>
      <c r="M46" s="51" t="str">
        <f t="shared" si="31"/>
        <v>-</v>
      </c>
      <c r="N46" s="51">
        <v>0</v>
      </c>
      <c r="O46" s="51">
        <f t="shared" ref="O46:P46" si="43">D46/7</f>
        <v>0</v>
      </c>
      <c r="P46" s="51">
        <f t="shared" si="43"/>
        <v>0</v>
      </c>
      <c r="Q46" s="51" t="e">
        <f t="shared" si="33"/>
        <v>#DIV/0!</v>
      </c>
      <c r="R46" s="55" t="s">
        <v>34</v>
      </c>
      <c r="S46" s="53" t="s">
        <v>34</v>
      </c>
      <c r="T46" s="54" t="s">
        <v>34</v>
      </c>
      <c r="U46" s="55">
        <v>0</v>
      </c>
      <c r="V46" s="55">
        <f t="shared" si="34"/>
        <v>0</v>
      </c>
      <c r="W46" s="55">
        <f t="shared" si="35"/>
        <v>0</v>
      </c>
      <c r="X46" s="55">
        <v>0</v>
      </c>
      <c r="Y46" s="55" t="e">
        <v>#N/A</v>
      </c>
      <c r="Z46" s="56" t="e">
        <f t="shared" si="41"/>
        <v>#N/A</v>
      </c>
      <c r="AA46" s="55" t="e">
        <v>#N/A</v>
      </c>
      <c r="AB46" s="55">
        <f t="shared" si="37"/>
        <v>0</v>
      </c>
      <c r="AC46" s="55">
        <v>0</v>
      </c>
      <c r="AD46" s="55">
        <v>0</v>
      </c>
      <c r="AE46" s="55">
        <v>0</v>
      </c>
      <c r="AF46" s="55" t="e">
        <v>#N/A</v>
      </c>
    </row>
    <row r="47" spans="1:32" s="57" customFormat="1" ht="15.75" customHeight="1">
      <c r="A47" s="2" t="s">
        <v>113</v>
      </c>
      <c r="B47" s="2"/>
      <c r="C47" s="51" t="str">
        <f t="shared" si="26"/>
        <v xml:space="preserve"> - </v>
      </c>
      <c r="D47" s="51">
        <v>0</v>
      </c>
      <c r="E47" s="51">
        <v>0</v>
      </c>
      <c r="F47" s="51">
        <v>0</v>
      </c>
      <c r="G47" s="51">
        <v>0</v>
      </c>
      <c r="H47" s="51" t="e">
        <f t="shared" si="27"/>
        <v>#DIV/0!</v>
      </c>
      <c r="I47" s="51" t="e">
        <f t="shared" si="28"/>
        <v>#VALUE!</v>
      </c>
      <c r="J47" s="51" t="e">
        <f t="shared" si="29"/>
        <v>#VALUE!</v>
      </c>
      <c r="K47" s="51" t="e">
        <f t="shared" si="30"/>
        <v>#VALUE!</v>
      </c>
      <c r="L47" s="51">
        <v>0</v>
      </c>
      <c r="M47" s="51" t="str">
        <f t="shared" si="31"/>
        <v>-</v>
      </c>
      <c r="N47" s="51">
        <v>0</v>
      </c>
      <c r="O47" s="51">
        <f t="shared" ref="O47:P47" si="44">D47/7</f>
        <v>0</v>
      </c>
      <c r="P47" s="51">
        <f t="shared" si="44"/>
        <v>0</v>
      </c>
      <c r="Q47" s="51" t="e">
        <f t="shared" si="33"/>
        <v>#DIV/0!</v>
      </c>
      <c r="R47" s="55" t="s">
        <v>34</v>
      </c>
      <c r="S47" s="53" t="s">
        <v>34</v>
      </c>
      <c r="T47" s="54" t="s">
        <v>34</v>
      </c>
      <c r="U47" s="55">
        <v>0</v>
      </c>
      <c r="V47" s="55">
        <f t="shared" si="34"/>
        <v>0</v>
      </c>
      <c r="W47" s="55">
        <f t="shared" si="35"/>
        <v>0</v>
      </c>
      <c r="X47" s="55">
        <v>0</v>
      </c>
      <c r="Y47" s="55" t="e">
        <v>#N/A</v>
      </c>
      <c r="Z47" s="56" t="e">
        <f t="shared" si="41"/>
        <v>#N/A</v>
      </c>
      <c r="AA47" s="55" t="e">
        <v>#N/A</v>
      </c>
      <c r="AB47" s="55">
        <f t="shared" si="37"/>
        <v>0</v>
      </c>
      <c r="AC47" s="55">
        <v>0</v>
      </c>
      <c r="AD47" s="55" t="e">
        <v>#VALUE!</v>
      </c>
      <c r="AE47" s="55">
        <v>0</v>
      </c>
      <c r="AF47" s="55" t="e">
        <v>#N/A</v>
      </c>
    </row>
    <row r="48" spans="1:32" s="57" customFormat="1" ht="15.75" customHeight="1">
      <c r="A48" s="2" t="s">
        <v>115</v>
      </c>
      <c r="B48" s="2"/>
      <c r="C48" s="51" t="str">
        <f t="shared" si="26"/>
        <v xml:space="preserve"> - </v>
      </c>
      <c r="D48" s="51">
        <v>0</v>
      </c>
      <c r="E48" s="51">
        <v>0</v>
      </c>
      <c r="F48" s="51">
        <v>0</v>
      </c>
      <c r="G48" s="51">
        <v>0</v>
      </c>
      <c r="H48" s="51" t="e">
        <f t="shared" si="27"/>
        <v>#DIV/0!</v>
      </c>
      <c r="I48" s="51" t="e">
        <f t="shared" si="28"/>
        <v>#VALUE!</v>
      </c>
      <c r="J48" s="51" t="e">
        <f t="shared" si="29"/>
        <v>#VALUE!</v>
      </c>
      <c r="K48" s="51" t="e">
        <f t="shared" si="30"/>
        <v>#VALUE!</v>
      </c>
      <c r="L48" s="51">
        <v>0</v>
      </c>
      <c r="M48" s="51" t="str">
        <f t="shared" si="31"/>
        <v>-</v>
      </c>
      <c r="N48" s="51">
        <v>0</v>
      </c>
      <c r="O48" s="51">
        <f t="shared" ref="O48:P48" si="45">D48/7</f>
        <v>0</v>
      </c>
      <c r="P48" s="51">
        <f t="shared" si="45"/>
        <v>0</v>
      </c>
      <c r="Q48" s="51" t="e">
        <f t="shared" si="33"/>
        <v>#DIV/0!</v>
      </c>
      <c r="R48" s="55" t="str">
        <f ca="1">IFERROR(__xludf.DUMMYFUNCTION("IFERROR(VLOOKUP($B$2,IMPORTRANGE(""https://docs.google.com/spreadsheets/d/1iVgg6Mw12RULLujzHmfOFIY8Q_KaAD8anoZzgtVAQ74/edit#gid=1503384807"",""Second Star - Summary!A1:AD2000""),9,FALSE),"""")"),"")</f>
        <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si="34"/>
        <v>0</v>
      </c>
      <c r="W48" s="55">
        <f t="shared" si="35"/>
        <v>0</v>
      </c>
      <c r="X48" s="55">
        <v>0</v>
      </c>
      <c r="Y48" s="55" t="e">
        <v>#N/A</v>
      </c>
      <c r="Z48" s="56" t="e">
        <f t="shared" si="41"/>
        <v>#N/A</v>
      </c>
      <c r="AA48" s="55" t="e">
        <v>#N/A</v>
      </c>
      <c r="AB48" s="55">
        <f t="shared" si="37"/>
        <v>0</v>
      </c>
      <c r="AC48" s="55">
        <v>0</v>
      </c>
      <c r="AD48" s="55" t="e">
        <v>#VALUE!</v>
      </c>
      <c r="AE48" s="55">
        <v>0</v>
      </c>
      <c r="AF48" s="55" t="e">
        <v>#N/A</v>
      </c>
    </row>
    <row r="49" spans="1:32" s="57" customFormat="1" ht="15.75" customHeight="1">
      <c r="A49" s="2" t="s">
        <v>117</v>
      </c>
      <c r="B49" s="2"/>
      <c r="C49" s="51" t="str">
        <f t="shared" si="26"/>
        <v xml:space="preserve"> - </v>
      </c>
      <c r="D49" s="51">
        <v>0</v>
      </c>
      <c r="E49" s="51">
        <v>0</v>
      </c>
      <c r="F49" s="51">
        <v>0</v>
      </c>
      <c r="G49" s="51">
        <v>0</v>
      </c>
      <c r="H49" s="51" t="e">
        <f t="shared" si="27"/>
        <v>#DIV/0!</v>
      </c>
      <c r="I49" s="51" t="e">
        <f t="shared" si="28"/>
        <v>#VALUE!</v>
      </c>
      <c r="J49" s="51" t="e">
        <f t="shared" ref="J49:J56" si="46">F49*0.85+G49+AD49*D49+D49*AC49+AE49+AB49</f>
        <v>#VALUE!</v>
      </c>
      <c r="K49" s="51" t="e">
        <f t="shared" si="30"/>
        <v>#VALUE!</v>
      </c>
      <c r="L49" s="51">
        <v>0</v>
      </c>
      <c r="M49" s="51" t="str">
        <f t="shared" si="31"/>
        <v>-</v>
      </c>
      <c r="N49" s="51">
        <v>0</v>
      </c>
      <c r="O49" s="51">
        <f t="shared" ref="O49:P49" si="47">D49/7</f>
        <v>0</v>
      </c>
      <c r="P49" s="51">
        <f t="shared" si="47"/>
        <v>0</v>
      </c>
      <c r="Q49" s="51" t="e">
        <f t="shared" si="33"/>
        <v>#DIV/0!</v>
      </c>
      <c r="R49" s="55" t="str">
        <f ca="1">IFERROR(__xludf.DUMMYFUNCTION("IFERROR(VLOOKUP($B$2,IMPORTRANGE(""https://docs.google.com/spreadsheets/d/1iVgg6Mw12RULLujzHmfOFIY8Q_KaAD8anoZzgtVAQ74/edit#gid=1503384807"",""Second Star - Summary!A1:AD2000""),9,FALSE),"""")"),"")</f>
        <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34"/>
        <v>0</v>
      </c>
      <c r="W49" s="55">
        <f t="shared" si="35"/>
        <v>0</v>
      </c>
      <c r="X49" s="55">
        <v>0</v>
      </c>
      <c r="Y49" s="55" t="e">
        <v>#N/A</v>
      </c>
      <c r="Z49" s="56" t="e">
        <f t="shared" si="41"/>
        <v>#N/A</v>
      </c>
      <c r="AA49" s="55" t="e">
        <v>#N/A</v>
      </c>
      <c r="AB49" s="55">
        <f t="shared" si="37"/>
        <v>0</v>
      </c>
      <c r="AC49" s="55" t="e">
        <v>#N/A</v>
      </c>
      <c r="AD49" s="55" t="e">
        <v>#VALUE!</v>
      </c>
      <c r="AE49" s="55">
        <v>0</v>
      </c>
      <c r="AF49" s="55" t="e">
        <v>#N/A</v>
      </c>
    </row>
    <row r="50" spans="1:32" s="57" customFormat="1" ht="15.75" customHeight="1">
      <c r="A50" s="2" t="s">
        <v>119</v>
      </c>
      <c r="B50" s="2"/>
      <c r="C50" s="51" t="str">
        <f t="shared" si="26"/>
        <v xml:space="preserve"> - </v>
      </c>
      <c r="D50" s="51">
        <v>0</v>
      </c>
      <c r="E50" s="51">
        <v>0</v>
      </c>
      <c r="F50" s="51">
        <v>0</v>
      </c>
      <c r="G50" s="51">
        <v>0</v>
      </c>
      <c r="H50" s="51" t="e">
        <f t="shared" si="27"/>
        <v>#DIV/0!</v>
      </c>
      <c r="I50" s="51" t="e">
        <f t="shared" si="28"/>
        <v>#VALUE!</v>
      </c>
      <c r="J50" s="51" t="e">
        <f t="shared" si="46"/>
        <v>#VALUE!</v>
      </c>
      <c r="K50" s="51" t="e">
        <f t="shared" si="30"/>
        <v>#VALUE!</v>
      </c>
      <c r="L50" s="51">
        <v>0</v>
      </c>
      <c r="M50" s="51" t="str">
        <f t="shared" si="31"/>
        <v>-</v>
      </c>
      <c r="N50" s="51">
        <v>0</v>
      </c>
      <c r="O50" s="51">
        <f t="shared" ref="O50:P50" si="48">D50/7</f>
        <v>0</v>
      </c>
      <c r="P50" s="51">
        <f t="shared" si="48"/>
        <v>0</v>
      </c>
      <c r="Q50" s="51" t="e">
        <f t="shared" si="33"/>
        <v>#DIV/0!</v>
      </c>
      <c r="R50" s="55" t="str">
        <f ca="1">IFERROR(__xludf.DUMMYFUNCTION("IFERROR(VLOOKUP($B$2,IMPORTRANGE(""https://docs.google.com/spreadsheets/d/1iVgg6Mw12RULLujzHmfOFIY8Q_KaAD8anoZzgtVAQ74/edit#gid=1503384807"",""Second Star - Summary!A1:AD2000""),9,FALSE),"""")"),"")</f>
        <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34"/>
        <v>0</v>
      </c>
      <c r="W50" s="55">
        <f t="shared" si="35"/>
        <v>0</v>
      </c>
      <c r="X50" s="55">
        <v>0</v>
      </c>
      <c r="Y50" s="55" t="e">
        <v>#N/A</v>
      </c>
      <c r="Z50" s="56" t="e">
        <f t="shared" si="41"/>
        <v>#N/A</v>
      </c>
      <c r="AA50" s="55" t="e">
        <v>#N/A</v>
      </c>
      <c r="AB50" s="55">
        <f t="shared" si="37"/>
        <v>0</v>
      </c>
      <c r="AC50" s="55">
        <v>0</v>
      </c>
      <c r="AD50" s="55" t="e">
        <v>#VALUE!</v>
      </c>
      <c r="AE50" s="55">
        <v>0</v>
      </c>
      <c r="AF50" s="55" t="e">
        <v>#N/A</v>
      </c>
    </row>
    <row r="51" spans="1:32" s="57" customFormat="1" ht="15.75" customHeight="1">
      <c r="A51" s="2" t="s">
        <v>121</v>
      </c>
      <c r="B51" s="2"/>
      <c r="C51" s="51" t="str">
        <f t="shared" si="26"/>
        <v xml:space="preserve"> - </v>
      </c>
      <c r="D51" s="51">
        <v>0</v>
      </c>
      <c r="E51" s="51">
        <v>0</v>
      </c>
      <c r="F51" s="51">
        <v>0</v>
      </c>
      <c r="G51" s="51">
        <v>0</v>
      </c>
      <c r="H51" s="51" t="e">
        <f t="shared" si="27"/>
        <v>#DIV/0!</v>
      </c>
      <c r="I51" s="51" t="e">
        <f t="shared" si="28"/>
        <v>#VALUE!</v>
      </c>
      <c r="J51" s="51" t="e">
        <f t="shared" si="46"/>
        <v>#VALUE!</v>
      </c>
      <c r="K51" s="51" t="e">
        <f t="shared" si="30"/>
        <v>#VALUE!</v>
      </c>
      <c r="L51" s="51">
        <v>0</v>
      </c>
      <c r="M51" s="51" t="str">
        <f t="shared" si="31"/>
        <v>-</v>
      </c>
      <c r="N51" s="51">
        <v>0</v>
      </c>
      <c r="O51" s="51">
        <f t="shared" ref="O51:P51" si="49">D51/7</f>
        <v>0</v>
      </c>
      <c r="P51" s="51">
        <f t="shared" si="49"/>
        <v>0</v>
      </c>
      <c r="Q51" s="51" t="e">
        <f t="shared" si="33"/>
        <v>#DIV/0!</v>
      </c>
      <c r="R51" s="55" t="str">
        <f ca="1">IFERROR(__xludf.DUMMYFUNCTION("IFERROR(VLOOKUP($B$2,IMPORTRANGE(""https://docs.google.com/spreadsheets/d/1iVgg6Mw12RULLujzHmfOFIY8Q_KaAD8anoZzgtVAQ74/edit#gid=1503384807"",""Second Star - Summary!A1:AD2000""),9,FALSE),"""")"),"")</f>
        <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34"/>
        <v>0</v>
      </c>
      <c r="W51" s="55">
        <f t="shared" si="35"/>
        <v>0</v>
      </c>
      <c r="X51" s="55">
        <v>0</v>
      </c>
      <c r="Y51" s="55" t="e">
        <v>#N/A</v>
      </c>
      <c r="Z51" s="56" t="e">
        <f t="shared" si="41"/>
        <v>#N/A</v>
      </c>
      <c r="AA51" s="55" t="e">
        <v>#N/A</v>
      </c>
      <c r="AB51" s="55">
        <f t="shared" si="37"/>
        <v>0</v>
      </c>
      <c r="AC51" s="55">
        <v>0</v>
      </c>
      <c r="AD51" s="55" t="e">
        <v>#VALUE!</v>
      </c>
      <c r="AE51" s="55">
        <v>0</v>
      </c>
      <c r="AF51" s="55" t="e">
        <v>#N/A</v>
      </c>
    </row>
    <row r="52" spans="1:32" s="57" customFormat="1" ht="15.75" customHeight="1">
      <c r="A52" s="2" t="s">
        <v>123</v>
      </c>
      <c r="B52" s="2"/>
      <c r="C52" s="51" t="str">
        <f t="shared" si="26"/>
        <v xml:space="preserve"> - </v>
      </c>
      <c r="D52" s="51">
        <v>0</v>
      </c>
      <c r="E52" s="51">
        <v>0</v>
      </c>
      <c r="F52" s="51">
        <v>0</v>
      </c>
      <c r="G52" s="51">
        <v>0</v>
      </c>
      <c r="H52" s="51" t="e">
        <f t="shared" si="27"/>
        <v>#DIV/0!</v>
      </c>
      <c r="I52" s="51" t="e">
        <f t="shared" si="28"/>
        <v>#VALUE!</v>
      </c>
      <c r="J52" s="51" t="e">
        <f t="shared" si="46"/>
        <v>#VALUE!</v>
      </c>
      <c r="K52" s="51" t="e">
        <f t="shared" si="30"/>
        <v>#VALUE!</v>
      </c>
      <c r="L52" s="51">
        <v>0</v>
      </c>
      <c r="M52" s="51" t="str">
        <f t="shared" si="31"/>
        <v>-</v>
      </c>
      <c r="N52" s="51">
        <v>0</v>
      </c>
      <c r="O52" s="51">
        <f t="shared" ref="O52:P52" si="50">D52/7</f>
        <v>0</v>
      </c>
      <c r="P52" s="51">
        <f t="shared" si="50"/>
        <v>0</v>
      </c>
      <c r="Q52" s="51" t="e">
        <f t="shared" si="33"/>
        <v>#DIV/0!</v>
      </c>
      <c r="R52" s="55" t="str">
        <f ca="1">IFERROR(__xludf.DUMMYFUNCTION("IFERROR(VLOOKUP($B$2,IMPORTRANGE(""https://docs.google.com/spreadsheets/d/1iVgg6Mw12RULLujzHmfOFIY8Q_KaAD8anoZzgtVAQ74/edit#gid=1503384807"",""Second Star - Summary!A1:AD2000""),9,FALSE),"""")"),"")</f>
        <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34"/>
        <v>0</v>
      </c>
      <c r="W52" s="55">
        <f t="shared" si="35"/>
        <v>0</v>
      </c>
      <c r="X52" s="55">
        <v>0</v>
      </c>
      <c r="Y52" s="55" t="e">
        <v>#N/A</v>
      </c>
      <c r="Z52" s="56" t="e">
        <f t="shared" si="41"/>
        <v>#N/A</v>
      </c>
      <c r="AA52" s="55" t="e">
        <v>#N/A</v>
      </c>
      <c r="AB52" s="55">
        <f t="shared" si="37"/>
        <v>0</v>
      </c>
      <c r="AC52" s="55">
        <v>0</v>
      </c>
      <c r="AD52" s="55" t="e">
        <v>#VALUE!</v>
      </c>
      <c r="AE52" s="55">
        <v>0</v>
      </c>
      <c r="AF52" s="55">
        <v>0</v>
      </c>
    </row>
    <row r="53" spans="1:32" s="57" customFormat="1">
      <c r="A53" s="2" t="s">
        <v>38</v>
      </c>
      <c r="B53" s="2"/>
      <c r="C53" s="51" t="str">
        <f t="shared" si="26"/>
        <v xml:space="preserve"> - </v>
      </c>
      <c r="D53" s="51">
        <v>0</v>
      </c>
      <c r="E53" s="51">
        <v>0</v>
      </c>
      <c r="F53" s="51">
        <v>0</v>
      </c>
      <c r="G53" s="51">
        <v>0</v>
      </c>
      <c r="H53" s="51" t="e">
        <f t="shared" si="27"/>
        <v>#DIV/0!</v>
      </c>
      <c r="I53" s="51" t="e">
        <f t="shared" si="28"/>
        <v>#DIV/0!</v>
      </c>
      <c r="J53" s="51">
        <f t="shared" si="46"/>
        <v>0</v>
      </c>
      <c r="K53" s="51" t="e">
        <f t="shared" si="30"/>
        <v>#DIV/0!</v>
      </c>
      <c r="L53" s="51">
        <v>0</v>
      </c>
      <c r="M53" s="51" t="str">
        <f t="shared" si="31"/>
        <v>-</v>
      </c>
      <c r="N53" s="51">
        <v>0</v>
      </c>
      <c r="O53" s="51">
        <f t="shared" ref="O53:P53" si="51">D53/7</f>
        <v>0</v>
      </c>
      <c r="P53" s="51">
        <f t="shared" si="51"/>
        <v>0</v>
      </c>
      <c r="Q53" s="51" t="e">
        <f t="shared" si="33"/>
        <v>#DIV/0!</v>
      </c>
      <c r="R53" s="55" t="str">
        <f ca="1">IFERROR(__xludf.DUMMYFUNCTION("IFERROR(VLOOKUP($B$2,IMPORTRANGE(""https://docs.google.com/spreadsheets/d/1iVgg6Mw12RULLujzHmfOFIY8Q_KaAD8anoZzgtVAQ74/edit#gid=1503384807"",""Second Star - Summary!A1:AD2000""),9,FALSE),"""")"),"")</f>
        <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34"/>
        <v>0</v>
      </c>
      <c r="W53" s="55">
        <f t="shared" si="35"/>
        <v>0</v>
      </c>
      <c r="X53" s="55">
        <v>0</v>
      </c>
      <c r="Y53" s="55" t="e">
        <v>#N/A</v>
      </c>
      <c r="Z53" s="56" t="e">
        <f t="shared" si="41"/>
        <v>#N/A</v>
      </c>
      <c r="AA53" s="55" t="e">
        <v>#N/A</v>
      </c>
      <c r="AB53" s="55">
        <f t="shared" si="37"/>
        <v>0</v>
      </c>
      <c r="AC53" s="55">
        <v>0</v>
      </c>
      <c r="AD53" s="55">
        <v>0</v>
      </c>
      <c r="AE53" s="55">
        <v>0</v>
      </c>
      <c r="AF53" s="55">
        <v>0</v>
      </c>
    </row>
    <row r="54" spans="1:32" s="57" customFormat="1">
      <c r="A54" s="2" t="s">
        <v>40</v>
      </c>
      <c r="B54" s="2"/>
      <c r="C54" s="51" t="str">
        <f t="shared" si="26"/>
        <v xml:space="preserve"> - </v>
      </c>
      <c r="D54" s="51">
        <v>0</v>
      </c>
      <c r="E54" s="51">
        <v>0</v>
      </c>
      <c r="F54" s="51">
        <v>0</v>
      </c>
      <c r="G54" s="51">
        <v>0</v>
      </c>
      <c r="H54" s="51" t="e">
        <f t="shared" si="27"/>
        <v>#DIV/0!</v>
      </c>
      <c r="I54" s="51" t="e">
        <f t="shared" si="28"/>
        <v>#DIV/0!</v>
      </c>
      <c r="J54" s="51">
        <f t="shared" si="46"/>
        <v>0</v>
      </c>
      <c r="K54" s="51" t="e">
        <f t="shared" si="30"/>
        <v>#DIV/0!</v>
      </c>
      <c r="L54" s="51">
        <v>0</v>
      </c>
      <c r="M54" s="51" t="str">
        <f t="shared" si="31"/>
        <v>-</v>
      </c>
      <c r="N54" s="51">
        <v>0</v>
      </c>
      <c r="O54" s="51">
        <f t="shared" ref="O54:P54" si="52">D54/7</f>
        <v>0</v>
      </c>
      <c r="P54" s="51">
        <f t="shared" si="52"/>
        <v>0</v>
      </c>
      <c r="Q54" s="51" t="e">
        <f t="shared" si="33"/>
        <v>#DIV/0!</v>
      </c>
      <c r="R54" s="55" t="str">
        <f ca="1">IFERROR(__xludf.DUMMYFUNCTION("IFERROR(VLOOKUP($B$2,IMPORTRANGE(""https://docs.google.com/spreadsheets/d/1iVgg6Mw12RULLujzHmfOFIY8Q_KaAD8anoZzgtVAQ74/edit#gid=1503384807"",""Second Star - Summary!A1:AD2000""),9,FALSE),"""")"),"")</f>
        <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34"/>
        <v>0</v>
      </c>
      <c r="W54" s="55">
        <f t="shared" si="35"/>
        <v>0</v>
      </c>
      <c r="X54" s="55">
        <v>0</v>
      </c>
      <c r="Y54" s="55" t="e">
        <v>#N/A</v>
      </c>
      <c r="Z54" s="56" t="e">
        <f t="shared" si="41"/>
        <v>#N/A</v>
      </c>
      <c r="AA54" s="55" t="e">
        <v>#N/A</v>
      </c>
      <c r="AB54" s="55">
        <f t="shared" si="37"/>
        <v>0</v>
      </c>
      <c r="AC54" s="55">
        <v>0</v>
      </c>
      <c r="AD54" s="55">
        <v>0</v>
      </c>
      <c r="AE54" s="55">
        <v>0</v>
      </c>
      <c r="AF54" s="55">
        <v>0</v>
      </c>
    </row>
    <row r="55" spans="1:32" s="57" customFormat="1" ht="15.75" customHeight="1">
      <c r="A55" s="2" t="s">
        <v>32</v>
      </c>
      <c r="B55" s="2"/>
      <c r="C55" s="51" t="str">
        <f t="shared" si="26"/>
        <v xml:space="preserve"> - </v>
      </c>
      <c r="D55" s="51">
        <v>0</v>
      </c>
      <c r="E55" s="51">
        <v>0</v>
      </c>
      <c r="F55" s="51">
        <v>0</v>
      </c>
      <c r="G55" s="51">
        <v>0</v>
      </c>
      <c r="H55" s="51" t="e">
        <f t="shared" si="27"/>
        <v>#DIV/0!</v>
      </c>
      <c r="I55" s="51" t="e">
        <f t="shared" si="28"/>
        <v>#VALUE!</v>
      </c>
      <c r="J55" s="51" t="e">
        <f t="shared" si="46"/>
        <v>#VALUE!</v>
      </c>
      <c r="K55" s="51" t="e">
        <f t="shared" si="30"/>
        <v>#VALUE!</v>
      </c>
      <c r="L55" s="51">
        <v>0</v>
      </c>
      <c r="M55" s="51" t="str">
        <f t="shared" si="31"/>
        <v>-</v>
      </c>
      <c r="N55" s="51">
        <v>0</v>
      </c>
      <c r="O55" s="51">
        <f t="shared" ref="O55:P55" si="53">D55/7</f>
        <v>0</v>
      </c>
      <c r="P55" s="51">
        <f t="shared" si="53"/>
        <v>0</v>
      </c>
      <c r="Q55" s="51" t="e">
        <f t="shared" si="33"/>
        <v>#DIV/0!</v>
      </c>
      <c r="R55" s="55" t="s">
        <v>34</v>
      </c>
      <c r="S55" s="53" t="s">
        <v>34</v>
      </c>
      <c r="T55" s="54" t="s">
        <v>34</v>
      </c>
      <c r="U55" s="55">
        <v>0</v>
      </c>
      <c r="V55" s="55">
        <f t="shared" si="34"/>
        <v>0</v>
      </c>
      <c r="W55" s="55">
        <f t="shared" si="35"/>
        <v>0</v>
      </c>
      <c r="X55" s="55">
        <v>0</v>
      </c>
      <c r="Y55" s="55" t="e">
        <v>#N/A</v>
      </c>
      <c r="Z55" s="56" t="e">
        <f t="shared" si="41"/>
        <v>#N/A</v>
      </c>
      <c r="AA55" s="55" t="e">
        <v>#N/A</v>
      </c>
      <c r="AB55" s="55">
        <f t="shared" si="37"/>
        <v>0</v>
      </c>
      <c r="AC55" s="55">
        <v>0</v>
      </c>
      <c r="AD55" s="55" t="e">
        <v>#VALUE!</v>
      </c>
      <c r="AE55" s="55">
        <v>0</v>
      </c>
      <c r="AF55" s="55" t="e">
        <v>#N/A</v>
      </c>
    </row>
    <row r="56" spans="1:32" s="57" customFormat="1" ht="15.75" customHeight="1">
      <c r="A56" s="2" t="s">
        <v>36</v>
      </c>
      <c r="B56" s="2"/>
      <c r="C56" s="51" t="str">
        <f t="shared" si="26"/>
        <v xml:space="preserve"> - </v>
      </c>
      <c r="D56" s="51">
        <v>0</v>
      </c>
      <c r="E56" s="51">
        <v>0</v>
      </c>
      <c r="F56" s="51">
        <v>0</v>
      </c>
      <c r="G56" s="51">
        <v>0</v>
      </c>
      <c r="H56" s="51" t="e">
        <f t="shared" si="27"/>
        <v>#DIV/0!</v>
      </c>
      <c r="I56" s="51" t="e">
        <f t="shared" si="28"/>
        <v>#VALUE!</v>
      </c>
      <c r="J56" s="51" t="e">
        <f t="shared" si="46"/>
        <v>#VALUE!</v>
      </c>
      <c r="K56" s="51" t="e">
        <f t="shared" si="30"/>
        <v>#VALUE!</v>
      </c>
      <c r="L56" s="51">
        <v>0</v>
      </c>
      <c r="M56" s="51" t="str">
        <f t="shared" si="31"/>
        <v>-</v>
      </c>
      <c r="N56" s="51">
        <v>0</v>
      </c>
      <c r="O56" s="51">
        <f t="shared" ref="O56:P56" si="54">D56/7</f>
        <v>0</v>
      </c>
      <c r="P56" s="51">
        <f t="shared" si="54"/>
        <v>0</v>
      </c>
      <c r="Q56" s="51" t="e">
        <f t="shared" si="33"/>
        <v>#DIV/0!</v>
      </c>
      <c r="R56" s="55" t="str">
        <f ca="1">IFERROR(__xludf.DUMMYFUNCTION("IFERROR(VLOOKUP($B$2,IMPORTRANGE(""https://docs.google.com/spreadsheets/d/1iVgg6Mw12RULLujzHmfOFIY8Q_KaAD8anoZzgtVAQ74/edit#gid=1503384807"",""Second Star - Summary!A1:AD2000""),9,FALSE),"""")"),"")</f>
        <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34"/>
        <v>0</v>
      </c>
      <c r="W56" s="55">
        <f t="shared" si="35"/>
        <v>0</v>
      </c>
      <c r="X56" s="55">
        <v>0</v>
      </c>
      <c r="Y56" s="55" t="e">
        <v>#N/A</v>
      </c>
      <c r="Z56" s="56" t="e">
        <f t="shared" si="41"/>
        <v>#N/A</v>
      </c>
      <c r="AA56" s="55" t="e">
        <v>#N/A</v>
      </c>
      <c r="AB56" s="55">
        <f t="shared" si="37"/>
        <v>0</v>
      </c>
      <c r="AC56" s="55">
        <v>0</v>
      </c>
      <c r="AD56" s="55" t="e">
        <v>#VALUE!</v>
      </c>
      <c r="AE56" s="55">
        <v>0</v>
      </c>
      <c r="AF56" s="55" t="e">
        <v>#N/A</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3"/>
    </row>
    <row r="222" spans="1:3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3"/>
    </row>
    <row r="223" spans="1:32"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3"/>
    </row>
    <row r="224" spans="1:32"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3"/>
    </row>
    <row r="225" spans="1:32"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3"/>
    </row>
    <row r="226" spans="1:32"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3"/>
    </row>
    <row r="227" spans="1:32"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3"/>
    </row>
    <row r="228" spans="1:32"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3"/>
    </row>
    <row r="229" spans="1:32" ht="15.75" customHeight="1">
      <c r="E229" s="2"/>
      <c r="P229" s="2"/>
      <c r="AF229" s="23"/>
    </row>
    <row r="230" spans="1:32" ht="15.75" customHeight="1">
      <c r="AF230" s="23"/>
    </row>
    <row r="231" spans="1:32" ht="15.75" customHeight="1">
      <c r="AF231" s="23"/>
    </row>
    <row r="232" spans="1:32" ht="15.75" customHeight="1">
      <c r="AF232" s="23"/>
    </row>
    <row r="233" spans="1:32" ht="15.75" customHeight="1">
      <c r="AF233" s="23"/>
    </row>
    <row r="234" spans="1:32" ht="15.75" customHeight="1">
      <c r="AF234" s="23"/>
    </row>
    <row r="235" spans="1:32" ht="15.75" customHeight="1">
      <c r="AF235" s="23"/>
    </row>
    <row r="236" spans="1:32" ht="15.75" customHeight="1">
      <c r="AF236" s="23"/>
    </row>
    <row r="237" spans="1:32" ht="15.75" customHeight="1">
      <c r="AF237" s="23"/>
    </row>
    <row r="238" spans="1:32" ht="15.75" customHeight="1">
      <c r="AF238" s="23"/>
    </row>
    <row r="239" spans="1:32" ht="15.75" customHeight="1"/>
    <row r="240" spans="1: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187" priority="1" operator="lessThan">
      <formula>100</formula>
    </cfRule>
  </conditionalFormatting>
  <conditionalFormatting sqref="Q1:Q3 Q57:Q1000">
    <cfRule type="cellIs" dxfId="186" priority="2" operator="lessThan">
      <formula>100</formula>
    </cfRule>
  </conditionalFormatting>
  <conditionalFormatting sqref="I1:I3 I57:I1000">
    <cfRule type="cellIs" dxfId="185" priority="3" operator="lessThan">
      <formula>0.05</formula>
    </cfRule>
  </conditionalFormatting>
  <conditionalFormatting sqref="I4:I17">
    <cfRule type="cellIs" dxfId="184" priority="4" operator="lessThan">
      <formula>0.05</formula>
    </cfRule>
  </conditionalFormatting>
  <conditionalFormatting sqref="I18:I56">
    <cfRule type="cellIs" dxfId="183" priority="5" operator="lessThan">
      <formula>0.05</formula>
    </cfRule>
  </conditionalFormatting>
  <conditionalFormatting sqref="Q4:Q56">
    <cfRule type="cellIs" dxfId="182" priority="6" operator="lessThan">
      <formula>100</formula>
    </cfRule>
  </conditionalFormatting>
  <conditionalFormatting sqref="Q4:Q56">
    <cfRule type="cellIs" dxfId="181" priority="7" operator="lessThan">
      <formula>100</formula>
    </cfRule>
  </conditionalFormatting>
  <pageMargins left="0.7" right="0.7" top="0.75" bottom="0.75" header="0" footer="0"/>
  <pageSetup orientation="portrait"/>
  <legacy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2" width="17.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Info!B1:BJ5000""),4,FALSE),"""")"),"All Weather Cornhole Bean Bags - Set of 8 American Flag Bags for Corn Hole Toss Game - Regulation Size &amp; Weight - 4 Royal Blue &amp; 4 Black")</f>
        <v>All Weather Cornhole Bean Bags - Set of 8 American Flag Bags for Corn Hole Toss Game - Regulation Size &amp; Weight - 4 Royal Blue &amp; 4 Black</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Info!B1:BJ5000""),3,FALSE),"""")"),"B07VQWHC41")</f>
        <v>B07VQWHC41</v>
      </c>
      <c r="B2" s="4" t="s">
        <v>943</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5.1065028657616827</v>
      </c>
      <c r="D3" s="8">
        <f>SUM(D4:D99819)</f>
        <v>493</v>
      </c>
      <c r="E3" s="8"/>
      <c r="F3" s="9">
        <f t="shared" ref="F3:G3" si="0">SUM(F4:F99819)</f>
        <v>8533.8799999999992</v>
      </c>
      <c r="G3" s="9">
        <f t="shared" si="0"/>
        <v>-226.22</v>
      </c>
      <c r="H3" s="10">
        <f t="shared" ref="H3:H39" si="1">G3/F3*-1</f>
        <v>2.6508458051906051E-2</v>
      </c>
      <c r="I3" s="11">
        <f t="shared" ref="I3:I39" si="2">J3/F3</f>
        <v>0.12877248547009529</v>
      </c>
      <c r="J3" s="9">
        <f>SUM(J4:J99819)</f>
        <v>1098.9289383035366</v>
      </c>
      <c r="K3" s="9">
        <f t="shared" ref="K3:K39" si="3">J3/D3</f>
        <v>2.2290647835771535</v>
      </c>
      <c r="L3" s="8"/>
      <c r="M3" s="12"/>
      <c r="N3" s="13"/>
      <c r="O3" s="8" t="str">
        <f ca="1">IFERROR(__xludf.DUMMYFUNCTION("IFERROR(VLOOKUP(B2,IMPORTRANGE(""https://docs.google.com/spreadsheets/d/1owCo6kL_VFQ5nPTdNogErmCBLjNiktT1m3SzTrxu3R0/edit#gid=2146806407"",""Second Star - Compiled!b1:g5000""),2,FALSE),"""")"),"2 - March
2 - April
2 - May
2 - Jun
2 - Jul
2 - Aug
2 - Sept
2 - Oct
2 - Nov
2 - Dec
2 - Jan
2 - Feb")</f>
        <v>2 - March
2 - April
2 - May
2 - Jun
2 - Jul
2 - Aug
2 - Sept
2 - Oct
2 - Nov
2 - Dec
2 - Jan
2 - Feb</v>
      </c>
      <c r="P3" s="8"/>
      <c r="Q3" s="14"/>
      <c r="R3" s="13"/>
      <c r="S3" s="13"/>
      <c r="T3" s="13"/>
      <c r="U3" s="8">
        <f>SUM(U4:U99819)</f>
        <v>35</v>
      </c>
      <c r="V3" s="10">
        <f>AVERAGE(V4:V99819)</f>
        <v>4.9752920035938911E-2</v>
      </c>
      <c r="W3" s="9">
        <f>ROUND(AVERAGE(W4:W99819),2)</f>
        <v>0.97</v>
      </c>
      <c r="X3" s="8"/>
      <c r="Y3" s="8"/>
      <c r="Z3" s="8"/>
      <c r="AA3" s="8"/>
      <c r="AB3" s="8"/>
      <c r="AC3" s="15"/>
      <c r="AD3" s="9"/>
      <c r="AE3" s="9">
        <f>SUM(AE4:AE99819)</f>
        <v>-11.68</v>
      </c>
      <c r="AF3" s="16"/>
    </row>
    <row r="4" spans="1:32" s="57" customFormat="1">
      <c r="A4" s="17" t="s">
        <v>48</v>
      </c>
      <c r="B4" s="2" t="s">
        <v>810</v>
      </c>
      <c r="C4" s="50">
        <v>15.99</v>
      </c>
      <c r="D4" s="51">
        <v>2</v>
      </c>
      <c r="E4" s="51">
        <v>0</v>
      </c>
      <c r="F4" s="51">
        <v>31.98</v>
      </c>
      <c r="G4" s="51">
        <v>0</v>
      </c>
      <c r="H4" s="51">
        <f t="shared" si="1"/>
        <v>0</v>
      </c>
      <c r="I4" s="51">
        <f t="shared" si="2"/>
        <v>0.14375286700488546</v>
      </c>
      <c r="J4" s="51">
        <f t="shared" ref="J4:J38" si="4">F4*0.85+G4+AD4*D4+D4*AC4+AE4+AB4</f>
        <v>4.5972166868162372</v>
      </c>
      <c r="K4" s="51">
        <f t="shared" si="3"/>
        <v>2.2986083434081186</v>
      </c>
      <c r="L4" s="51">
        <v>14</v>
      </c>
      <c r="M4" s="51">
        <f t="shared" ref="M4:M39" si="5">IFERROR(D4/L4,"-")</f>
        <v>0.14285714285714285</v>
      </c>
      <c r="N4" s="51">
        <v>2</v>
      </c>
      <c r="O4" s="51">
        <f t="shared" ref="O4:P4" si="6">D4/7</f>
        <v>0.2857142857142857</v>
      </c>
      <c r="P4" s="51">
        <f t="shared" si="6"/>
        <v>0</v>
      </c>
      <c r="Q4" s="51">
        <f t="shared" ref="Q4:Q39" si="7">ROUNDDOWN(N4/(O4+P4),0)</f>
        <v>7</v>
      </c>
      <c r="R4" s="52">
        <v>700</v>
      </c>
      <c r="S4" s="53">
        <v>200</v>
      </c>
      <c r="T4" s="54">
        <v>43876</v>
      </c>
      <c r="U4" s="52">
        <v>0</v>
      </c>
      <c r="V4" s="55">
        <f t="shared" ref="V4:V39" si="8">IFERROR(U4/D4,0)</f>
        <v>0</v>
      </c>
      <c r="W4" s="55">
        <f t="shared" ref="W4:W39" si="9">IFERROR(G4/(U4+X4)*-1,0)</f>
        <v>0</v>
      </c>
      <c r="X4" s="52">
        <v>0</v>
      </c>
      <c r="Y4" s="56" t="s">
        <v>35</v>
      </c>
      <c r="Z4" s="56">
        <f t="shared" ref="Z4:Z10" si="10">IF(OR(Y4="UsLargeStandardSize",Y4="UsSmallStandardSize"),-0.69,-0.48)</f>
        <v>-0.69</v>
      </c>
      <c r="AA4" s="55">
        <v>0.1789230185185185</v>
      </c>
      <c r="AB4" s="55">
        <f t="shared" ref="AB4:AB17" si="11">IFERROR((Z4*AA4*N4)/4,0)</f>
        <v>-6.1728441388888874E-2</v>
      </c>
      <c r="AC4" s="55">
        <v>-7.16</v>
      </c>
      <c r="AD4" s="55">
        <v>-4.102027435897436</v>
      </c>
      <c r="AE4" s="55">
        <v>0</v>
      </c>
      <c r="AF4" s="55"/>
    </row>
    <row r="5" spans="1:32" s="57" customFormat="1" ht="15.75" customHeight="1">
      <c r="A5" s="2" t="s">
        <v>49</v>
      </c>
      <c r="B5" s="2" t="s">
        <v>944</v>
      </c>
      <c r="C5" s="50">
        <v>15.99</v>
      </c>
      <c r="D5" s="51">
        <v>3</v>
      </c>
      <c r="E5" s="51">
        <v>0</v>
      </c>
      <c r="F5" s="51">
        <v>46.97</v>
      </c>
      <c r="G5" s="51">
        <v>0</v>
      </c>
      <c r="H5" s="51">
        <f t="shared" si="1"/>
        <v>0</v>
      </c>
      <c r="I5" s="51">
        <f t="shared" si="2"/>
        <v>0.13068804965526268</v>
      </c>
      <c r="J5" s="51">
        <f t="shared" si="4"/>
        <v>6.1384176923076872</v>
      </c>
      <c r="K5" s="51">
        <f t="shared" si="3"/>
        <v>2.0461392307692292</v>
      </c>
      <c r="L5" s="51">
        <v>9</v>
      </c>
      <c r="M5" s="51">
        <f t="shared" si="5"/>
        <v>0.33333333333333331</v>
      </c>
      <c r="N5" s="51">
        <v>0</v>
      </c>
      <c r="O5" s="51">
        <f t="shared" ref="O5:P5" si="12">D5/7</f>
        <v>0.42857142857142855</v>
      </c>
      <c r="P5" s="51">
        <f t="shared" si="12"/>
        <v>0</v>
      </c>
      <c r="Q5" s="51">
        <f t="shared" si="7"/>
        <v>0</v>
      </c>
      <c r="R5" s="55">
        <v>700</v>
      </c>
      <c r="S5" s="53">
        <v>200</v>
      </c>
      <c r="T5" s="54">
        <v>43876</v>
      </c>
      <c r="U5" s="55">
        <v>0</v>
      </c>
      <c r="V5" s="55">
        <f t="shared" si="8"/>
        <v>0</v>
      </c>
      <c r="W5" s="55">
        <f t="shared" si="9"/>
        <v>0</v>
      </c>
      <c r="X5" s="55">
        <v>0</v>
      </c>
      <c r="Y5" s="56" t="s">
        <v>35</v>
      </c>
      <c r="Z5" s="56">
        <f t="shared" si="10"/>
        <v>-0.69</v>
      </c>
      <c r="AA5" s="55">
        <v>0.1789230185185185</v>
      </c>
      <c r="AB5" s="55">
        <f t="shared" si="11"/>
        <v>0</v>
      </c>
      <c r="AC5" s="55">
        <v>-7.16</v>
      </c>
      <c r="AD5" s="55">
        <v>-4.102027435897436</v>
      </c>
      <c r="AE5" s="55">
        <v>0</v>
      </c>
      <c r="AF5" s="55"/>
    </row>
    <row r="6" spans="1:32" s="57" customFormat="1" ht="15.75" customHeight="1">
      <c r="A6" s="2" t="s">
        <v>51</v>
      </c>
      <c r="B6" s="2"/>
      <c r="C6" s="51" t="s">
        <v>397</v>
      </c>
      <c r="D6" s="51">
        <v>0</v>
      </c>
      <c r="E6" s="51">
        <v>0</v>
      </c>
      <c r="F6" s="51">
        <v>0</v>
      </c>
      <c r="G6" s="51">
        <v>0</v>
      </c>
      <c r="H6" s="51" t="e">
        <f t="shared" si="1"/>
        <v>#DIV/0!</v>
      </c>
      <c r="I6" s="51" t="e">
        <f t="shared" si="2"/>
        <v>#DIV/0!</v>
      </c>
      <c r="J6" s="51">
        <f t="shared" si="4"/>
        <v>0</v>
      </c>
      <c r="K6" s="51" t="e">
        <f t="shared" si="3"/>
        <v>#DIV/0!</v>
      </c>
      <c r="L6" s="51">
        <v>0</v>
      </c>
      <c r="M6" s="51" t="str">
        <f t="shared" si="5"/>
        <v>-</v>
      </c>
      <c r="N6" s="51">
        <v>0</v>
      </c>
      <c r="O6" s="51">
        <f t="shared" ref="O6:P6" si="13">D6/7</f>
        <v>0</v>
      </c>
      <c r="P6" s="51">
        <f t="shared" si="13"/>
        <v>0</v>
      </c>
      <c r="Q6" s="51" t="e">
        <f t="shared" si="7"/>
        <v>#DIV/0!</v>
      </c>
      <c r="R6" s="55">
        <v>700</v>
      </c>
      <c r="S6" s="53">
        <v>200</v>
      </c>
      <c r="T6" s="54">
        <v>43884</v>
      </c>
      <c r="U6" s="55">
        <v>0</v>
      </c>
      <c r="V6" s="55">
        <f t="shared" si="8"/>
        <v>0</v>
      </c>
      <c r="W6" s="55">
        <f t="shared" si="9"/>
        <v>0</v>
      </c>
      <c r="X6" s="55">
        <v>0</v>
      </c>
      <c r="Y6" s="55" t="e">
        <v>#N/A</v>
      </c>
      <c r="Z6" s="56" t="e">
        <f t="shared" si="10"/>
        <v>#N/A</v>
      </c>
      <c r="AA6" s="55" t="e">
        <v>#N/A</v>
      </c>
      <c r="AB6" s="55">
        <f t="shared" si="11"/>
        <v>0</v>
      </c>
      <c r="AC6" s="55">
        <v>0</v>
      </c>
      <c r="AD6" s="55">
        <v>-4.102027435897436</v>
      </c>
      <c r="AE6" s="55">
        <v>0</v>
      </c>
      <c r="AF6" s="55"/>
    </row>
    <row r="7" spans="1:32" s="57" customFormat="1" ht="15.75" customHeight="1">
      <c r="A7" s="2" t="s">
        <v>53</v>
      </c>
      <c r="B7" s="2"/>
      <c r="C7" s="51" t="s">
        <v>397</v>
      </c>
      <c r="D7" s="51">
        <v>0</v>
      </c>
      <c r="E7" s="51">
        <v>0</v>
      </c>
      <c r="F7" s="51">
        <v>0</v>
      </c>
      <c r="G7" s="51">
        <v>0</v>
      </c>
      <c r="H7" s="51" t="e">
        <f t="shared" si="1"/>
        <v>#DIV/0!</v>
      </c>
      <c r="I7" s="51" t="e">
        <f t="shared" si="2"/>
        <v>#DIV/0!</v>
      </c>
      <c r="J7" s="51">
        <f t="shared" si="4"/>
        <v>0</v>
      </c>
      <c r="K7" s="51" t="e">
        <f t="shared" si="3"/>
        <v>#DIV/0!</v>
      </c>
      <c r="L7" s="51">
        <v>0</v>
      </c>
      <c r="M7" s="51" t="str">
        <f t="shared" si="5"/>
        <v>-</v>
      </c>
      <c r="N7" s="51">
        <v>0</v>
      </c>
      <c r="O7" s="51">
        <f t="shared" ref="O7:P7" si="14">D7/7</f>
        <v>0</v>
      </c>
      <c r="P7" s="51">
        <f t="shared" si="14"/>
        <v>0</v>
      </c>
      <c r="Q7" s="51" t="e">
        <f t="shared" si="7"/>
        <v>#DIV/0!</v>
      </c>
      <c r="R7" s="55">
        <v>700</v>
      </c>
      <c r="S7" s="53">
        <v>200</v>
      </c>
      <c r="T7" s="54">
        <v>43884</v>
      </c>
      <c r="U7" s="55">
        <v>0</v>
      </c>
      <c r="V7" s="55">
        <f t="shared" si="8"/>
        <v>0</v>
      </c>
      <c r="W7" s="55">
        <f t="shared" si="9"/>
        <v>0</v>
      </c>
      <c r="X7" s="55">
        <v>0</v>
      </c>
      <c r="Y7" s="55" t="e">
        <v>#N/A</v>
      </c>
      <c r="Z7" s="56" t="e">
        <f t="shared" si="10"/>
        <v>#N/A</v>
      </c>
      <c r="AA7" s="55" t="e">
        <v>#N/A</v>
      </c>
      <c r="AB7" s="55">
        <f t="shared" si="11"/>
        <v>0</v>
      </c>
      <c r="AC7" s="55">
        <v>0</v>
      </c>
      <c r="AD7" s="55">
        <v>-4.102027435897436</v>
      </c>
      <c r="AE7" s="55">
        <v>0</v>
      </c>
      <c r="AF7" s="55"/>
    </row>
    <row r="8" spans="1:32" s="57" customFormat="1" ht="15.75" customHeight="1">
      <c r="A8" s="2" t="s">
        <v>54</v>
      </c>
      <c r="B8" s="2"/>
      <c r="C8" s="51" t="s">
        <v>397</v>
      </c>
      <c r="D8" s="51">
        <v>0</v>
      </c>
      <c r="E8" s="51">
        <v>0</v>
      </c>
      <c r="F8" s="51">
        <v>0</v>
      </c>
      <c r="G8" s="51">
        <v>0</v>
      </c>
      <c r="H8" s="51" t="e">
        <f t="shared" si="1"/>
        <v>#DIV/0!</v>
      </c>
      <c r="I8" s="51" t="e">
        <f t="shared" si="2"/>
        <v>#DIV/0!</v>
      </c>
      <c r="J8" s="51">
        <f t="shared" si="4"/>
        <v>0</v>
      </c>
      <c r="K8" s="51" t="e">
        <f t="shared" si="3"/>
        <v>#DIV/0!</v>
      </c>
      <c r="L8" s="51">
        <v>0</v>
      </c>
      <c r="M8" s="51" t="str">
        <f t="shared" si="5"/>
        <v>-</v>
      </c>
      <c r="N8" s="51">
        <v>0</v>
      </c>
      <c r="O8" s="51">
        <f t="shared" ref="O8:P8" si="15">D8/7</f>
        <v>0</v>
      </c>
      <c r="P8" s="51">
        <f t="shared" si="15"/>
        <v>0</v>
      </c>
      <c r="Q8" s="51" t="e">
        <f t="shared" si="7"/>
        <v>#DIV/0!</v>
      </c>
      <c r="R8" s="55">
        <v>700</v>
      </c>
      <c r="S8" s="53">
        <v>200</v>
      </c>
      <c r="T8" s="54">
        <v>43884</v>
      </c>
      <c r="U8" s="55">
        <v>0</v>
      </c>
      <c r="V8" s="55">
        <f t="shared" si="8"/>
        <v>0</v>
      </c>
      <c r="W8" s="55">
        <f t="shared" si="9"/>
        <v>0</v>
      </c>
      <c r="X8" s="55">
        <v>0</v>
      </c>
      <c r="Y8" s="55" t="e">
        <v>#N/A</v>
      </c>
      <c r="Z8" s="56" t="e">
        <f t="shared" si="10"/>
        <v>#N/A</v>
      </c>
      <c r="AA8" s="55" t="e">
        <v>#N/A</v>
      </c>
      <c r="AB8" s="55">
        <f t="shared" si="11"/>
        <v>0</v>
      </c>
      <c r="AC8" s="55">
        <v>0</v>
      </c>
      <c r="AD8" s="55">
        <v>-4.102027435897436</v>
      </c>
      <c r="AE8" s="55">
        <v>0</v>
      </c>
      <c r="AF8" s="55"/>
    </row>
    <row r="9" spans="1:32" s="57" customFormat="1" ht="15.75" customHeight="1">
      <c r="A9" s="2" t="s">
        <v>56</v>
      </c>
      <c r="B9" s="2"/>
      <c r="C9" s="51" t="s">
        <v>397</v>
      </c>
      <c r="D9" s="51">
        <v>0</v>
      </c>
      <c r="E9" s="51">
        <v>0</v>
      </c>
      <c r="F9" s="51">
        <v>0</v>
      </c>
      <c r="G9" s="51">
        <v>0</v>
      </c>
      <c r="H9" s="51" t="e">
        <f t="shared" si="1"/>
        <v>#DIV/0!</v>
      </c>
      <c r="I9" s="51" t="e">
        <f t="shared" si="2"/>
        <v>#DIV/0!</v>
      </c>
      <c r="J9" s="51">
        <f t="shared" si="4"/>
        <v>0</v>
      </c>
      <c r="K9" s="51" t="e">
        <f t="shared" si="3"/>
        <v>#DIV/0!</v>
      </c>
      <c r="L9" s="51">
        <v>0</v>
      </c>
      <c r="M9" s="51" t="str">
        <f t="shared" si="5"/>
        <v>-</v>
      </c>
      <c r="N9" s="51">
        <v>0</v>
      </c>
      <c r="O9" s="51">
        <f t="shared" ref="O9:P9" si="16">D9/7</f>
        <v>0</v>
      </c>
      <c r="P9" s="51">
        <f t="shared" si="16"/>
        <v>0</v>
      </c>
      <c r="Q9" s="51" t="e">
        <f t="shared" si="7"/>
        <v>#DIV/0!</v>
      </c>
      <c r="R9" s="55">
        <v>500</v>
      </c>
      <c r="S9" s="53">
        <v>200</v>
      </c>
      <c r="T9" s="54">
        <v>43881</v>
      </c>
      <c r="U9" s="55">
        <v>0</v>
      </c>
      <c r="V9" s="55">
        <f t="shared" si="8"/>
        <v>0</v>
      </c>
      <c r="W9" s="55">
        <f t="shared" si="9"/>
        <v>0</v>
      </c>
      <c r="X9" s="55">
        <v>0</v>
      </c>
      <c r="Y9" s="55" t="e">
        <v>#N/A</v>
      </c>
      <c r="Z9" s="56" t="e">
        <f t="shared" si="10"/>
        <v>#N/A</v>
      </c>
      <c r="AA9" s="55" t="e">
        <v>#N/A</v>
      </c>
      <c r="AB9" s="55">
        <f t="shared" si="11"/>
        <v>0</v>
      </c>
      <c r="AC9" s="55">
        <v>0</v>
      </c>
      <c r="AD9" s="55">
        <v>-4.102027435897436</v>
      </c>
      <c r="AE9" s="55">
        <v>0</v>
      </c>
      <c r="AF9" s="55"/>
    </row>
    <row r="10" spans="1:32" s="57" customFormat="1" ht="15.75" customHeight="1">
      <c r="A10" s="2" t="s">
        <v>58</v>
      </c>
      <c r="B10" s="2"/>
      <c r="C10" s="51" t="s">
        <v>397</v>
      </c>
      <c r="D10" s="51">
        <v>0</v>
      </c>
      <c r="E10" s="51">
        <v>0</v>
      </c>
      <c r="F10" s="51">
        <v>0</v>
      </c>
      <c r="G10" s="51">
        <v>0</v>
      </c>
      <c r="H10" s="51" t="e">
        <f t="shared" si="1"/>
        <v>#DIV/0!</v>
      </c>
      <c r="I10" s="51" t="e">
        <f t="shared" si="2"/>
        <v>#DIV/0!</v>
      </c>
      <c r="J10" s="51">
        <f t="shared" si="4"/>
        <v>0</v>
      </c>
      <c r="K10" s="51" t="e">
        <f t="shared" si="3"/>
        <v>#DIV/0!</v>
      </c>
      <c r="L10" s="51">
        <v>0</v>
      </c>
      <c r="M10" s="51" t="str">
        <f t="shared" si="5"/>
        <v>-</v>
      </c>
      <c r="N10" s="51">
        <v>0</v>
      </c>
      <c r="O10" s="51">
        <f t="shared" ref="O10:P10" si="17">D10/7</f>
        <v>0</v>
      </c>
      <c r="P10" s="51">
        <f t="shared" si="17"/>
        <v>0</v>
      </c>
      <c r="Q10" s="51" t="e">
        <f t="shared" si="7"/>
        <v>#DIV/0!</v>
      </c>
      <c r="R10" s="55">
        <v>500</v>
      </c>
      <c r="S10" s="53">
        <v>200</v>
      </c>
      <c r="T10" s="54">
        <v>43885</v>
      </c>
      <c r="U10" s="55">
        <v>0</v>
      </c>
      <c r="V10" s="55">
        <f t="shared" si="8"/>
        <v>0</v>
      </c>
      <c r="W10" s="55">
        <f t="shared" si="9"/>
        <v>0</v>
      </c>
      <c r="X10" s="55">
        <v>0</v>
      </c>
      <c r="Y10" s="55" t="e">
        <v>#N/A</v>
      </c>
      <c r="Z10" s="56" t="e">
        <f t="shared" si="10"/>
        <v>#N/A</v>
      </c>
      <c r="AA10" s="55" t="e">
        <v>#N/A</v>
      </c>
      <c r="AB10" s="55">
        <f t="shared" si="11"/>
        <v>0</v>
      </c>
      <c r="AC10" s="55">
        <v>0</v>
      </c>
      <c r="AD10" s="55">
        <v>-4.102027435897436</v>
      </c>
      <c r="AE10" s="55">
        <v>0</v>
      </c>
      <c r="AF10" s="55"/>
    </row>
    <row r="11" spans="1:32" s="57" customFormat="1" ht="15.75" customHeight="1">
      <c r="A11" s="2" t="s">
        <v>60</v>
      </c>
      <c r="B11" s="2" t="s">
        <v>945</v>
      </c>
      <c r="C11" s="51" t="s">
        <v>397</v>
      </c>
      <c r="D11" s="51">
        <v>0</v>
      </c>
      <c r="E11" s="51">
        <v>0</v>
      </c>
      <c r="F11" s="51">
        <v>0</v>
      </c>
      <c r="G11" s="51">
        <v>0</v>
      </c>
      <c r="H11" s="51" t="e">
        <f t="shared" si="1"/>
        <v>#DIV/0!</v>
      </c>
      <c r="I11" s="51" t="e">
        <f t="shared" si="2"/>
        <v>#DIV/0!</v>
      </c>
      <c r="J11" s="51">
        <f t="shared" si="4"/>
        <v>0</v>
      </c>
      <c r="K11" s="51" t="e">
        <f t="shared" si="3"/>
        <v>#DIV/0!</v>
      </c>
      <c r="L11" s="51">
        <v>0</v>
      </c>
      <c r="M11" s="51" t="str">
        <f t="shared" si="5"/>
        <v>-</v>
      </c>
      <c r="N11" s="51">
        <v>0</v>
      </c>
      <c r="O11" s="51">
        <f t="shared" ref="O11:P11" si="18">D11/7</f>
        <v>0</v>
      </c>
      <c r="P11" s="51">
        <f t="shared" si="18"/>
        <v>0</v>
      </c>
      <c r="Q11" s="51" t="e">
        <f t="shared" si="7"/>
        <v>#DIV/0!</v>
      </c>
      <c r="R11" s="55">
        <v>300</v>
      </c>
      <c r="S11" s="53" t="s">
        <v>34</v>
      </c>
      <c r="T11" s="54" t="s">
        <v>34</v>
      </c>
      <c r="U11" s="55">
        <v>0</v>
      </c>
      <c r="V11" s="55">
        <f t="shared" si="8"/>
        <v>0</v>
      </c>
      <c r="W11" s="55">
        <f t="shared" si="9"/>
        <v>0</v>
      </c>
      <c r="X11" s="55">
        <v>0</v>
      </c>
      <c r="Y11" s="55" t="e">
        <v>#N/A</v>
      </c>
      <c r="Z11" s="56" t="e">
        <f t="shared" ref="Z11:Z39" si="19">IF(OR(Y11="UsLargeStandardSize",Y11="UsSmallStandardSize"),-0.75,-0.48)</f>
        <v>#N/A</v>
      </c>
      <c r="AA11" s="55" t="e">
        <v>#N/A</v>
      </c>
      <c r="AB11" s="55">
        <f t="shared" si="11"/>
        <v>0</v>
      </c>
      <c r="AC11" s="55">
        <v>0</v>
      </c>
      <c r="AD11" s="55">
        <v>-4.102027435897436</v>
      </c>
      <c r="AE11" s="55">
        <v>0</v>
      </c>
      <c r="AF11" s="55"/>
    </row>
    <row r="12" spans="1:32" s="57" customFormat="1" ht="15.75" customHeight="1">
      <c r="A12" s="2" t="s">
        <v>62</v>
      </c>
      <c r="B12" s="2" t="s">
        <v>946</v>
      </c>
      <c r="C12" s="51">
        <v>15.99</v>
      </c>
      <c r="D12" s="51">
        <v>0</v>
      </c>
      <c r="E12" s="51">
        <v>0</v>
      </c>
      <c r="F12" s="51">
        <v>0</v>
      </c>
      <c r="G12" s="51">
        <v>-3.28</v>
      </c>
      <c r="H12" s="51" t="e">
        <f t="shared" si="1"/>
        <v>#DIV/0!</v>
      </c>
      <c r="I12" s="51" t="e">
        <f t="shared" si="2"/>
        <v>#DIV/0!</v>
      </c>
      <c r="J12" s="51">
        <f t="shared" si="4"/>
        <v>-9.9560651284722219</v>
      </c>
      <c r="K12" s="51" t="e">
        <f t="shared" si="3"/>
        <v>#DIV/0!</v>
      </c>
      <c r="L12" s="51">
        <v>0</v>
      </c>
      <c r="M12" s="51" t="str">
        <f t="shared" si="5"/>
        <v>-</v>
      </c>
      <c r="N12" s="51">
        <v>199</v>
      </c>
      <c r="O12" s="51">
        <f t="shared" ref="O12:P12" si="20">D12/7</f>
        <v>0</v>
      </c>
      <c r="P12" s="51">
        <f t="shared" si="20"/>
        <v>0</v>
      </c>
      <c r="Q12" s="51" t="e">
        <f t="shared" si="7"/>
        <v>#DIV/0!</v>
      </c>
      <c r="R12" s="55">
        <v>300</v>
      </c>
      <c r="S12" s="53" t="s">
        <v>34</v>
      </c>
      <c r="T12" s="54" t="s">
        <v>34</v>
      </c>
      <c r="U12" s="55">
        <v>0</v>
      </c>
      <c r="V12" s="55">
        <f t="shared" si="8"/>
        <v>0</v>
      </c>
      <c r="W12" s="55">
        <f t="shared" si="9"/>
        <v>3.28</v>
      </c>
      <c r="X12" s="55">
        <v>1</v>
      </c>
      <c r="Y12" s="55" t="s">
        <v>35</v>
      </c>
      <c r="Z12" s="56">
        <f t="shared" si="19"/>
        <v>-0.75</v>
      </c>
      <c r="AA12" s="55">
        <v>0.1789230185185185</v>
      </c>
      <c r="AB12" s="55">
        <f t="shared" si="11"/>
        <v>-6.6760651284722217</v>
      </c>
      <c r="AC12" s="55">
        <v>-7.32</v>
      </c>
      <c r="AD12" s="55">
        <v>-4.102027435897436</v>
      </c>
      <c r="AE12" s="55">
        <v>0</v>
      </c>
      <c r="AF12" s="55"/>
    </row>
    <row r="13" spans="1:32" s="57" customFormat="1" ht="15.75" customHeight="1">
      <c r="A13" s="2" t="s">
        <v>63</v>
      </c>
      <c r="B13" s="2" t="s">
        <v>947</v>
      </c>
      <c r="C13" s="51">
        <v>14.99</v>
      </c>
      <c r="D13" s="51">
        <v>8</v>
      </c>
      <c r="E13" s="51">
        <v>0</v>
      </c>
      <c r="F13" s="51">
        <v>120.91999999999999</v>
      </c>
      <c r="G13" s="51">
        <v>-17.240000000000002</v>
      </c>
      <c r="H13" s="51">
        <f t="shared" si="1"/>
        <v>0.14257360238174002</v>
      </c>
      <c r="I13" s="51">
        <f t="shared" si="2"/>
        <v>-0.10207198383882425</v>
      </c>
      <c r="J13" s="51">
        <f t="shared" si="4"/>
        <v>-12.342544285790627</v>
      </c>
      <c r="K13" s="51">
        <f t="shared" si="3"/>
        <v>-1.5428180357238284</v>
      </c>
      <c r="L13" s="51">
        <v>40</v>
      </c>
      <c r="M13" s="51">
        <f t="shared" si="5"/>
        <v>0.2</v>
      </c>
      <c r="N13" s="51">
        <v>194</v>
      </c>
      <c r="O13" s="51">
        <f t="shared" ref="O13:P13" si="21">D13/7</f>
        <v>1.1428571428571428</v>
      </c>
      <c r="P13" s="51">
        <f t="shared" si="21"/>
        <v>0</v>
      </c>
      <c r="Q13" s="51">
        <f t="shared" si="7"/>
        <v>169</v>
      </c>
      <c r="R13" s="55">
        <v>300</v>
      </c>
      <c r="S13" s="53" t="s">
        <v>34</v>
      </c>
      <c r="T13" s="54" t="s">
        <v>34</v>
      </c>
      <c r="U13" s="55">
        <v>1</v>
      </c>
      <c r="V13" s="55">
        <f t="shared" si="8"/>
        <v>0.125</v>
      </c>
      <c r="W13" s="55">
        <f t="shared" si="9"/>
        <v>3.4480000000000004</v>
      </c>
      <c r="X13" s="55">
        <v>4</v>
      </c>
      <c r="Y13" s="55" t="s">
        <v>35</v>
      </c>
      <c r="Z13" s="56">
        <f t="shared" si="19"/>
        <v>-0.75</v>
      </c>
      <c r="AA13" s="55">
        <v>0.1789230185185185</v>
      </c>
      <c r="AB13" s="55">
        <f t="shared" si="11"/>
        <v>-6.5083247986111106</v>
      </c>
      <c r="AC13" s="55">
        <v>-7.32</v>
      </c>
      <c r="AD13" s="55">
        <v>-4.102027435897436</v>
      </c>
      <c r="AE13" s="55">
        <v>0</v>
      </c>
      <c r="AF13" s="55"/>
    </row>
    <row r="14" spans="1:32" s="57" customFormat="1" ht="15.75" customHeight="1">
      <c r="A14" s="2" t="s">
        <v>64</v>
      </c>
      <c r="B14" s="2"/>
      <c r="C14" s="51">
        <v>17.989999999999998</v>
      </c>
      <c r="D14" s="51">
        <v>14</v>
      </c>
      <c r="E14" s="51">
        <v>0</v>
      </c>
      <c r="F14" s="51">
        <v>209.86000000000004</v>
      </c>
      <c r="G14" s="51">
        <v>-17.009999999999998</v>
      </c>
      <c r="H14" s="51">
        <f t="shared" si="1"/>
        <v>8.105403602401598E-2</v>
      </c>
      <c r="I14" s="51">
        <f t="shared" si="2"/>
        <v>-2.0366450890184289E-2</v>
      </c>
      <c r="J14" s="51">
        <f t="shared" si="4"/>
        <v>-4.2741033838140758</v>
      </c>
      <c r="K14" s="51">
        <f t="shared" si="3"/>
        <v>-0.30529309884386258</v>
      </c>
      <c r="L14" s="51">
        <v>45</v>
      </c>
      <c r="M14" s="51">
        <f t="shared" si="5"/>
        <v>0.31111111111111112</v>
      </c>
      <c r="N14" s="51">
        <v>171</v>
      </c>
      <c r="O14" s="51">
        <f t="shared" ref="O14:P14" si="22">D14/7</f>
        <v>2</v>
      </c>
      <c r="P14" s="51">
        <f t="shared" si="22"/>
        <v>0</v>
      </c>
      <c r="Q14" s="51">
        <f t="shared" si="7"/>
        <v>85</v>
      </c>
      <c r="R14" s="55">
        <v>300</v>
      </c>
      <c r="S14" s="53" t="s">
        <v>34</v>
      </c>
      <c r="T14" s="54" t="s">
        <v>34</v>
      </c>
      <c r="U14" s="55">
        <v>4</v>
      </c>
      <c r="V14" s="55">
        <f t="shared" si="8"/>
        <v>0.2857142857142857</v>
      </c>
      <c r="W14" s="55">
        <f t="shared" si="9"/>
        <v>1.5463636363636362</v>
      </c>
      <c r="X14" s="55">
        <v>7</v>
      </c>
      <c r="Y14" s="55" t="s">
        <v>35</v>
      </c>
      <c r="Z14" s="56">
        <f t="shared" si="19"/>
        <v>-0.75</v>
      </c>
      <c r="AA14" s="55">
        <v>0.1789230185185185</v>
      </c>
      <c r="AB14" s="55">
        <f t="shared" si="11"/>
        <v>-5.7367192812500001</v>
      </c>
      <c r="AC14" s="55">
        <v>-7.32</v>
      </c>
      <c r="AD14" s="55">
        <v>-4.102027435897436</v>
      </c>
      <c r="AE14" s="55">
        <v>0</v>
      </c>
      <c r="AF14" s="55"/>
    </row>
    <row r="15" spans="1:32" s="57" customFormat="1" ht="15.75" customHeight="1">
      <c r="A15" s="2" t="s">
        <v>65</v>
      </c>
      <c r="B15" s="2" t="s">
        <v>948</v>
      </c>
      <c r="C15" s="51">
        <v>17.989999999999998</v>
      </c>
      <c r="D15" s="51">
        <v>11</v>
      </c>
      <c r="E15" s="51">
        <v>0</v>
      </c>
      <c r="F15" s="51">
        <v>164.89000000000001</v>
      </c>
      <c r="G15" s="51">
        <v>0</v>
      </c>
      <c r="H15" s="51">
        <f t="shared" si="1"/>
        <v>0</v>
      </c>
      <c r="I15" s="51">
        <f t="shared" si="2"/>
        <v>5.4046159183498768E-2</v>
      </c>
      <c r="J15" s="51">
        <f t="shared" si="4"/>
        <v>8.9116711877671122</v>
      </c>
      <c r="K15" s="51">
        <f t="shared" si="3"/>
        <v>0.81015192616064657</v>
      </c>
      <c r="L15" s="51">
        <v>26</v>
      </c>
      <c r="M15" s="51">
        <f t="shared" si="5"/>
        <v>0.42307692307692307</v>
      </c>
      <c r="N15" s="51">
        <v>167</v>
      </c>
      <c r="O15" s="51">
        <f t="shared" ref="O15:P15" si="23">D15/7</f>
        <v>1.5714285714285714</v>
      </c>
      <c r="P15" s="51">
        <f t="shared" si="23"/>
        <v>0</v>
      </c>
      <c r="Q15" s="51">
        <f t="shared" si="7"/>
        <v>106</v>
      </c>
      <c r="R15" s="55">
        <v>300</v>
      </c>
      <c r="S15" s="53" t="s">
        <v>34</v>
      </c>
      <c r="T15" s="54" t="s">
        <v>34</v>
      </c>
      <c r="U15" s="55">
        <v>0</v>
      </c>
      <c r="V15" s="55">
        <f t="shared" si="8"/>
        <v>0</v>
      </c>
      <c r="W15" s="55">
        <f t="shared" si="9"/>
        <v>0</v>
      </c>
      <c r="X15" s="55">
        <v>0</v>
      </c>
      <c r="Y15" s="55" t="s">
        <v>35</v>
      </c>
      <c r="Z15" s="56">
        <f t="shared" si="19"/>
        <v>-0.75</v>
      </c>
      <c r="AA15" s="55">
        <v>0.1789230185185185</v>
      </c>
      <c r="AB15" s="55">
        <f t="shared" si="11"/>
        <v>-5.602527017361111</v>
      </c>
      <c r="AC15" s="55">
        <v>-7.32</v>
      </c>
      <c r="AD15" s="55">
        <v>-4.102027435897436</v>
      </c>
      <c r="AE15" s="55">
        <v>0</v>
      </c>
      <c r="AF15" s="55"/>
    </row>
    <row r="16" spans="1:32" s="57" customFormat="1" ht="15.75" customHeight="1">
      <c r="A16" s="2" t="s">
        <v>66</v>
      </c>
      <c r="B16" s="2" t="s">
        <v>949</v>
      </c>
      <c r="C16" s="51">
        <v>16.989999999999998</v>
      </c>
      <c r="D16" s="51">
        <v>1</v>
      </c>
      <c r="E16" s="51">
        <v>0</v>
      </c>
      <c r="F16" s="51">
        <v>16.989999999999998</v>
      </c>
      <c r="G16" s="51">
        <v>0</v>
      </c>
      <c r="H16" s="51">
        <f t="shared" si="1"/>
        <v>0</v>
      </c>
      <c r="I16" s="51">
        <f t="shared" si="2"/>
        <v>-0.14808465693432057</v>
      </c>
      <c r="J16" s="51">
        <f t="shared" si="4"/>
        <v>-2.5159583213141063</v>
      </c>
      <c r="K16" s="51">
        <f t="shared" si="3"/>
        <v>-2.5159583213141063</v>
      </c>
      <c r="L16" s="51">
        <v>27</v>
      </c>
      <c r="M16" s="51">
        <f t="shared" si="5"/>
        <v>3.7037037037037035E-2</v>
      </c>
      <c r="N16" s="51">
        <v>165</v>
      </c>
      <c r="O16" s="51">
        <f t="shared" ref="O16:P16" si="24">D16/7</f>
        <v>0.14285714285714285</v>
      </c>
      <c r="P16" s="51">
        <f t="shared" si="24"/>
        <v>0</v>
      </c>
      <c r="Q16" s="51">
        <f t="shared" si="7"/>
        <v>1155</v>
      </c>
      <c r="R16" s="55">
        <v>300</v>
      </c>
      <c r="S16" s="53" t="s">
        <v>34</v>
      </c>
      <c r="T16" s="54" t="s">
        <v>34</v>
      </c>
      <c r="U16" s="55">
        <v>0</v>
      </c>
      <c r="V16" s="55">
        <f t="shared" si="8"/>
        <v>0</v>
      </c>
      <c r="W16" s="55">
        <f t="shared" si="9"/>
        <v>0</v>
      </c>
      <c r="X16" s="55">
        <v>0</v>
      </c>
      <c r="Y16" s="55" t="s">
        <v>35</v>
      </c>
      <c r="Z16" s="56">
        <f t="shared" si="19"/>
        <v>-0.75</v>
      </c>
      <c r="AA16" s="55">
        <v>0.1789230185185185</v>
      </c>
      <c r="AB16" s="55">
        <f t="shared" si="11"/>
        <v>-5.5354308854166669</v>
      </c>
      <c r="AC16" s="55">
        <v>-7.32</v>
      </c>
      <c r="AD16" s="55">
        <v>-4.102027435897436</v>
      </c>
      <c r="AE16" s="55">
        <v>0</v>
      </c>
      <c r="AF16" s="55"/>
    </row>
    <row r="17" spans="1:32" s="57" customFormat="1" ht="15.75" customHeight="1">
      <c r="A17" s="2" t="s">
        <v>67</v>
      </c>
      <c r="B17" s="2" t="s">
        <v>950</v>
      </c>
      <c r="C17" s="51">
        <v>15.47</v>
      </c>
      <c r="D17" s="51">
        <v>2</v>
      </c>
      <c r="E17" s="51">
        <v>0</v>
      </c>
      <c r="F17" s="51">
        <v>31.98</v>
      </c>
      <c r="G17" s="51">
        <v>0</v>
      </c>
      <c r="H17" s="51">
        <f t="shared" si="1"/>
        <v>0</v>
      </c>
      <c r="I17" s="51">
        <f t="shared" si="2"/>
        <v>-3.3217432561683941E-2</v>
      </c>
      <c r="J17" s="51">
        <f t="shared" si="4"/>
        <v>-1.0622934933226524</v>
      </c>
      <c r="K17" s="51">
        <f t="shared" si="3"/>
        <v>-0.53114674666132622</v>
      </c>
      <c r="L17" s="51">
        <v>22</v>
      </c>
      <c r="M17" s="51">
        <f t="shared" si="5"/>
        <v>9.0909090909090912E-2</v>
      </c>
      <c r="N17" s="51">
        <v>161</v>
      </c>
      <c r="O17" s="51">
        <f t="shared" ref="O17:P17" si="25">D17/7</f>
        <v>0.2857142857142857</v>
      </c>
      <c r="P17" s="51">
        <f t="shared" si="25"/>
        <v>0</v>
      </c>
      <c r="Q17" s="51">
        <f t="shared" si="7"/>
        <v>563</v>
      </c>
      <c r="R17" s="55">
        <v>300</v>
      </c>
      <c r="S17" s="53" t="s">
        <v>34</v>
      </c>
      <c r="T17" s="54" t="s">
        <v>34</v>
      </c>
      <c r="U17" s="55">
        <v>0</v>
      </c>
      <c r="V17" s="55">
        <f t="shared" si="8"/>
        <v>0</v>
      </c>
      <c r="W17" s="55">
        <f t="shared" si="9"/>
        <v>0</v>
      </c>
      <c r="X17" s="55">
        <v>0</v>
      </c>
      <c r="Y17" s="55" t="s">
        <v>35</v>
      </c>
      <c r="Z17" s="56">
        <f t="shared" si="19"/>
        <v>-0.75</v>
      </c>
      <c r="AA17" s="55">
        <v>0.1789230185185185</v>
      </c>
      <c r="AB17" s="55">
        <f t="shared" si="11"/>
        <v>-5.4012386215277779</v>
      </c>
      <c r="AC17" s="55">
        <v>-7.32</v>
      </c>
      <c r="AD17" s="55">
        <v>-4.102027435897436</v>
      </c>
      <c r="AE17" s="55">
        <v>0</v>
      </c>
      <c r="AF17" s="55"/>
    </row>
    <row r="18" spans="1:32" s="57" customFormat="1" ht="15.75" customHeight="1">
      <c r="A18" s="2" t="s">
        <v>69</v>
      </c>
      <c r="B18" s="2" t="s">
        <v>951</v>
      </c>
      <c r="C18" s="51">
        <v>16.68</v>
      </c>
      <c r="D18" s="51">
        <v>4</v>
      </c>
      <c r="E18" s="51">
        <v>0</v>
      </c>
      <c r="F18" s="51">
        <v>66.239999999999995</v>
      </c>
      <c r="G18" s="51">
        <v>-18.330000000000002</v>
      </c>
      <c r="H18" s="51">
        <f t="shared" si="1"/>
        <v>0.27672101449275366</v>
      </c>
      <c r="I18" s="51">
        <f t="shared" si="2"/>
        <v>-0.14076716350024793</v>
      </c>
      <c r="J18" s="51">
        <f t="shared" si="4"/>
        <v>-9.3244169102564225</v>
      </c>
      <c r="K18" s="51">
        <f t="shared" si="3"/>
        <v>-2.3311042275641056</v>
      </c>
      <c r="L18" s="51">
        <v>31</v>
      </c>
      <c r="M18" s="51">
        <f t="shared" si="5"/>
        <v>0.12903225806451613</v>
      </c>
      <c r="N18" s="51">
        <v>153</v>
      </c>
      <c r="O18" s="51">
        <f t="shared" ref="O18:P18" si="26">D18/7</f>
        <v>0.5714285714285714</v>
      </c>
      <c r="P18" s="51">
        <f t="shared" si="26"/>
        <v>0</v>
      </c>
      <c r="Q18" s="51">
        <f t="shared" si="7"/>
        <v>267</v>
      </c>
      <c r="R18" s="55">
        <v>300</v>
      </c>
      <c r="S18" s="53" t="s">
        <v>34</v>
      </c>
      <c r="T18" s="54" t="s">
        <v>34</v>
      </c>
      <c r="U18" s="55">
        <v>1</v>
      </c>
      <c r="V18" s="55">
        <f t="shared" si="8"/>
        <v>0.25</v>
      </c>
      <c r="W18" s="55">
        <f t="shared" si="9"/>
        <v>9.1650000000000009</v>
      </c>
      <c r="X18" s="55">
        <v>1</v>
      </c>
      <c r="Y18" s="55" t="s">
        <v>35</v>
      </c>
      <c r="Z18" s="56">
        <f t="shared" si="19"/>
        <v>-0.75</v>
      </c>
      <c r="AA18" s="55">
        <v>0.1789230185185185</v>
      </c>
      <c r="AB18" s="58">
        <f t="shared" ref="AB18:AB39" si="27">IFERROR(Z18*AA18*D18*3,0)</f>
        <v>-1.6103071666666666</v>
      </c>
      <c r="AC18" s="55">
        <v>-7.32</v>
      </c>
      <c r="AD18" s="55">
        <v>-4.102027435897436</v>
      </c>
      <c r="AE18" s="55">
        <v>0</v>
      </c>
      <c r="AF18" s="55"/>
    </row>
    <row r="19" spans="1:32" s="57" customFormat="1" ht="15.75" customHeight="1">
      <c r="A19" s="2" t="s">
        <v>71</v>
      </c>
      <c r="B19" s="2" t="s">
        <v>952</v>
      </c>
      <c r="C19" s="51">
        <v>17.420000000000002</v>
      </c>
      <c r="D19" s="51">
        <v>10</v>
      </c>
      <c r="E19" s="51">
        <v>0</v>
      </c>
      <c r="F19" s="51">
        <v>163.05000000000001</v>
      </c>
      <c r="G19" s="51">
        <v>-41.74</v>
      </c>
      <c r="H19" s="51">
        <f t="shared" si="1"/>
        <v>0.25599509352959215</v>
      </c>
      <c r="I19" s="51">
        <f t="shared" si="2"/>
        <v>-0.13120847761816029</v>
      </c>
      <c r="J19" s="51">
        <f t="shared" si="4"/>
        <v>-21.393542275641039</v>
      </c>
      <c r="K19" s="51">
        <f t="shared" si="3"/>
        <v>-2.139354227564104</v>
      </c>
      <c r="L19" s="51">
        <v>48</v>
      </c>
      <c r="M19" s="51">
        <f t="shared" si="5"/>
        <v>0.20833333333333334</v>
      </c>
      <c r="N19" s="51">
        <v>147</v>
      </c>
      <c r="O19" s="51">
        <f t="shared" ref="O19:P19" si="28">D19/7</f>
        <v>1.4285714285714286</v>
      </c>
      <c r="P19" s="51">
        <f t="shared" si="28"/>
        <v>0</v>
      </c>
      <c r="Q19" s="51">
        <f t="shared" si="7"/>
        <v>102</v>
      </c>
      <c r="R19" s="55">
        <v>500</v>
      </c>
      <c r="S19" s="53">
        <v>200</v>
      </c>
      <c r="T19" s="54">
        <v>43990</v>
      </c>
      <c r="U19" s="55">
        <v>4</v>
      </c>
      <c r="V19" s="55">
        <f t="shared" si="8"/>
        <v>0.4</v>
      </c>
      <c r="W19" s="55">
        <f t="shared" si="9"/>
        <v>3.2107692307692308</v>
      </c>
      <c r="X19" s="55">
        <v>9</v>
      </c>
      <c r="Y19" s="55" t="s">
        <v>35</v>
      </c>
      <c r="Z19" s="56">
        <f t="shared" si="19"/>
        <v>-0.75</v>
      </c>
      <c r="AA19" s="55">
        <v>0.1789230185185185</v>
      </c>
      <c r="AB19" s="55">
        <f t="shared" si="27"/>
        <v>-4.0257679166666662</v>
      </c>
      <c r="AC19" s="55">
        <v>-7.32</v>
      </c>
      <c r="AD19" s="55">
        <v>-4.102027435897436</v>
      </c>
      <c r="AE19" s="55">
        <v>0</v>
      </c>
      <c r="AF19" s="55"/>
    </row>
    <row r="20" spans="1:32" s="57" customFormat="1" ht="15.75" customHeight="1">
      <c r="A20" s="2" t="s">
        <v>73</v>
      </c>
      <c r="B20" s="2" t="s">
        <v>953</v>
      </c>
      <c r="C20" s="51">
        <v>15.93</v>
      </c>
      <c r="D20" s="51">
        <v>5</v>
      </c>
      <c r="E20" s="51">
        <v>0</v>
      </c>
      <c r="F20" s="51">
        <v>83.71</v>
      </c>
      <c r="G20" s="51">
        <v>-0.04</v>
      </c>
      <c r="H20" s="51">
        <f t="shared" si="1"/>
        <v>4.7784016246565529E-4</v>
      </c>
      <c r="I20" s="51">
        <f t="shared" si="2"/>
        <v>0.1432383091886211</v>
      </c>
      <c r="J20" s="51">
        <f t="shared" si="4"/>
        <v>11.990478862179472</v>
      </c>
      <c r="K20" s="51">
        <f t="shared" si="3"/>
        <v>2.3980957724358944</v>
      </c>
      <c r="L20" s="51">
        <v>57</v>
      </c>
      <c r="M20" s="51">
        <f t="shared" si="5"/>
        <v>8.771929824561403E-2</v>
      </c>
      <c r="N20" s="51">
        <v>129</v>
      </c>
      <c r="O20" s="51">
        <f t="shared" ref="O20:P20" si="29">D20/7</f>
        <v>0.7142857142857143</v>
      </c>
      <c r="P20" s="51">
        <f t="shared" si="29"/>
        <v>0</v>
      </c>
      <c r="Q20" s="51">
        <f t="shared" si="7"/>
        <v>180</v>
      </c>
      <c r="R20" s="55">
        <v>300</v>
      </c>
      <c r="S20" s="53">
        <v>200</v>
      </c>
      <c r="T20" s="54">
        <v>43990</v>
      </c>
      <c r="U20" s="55">
        <v>0</v>
      </c>
      <c r="V20" s="55">
        <f t="shared" si="8"/>
        <v>0</v>
      </c>
      <c r="W20" s="55">
        <f t="shared" si="9"/>
        <v>0</v>
      </c>
      <c r="X20" s="55">
        <v>0</v>
      </c>
      <c r="Y20" s="55" t="s">
        <v>35</v>
      </c>
      <c r="Z20" s="56">
        <f t="shared" si="19"/>
        <v>-0.75</v>
      </c>
      <c r="AA20" s="55">
        <v>0.1789230185185185</v>
      </c>
      <c r="AB20" s="55">
        <f t="shared" si="27"/>
        <v>-2.0128839583333331</v>
      </c>
      <c r="AC20" s="55">
        <v>-7.32</v>
      </c>
      <c r="AD20" s="55">
        <v>-4.102027435897436</v>
      </c>
      <c r="AE20" s="55">
        <v>0</v>
      </c>
      <c r="AF20" s="55"/>
    </row>
    <row r="21" spans="1:32" s="57" customFormat="1" ht="15.75" customHeight="1">
      <c r="A21" s="2" t="s">
        <v>75</v>
      </c>
      <c r="B21" s="2" t="s">
        <v>954</v>
      </c>
      <c r="C21" s="51">
        <v>18.5</v>
      </c>
      <c r="D21" s="51">
        <v>16</v>
      </c>
      <c r="E21" s="51">
        <v>0</v>
      </c>
      <c r="F21" s="51">
        <v>264.33000000000004</v>
      </c>
      <c r="G21" s="51">
        <v>-0.12000000000000001</v>
      </c>
      <c r="H21" s="51">
        <f t="shared" si="1"/>
        <v>4.5397798206786967E-4</v>
      </c>
      <c r="I21" s="51">
        <f t="shared" si="2"/>
        <v>0.13379802655383188</v>
      </c>
      <c r="J21" s="51">
        <f t="shared" si="4"/>
        <v>35.366832358974385</v>
      </c>
      <c r="K21" s="51">
        <f t="shared" si="3"/>
        <v>2.2104270224358991</v>
      </c>
      <c r="L21" s="51">
        <v>35</v>
      </c>
      <c r="M21" s="51">
        <f t="shared" si="5"/>
        <v>0.45714285714285713</v>
      </c>
      <c r="N21" s="51">
        <v>122</v>
      </c>
      <c r="O21" s="51">
        <f t="shared" ref="O21:P21" si="30">D21/7</f>
        <v>2.2857142857142856</v>
      </c>
      <c r="P21" s="51">
        <f t="shared" si="30"/>
        <v>0</v>
      </c>
      <c r="Q21" s="51">
        <f t="shared" si="7"/>
        <v>53</v>
      </c>
      <c r="R21" s="55">
        <v>300</v>
      </c>
      <c r="S21" s="53">
        <v>200</v>
      </c>
      <c r="T21" s="54">
        <v>43990</v>
      </c>
      <c r="U21" s="55">
        <v>0</v>
      </c>
      <c r="V21" s="55">
        <f t="shared" si="8"/>
        <v>0</v>
      </c>
      <c r="W21" s="55">
        <f t="shared" si="9"/>
        <v>0</v>
      </c>
      <c r="X21" s="55">
        <v>0</v>
      </c>
      <c r="Y21" s="55" t="s">
        <v>35</v>
      </c>
      <c r="Z21" s="56">
        <f t="shared" si="19"/>
        <v>-0.75</v>
      </c>
      <c r="AA21" s="55">
        <v>0.1789230185185185</v>
      </c>
      <c r="AB21" s="55">
        <f t="shared" si="27"/>
        <v>-6.4412286666666665</v>
      </c>
      <c r="AC21" s="55">
        <v>-7.32</v>
      </c>
      <c r="AD21" s="55">
        <v>-4.102027435897436</v>
      </c>
      <c r="AE21" s="55">
        <v>0</v>
      </c>
      <c r="AF21" s="55"/>
    </row>
    <row r="22" spans="1:32" s="57" customFormat="1" ht="15.75" customHeight="1">
      <c r="A22" s="2" t="s">
        <v>77</v>
      </c>
      <c r="B22" s="2" t="s">
        <v>955</v>
      </c>
      <c r="C22" s="51">
        <v>18</v>
      </c>
      <c r="D22" s="51">
        <v>18</v>
      </c>
      <c r="E22" s="51">
        <v>0</v>
      </c>
      <c r="F22" s="51">
        <v>309.07000000000005</v>
      </c>
      <c r="G22" s="51">
        <v>-0.61</v>
      </c>
      <c r="H22" s="51">
        <f t="shared" si="1"/>
        <v>1.9736629242566406E-3</v>
      </c>
      <c r="I22" s="51">
        <f t="shared" si="2"/>
        <v>0.15937044651323712</v>
      </c>
      <c r="J22" s="51">
        <f t="shared" si="4"/>
        <v>49.256623903846204</v>
      </c>
      <c r="K22" s="51">
        <f t="shared" si="3"/>
        <v>2.7364791057692335</v>
      </c>
      <c r="L22" s="51">
        <v>28</v>
      </c>
      <c r="M22" s="51">
        <f t="shared" si="5"/>
        <v>0.6428571428571429</v>
      </c>
      <c r="N22" s="51">
        <v>107</v>
      </c>
      <c r="O22" s="51">
        <f t="shared" ref="O22:P22" si="31">D22/7</f>
        <v>2.5714285714285716</v>
      </c>
      <c r="P22" s="51">
        <f t="shared" si="31"/>
        <v>0</v>
      </c>
      <c r="Q22" s="51">
        <f t="shared" si="7"/>
        <v>41</v>
      </c>
      <c r="R22" s="55">
        <v>300</v>
      </c>
      <c r="S22" s="53">
        <v>200</v>
      </c>
      <c r="T22" s="54">
        <v>43992</v>
      </c>
      <c r="U22" s="55">
        <v>0</v>
      </c>
      <c r="V22" s="55">
        <f t="shared" si="8"/>
        <v>0</v>
      </c>
      <c r="W22" s="55">
        <f t="shared" si="9"/>
        <v>0</v>
      </c>
      <c r="X22" s="55">
        <v>0</v>
      </c>
      <c r="Y22" s="55" t="s">
        <v>35</v>
      </c>
      <c r="Z22" s="56">
        <f t="shared" si="19"/>
        <v>-0.75</v>
      </c>
      <c r="AA22" s="55">
        <v>0.1789230185185185</v>
      </c>
      <c r="AB22" s="55">
        <f t="shared" si="27"/>
        <v>-7.2463822499999999</v>
      </c>
      <c r="AC22" s="55">
        <v>-7.32</v>
      </c>
      <c r="AD22" s="55">
        <v>-4.102027435897436</v>
      </c>
      <c r="AE22" s="55">
        <v>0</v>
      </c>
      <c r="AF22" s="55"/>
    </row>
    <row r="23" spans="1:32" s="57" customFormat="1" ht="15.75" customHeight="1">
      <c r="A23" s="2" t="s">
        <v>79</v>
      </c>
      <c r="B23" s="2" t="s">
        <v>810</v>
      </c>
      <c r="C23" s="51">
        <v>19</v>
      </c>
      <c r="D23" s="51">
        <v>9</v>
      </c>
      <c r="E23" s="51">
        <v>0</v>
      </c>
      <c r="F23" s="51">
        <v>166.79</v>
      </c>
      <c r="G23" s="51">
        <v>-0.4</v>
      </c>
      <c r="H23" s="51">
        <f t="shared" si="1"/>
        <v>2.3982253132681817E-3</v>
      </c>
      <c r="I23" s="51">
        <f t="shared" si="2"/>
        <v>0.20954530818348271</v>
      </c>
      <c r="J23" s="51">
        <f t="shared" si="4"/>
        <v>34.950061951923082</v>
      </c>
      <c r="K23" s="51">
        <f t="shared" si="3"/>
        <v>3.8833402168803426</v>
      </c>
      <c r="L23" s="51">
        <v>22</v>
      </c>
      <c r="M23" s="51">
        <f t="shared" si="5"/>
        <v>0.40909090909090912</v>
      </c>
      <c r="N23" s="51">
        <v>102</v>
      </c>
      <c r="O23" s="51">
        <f t="shared" ref="O23:P23" si="32">D23/7</f>
        <v>1.2857142857142858</v>
      </c>
      <c r="P23" s="51">
        <f t="shared" si="32"/>
        <v>0</v>
      </c>
      <c r="Q23" s="51">
        <f t="shared" si="7"/>
        <v>79</v>
      </c>
      <c r="R23" s="55">
        <v>300</v>
      </c>
      <c r="S23" s="53">
        <v>200</v>
      </c>
      <c r="T23" s="54">
        <v>43992</v>
      </c>
      <c r="U23" s="55">
        <v>0</v>
      </c>
      <c r="V23" s="55">
        <f t="shared" si="8"/>
        <v>0</v>
      </c>
      <c r="W23" s="55">
        <f t="shared" si="9"/>
        <v>0</v>
      </c>
      <c r="X23" s="55">
        <v>0</v>
      </c>
      <c r="Y23" s="55" t="s">
        <v>35</v>
      </c>
      <c r="Z23" s="56">
        <f t="shared" si="19"/>
        <v>-0.75</v>
      </c>
      <c r="AA23" s="55">
        <v>0.1789230185185185</v>
      </c>
      <c r="AB23" s="55">
        <f t="shared" si="27"/>
        <v>-3.623191125</v>
      </c>
      <c r="AC23" s="55">
        <v>-7.32</v>
      </c>
      <c r="AD23" s="55">
        <v>-4.102027435897436</v>
      </c>
      <c r="AE23" s="55">
        <v>0</v>
      </c>
      <c r="AF23" s="55"/>
    </row>
    <row r="24" spans="1:32" s="57" customFormat="1" ht="15.75" customHeight="1">
      <c r="A24" s="2" t="s">
        <v>80</v>
      </c>
      <c r="B24" s="2" t="s">
        <v>956</v>
      </c>
      <c r="C24" s="51">
        <v>19</v>
      </c>
      <c r="D24" s="51">
        <v>6</v>
      </c>
      <c r="E24" s="51">
        <v>0</v>
      </c>
      <c r="F24" s="51">
        <v>115.02</v>
      </c>
      <c r="G24" s="51">
        <v>-0.69</v>
      </c>
      <c r="H24" s="51">
        <f t="shared" si="1"/>
        <v>5.9989567031820549E-3</v>
      </c>
      <c r="I24" s="51">
        <f t="shared" si="2"/>
        <v>0.22717244509316104</v>
      </c>
      <c r="J24" s="51">
        <f t="shared" si="4"/>
        <v>26.129374634615381</v>
      </c>
      <c r="K24" s="51">
        <f t="shared" si="3"/>
        <v>4.3548957724358965</v>
      </c>
      <c r="L24" s="51">
        <v>15</v>
      </c>
      <c r="M24" s="51">
        <f t="shared" si="5"/>
        <v>0.4</v>
      </c>
      <c r="N24" s="51">
        <v>84</v>
      </c>
      <c r="O24" s="51">
        <f t="shared" ref="O24:P24" si="33">D24/7</f>
        <v>0.8571428571428571</v>
      </c>
      <c r="P24" s="51">
        <f t="shared" si="33"/>
        <v>0</v>
      </c>
      <c r="Q24" s="51">
        <f t="shared" si="7"/>
        <v>98</v>
      </c>
      <c r="R24" s="55">
        <v>300</v>
      </c>
      <c r="S24" s="53">
        <v>200</v>
      </c>
      <c r="T24" s="54">
        <v>43992</v>
      </c>
      <c r="U24" s="55">
        <v>2</v>
      </c>
      <c r="V24" s="55">
        <f t="shared" si="8"/>
        <v>0.33333333333333331</v>
      </c>
      <c r="W24" s="55">
        <f t="shared" si="9"/>
        <v>0.34499999999999997</v>
      </c>
      <c r="X24" s="55">
        <v>0</v>
      </c>
      <c r="Y24" s="55" t="s">
        <v>35</v>
      </c>
      <c r="Z24" s="56">
        <f t="shared" si="19"/>
        <v>-0.75</v>
      </c>
      <c r="AA24" s="55">
        <v>0.1789230185185185</v>
      </c>
      <c r="AB24" s="55">
        <f t="shared" si="27"/>
        <v>-2.4154607499999998</v>
      </c>
      <c r="AC24" s="55">
        <v>-7.32</v>
      </c>
      <c r="AD24" s="55">
        <v>-4.102027435897436</v>
      </c>
      <c r="AE24" s="55">
        <v>0</v>
      </c>
      <c r="AF24" s="55"/>
    </row>
    <row r="25" spans="1:32" s="57" customFormat="1" ht="15.75" customHeight="1">
      <c r="A25" s="2" t="s">
        <v>81</v>
      </c>
      <c r="B25" s="2" t="s">
        <v>957</v>
      </c>
      <c r="C25" s="51"/>
      <c r="D25" s="51">
        <v>12</v>
      </c>
      <c r="E25" s="51">
        <v>0</v>
      </c>
      <c r="F25" s="51">
        <v>231.64000000000001</v>
      </c>
      <c r="G25" s="51">
        <v>-1.05</v>
      </c>
      <c r="H25" s="51">
        <f t="shared" si="1"/>
        <v>4.5328958729062337E-3</v>
      </c>
      <c r="I25" s="51">
        <f t="shared" si="2"/>
        <v>0.23289910753423743</v>
      </c>
      <c r="J25" s="51">
        <f t="shared" si="4"/>
        <v>53.94874926923076</v>
      </c>
      <c r="K25" s="51">
        <f t="shared" si="3"/>
        <v>4.4957291057692297</v>
      </c>
      <c r="L25" s="51">
        <v>22</v>
      </c>
      <c r="M25" s="51">
        <f t="shared" si="5"/>
        <v>0.54545454545454541</v>
      </c>
      <c r="N25" s="51">
        <v>85</v>
      </c>
      <c r="O25" s="51">
        <f t="shared" ref="O25:P25" si="34">D25/7</f>
        <v>1.7142857142857142</v>
      </c>
      <c r="P25" s="51">
        <f t="shared" si="34"/>
        <v>0</v>
      </c>
      <c r="Q25" s="51">
        <f t="shared" si="7"/>
        <v>49</v>
      </c>
      <c r="R25" s="55">
        <v>300</v>
      </c>
      <c r="S25" s="53">
        <v>200</v>
      </c>
      <c r="T25" s="54">
        <v>43990</v>
      </c>
      <c r="U25" s="55">
        <v>2</v>
      </c>
      <c r="V25" s="55">
        <f t="shared" si="8"/>
        <v>0.16666666666666666</v>
      </c>
      <c r="W25" s="55">
        <f t="shared" si="9"/>
        <v>0.52500000000000002</v>
      </c>
      <c r="X25" s="55">
        <v>0</v>
      </c>
      <c r="Y25" s="55" t="s">
        <v>35</v>
      </c>
      <c r="Z25" s="56">
        <f t="shared" si="19"/>
        <v>-0.75</v>
      </c>
      <c r="AA25" s="55">
        <v>0.1789230185185185</v>
      </c>
      <c r="AB25" s="55">
        <f t="shared" si="27"/>
        <v>-4.8309214999999996</v>
      </c>
      <c r="AC25" s="55">
        <v>-7.32</v>
      </c>
      <c r="AD25" s="55">
        <v>-4.102027435897436</v>
      </c>
      <c r="AE25" s="55">
        <v>0</v>
      </c>
      <c r="AF25" s="55"/>
    </row>
    <row r="26" spans="1:32" s="57" customFormat="1" ht="15.75" customHeight="1">
      <c r="A26" s="2" t="s">
        <v>83</v>
      </c>
      <c r="B26" s="2" t="s">
        <v>921</v>
      </c>
      <c r="C26" s="51">
        <f t="shared" ref="C26:C39" si="35">IFERROR(F26/D26," - ")</f>
        <v>17.245675675675674</v>
      </c>
      <c r="D26" s="51">
        <v>37</v>
      </c>
      <c r="E26" s="51">
        <v>0</v>
      </c>
      <c r="F26" s="51">
        <v>638.08999999999992</v>
      </c>
      <c r="G26" s="51">
        <v>-1.1200000000000001</v>
      </c>
      <c r="H26" s="51">
        <f t="shared" si="1"/>
        <v>1.7552382892695392E-3</v>
      </c>
      <c r="I26" s="51">
        <f t="shared" si="2"/>
        <v>0.16258857462133575</v>
      </c>
      <c r="J26" s="51">
        <f t="shared" si="4"/>
        <v>103.74614358012811</v>
      </c>
      <c r="K26" s="51">
        <f t="shared" si="3"/>
        <v>2.8039498264899487</v>
      </c>
      <c r="L26" s="51">
        <v>128</v>
      </c>
      <c r="M26" s="51">
        <f t="shared" si="5"/>
        <v>0.2890625</v>
      </c>
      <c r="N26" s="51">
        <v>6</v>
      </c>
      <c r="O26" s="51">
        <f t="shared" ref="O26:P26" si="36">D26/7</f>
        <v>5.2857142857142856</v>
      </c>
      <c r="P26" s="51">
        <f t="shared" si="36"/>
        <v>0</v>
      </c>
      <c r="Q26" s="51">
        <f t="shared" si="7"/>
        <v>1</v>
      </c>
      <c r="R26" s="55">
        <v>300</v>
      </c>
      <c r="S26" s="53">
        <v>200</v>
      </c>
      <c r="T26" s="54">
        <v>43990</v>
      </c>
      <c r="U26" s="55">
        <v>0</v>
      </c>
      <c r="V26" s="55">
        <f t="shared" si="8"/>
        <v>0</v>
      </c>
      <c r="W26" s="55">
        <f t="shared" si="9"/>
        <v>0.22400000000000003</v>
      </c>
      <c r="X26" s="55">
        <v>5</v>
      </c>
      <c r="Y26" s="55" t="s">
        <v>35</v>
      </c>
      <c r="Z26" s="56">
        <f t="shared" si="19"/>
        <v>-0.75</v>
      </c>
      <c r="AA26" s="55">
        <v>0.1789230185185185</v>
      </c>
      <c r="AB26" s="55">
        <f t="shared" si="27"/>
        <v>-14.895341291666666</v>
      </c>
      <c r="AC26" s="55">
        <v>-7.32</v>
      </c>
      <c r="AD26" s="55">
        <v>-4.102027435897436</v>
      </c>
      <c r="AE26" s="55">
        <v>0</v>
      </c>
      <c r="AF26" s="55"/>
    </row>
    <row r="27" spans="1:32" s="57" customFormat="1" ht="15.75" customHeight="1">
      <c r="A27" s="2" t="s">
        <v>84</v>
      </c>
      <c r="B27" s="2" t="s">
        <v>958</v>
      </c>
      <c r="C27" s="51">
        <f t="shared" si="35"/>
        <v>17.615581395348833</v>
      </c>
      <c r="D27" s="51">
        <v>43</v>
      </c>
      <c r="E27" s="51">
        <v>0</v>
      </c>
      <c r="F27" s="51">
        <v>757.4699999999998</v>
      </c>
      <c r="G27" s="51">
        <v>-0.56999999999999995</v>
      </c>
      <c r="H27" s="51">
        <f t="shared" si="1"/>
        <v>7.5250504970493894E-4</v>
      </c>
      <c r="I27" s="51">
        <f t="shared" si="2"/>
        <v>0.17798925134294874</v>
      </c>
      <c r="J27" s="51">
        <f t="shared" si="4"/>
        <v>134.82151821474335</v>
      </c>
      <c r="K27" s="51">
        <f t="shared" si="3"/>
        <v>3.1353841445289152</v>
      </c>
      <c r="L27" s="51">
        <v>113</v>
      </c>
      <c r="M27" s="51">
        <f t="shared" si="5"/>
        <v>0.38053097345132741</v>
      </c>
      <c r="N27" s="51">
        <v>191</v>
      </c>
      <c r="O27" s="51">
        <f t="shared" ref="O27:P27" si="37">D27/7</f>
        <v>6.1428571428571432</v>
      </c>
      <c r="P27" s="51">
        <f t="shared" si="37"/>
        <v>0</v>
      </c>
      <c r="Q27" s="51">
        <f t="shared" si="7"/>
        <v>31</v>
      </c>
      <c r="R27" s="55">
        <v>100</v>
      </c>
      <c r="S27" s="53" t="s">
        <v>34</v>
      </c>
      <c r="T27" s="54" t="s">
        <v>34</v>
      </c>
      <c r="U27" s="55">
        <v>0</v>
      </c>
      <c r="V27" s="55">
        <f t="shared" si="8"/>
        <v>0</v>
      </c>
      <c r="W27" s="55">
        <f t="shared" si="9"/>
        <v>0.56999999999999995</v>
      </c>
      <c r="X27" s="55">
        <v>1</v>
      </c>
      <c r="Y27" s="55" t="s">
        <v>35</v>
      </c>
      <c r="Z27" s="56">
        <f t="shared" si="19"/>
        <v>-0.75</v>
      </c>
      <c r="AA27" s="55">
        <v>0.1789230185185185</v>
      </c>
      <c r="AB27" s="55">
        <f t="shared" si="27"/>
        <v>-17.310802041666665</v>
      </c>
      <c r="AC27" s="55">
        <v>-7.32</v>
      </c>
      <c r="AD27" s="55">
        <v>-4.102027435897436</v>
      </c>
      <c r="AE27" s="55">
        <v>0</v>
      </c>
      <c r="AF27" s="55"/>
    </row>
    <row r="28" spans="1:32" s="57" customFormat="1" ht="15.75" customHeight="1">
      <c r="A28" s="2" t="s">
        <v>86</v>
      </c>
      <c r="B28" s="2" t="s">
        <v>944</v>
      </c>
      <c r="C28" s="51">
        <f t="shared" si="35"/>
        <v>17.274691358024693</v>
      </c>
      <c r="D28" s="51">
        <v>81</v>
      </c>
      <c r="E28" s="51">
        <v>0</v>
      </c>
      <c r="F28" s="51">
        <v>1399.2500000000002</v>
      </c>
      <c r="G28" s="51">
        <v>-13.140000000000002</v>
      </c>
      <c r="H28" s="51">
        <f t="shared" si="1"/>
        <v>9.3907450419867793E-3</v>
      </c>
      <c r="I28" s="51">
        <f t="shared" si="2"/>
        <v>0.15610474008740946</v>
      </c>
      <c r="J28" s="51">
        <f t="shared" si="4"/>
        <v>218.42955756730771</v>
      </c>
      <c r="K28" s="51">
        <f t="shared" si="3"/>
        <v>2.6966612045346632</v>
      </c>
      <c r="L28" s="51">
        <v>652</v>
      </c>
      <c r="M28" s="51">
        <f t="shared" si="5"/>
        <v>0.12423312883435583</v>
      </c>
      <c r="N28" s="51">
        <v>40</v>
      </c>
      <c r="O28" s="51">
        <f t="shared" ref="O28:P28" si="38">D28/7</f>
        <v>11.571428571428571</v>
      </c>
      <c r="P28" s="51">
        <f t="shared" si="38"/>
        <v>0</v>
      </c>
      <c r="Q28" s="51">
        <f t="shared" si="7"/>
        <v>3</v>
      </c>
      <c r="R28" s="55">
        <v>100</v>
      </c>
      <c r="S28" s="53" t="s">
        <v>34</v>
      </c>
      <c r="T28" s="54" t="s">
        <v>34</v>
      </c>
      <c r="U28" s="55">
        <v>9</v>
      </c>
      <c r="V28" s="55">
        <f t="shared" si="8"/>
        <v>0.1111111111111111</v>
      </c>
      <c r="W28" s="55">
        <f t="shared" si="9"/>
        <v>0.31285714285714289</v>
      </c>
      <c r="X28" s="55">
        <v>33</v>
      </c>
      <c r="Y28" s="55" t="s">
        <v>35</v>
      </c>
      <c r="Z28" s="56">
        <f t="shared" si="19"/>
        <v>-0.75</v>
      </c>
      <c r="AA28" s="55">
        <v>0.1789230185185185</v>
      </c>
      <c r="AB28" s="55">
        <f t="shared" si="27"/>
        <v>-32.608720124999998</v>
      </c>
      <c r="AC28" s="55">
        <v>-7.32</v>
      </c>
      <c r="AD28" s="55">
        <v>-4.102027435897436</v>
      </c>
      <c r="AE28" s="55">
        <v>0</v>
      </c>
      <c r="AF28" s="55"/>
    </row>
    <row r="29" spans="1:32" s="57" customFormat="1" ht="15.75" customHeight="1">
      <c r="A29" s="2" t="s">
        <v>87</v>
      </c>
      <c r="B29" s="2"/>
      <c r="C29" s="51">
        <f t="shared" si="35"/>
        <v>18.892380952380957</v>
      </c>
      <c r="D29" s="51">
        <v>105</v>
      </c>
      <c r="E29" s="51">
        <v>0</v>
      </c>
      <c r="F29" s="51">
        <v>1983.7000000000005</v>
      </c>
      <c r="G29" s="51">
        <v>-5.5299999999999994</v>
      </c>
      <c r="H29" s="51">
        <f t="shared" si="1"/>
        <v>2.7877199173262078E-3</v>
      </c>
      <c r="I29" s="51">
        <f t="shared" si="2"/>
        <v>0.22131953224064599</v>
      </c>
      <c r="J29" s="51">
        <f t="shared" si="4"/>
        <v>439.03155610576954</v>
      </c>
      <c r="K29" s="51">
        <f t="shared" si="3"/>
        <v>4.1812529152930429</v>
      </c>
      <c r="L29" s="51">
        <v>341</v>
      </c>
      <c r="M29" s="51">
        <f t="shared" si="5"/>
        <v>0.30791788856304986</v>
      </c>
      <c r="N29" s="51">
        <v>1</v>
      </c>
      <c r="O29" s="51">
        <f t="shared" ref="O29:P29" si="39">D29/7</f>
        <v>15</v>
      </c>
      <c r="P29" s="51">
        <f t="shared" si="39"/>
        <v>0</v>
      </c>
      <c r="Q29" s="51">
        <f t="shared" si="7"/>
        <v>0</v>
      </c>
      <c r="R29" s="55">
        <v>100</v>
      </c>
      <c r="S29" s="53" t="s">
        <v>34</v>
      </c>
      <c r="T29" s="54" t="s">
        <v>34</v>
      </c>
      <c r="U29" s="55">
        <v>2</v>
      </c>
      <c r="V29" s="55">
        <f t="shared" si="8"/>
        <v>1.9047619047619049E-2</v>
      </c>
      <c r="W29" s="55">
        <f t="shared" si="9"/>
        <v>0.69124999999999992</v>
      </c>
      <c r="X29" s="55">
        <v>6</v>
      </c>
      <c r="Y29" s="55" t="s">
        <v>35</v>
      </c>
      <c r="Z29" s="56">
        <f t="shared" si="19"/>
        <v>-0.75</v>
      </c>
      <c r="AA29" s="55">
        <v>0.1789230185185185</v>
      </c>
      <c r="AB29" s="55">
        <f t="shared" si="27"/>
        <v>-42.270563125000002</v>
      </c>
      <c r="AC29" s="55">
        <v>-7.32</v>
      </c>
      <c r="AD29" s="55">
        <v>-4.102027435897436</v>
      </c>
      <c r="AE29" s="55">
        <v>0</v>
      </c>
      <c r="AF29" s="55"/>
    </row>
    <row r="30" spans="1:32" s="57" customFormat="1" ht="15.75" customHeight="1">
      <c r="A30" s="2" t="s">
        <v>89</v>
      </c>
      <c r="B30" s="2"/>
      <c r="C30" s="51">
        <f t="shared" si="35"/>
        <v>19.23</v>
      </c>
      <c r="D30" s="51">
        <v>3</v>
      </c>
      <c r="E30" s="51">
        <v>0</v>
      </c>
      <c r="F30" s="51">
        <v>57.69</v>
      </c>
      <c r="G30" s="51">
        <v>0</v>
      </c>
      <c r="H30" s="51">
        <f t="shared" si="1"/>
        <v>0</v>
      </c>
      <c r="I30" s="51">
        <f t="shared" si="2"/>
        <v>0.23509598400602685</v>
      </c>
      <c r="J30" s="51">
        <f t="shared" si="4"/>
        <v>13.562687317307688</v>
      </c>
      <c r="K30" s="51">
        <f t="shared" si="3"/>
        <v>4.520895772435896</v>
      </c>
      <c r="L30" s="51">
        <v>0</v>
      </c>
      <c r="M30" s="51" t="str">
        <f t="shared" si="5"/>
        <v>-</v>
      </c>
      <c r="N30" s="51">
        <v>6</v>
      </c>
      <c r="O30" s="51">
        <f t="shared" ref="O30:P30" si="40">D30/7</f>
        <v>0.42857142857142855</v>
      </c>
      <c r="P30" s="51">
        <f t="shared" si="40"/>
        <v>0</v>
      </c>
      <c r="Q30" s="51">
        <f t="shared" si="7"/>
        <v>14</v>
      </c>
      <c r="R30" s="55">
        <v>300</v>
      </c>
      <c r="S30" s="53">
        <v>100</v>
      </c>
      <c r="T30" s="54">
        <v>44058</v>
      </c>
      <c r="U30" s="55">
        <v>0</v>
      </c>
      <c r="V30" s="55">
        <f t="shared" si="8"/>
        <v>0</v>
      </c>
      <c r="W30" s="55">
        <f t="shared" si="9"/>
        <v>0</v>
      </c>
      <c r="X30" s="55">
        <v>0</v>
      </c>
      <c r="Y30" s="55" t="s">
        <v>35</v>
      </c>
      <c r="Z30" s="56">
        <f t="shared" si="19"/>
        <v>-0.75</v>
      </c>
      <c r="AA30" s="55">
        <v>0.1789230185185185</v>
      </c>
      <c r="AB30" s="55">
        <f t="shared" si="27"/>
        <v>-1.2077303749999999</v>
      </c>
      <c r="AC30" s="55">
        <v>-7.32</v>
      </c>
      <c r="AD30" s="55">
        <v>-4.102027435897436</v>
      </c>
      <c r="AE30" s="55">
        <v>0</v>
      </c>
      <c r="AF30" s="55"/>
    </row>
    <row r="31" spans="1:32" s="57" customFormat="1" ht="15.75" customHeight="1">
      <c r="A31" s="2" t="s">
        <v>90</v>
      </c>
      <c r="B31" s="2"/>
      <c r="C31" s="51">
        <f t="shared" si="35"/>
        <v>19.579999999999998</v>
      </c>
      <c r="D31" s="51">
        <v>6</v>
      </c>
      <c r="E31" s="51">
        <v>0</v>
      </c>
      <c r="F31" s="51">
        <v>117.47999999999999</v>
      </c>
      <c r="G31" s="51">
        <v>-0.06</v>
      </c>
      <c r="H31" s="51">
        <f t="shared" si="1"/>
        <v>5.1072522982635344E-4</v>
      </c>
      <c r="I31" s="51">
        <f t="shared" si="2"/>
        <v>0.24557690359733889</v>
      </c>
      <c r="J31" s="51">
        <f t="shared" si="4"/>
        <v>28.85037463461537</v>
      </c>
      <c r="K31" s="51">
        <f t="shared" si="3"/>
        <v>4.8083957724358948</v>
      </c>
      <c r="L31" s="51">
        <v>53</v>
      </c>
      <c r="M31" s="51">
        <f t="shared" si="5"/>
        <v>0.11320754716981132</v>
      </c>
      <c r="N31" s="51">
        <v>0</v>
      </c>
      <c r="O31" s="51">
        <f t="shared" ref="O31:P31" si="41">D31/7</f>
        <v>0.8571428571428571</v>
      </c>
      <c r="P31" s="51">
        <f t="shared" si="41"/>
        <v>0</v>
      </c>
      <c r="Q31" s="51">
        <f t="shared" si="7"/>
        <v>0</v>
      </c>
      <c r="R31" s="55">
        <v>200</v>
      </c>
      <c r="S31" s="53">
        <v>100</v>
      </c>
      <c r="T31" s="54">
        <v>44058</v>
      </c>
      <c r="U31" s="55">
        <v>0</v>
      </c>
      <c r="V31" s="55">
        <f t="shared" si="8"/>
        <v>0</v>
      </c>
      <c r="W31" s="55">
        <f t="shared" si="9"/>
        <v>0</v>
      </c>
      <c r="X31" s="55">
        <v>0</v>
      </c>
      <c r="Y31" s="55" t="s">
        <v>35</v>
      </c>
      <c r="Z31" s="56">
        <f t="shared" si="19"/>
        <v>-0.75</v>
      </c>
      <c r="AA31" s="55">
        <v>0.1789230185185185</v>
      </c>
      <c r="AB31" s="55">
        <f t="shared" si="27"/>
        <v>-2.4154607499999998</v>
      </c>
      <c r="AC31" s="55">
        <v>-7.32</v>
      </c>
      <c r="AD31" s="55">
        <v>-4.102027435897436</v>
      </c>
      <c r="AE31" s="55">
        <v>0</v>
      </c>
      <c r="AF31" s="55"/>
    </row>
    <row r="32" spans="1:32" s="57" customFormat="1" ht="15.75" customHeight="1">
      <c r="A32" s="2" t="s">
        <v>92</v>
      </c>
      <c r="B32" s="2"/>
      <c r="C32" s="51">
        <f t="shared" si="35"/>
        <v>19.579999999999998</v>
      </c>
      <c r="D32" s="51">
        <v>9</v>
      </c>
      <c r="E32" s="51">
        <v>0</v>
      </c>
      <c r="F32" s="51">
        <v>176.21999999999997</v>
      </c>
      <c r="G32" s="51">
        <v>-0.05</v>
      </c>
      <c r="H32" s="51">
        <f t="shared" si="1"/>
        <v>2.8373623879241865E-4</v>
      </c>
      <c r="I32" s="51">
        <f t="shared" si="2"/>
        <v>0.24580389258837282</v>
      </c>
      <c r="J32" s="51">
        <f t="shared" si="4"/>
        <v>43.315561951923051</v>
      </c>
      <c r="K32" s="51">
        <f t="shared" si="3"/>
        <v>4.812840216880339</v>
      </c>
      <c r="L32" s="51">
        <v>9</v>
      </c>
      <c r="M32" s="51">
        <f t="shared" si="5"/>
        <v>1</v>
      </c>
      <c r="N32" s="51">
        <v>1</v>
      </c>
      <c r="O32" s="51">
        <f t="shared" ref="O32:P32" si="42">D32/7</f>
        <v>1.2857142857142858</v>
      </c>
      <c r="P32" s="51">
        <f t="shared" si="42"/>
        <v>0</v>
      </c>
      <c r="Q32" s="51">
        <f t="shared" si="7"/>
        <v>0</v>
      </c>
      <c r="R32" s="55">
        <v>200</v>
      </c>
      <c r="S32" s="53" t="s">
        <v>34</v>
      </c>
      <c r="T32" s="54" t="s">
        <v>34</v>
      </c>
      <c r="U32" s="55">
        <v>0</v>
      </c>
      <c r="V32" s="55">
        <f t="shared" si="8"/>
        <v>0</v>
      </c>
      <c r="W32" s="55">
        <f t="shared" si="9"/>
        <v>0</v>
      </c>
      <c r="X32" s="55">
        <v>0</v>
      </c>
      <c r="Y32" s="55" t="s">
        <v>35</v>
      </c>
      <c r="Z32" s="56">
        <f t="shared" si="19"/>
        <v>-0.75</v>
      </c>
      <c r="AA32" s="55">
        <v>0.1789230185185185</v>
      </c>
      <c r="AB32" s="55">
        <f t="shared" si="27"/>
        <v>-3.623191125</v>
      </c>
      <c r="AC32" s="55">
        <v>-7.32</v>
      </c>
      <c r="AD32" s="55">
        <v>-4.102027435897436</v>
      </c>
      <c r="AE32" s="55">
        <v>0</v>
      </c>
      <c r="AF32" s="52" t="e">
        <v>#N/A</v>
      </c>
    </row>
    <row r="33" spans="1:32" s="57" customFormat="1" ht="15.75" customHeight="1">
      <c r="A33" s="2" t="s">
        <v>94</v>
      </c>
      <c r="B33" s="2"/>
      <c r="C33" s="51">
        <f t="shared" si="35"/>
        <v>19.579999999999998</v>
      </c>
      <c r="D33" s="51">
        <v>2</v>
      </c>
      <c r="E33" s="51">
        <v>0</v>
      </c>
      <c r="F33" s="51">
        <v>39.159999999999997</v>
      </c>
      <c r="G33" s="51">
        <v>-2.2999999999999998</v>
      </c>
      <c r="H33" s="51">
        <f t="shared" si="1"/>
        <v>5.8733401430030641E-2</v>
      </c>
      <c r="I33" s="51">
        <f t="shared" si="2"/>
        <v>0.18735422739713459</v>
      </c>
      <c r="J33" s="51">
        <f t="shared" si="4"/>
        <v>7.3367915448717893</v>
      </c>
      <c r="K33" s="51">
        <f t="shared" si="3"/>
        <v>3.6683957724358947</v>
      </c>
      <c r="L33" s="51">
        <v>68</v>
      </c>
      <c r="M33" s="51">
        <f t="shared" si="5"/>
        <v>2.9411764705882353E-2</v>
      </c>
      <c r="N33" s="51">
        <v>0</v>
      </c>
      <c r="O33" s="51">
        <f t="shared" ref="O33:P33" si="43">D33/7</f>
        <v>0.2857142857142857</v>
      </c>
      <c r="P33" s="51">
        <f t="shared" si="43"/>
        <v>0</v>
      </c>
      <c r="Q33" s="51">
        <f t="shared" si="7"/>
        <v>0</v>
      </c>
      <c r="R33" s="55">
        <v>200</v>
      </c>
      <c r="S33" s="53" t="s">
        <v>34</v>
      </c>
      <c r="T33" s="54">
        <v>44058</v>
      </c>
      <c r="U33" s="55">
        <v>0</v>
      </c>
      <c r="V33" s="55">
        <f t="shared" si="8"/>
        <v>0</v>
      </c>
      <c r="W33" s="55">
        <f t="shared" si="9"/>
        <v>0</v>
      </c>
      <c r="X33" s="55">
        <v>0</v>
      </c>
      <c r="Y33" s="55" t="s">
        <v>35</v>
      </c>
      <c r="Z33" s="56">
        <f t="shared" si="19"/>
        <v>-0.75</v>
      </c>
      <c r="AA33" s="55">
        <v>0.1789230185185185</v>
      </c>
      <c r="AB33" s="55">
        <f t="shared" si="27"/>
        <v>-0.80515358333333331</v>
      </c>
      <c r="AC33" s="55">
        <v>-7.32</v>
      </c>
      <c r="AD33" s="55">
        <v>-4.102027435897436</v>
      </c>
      <c r="AE33" s="55">
        <v>0</v>
      </c>
      <c r="AF33" s="55">
        <v>4.43037974683544</v>
      </c>
    </row>
    <row r="34" spans="1:32" s="57" customFormat="1" ht="15.75" customHeight="1">
      <c r="A34" s="2" t="s">
        <v>95</v>
      </c>
      <c r="B34" s="2"/>
      <c r="C34" s="51" t="str">
        <f t="shared" si="35"/>
        <v xml:space="preserve"> - </v>
      </c>
      <c r="D34" s="51">
        <v>0</v>
      </c>
      <c r="E34" s="51">
        <v>0</v>
      </c>
      <c r="F34" s="51">
        <v>0</v>
      </c>
      <c r="G34" s="51">
        <v>0</v>
      </c>
      <c r="H34" s="51" t="e">
        <f t="shared" si="1"/>
        <v>#DIV/0!</v>
      </c>
      <c r="I34" s="51" t="e">
        <f t="shared" si="2"/>
        <v>#DIV/0!</v>
      </c>
      <c r="J34" s="51">
        <f t="shared" si="4"/>
        <v>0</v>
      </c>
      <c r="K34" s="51" t="e">
        <f t="shared" si="3"/>
        <v>#DIV/0!</v>
      </c>
      <c r="L34" s="51">
        <v>0</v>
      </c>
      <c r="M34" s="51" t="str">
        <f t="shared" si="5"/>
        <v>-</v>
      </c>
      <c r="N34" s="51">
        <v>0</v>
      </c>
      <c r="O34" s="51">
        <f t="shared" ref="O34:P34" si="44">D34/7</f>
        <v>0</v>
      </c>
      <c r="P34" s="51">
        <f t="shared" si="44"/>
        <v>0</v>
      </c>
      <c r="Q34" s="51" t="e">
        <f t="shared" si="7"/>
        <v>#DIV/0!</v>
      </c>
      <c r="R34" s="55">
        <v>376</v>
      </c>
      <c r="S34" s="53">
        <v>100</v>
      </c>
      <c r="T34" s="54">
        <v>44058</v>
      </c>
      <c r="U34" s="55">
        <v>0</v>
      </c>
      <c r="V34" s="55">
        <f t="shared" si="8"/>
        <v>0</v>
      </c>
      <c r="W34" s="55">
        <f t="shared" si="9"/>
        <v>0</v>
      </c>
      <c r="X34" s="55">
        <v>0</v>
      </c>
      <c r="Y34" s="55" t="e">
        <v>#N/A</v>
      </c>
      <c r="Z34" s="56" t="e">
        <f t="shared" si="19"/>
        <v>#N/A</v>
      </c>
      <c r="AA34" s="55" t="e">
        <v>#N/A</v>
      </c>
      <c r="AB34" s="55">
        <f t="shared" si="27"/>
        <v>0</v>
      </c>
      <c r="AC34" s="55">
        <v>0</v>
      </c>
      <c r="AD34" s="55">
        <v>-4.102027435897436</v>
      </c>
      <c r="AE34" s="55">
        <v>0</v>
      </c>
      <c r="AF34" s="55" t="e">
        <v>#N/A</v>
      </c>
    </row>
    <row r="35" spans="1:32" s="57" customFormat="1" ht="15.75" customHeight="1">
      <c r="A35" s="2" t="s">
        <v>96</v>
      </c>
      <c r="B35" s="2"/>
      <c r="C35" s="51" t="str">
        <f t="shared" si="35"/>
        <v xml:space="preserve"> - </v>
      </c>
      <c r="D35" s="51">
        <v>0</v>
      </c>
      <c r="E35" s="51">
        <v>0</v>
      </c>
      <c r="F35" s="51">
        <v>0</v>
      </c>
      <c r="G35" s="51">
        <v>0</v>
      </c>
      <c r="H35" s="51" t="e">
        <f t="shared" si="1"/>
        <v>#DIV/0!</v>
      </c>
      <c r="I35" s="51" t="e">
        <f t="shared" si="2"/>
        <v>#DIV/0!</v>
      </c>
      <c r="J35" s="51">
        <f t="shared" si="4"/>
        <v>0</v>
      </c>
      <c r="K35" s="51" t="e">
        <f t="shared" si="3"/>
        <v>#DIV/0!</v>
      </c>
      <c r="L35" s="51">
        <v>0</v>
      </c>
      <c r="M35" s="51" t="str">
        <f t="shared" si="5"/>
        <v>-</v>
      </c>
      <c r="N35" s="51">
        <v>0</v>
      </c>
      <c r="O35" s="51">
        <f t="shared" ref="O35:P35" si="45">D35/7</f>
        <v>0</v>
      </c>
      <c r="P35" s="51">
        <f t="shared" si="45"/>
        <v>0</v>
      </c>
      <c r="Q35" s="51" t="e">
        <f t="shared" si="7"/>
        <v>#DIV/0!</v>
      </c>
      <c r="R35" s="55">
        <v>276</v>
      </c>
      <c r="S35" s="53">
        <v>176</v>
      </c>
      <c r="T35" s="54">
        <v>44070</v>
      </c>
      <c r="U35" s="55">
        <v>0</v>
      </c>
      <c r="V35" s="55">
        <f t="shared" si="8"/>
        <v>0</v>
      </c>
      <c r="W35" s="55">
        <f t="shared" si="9"/>
        <v>0</v>
      </c>
      <c r="X35" s="55">
        <v>0</v>
      </c>
      <c r="Y35" s="55" t="e">
        <v>#N/A</v>
      </c>
      <c r="Z35" s="56" t="e">
        <f t="shared" si="19"/>
        <v>#N/A</v>
      </c>
      <c r="AA35" s="55" t="e">
        <v>#N/A</v>
      </c>
      <c r="AB35" s="55">
        <f t="shared" si="27"/>
        <v>0</v>
      </c>
      <c r="AC35" s="55">
        <v>0</v>
      </c>
      <c r="AD35" s="55">
        <v>-4.102027435897436</v>
      </c>
      <c r="AE35" s="55">
        <v>0</v>
      </c>
      <c r="AF35" s="55" t="e">
        <v>#N/A</v>
      </c>
    </row>
    <row r="36" spans="1:32" s="57" customFormat="1" ht="15.75" customHeight="1">
      <c r="A36" s="2" t="s">
        <v>98</v>
      </c>
      <c r="B36" s="2"/>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v>276</v>
      </c>
      <c r="S36" s="53"/>
      <c r="T36" s="54">
        <v>44070</v>
      </c>
      <c r="U36" s="55"/>
      <c r="V36" s="55">
        <f t="shared" si="8"/>
        <v>0</v>
      </c>
      <c r="W36" s="55">
        <f t="shared" si="9"/>
        <v>0</v>
      </c>
      <c r="X36" s="55"/>
      <c r="Y36" s="55" t="e">
        <v>#N/A</v>
      </c>
      <c r="Z36" s="56" t="e">
        <f t="shared" si="19"/>
        <v>#N/A</v>
      </c>
      <c r="AA36" s="55" t="e">
        <v>#N/A</v>
      </c>
      <c r="AB36" s="55">
        <f t="shared" si="27"/>
        <v>0</v>
      </c>
      <c r="AC36" s="55">
        <v>0</v>
      </c>
      <c r="AD36" s="55">
        <v>-4.3405274358974362</v>
      </c>
      <c r="AE36" s="55">
        <v>0</v>
      </c>
      <c r="AF36" s="55" t="e">
        <v>#N/A</v>
      </c>
    </row>
    <row r="37" spans="1:32" s="57" customFormat="1" ht="15.75" customHeight="1">
      <c r="A37" s="2" t="s">
        <v>99</v>
      </c>
      <c r="B37" s="2"/>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v>276</v>
      </c>
      <c r="S37" s="53">
        <v>176</v>
      </c>
      <c r="T37" s="54">
        <v>44070</v>
      </c>
      <c r="U37" s="55">
        <v>0</v>
      </c>
      <c r="V37" s="55">
        <f t="shared" si="8"/>
        <v>0</v>
      </c>
      <c r="W37" s="55">
        <f t="shared" si="9"/>
        <v>0</v>
      </c>
      <c r="X37" s="55">
        <v>0</v>
      </c>
      <c r="Y37" s="55" t="e">
        <v>#N/A</v>
      </c>
      <c r="Z37" s="56" t="e">
        <f t="shared" si="19"/>
        <v>#N/A</v>
      </c>
      <c r="AA37" s="55" t="e">
        <v>#N/A</v>
      </c>
      <c r="AB37" s="55">
        <f t="shared" si="27"/>
        <v>0</v>
      </c>
      <c r="AC37" s="55">
        <v>0</v>
      </c>
      <c r="AD37" s="55">
        <v>-4.3405274358974362</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5">
        <v>100</v>
      </c>
      <c r="S38" s="53"/>
      <c r="T38" s="54" t="s">
        <v>34</v>
      </c>
      <c r="U38" s="55">
        <v>0</v>
      </c>
      <c r="V38" s="55">
        <f t="shared" si="8"/>
        <v>0</v>
      </c>
      <c r="W38" s="55">
        <f t="shared" si="9"/>
        <v>0</v>
      </c>
      <c r="X38" s="55">
        <v>0</v>
      </c>
      <c r="Y38" s="55" t="e">
        <v>#N/A</v>
      </c>
      <c r="Z38" s="56" t="e">
        <f t="shared" si="19"/>
        <v>#N/A</v>
      </c>
      <c r="AA38" s="55" t="e">
        <v>#N/A</v>
      </c>
      <c r="AB38" s="55">
        <f t="shared" si="27"/>
        <v>0</v>
      </c>
      <c r="AC38" s="55">
        <v>0</v>
      </c>
      <c r="AD38" s="55">
        <v>-4.3405274358974362</v>
      </c>
      <c r="AE38" s="55">
        <v>0</v>
      </c>
      <c r="AF38" s="55" t="e">
        <v>#N/A</v>
      </c>
    </row>
    <row r="39" spans="1:32" s="57" customFormat="1" ht="15.75" customHeight="1">
      <c r="A39" s="2" t="s">
        <v>101</v>
      </c>
      <c r="B39" s="2" t="s">
        <v>959</v>
      </c>
      <c r="C39" s="51">
        <f t="shared" si="35"/>
        <v>19.579999999999998</v>
      </c>
      <c r="D39" s="51">
        <v>1</v>
      </c>
      <c r="E39" s="51">
        <v>0</v>
      </c>
      <c r="F39" s="51">
        <v>19.579999999999998</v>
      </c>
      <c r="G39" s="51">
        <v>-0.08</v>
      </c>
      <c r="H39" s="51">
        <f t="shared" si="1"/>
        <v>4.0858018386108275E-3</v>
      </c>
      <c r="I39" s="51">
        <f t="shared" si="2"/>
        <v>0.22982103025719625</v>
      </c>
      <c r="J39" s="51">
        <f>F39*0.85+G39+AD39*D39+D39*AC39+AE40+AB39</f>
        <v>4.4998957724359023</v>
      </c>
      <c r="K39" s="51">
        <f t="shared" si="3"/>
        <v>4.4998957724359023</v>
      </c>
      <c r="L39" s="51">
        <v>5</v>
      </c>
      <c r="M39" s="51">
        <f t="shared" si="5"/>
        <v>0.2</v>
      </c>
      <c r="N39" s="51">
        <v>100</v>
      </c>
      <c r="O39" s="51">
        <f t="shared" ref="O39:P39" si="49">D39/7</f>
        <v>0.14285714285714285</v>
      </c>
      <c r="P39" s="51">
        <f t="shared" si="49"/>
        <v>0</v>
      </c>
      <c r="Q39" s="51">
        <f t="shared" si="7"/>
        <v>700</v>
      </c>
      <c r="R39" s="55">
        <v>100</v>
      </c>
      <c r="S39" s="53" t="s">
        <v>34</v>
      </c>
      <c r="T39" s="54" t="s">
        <v>34</v>
      </c>
      <c r="U39" s="55">
        <v>0</v>
      </c>
      <c r="V39" s="55">
        <f t="shared" si="8"/>
        <v>0</v>
      </c>
      <c r="W39" s="55">
        <f t="shared" si="9"/>
        <v>0</v>
      </c>
      <c r="X39" s="55">
        <v>0</v>
      </c>
      <c r="Y39" s="55" t="s">
        <v>35</v>
      </c>
      <c r="Z39" s="56">
        <f t="shared" si="19"/>
        <v>-0.75</v>
      </c>
      <c r="AA39" s="55">
        <v>0.1789230185185185</v>
      </c>
      <c r="AB39" s="55">
        <f t="shared" si="27"/>
        <v>-0.40257679166666666</v>
      </c>
      <c r="AC39" s="55">
        <v>-7.32</v>
      </c>
      <c r="AD39" s="55">
        <v>-4.34052743589743</v>
      </c>
      <c r="AE39" s="55">
        <v>0</v>
      </c>
      <c r="AF39" s="55">
        <v>7.3793103448275801</v>
      </c>
    </row>
    <row r="40" spans="1:32" s="57" customFormat="1" ht="15.75" customHeight="1">
      <c r="A40" s="2" t="s">
        <v>102</v>
      </c>
      <c r="B40" s="2" t="s">
        <v>960</v>
      </c>
      <c r="C40" s="51">
        <v>19.579999999999998</v>
      </c>
      <c r="D40" s="51">
        <v>2</v>
      </c>
      <c r="E40" s="51">
        <v>0</v>
      </c>
      <c r="F40" s="51">
        <v>39.159999999999997</v>
      </c>
      <c r="G40" s="51">
        <v>-0.03</v>
      </c>
      <c r="H40" s="51">
        <v>7.6608784473953021E-4</v>
      </c>
      <c r="I40" s="51">
        <v>0.23314074425106743</v>
      </c>
      <c r="J40" s="51">
        <v>9.1297915448718001</v>
      </c>
      <c r="K40" s="51">
        <v>4.5648957724359001</v>
      </c>
      <c r="L40" s="51">
        <v>10</v>
      </c>
      <c r="M40" s="51">
        <v>0.2</v>
      </c>
      <c r="N40" s="51">
        <v>96</v>
      </c>
      <c r="O40" s="51">
        <v>0.2857142857142857</v>
      </c>
      <c r="P40" s="51">
        <v>0</v>
      </c>
      <c r="Q40" s="51">
        <v>336</v>
      </c>
      <c r="R40" s="55">
        <v>100</v>
      </c>
      <c r="S40" s="53" t="s">
        <v>34</v>
      </c>
      <c r="T40" s="54" t="s">
        <v>34</v>
      </c>
      <c r="U40" s="55">
        <v>0</v>
      </c>
      <c r="V40" s="55">
        <v>0</v>
      </c>
      <c r="W40" s="55">
        <v>0</v>
      </c>
      <c r="X40" s="55">
        <v>0</v>
      </c>
      <c r="Y40" s="55" t="s">
        <v>35</v>
      </c>
      <c r="Z40" s="56">
        <v>-0.75</v>
      </c>
      <c r="AA40" s="55">
        <v>0.1789230185185185</v>
      </c>
      <c r="AB40" s="55">
        <v>-0.80515358333333331</v>
      </c>
      <c r="AC40" s="55">
        <v>-7.32</v>
      </c>
      <c r="AD40" s="55">
        <v>-4.34052743589743</v>
      </c>
      <c r="AE40" s="55">
        <v>0</v>
      </c>
      <c r="AF40" s="55">
        <v>2.70096463022508</v>
      </c>
    </row>
    <row r="41" spans="1:32" s="57" customFormat="1" ht="15.75" customHeight="1">
      <c r="A41" s="2" t="s">
        <v>105</v>
      </c>
      <c r="B41" s="2" t="s">
        <v>961</v>
      </c>
      <c r="C41" s="51">
        <f t="shared" ref="C41:C56" si="50">IFERROR(F41/D41," - ")</f>
        <v>19.579999999999998</v>
      </c>
      <c r="D41" s="51">
        <v>2</v>
      </c>
      <c r="E41" s="51">
        <v>0</v>
      </c>
      <c r="F41" s="51">
        <v>39.159999999999997</v>
      </c>
      <c r="G41" s="51">
        <v>0</v>
      </c>
      <c r="H41" s="51">
        <f t="shared" ref="H41:H56" si="51">G41/F41*-1</f>
        <v>0</v>
      </c>
      <c r="I41" s="51">
        <f t="shared" ref="I41:I56" si="52">J41/F41</f>
        <v>0.23390683209580701</v>
      </c>
      <c r="J41" s="51">
        <f t="shared" ref="J41:J48" si="53">F41*0.85+G41+AD41*D41+D41*AC41+AE42+AB41</f>
        <v>9.1597915448718012</v>
      </c>
      <c r="K41" s="51">
        <f t="shared" ref="K41:K56" si="54">J41/D41</f>
        <v>4.5798957724359006</v>
      </c>
      <c r="L41" s="51">
        <v>18</v>
      </c>
      <c r="M41" s="51">
        <f t="shared" ref="M41:M56" si="55">IFERROR(D41/L41,"-")</f>
        <v>0.1111111111111111</v>
      </c>
      <c r="N41" s="51">
        <v>94</v>
      </c>
      <c r="O41" s="51">
        <f t="shared" ref="O41:P41" si="56">D41/7</f>
        <v>0.2857142857142857</v>
      </c>
      <c r="P41" s="51">
        <f t="shared" si="56"/>
        <v>0</v>
      </c>
      <c r="Q41" s="51">
        <f t="shared" ref="Q41:Q56" si="57">ROUNDDOWN(N41/(O41+P41),0)</f>
        <v>329</v>
      </c>
      <c r="R41" s="55">
        <v>100</v>
      </c>
      <c r="S41" s="53" t="s">
        <v>34</v>
      </c>
      <c r="T41" s="54" t="s">
        <v>34</v>
      </c>
      <c r="U41" s="55">
        <v>0</v>
      </c>
      <c r="V41" s="55">
        <f t="shared" ref="V41:V56" si="58">IFERROR(U41/D41,0)</f>
        <v>0</v>
      </c>
      <c r="W41" s="55">
        <f t="shared" ref="W41:W56" si="59">IFERROR(G41/(U41+X41)*-1,0)</f>
        <v>0</v>
      </c>
      <c r="X41" s="55">
        <v>0</v>
      </c>
      <c r="Y41" s="52" t="s">
        <v>35</v>
      </c>
      <c r="Z41" s="56">
        <f t="shared" ref="Z41:Z43" si="60">IF(OR(Y41="UsLargeStandardSize",Y41="UsSmallStandardSize"),-0.75,-0.48)</f>
        <v>-0.75</v>
      </c>
      <c r="AA41" s="55">
        <v>0.1789230185185185</v>
      </c>
      <c r="AB41" s="55">
        <f t="shared" ref="AB41:AB56" si="61">IFERROR(Z41*AA41*D41*3,0)</f>
        <v>-0.80515358333333331</v>
      </c>
      <c r="AC41" s="55">
        <v>-7.32</v>
      </c>
      <c r="AD41" s="55">
        <v>-4.34052743589743</v>
      </c>
      <c r="AE41" s="55">
        <v>0</v>
      </c>
      <c r="AF41" s="55">
        <v>1.84971098265895</v>
      </c>
    </row>
    <row r="42" spans="1:32" s="57" customFormat="1" ht="15.75" customHeight="1">
      <c r="A42" s="2" t="s">
        <v>106</v>
      </c>
      <c r="B42" s="2" t="s">
        <v>810</v>
      </c>
      <c r="C42" s="51">
        <f t="shared" si="50"/>
        <v>16.173999999999999</v>
      </c>
      <c r="D42" s="51">
        <v>5</v>
      </c>
      <c r="E42" s="51">
        <v>0</v>
      </c>
      <c r="F42" s="51">
        <v>80.87</v>
      </c>
      <c r="G42" s="51">
        <v>-12.549999999999999</v>
      </c>
      <c r="H42" s="51">
        <f t="shared" si="51"/>
        <v>0.15518733770248544</v>
      </c>
      <c r="I42" s="51">
        <f t="shared" si="52"/>
        <v>-0.1954497482109617</v>
      </c>
      <c r="J42" s="51">
        <f t="shared" si="53"/>
        <v>-15.806021137820473</v>
      </c>
      <c r="K42" s="51">
        <f t="shared" si="54"/>
        <v>-3.1612042275640944</v>
      </c>
      <c r="L42" s="51">
        <v>31</v>
      </c>
      <c r="M42" s="51">
        <f t="shared" si="55"/>
        <v>0.16129032258064516</v>
      </c>
      <c r="N42" s="51">
        <v>80</v>
      </c>
      <c r="O42" s="51">
        <f t="shared" ref="O42:P42" si="62">D42/7</f>
        <v>0.7142857142857143</v>
      </c>
      <c r="P42" s="51">
        <f t="shared" si="62"/>
        <v>0</v>
      </c>
      <c r="Q42" s="51">
        <f t="shared" si="57"/>
        <v>112</v>
      </c>
      <c r="R42" s="55">
        <f ca="1">IFERROR(__xludf.DUMMYFUNCTION("IFERROR(VLOOKUP($B$2,IMPORTRANGE(""https://docs.google.com/spreadsheets/d/1iVgg6Mw12RULLujzHmfOFIY8Q_KaAD8anoZzgtVAQ74/edit#gid=1503384807"",""Second Star - Summary!A1:AD2000""),9,FALSE),"""")"),244)</f>
        <v>244</v>
      </c>
      <c r="S42" s="53">
        <f ca="1">IFERROR(__xludf.DUMMYFUNCTION("IFERROR(VLOOKUP($B$2,IMPORTRANGE(""https://docs.google.com/spreadsheets/d/1iVgg6Mw12RULLujzHmfOFIY8Q_KaAD8anoZzgtVAQ74/edit#gid=1503384807"",""Second Star - Summary!A1:AD2000""),28,FALSE),"""")"),120)</f>
        <v>120</v>
      </c>
      <c r="T42" s="54">
        <f ca="1">IFERROR(__xludf.DUMMYFUNCTION("IFERROR(VLOOKUP($B$2,IMPORTRANGE(""https://docs.google.com/spreadsheets/d/1iVgg6Mw12RULLujzHmfOFIY8Q_KaAD8anoZzgtVAQ74/edit#gid=1503384807"",""Second Star - Summary!A1:AD2000""),29,FALSE),"""")"),44322)</f>
        <v>44322</v>
      </c>
      <c r="U42" s="55">
        <v>1</v>
      </c>
      <c r="V42" s="55">
        <f t="shared" si="58"/>
        <v>0.2</v>
      </c>
      <c r="W42" s="55">
        <f t="shared" si="59"/>
        <v>6.2749999999999995</v>
      </c>
      <c r="X42" s="55">
        <v>1</v>
      </c>
      <c r="Y42" s="55" t="s">
        <v>35</v>
      </c>
      <c r="Z42" s="56">
        <f t="shared" si="60"/>
        <v>-0.75</v>
      </c>
      <c r="AA42" s="55">
        <v>0.1789230185185185</v>
      </c>
      <c r="AB42" s="55">
        <f t="shared" si="61"/>
        <v>-2.0128839583333331</v>
      </c>
      <c r="AC42" s="55">
        <v>-7.32</v>
      </c>
      <c r="AD42" s="55">
        <v>-4.34052743589743</v>
      </c>
      <c r="AE42" s="55">
        <v>0</v>
      </c>
      <c r="AF42" s="55">
        <v>1.30612244897959</v>
      </c>
    </row>
    <row r="43" spans="1:32" s="57" customFormat="1" ht="15.75" customHeight="1">
      <c r="A43" s="2" t="s">
        <v>107</v>
      </c>
      <c r="B43" s="2" t="s">
        <v>962</v>
      </c>
      <c r="C43" s="51">
        <f t="shared" si="50"/>
        <v>16.173333333333332</v>
      </c>
      <c r="D43" s="51">
        <v>21</v>
      </c>
      <c r="E43" s="51">
        <v>0</v>
      </c>
      <c r="F43" s="51">
        <v>339.64</v>
      </c>
      <c r="G43" s="51">
        <v>-42.58</v>
      </c>
      <c r="H43" s="51">
        <f t="shared" si="51"/>
        <v>0.12536803674478861</v>
      </c>
      <c r="I43" s="51">
        <f t="shared" si="52"/>
        <v>-2.1231859553780603E-2</v>
      </c>
      <c r="J43" s="51">
        <f t="shared" si="53"/>
        <v>-7.2111887788460436</v>
      </c>
      <c r="K43" s="51">
        <f t="shared" si="54"/>
        <v>-0.34338994184981159</v>
      </c>
      <c r="L43" s="51">
        <v>53</v>
      </c>
      <c r="M43" s="51">
        <f t="shared" si="55"/>
        <v>0.39622641509433965</v>
      </c>
      <c r="N43" s="51">
        <v>65</v>
      </c>
      <c r="O43" s="51">
        <f t="shared" ref="O43:P43" si="63">D43/7</f>
        <v>3</v>
      </c>
      <c r="P43" s="51">
        <f t="shared" si="63"/>
        <v>0</v>
      </c>
      <c r="Q43" s="51">
        <f t="shared" si="57"/>
        <v>21</v>
      </c>
      <c r="R43" s="55">
        <v>100</v>
      </c>
      <c r="S43" s="53" t="s">
        <v>34</v>
      </c>
      <c r="T43" s="54" t="s">
        <v>34</v>
      </c>
      <c r="U43" s="55">
        <v>4</v>
      </c>
      <c r="V43" s="55">
        <f t="shared" si="58"/>
        <v>0.19047619047619047</v>
      </c>
      <c r="W43" s="55">
        <f t="shared" si="59"/>
        <v>4.7311111111111108</v>
      </c>
      <c r="X43" s="55">
        <v>5</v>
      </c>
      <c r="Y43" s="55" t="s">
        <v>35</v>
      </c>
      <c r="Z43" s="56">
        <f t="shared" si="60"/>
        <v>-0.75</v>
      </c>
      <c r="AA43" s="55">
        <v>0.1789230185185185</v>
      </c>
      <c r="AB43" s="55">
        <f t="shared" si="61"/>
        <v>-8.4541126250000005</v>
      </c>
      <c r="AC43" s="55">
        <v>-7.32</v>
      </c>
      <c r="AD43" s="55">
        <v>-4.34052743589743</v>
      </c>
      <c r="AE43" s="55">
        <v>-11.68</v>
      </c>
      <c r="AF43" s="55">
        <v>1.12087912087912</v>
      </c>
    </row>
    <row r="44" spans="1:32" s="57" customFormat="1" ht="15.75" customHeight="1">
      <c r="A44" s="2" t="s">
        <v>108</v>
      </c>
      <c r="B44" s="2" t="s">
        <v>940</v>
      </c>
      <c r="C44" s="51">
        <f t="shared" si="50"/>
        <v>16.033333333333335</v>
      </c>
      <c r="D44" s="51">
        <v>9</v>
      </c>
      <c r="E44" s="51">
        <v>0</v>
      </c>
      <c r="F44" s="51">
        <v>144.30000000000001</v>
      </c>
      <c r="G44" s="51">
        <v>-27.2</v>
      </c>
      <c r="H44" s="51">
        <f t="shared" si="51"/>
        <v>0.18849618849618849</v>
      </c>
      <c r="I44" s="51">
        <f t="shared" si="52"/>
        <v>-0.14611197867690132</v>
      </c>
      <c r="J44" s="51">
        <f t="shared" si="53"/>
        <v>-21.083958523076863</v>
      </c>
      <c r="K44" s="51">
        <f t="shared" si="54"/>
        <v>-2.3426620581196516</v>
      </c>
      <c r="L44" s="51">
        <v>53</v>
      </c>
      <c r="M44" s="51">
        <f t="shared" si="55"/>
        <v>0.16981132075471697</v>
      </c>
      <c r="N44" s="51">
        <v>57</v>
      </c>
      <c r="O44" s="51">
        <f t="shared" ref="O44:P44" si="64">D44/7</f>
        <v>1.2857142857142858</v>
      </c>
      <c r="P44" s="51">
        <f t="shared" si="64"/>
        <v>0</v>
      </c>
      <c r="Q44" s="51">
        <f t="shared" si="57"/>
        <v>44</v>
      </c>
      <c r="R44" s="55">
        <v>100</v>
      </c>
      <c r="S44" s="53" t="s">
        <v>34</v>
      </c>
      <c r="T44" s="54" t="s">
        <v>34</v>
      </c>
      <c r="U44" s="55">
        <v>2</v>
      </c>
      <c r="V44" s="55">
        <f t="shared" si="58"/>
        <v>0.22222222222222221</v>
      </c>
      <c r="W44" s="55">
        <f t="shared" si="59"/>
        <v>13.6</v>
      </c>
      <c r="X44" s="55">
        <v>0</v>
      </c>
      <c r="Y44" s="55" t="s">
        <v>35</v>
      </c>
      <c r="Z44" s="56">
        <f t="shared" ref="Z44:Z56" si="65">IF(OR(Y44="UsLargeStandardSize",Y44="UsSmallStandardSize"),-2.4,-1.2)</f>
        <v>-2.4</v>
      </c>
      <c r="AA44" s="55">
        <v>0.1789230185185185</v>
      </c>
      <c r="AB44" s="55">
        <f t="shared" si="61"/>
        <v>-11.594211599999998</v>
      </c>
      <c r="AC44" s="55">
        <v>-7.32</v>
      </c>
      <c r="AD44" s="55">
        <v>-4.34052743589743</v>
      </c>
      <c r="AE44" s="55">
        <v>0</v>
      </c>
      <c r="AF44" s="55">
        <v>1.06508875739644</v>
      </c>
    </row>
    <row r="45" spans="1:32" s="57" customFormat="1" ht="15.75" customHeight="1">
      <c r="A45" s="2" t="s">
        <v>109</v>
      </c>
      <c r="B45" s="2" t="s">
        <v>810</v>
      </c>
      <c r="C45" s="51">
        <f t="shared" si="50"/>
        <v>16.035555555555554</v>
      </c>
      <c r="D45" s="51">
        <v>9</v>
      </c>
      <c r="E45" s="51">
        <v>1</v>
      </c>
      <c r="F45" s="51">
        <v>144.32</v>
      </c>
      <c r="G45" s="51">
        <v>-20.420000000000002</v>
      </c>
      <c r="H45" s="51">
        <f t="shared" si="51"/>
        <v>0.14149113082039913</v>
      </c>
      <c r="I45" s="51">
        <f t="shared" si="52"/>
        <v>-9.899500085280534E-2</v>
      </c>
      <c r="J45" s="51">
        <f t="shared" si="53"/>
        <v>-14.286958523076866</v>
      </c>
      <c r="K45" s="51">
        <f t="shared" si="54"/>
        <v>-1.5874398358974295</v>
      </c>
      <c r="L45" s="51">
        <v>36</v>
      </c>
      <c r="M45" s="51">
        <f t="shared" si="55"/>
        <v>0.25</v>
      </c>
      <c r="N45" s="51">
        <v>48</v>
      </c>
      <c r="O45" s="51">
        <f t="shared" ref="O45:P45" si="66">D45/7</f>
        <v>1.2857142857142858</v>
      </c>
      <c r="P45" s="51">
        <f t="shared" si="66"/>
        <v>0.14285714285714285</v>
      </c>
      <c r="Q45" s="51">
        <f t="shared" si="57"/>
        <v>33</v>
      </c>
      <c r="R45" s="55">
        <v>100</v>
      </c>
      <c r="S45" s="53" t="s">
        <v>34</v>
      </c>
      <c r="T45" s="54" t="s">
        <v>34</v>
      </c>
      <c r="U45" s="55">
        <v>3</v>
      </c>
      <c r="V45" s="55">
        <f t="shared" si="58"/>
        <v>0.33333333333333331</v>
      </c>
      <c r="W45" s="55">
        <f t="shared" si="59"/>
        <v>3.4033333333333338</v>
      </c>
      <c r="X45" s="55">
        <v>3</v>
      </c>
      <c r="Y45" s="55" t="s">
        <v>35</v>
      </c>
      <c r="Z45" s="56">
        <f t="shared" si="65"/>
        <v>-2.4</v>
      </c>
      <c r="AA45" s="55">
        <v>0.1789230185185185</v>
      </c>
      <c r="AB45" s="55">
        <f t="shared" si="61"/>
        <v>-11.594211599999998</v>
      </c>
      <c r="AC45" s="55">
        <v>-7.32</v>
      </c>
      <c r="AD45" s="55">
        <v>-4.34052743589743</v>
      </c>
      <c r="AE45" s="55">
        <v>0</v>
      </c>
      <c r="AF45" s="55">
        <v>1.4304635761589399</v>
      </c>
    </row>
    <row r="46" spans="1:32" s="57" customFormat="1" ht="15.75" customHeight="1">
      <c r="A46" s="2" t="s">
        <v>111</v>
      </c>
      <c r="B46" s="2" t="s">
        <v>810</v>
      </c>
      <c r="C46" s="51">
        <f t="shared" si="50"/>
        <v>16</v>
      </c>
      <c r="D46" s="51">
        <v>3</v>
      </c>
      <c r="E46" s="51">
        <v>0</v>
      </c>
      <c r="F46" s="51">
        <v>48</v>
      </c>
      <c r="G46" s="51">
        <v>0</v>
      </c>
      <c r="H46" s="51">
        <f t="shared" si="51"/>
        <v>0</v>
      </c>
      <c r="I46" s="51">
        <f t="shared" si="52"/>
        <v>4.070167692307719E-2</v>
      </c>
      <c r="J46" s="51">
        <f t="shared" si="53"/>
        <v>1.9536804923077051</v>
      </c>
      <c r="K46" s="51">
        <f t="shared" si="54"/>
        <v>0.65122683076923504</v>
      </c>
      <c r="L46" s="51">
        <v>23</v>
      </c>
      <c r="M46" s="51">
        <f t="shared" si="55"/>
        <v>0.13043478260869565</v>
      </c>
      <c r="N46" s="51">
        <v>47</v>
      </c>
      <c r="O46" s="51">
        <f t="shared" ref="O46:P46" si="67">D46/7</f>
        <v>0.42857142857142855</v>
      </c>
      <c r="P46" s="51">
        <f t="shared" si="67"/>
        <v>0</v>
      </c>
      <c r="Q46" s="51">
        <f t="shared" si="57"/>
        <v>109</v>
      </c>
      <c r="R46" s="55">
        <v>100</v>
      </c>
      <c r="S46" s="53" t="s">
        <v>34</v>
      </c>
      <c r="T46" s="54" t="s">
        <v>34</v>
      </c>
      <c r="U46" s="55">
        <v>0</v>
      </c>
      <c r="V46" s="55">
        <f t="shared" si="58"/>
        <v>0</v>
      </c>
      <c r="W46" s="55">
        <f t="shared" si="59"/>
        <v>0</v>
      </c>
      <c r="X46" s="55">
        <v>0</v>
      </c>
      <c r="Y46" s="55" t="s">
        <v>35</v>
      </c>
      <c r="Z46" s="56">
        <f t="shared" si="65"/>
        <v>-2.4</v>
      </c>
      <c r="AA46" s="55">
        <v>0.1789230185185185</v>
      </c>
      <c r="AB46" s="55">
        <f t="shared" si="61"/>
        <v>-3.8647371999999995</v>
      </c>
      <c r="AC46" s="55">
        <v>-7.32</v>
      </c>
      <c r="AD46" s="55">
        <v>-4.34052743589743</v>
      </c>
      <c r="AE46" s="55">
        <v>0</v>
      </c>
      <c r="AF46" s="55">
        <v>1.51428571428571</v>
      </c>
    </row>
    <row r="47" spans="1:32" s="57" customFormat="1" ht="15.75" customHeight="1">
      <c r="A47" s="2" t="s">
        <v>113</v>
      </c>
      <c r="B47" s="2" t="s">
        <v>963</v>
      </c>
      <c r="C47" s="51">
        <f t="shared" si="50"/>
        <v>16</v>
      </c>
      <c r="D47" s="51">
        <v>2</v>
      </c>
      <c r="E47" s="51">
        <v>0</v>
      </c>
      <c r="F47" s="51">
        <v>32</v>
      </c>
      <c r="G47" s="51">
        <v>0</v>
      </c>
      <c r="H47" s="51">
        <f t="shared" si="51"/>
        <v>0</v>
      </c>
      <c r="I47" s="51">
        <f t="shared" si="52"/>
        <v>4.070167692307726E-2</v>
      </c>
      <c r="J47" s="51">
        <f t="shared" si="53"/>
        <v>1.3024536615384723</v>
      </c>
      <c r="K47" s="51">
        <f t="shared" si="54"/>
        <v>0.65122683076923615</v>
      </c>
      <c r="L47" s="51">
        <v>14</v>
      </c>
      <c r="M47" s="51">
        <f t="shared" si="55"/>
        <v>0.14285714285714285</v>
      </c>
      <c r="N47" s="51">
        <v>42</v>
      </c>
      <c r="O47" s="51">
        <f t="shared" ref="O47:P47" si="68">D47/7</f>
        <v>0.2857142857142857</v>
      </c>
      <c r="P47" s="51">
        <f t="shared" si="68"/>
        <v>0</v>
      </c>
      <c r="Q47" s="51">
        <f t="shared" si="57"/>
        <v>147</v>
      </c>
      <c r="R47" s="55">
        <v>100</v>
      </c>
      <c r="S47" s="53" t="s">
        <v>34</v>
      </c>
      <c r="T47" s="54" t="s">
        <v>34</v>
      </c>
      <c r="U47" s="55">
        <v>0</v>
      </c>
      <c r="V47" s="55">
        <f t="shared" si="58"/>
        <v>0</v>
      </c>
      <c r="W47" s="55">
        <f t="shared" si="59"/>
        <v>0</v>
      </c>
      <c r="X47" s="55">
        <v>0</v>
      </c>
      <c r="Y47" s="55" t="s">
        <v>35</v>
      </c>
      <c r="Z47" s="56">
        <f t="shared" si="65"/>
        <v>-2.4</v>
      </c>
      <c r="AA47" s="55">
        <v>0.1789230185185185</v>
      </c>
      <c r="AB47" s="55">
        <f t="shared" si="61"/>
        <v>-2.5764914666666665</v>
      </c>
      <c r="AC47" s="55">
        <v>-7.32</v>
      </c>
      <c r="AD47" s="55">
        <v>-4.34052743589743</v>
      </c>
      <c r="AE47" s="55">
        <v>0</v>
      </c>
      <c r="AF47" s="55">
        <v>1.0135746606334799</v>
      </c>
    </row>
    <row r="48" spans="1:32" s="57" customFormat="1" ht="15.75" customHeight="1">
      <c r="A48" s="2" t="s">
        <v>115</v>
      </c>
      <c r="B48" s="2" t="s">
        <v>964</v>
      </c>
      <c r="C48" s="51">
        <f t="shared" si="50"/>
        <v>16</v>
      </c>
      <c r="D48" s="51">
        <v>1</v>
      </c>
      <c r="E48" s="51">
        <v>0</v>
      </c>
      <c r="F48" s="51">
        <v>16</v>
      </c>
      <c r="G48" s="51">
        <v>0</v>
      </c>
      <c r="H48" s="51">
        <f t="shared" si="51"/>
        <v>0</v>
      </c>
      <c r="I48" s="51">
        <f t="shared" si="52"/>
        <v>4.070167692307726E-2</v>
      </c>
      <c r="J48" s="51">
        <f t="shared" si="53"/>
        <v>0.65122683076923615</v>
      </c>
      <c r="K48" s="51">
        <f t="shared" si="54"/>
        <v>0.65122683076923615</v>
      </c>
      <c r="L48" s="51">
        <v>14</v>
      </c>
      <c r="M48" s="51">
        <f t="shared" si="55"/>
        <v>7.1428571428571425E-2</v>
      </c>
      <c r="N48" s="51">
        <v>42</v>
      </c>
      <c r="O48" s="51">
        <f t="shared" ref="O48:P48" si="69">D48/7</f>
        <v>0.14285714285714285</v>
      </c>
      <c r="P48" s="51">
        <f t="shared" si="69"/>
        <v>0</v>
      </c>
      <c r="Q48" s="51">
        <f t="shared" si="57"/>
        <v>294</v>
      </c>
      <c r="R48" s="55">
        <f ca="1">IFERROR(__xludf.DUMMYFUNCTION("IFERROR(VLOOKUP($B$2,IMPORTRANGE(""https://docs.google.com/spreadsheets/d/1iVgg6Mw12RULLujzHmfOFIY8Q_KaAD8anoZzgtVAQ74/edit#gid=1503384807"",""Second Star - Summary!A1:AD2000""),9,FALSE),"""")"),244)</f>
        <v>244</v>
      </c>
      <c r="S48" s="53">
        <f ca="1">IFERROR(__xludf.DUMMYFUNCTION("IFERROR(VLOOKUP($B$2,IMPORTRANGE(""https://docs.google.com/spreadsheets/d/1iVgg6Mw12RULLujzHmfOFIY8Q_KaAD8anoZzgtVAQ74/edit#gid=1503384807"",""Second Star - Summary!A1:AD2000""),28,FALSE),"""")"),120)</f>
        <v>120</v>
      </c>
      <c r="T48" s="54">
        <f ca="1">IFERROR(__xludf.DUMMYFUNCTION("IFERROR(VLOOKUP($B$2,IMPORTRANGE(""https://docs.google.com/spreadsheets/d/1iVgg6Mw12RULLujzHmfOFIY8Q_KaAD8anoZzgtVAQ74/edit#gid=1503384807"",""Second Star - Summary!A1:AD2000""),29,FALSE),"""")"),44322)</f>
        <v>44322</v>
      </c>
      <c r="U48" s="55">
        <v>0</v>
      </c>
      <c r="V48" s="55">
        <f t="shared" si="58"/>
        <v>0</v>
      </c>
      <c r="W48" s="55">
        <f t="shared" si="59"/>
        <v>0</v>
      </c>
      <c r="X48" s="55">
        <v>0</v>
      </c>
      <c r="Y48" s="55" t="s">
        <v>35</v>
      </c>
      <c r="Z48" s="56">
        <f t="shared" si="65"/>
        <v>-2.4</v>
      </c>
      <c r="AA48" s="55">
        <v>0.1789230185185185</v>
      </c>
      <c r="AB48" s="55">
        <f t="shared" si="61"/>
        <v>-1.2882457333333333</v>
      </c>
      <c r="AC48" s="55">
        <v>-7.32</v>
      </c>
      <c r="AD48" s="55">
        <v>-4.34052743589743</v>
      </c>
      <c r="AE48" s="55">
        <v>0</v>
      </c>
      <c r="AF48" s="55">
        <v>1.0370370370370301</v>
      </c>
    </row>
    <row r="49" spans="1:32" s="57" customFormat="1" ht="15.75" customHeight="1">
      <c r="A49" s="2" t="s">
        <v>117</v>
      </c>
      <c r="B49" s="2" t="s">
        <v>810</v>
      </c>
      <c r="C49" s="51">
        <f t="shared" si="50"/>
        <v>14.0025</v>
      </c>
      <c r="D49" s="51">
        <v>8</v>
      </c>
      <c r="E49" s="51">
        <v>0</v>
      </c>
      <c r="F49" s="51">
        <v>112.02</v>
      </c>
      <c r="G49" s="51">
        <v>0</v>
      </c>
      <c r="H49" s="51">
        <f t="shared" si="51"/>
        <v>0</v>
      </c>
      <c r="I49" s="51">
        <f t="shared" si="52"/>
        <v>-7.4747235795805292E-2</v>
      </c>
      <c r="J49" s="51">
        <f t="shared" ref="J49:J56" si="70">F49*0.85+G49+AD49*D49+D49*AC49+AE49+AB49</f>
        <v>-8.3731853538461092</v>
      </c>
      <c r="K49" s="51">
        <f t="shared" si="54"/>
        <v>-1.0466481692307636</v>
      </c>
      <c r="L49" s="51">
        <v>18</v>
      </c>
      <c r="M49" s="51">
        <f t="shared" si="55"/>
        <v>0.44444444444444442</v>
      </c>
      <c r="N49" s="51">
        <v>29</v>
      </c>
      <c r="O49" s="51">
        <f t="shared" ref="O49:P49" si="71">D49/7</f>
        <v>1.1428571428571428</v>
      </c>
      <c r="P49" s="51">
        <f t="shared" si="71"/>
        <v>0</v>
      </c>
      <c r="Q49" s="51">
        <f t="shared" si="57"/>
        <v>25</v>
      </c>
      <c r="R49" s="55">
        <f ca="1">IFERROR(__xludf.DUMMYFUNCTION("IFERROR(VLOOKUP($B$2,IMPORTRANGE(""https://docs.google.com/spreadsheets/d/1iVgg6Mw12RULLujzHmfOFIY8Q_KaAD8anoZzgtVAQ74/edit#gid=1503384807"",""Second Star - Summary!A1:AD2000""),9,FALSE),"""")"),244)</f>
        <v>244</v>
      </c>
      <c r="S49" s="53">
        <f ca="1">IFERROR(__xludf.DUMMYFUNCTION("IFERROR(VLOOKUP($B$2,IMPORTRANGE(""https://docs.google.com/spreadsheets/d/1iVgg6Mw12RULLujzHmfOFIY8Q_KaAD8anoZzgtVAQ74/edit#gid=1503384807"",""Second Star - Summary!A1:AD2000""),28,FALSE),"""")"),120)</f>
        <v>120</v>
      </c>
      <c r="T49" s="54">
        <f ca="1">IFERROR(__xludf.DUMMYFUNCTION("IFERROR(VLOOKUP($B$2,IMPORTRANGE(""https://docs.google.com/spreadsheets/d/1iVgg6Mw12RULLujzHmfOFIY8Q_KaAD8anoZzgtVAQ74/edit#gid=1503384807"",""Second Star - Summary!A1:AD2000""),29,FALSE),"""")"),44322)</f>
        <v>44322</v>
      </c>
      <c r="U49" s="55">
        <v>0</v>
      </c>
      <c r="V49" s="55">
        <f t="shared" si="58"/>
        <v>0</v>
      </c>
      <c r="W49" s="55">
        <f t="shared" si="59"/>
        <v>0</v>
      </c>
      <c r="X49" s="55">
        <v>0</v>
      </c>
      <c r="Y49" s="55" t="s">
        <v>35</v>
      </c>
      <c r="Z49" s="56">
        <f t="shared" si="65"/>
        <v>-2.4</v>
      </c>
      <c r="AA49" s="55">
        <v>0.1789230185185185</v>
      </c>
      <c r="AB49" s="55">
        <f t="shared" si="61"/>
        <v>-10.305965866666666</v>
      </c>
      <c r="AC49" s="55">
        <v>-7.32</v>
      </c>
      <c r="AD49" s="55">
        <v>-4.34052743589743</v>
      </c>
      <c r="AE49" s="55">
        <v>0</v>
      </c>
      <c r="AF49" s="55">
        <v>1.39130434782608</v>
      </c>
    </row>
    <row r="50" spans="1:32" s="57" customFormat="1" ht="15.75" customHeight="1">
      <c r="A50" s="2" t="s">
        <v>119</v>
      </c>
      <c r="B50" s="2" t="s">
        <v>965</v>
      </c>
      <c r="C50" s="51">
        <f t="shared" si="50"/>
        <v>14.032</v>
      </c>
      <c r="D50" s="51">
        <v>10</v>
      </c>
      <c r="E50" s="51">
        <v>0</v>
      </c>
      <c r="F50" s="51">
        <v>140.32</v>
      </c>
      <c r="G50" s="51">
        <v>0</v>
      </c>
      <c r="H50" s="51">
        <f t="shared" si="51"/>
        <v>0</v>
      </c>
      <c r="I50" s="51">
        <f t="shared" si="52"/>
        <v>-7.2803104990789916E-2</v>
      </c>
      <c r="J50" s="51">
        <f t="shared" si="70"/>
        <v>-10.21573169230764</v>
      </c>
      <c r="K50" s="51">
        <f t="shared" si="54"/>
        <v>-1.0215731692307641</v>
      </c>
      <c r="L50" s="51">
        <v>14</v>
      </c>
      <c r="M50" s="51">
        <f t="shared" si="55"/>
        <v>0.7142857142857143</v>
      </c>
      <c r="N50" s="51">
        <v>18</v>
      </c>
      <c r="O50" s="51">
        <f t="shared" ref="O50:P50" si="72">D50/7</f>
        <v>1.4285714285714286</v>
      </c>
      <c r="P50" s="51">
        <f t="shared" si="72"/>
        <v>0</v>
      </c>
      <c r="Q50" s="51">
        <f t="shared" si="57"/>
        <v>12</v>
      </c>
      <c r="R50" s="55">
        <f ca="1">IFERROR(__xludf.DUMMYFUNCTION("IFERROR(VLOOKUP($B$2,IMPORTRANGE(""https://docs.google.com/spreadsheets/d/1iVgg6Mw12RULLujzHmfOFIY8Q_KaAD8anoZzgtVAQ74/edit#gid=1503384807"",""Second Star - Summary!A1:AD2000""),9,FALSE),"""")"),244)</f>
        <v>244</v>
      </c>
      <c r="S50" s="53">
        <f ca="1">IFERROR(__xludf.DUMMYFUNCTION("IFERROR(VLOOKUP($B$2,IMPORTRANGE(""https://docs.google.com/spreadsheets/d/1iVgg6Mw12RULLujzHmfOFIY8Q_KaAD8anoZzgtVAQ74/edit#gid=1503384807"",""Second Star - Summary!A1:AD2000""),28,FALSE),"""")"),120)</f>
        <v>120</v>
      </c>
      <c r="T50" s="54">
        <f ca="1">IFERROR(__xludf.DUMMYFUNCTION("IFERROR(VLOOKUP($B$2,IMPORTRANGE(""https://docs.google.com/spreadsheets/d/1iVgg6Mw12RULLujzHmfOFIY8Q_KaAD8anoZzgtVAQ74/edit#gid=1503384807"",""Second Star - Summary!A1:AD2000""),29,FALSE),"""")"),44322)</f>
        <v>44322</v>
      </c>
      <c r="U50" s="55">
        <v>0</v>
      </c>
      <c r="V50" s="55">
        <f t="shared" si="58"/>
        <v>0</v>
      </c>
      <c r="W50" s="55">
        <f t="shared" si="59"/>
        <v>0</v>
      </c>
      <c r="X50" s="55">
        <v>0</v>
      </c>
      <c r="Y50" s="55" t="s">
        <v>35</v>
      </c>
      <c r="Z50" s="56">
        <f t="shared" si="65"/>
        <v>-2.4</v>
      </c>
      <c r="AA50" s="55">
        <v>0.1789230185185185</v>
      </c>
      <c r="AB50" s="55">
        <f t="shared" si="61"/>
        <v>-12.882457333333333</v>
      </c>
      <c r="AC50" s="55">
        <v>-7.32</v>
      </c>
      <c r="AD50" s="55">
        <v>-4.34052743589743</v>
      </c>
      <c r="AE50" s="55">
        <v>0</v>
      </c>
      <c r="AF50" s="55">
        <v>1.54022988505747</v>
      </c>
    </row>
    <row r="51" spans="1:32" s="57" customFormat="1" ht="15.75" customHeight="1">
      <c r="A51" s="2" t="s">
        <v>121</v>
      </c>
      <c r="B51" s="2" t="s">
        <v>966</v>
      </c>
      <c r="C51" s="51">
        <f t="shared" si="50"/>
        <v>14</v>
      </c>
      <c r="D51" s="51">
        <v>10</v>
      </c>
      <c r="E51" s="51">
        <v>0</v>
      </c>
      <c r="F51" s="51">
        <v>140</v>
      </c>
      <c r="G51" s="51">
        <v>0</v>
      </c>
      <c r="H51" s="51">
        <f t="shared" si="51"/>
        <v>0</v>
      </c>
      <c r="I51" s="51">
        <f t="shared" si="52"/>
        <v>-7.4912369230768799E-2</v>
      </c>
      <c r="J51" s="51">
        <f t="shared" si="70"/>
        <v>-10.487731692307632</v>
      </c>
      <c r="K51" s="51">
        <f t="shared" si="54"/>
        <v>-1.0487731692307631</v>
      </c>
      <c r="L51" s="51">
        <v>28</v>
      </c>
      <c r="M51" s="51">
        <f t="shared" si="55"/>
        <v>0.35714285714285715</v>
      </c>
      <c r="N51" s="51">
        <v>7</v>
      </c>
      <c r="O51" s="51">
        <f t="shared" ref="O51:P51" si="73">D51/7</f>
        <v>1.4285714285714286</v>
      </c>
      <c r="P51" s="51">
        <f t="shared" si="73"/>
        <v>0</v>
      </c>
      <c r="Q51" s="51">
        <f t="shared" si="57"/>
        <v>4</v>
      </c>
      <c r="R51" s="55">
        <f ca="1">IFERROR(__xludf.DUMMYFUNCTION("IFERROR(VLOOKUP($B$2,IMPORTRANGE(""https://docs.google.com/spreadsheets/d/1iVgg6Mw12RULLujzHmfOFIY8Q_KaAD8anoZzgtVAQ74/edit#gid=1503384807"",""Second Star - Summary!A1:AD2000""),9,FALSE),"""")"),244)</f>
        <v>244</v>
      </c>
      <c r="S51" s="53">
        <f ca="1">IFERROR(__xludf.DUMMYFUNCTION("IFERROR(VLOOKUP($B$2,IMPORTRANGE(""https://docs.google.com/spreadsheets/d/1iVgg6Mw12RULLujzHmfOFIY8Q_KaAD8anoZzgtVAQ74/edit#gid=1503384807"",""Second Star - Summary!A1:AD2000""),28,FALSE),"""")"),120)</f>
        <v>120</v>
      </c>
      <c r="T51" s="54">
        <f ca="1">IFERROR(__xludf.DUMMYFUNCTION("IFERROR(VLOOKUP($B$2,IMPORTRANGE(""https://docs.google.com/spreadsheets/d/1iVgg6Mw12RULLujzHmfOFIY8Q_KaAD8anoZzgtVAQ74/edit#gid=1503384807"",""Second Star - Summary!A1:AD2000""),29,FALSE),"""")"),44322)</f>
        <v>44322</v>
      </c>
      <c r="U51" s="55">
        <v>0</v>
      </c>
      <c r="V51" s="55">
        <f t="shared" si="58"/>
        <v>0</v>
      </c>
      <c r="W51" s="55">
        <f t="shared" si="59"/>
        <v>0</v>
      </c>
      <c r="X51" s="55">
        <v>0</v>
      </c>
      <c r="Y51" s="55" t="s">
        <v>35</v>
      </c>
      <c r="Z51" s="56">
        <f t="shared" si="65"/>
        <v>-2.4</v>
      </c>
      <c r="AA51" s="55">
        <v>0.1789230185185185</v>
      </c>
      <c r="AB51" s="55">
        <f t="shared" si="61"/>
        <v>-12.882457333333333</v>
      </c>
      <c r="AC51" s="55">
        <v>-7.32</v>
      </c>
      <c r="AD51" s="55">
        <v>-4.34052743589743</v>
      </c>
      <c r="AE51" s="55">
        <v>0</v>
      </c>
      <c r="AF51" s="55">
        <v>2.1192052980132399</v>
      </c>
    </row>
    <row r="52" spans="1:32" s="57" customFormat="1" ht="15.75" customHeight="1">
      <c r="A52" s="2" t="s">
        <v>123</v>
      </c>
      <c r="B52" s="2" t="s">
        <v>810</v>
      </c>
      <c r="C52" s="51">
        <f t="shared" si="50"/>
        <v>16</v>
      </c>
      <c r="D52" s="51">
        <v>1</v>
      </c>
      <c r="E52" s="51">
        <v>0</v>
      </c>
      <c r="F52" s="51">
        <v>16</v>
      </c>
      <c r="G52" s="51">
        <v>-0.08</v>
      </c>
      <c r="H52" s="51">
        <f t="shared" si="51"/>
        <v>5.0000000000000001E-3</v>
      </c>
      <c r="I52" s="51">
        <f t="shared" si="52"/>
        <v>3.5701676923077255E-2</v>
      </c>
      <c r="J52" s="51">
        <f t="shared" si="70"/>
        <v>0.57122683076923608</v>
      </c>
      <c r="K52" s="51">
        <f t="shared" si="54"/>
        <v>0.57122683076923608</v>
      </c>
      <c r="L52" s="51">
        <v>11</v>
      </c>
      <c r="M52" s="51">
        <f t="shared" si="55"/>
        <v>9.0909090909090912E-2</v>
      </c>
      <c r="N52" s="51">
        <v>6</v>
      </c>
      <c r="O52" s="51">
        <f t="shared" ref="O52:P52" si="74">D52/7</f>
        <v>0.14285714285714285</v>
      </c>
      <c r="P52" s="51">
        <f t="shared" si="74"/>
        <v>0</v>
      </c>
      <c r="Q52" s="51">
        <f t="shared" si="57"/>
        <v>42</v>
      </c>
      <c r="R52" s="55">
        <f ca="1">IFERROR(__xludf.DUMMYFUNCTION("IFERROR(VLOOKUP($B$2,IMPORTRANGE(""https://docs.google.com/spreadsheets/d/1iVgg6Mw12RULLujzHmfOFIY8Q_KaAD8anoZzgtVAQ74/edit#gid=1503384807"",""Second Star - Summary!A1:AD2000""),9,FALSE),"""")"),244)</f>
        <v>244</v>
      </c>
      <c r="S52" s="53">
        <f ca="1">IFERROR(__xludf.DUMMYFUNCTION("IFERROR(VLOOKUP($B$2,IMPORTRANGE(""https://docs.google.com/spreadsheets/d/1iVgg6Mw12RULLujzHmfOFIY8Q_KaAD8anoZzgtVAQ74/edit#gid=1503384807"",""Second Star - Summary!A1:AD2000""),28,FALSE),"""")"),120)</f>
        <v>120</v>
      </c>
      <c r="T52" s="54">
        <f ca="1">IFERROR(__xludf.DUMMYFUNCTION("IFERROR(VLOOKUP($B$2,IMPORTRANGE(""https://docs.google.com/spreadsheets/d/1iVgg6Mw12RULLujzHmfOFIY8Q_KaAD8anoZzgtVAQ74/edit#gid=1503384807"",""Second Star - Summary!A1:AD2000""),29,FALSE),"""")"),44322)</f>
        <v>44322</v>
      </c>
      <c r="U52" s="55">
        <v>0</v>
      </c>
      <c r="V52" s="55">
        <f t="shared" si="58"/>
        <v>0</v>
      </c>
      <c r="W52" s="55">
        <f t="shared" si="59"/>
        <v>0</v>
      </c>
      <c r="X52" s="55">
        <v>0</v>
      </c>
      <c r="Y52" s="55" t="s">
        <v>35</v>
      </c>
      <c r="Z52" s="56">
        <f t="shared" si="65"/>
        <v>-2.4</v>
      </c>
      <c r="AA52" s="55">
        <v>0.1789230185185185</v>
      </c>
      <c r="AB52" s="55">
        <f t="shared" si="61"/>
        <v>-1.2882457333333333</v>
      </c>
      <c r="AC52" s="55">
        <v>-7.32</v>
      </c>
      <c r="AD52" s="55">
        <v>-4.34052743589743</v>
      </c>
      <c r="AE52" s="55">
        <v>0</v>
      </c>
      <c r="AF52" s="55">
        <v>2.5757575757575699</v>
      </c>
    </row>
    <row r="53" spans="1:32" s="57" customFormat="1">
      <c r="A53" s="2" t="s">
        <v>38</v>
      </c>
      <c r="B53" s="2" t="s">
        <v>46</v>
      </c>
      <c r="C53" s="51">
        <f t="shared" si="50"/>
        <v>15.004999999999999</v>
      </c>
      <c r="D53" s="51">
        <v>2</v>
      </c>
      <c r="E53" s="51">
        <v>0</v>
      </c>
      <c r="F53" s="51">
        <v>30.009999999999998</v>
      </c>
      <c r="G53" s="51">
        <v>0</v>
      </c>
      <c r="H53" s="51">
        <f t="shared" si="51"/>
        <v>0</v>
      </c>
      <c r="I53" s="51">
        <f t="shared" si="52"/>
        <v>-1.2963889985389172E-2</v>
      </c>
      <c r="J53" s="51">
        <f t="shared" si="70"/>
        <v>-0.38904633846152903</v>
      </c>
      <c r="K53" s="51">
        <f t="shared" si="54"/>
        <v>-0.19452316923076451</v>
      </c>
      <c r="L53" s="51">
        <v>9</v>
      </c>
      <c r="M53" s="51">
        <f t="shared" si="55"/>
        <v>0.22222222222222221</v>
      </c>
      <c r="N53" s="51">
        <v>0</v>
      </c>
      <c r="O53" s="51">
        <f t="shared" ref="O53:P53" si="75">D53/7</f>
        <v>0.2857142857142857</v>
      </c>
      <c r="P53" s="51">
        <f t="shared" si="75"/>
        <v>0</v>
      </c>
      <c r="Q53" s="51">
        <f t="shared" si="57"/>
        <v>0</v>
      </c>
      <c r="R53" s="55">
        <f ca="1">IFERROR(__xludf.DUMMYFUNCTION("IFERROR(VLOOKUP($B$2,IMPORTRANGE(""https://docs.google.com/spreadsheets/d/1iVgg6Mw12RULLujzHmfOFIY8Q_KaAD8anoZzgtVAQ74/edit#gid=1503384807"",""Second Star - Summary!A1:AD2000""),9,FALSE),"""")"),244)</f>
        <v>244</v>
      </c>
      <c r="S53" s="53">
        <f ca="1">IFERROR(__xludf.DUMMYFUNCTION("IFERROR(VLOOKUP($B$2,IMPORTRANGE(""https://docs.google.com/spreadsheets/d/1iVgg6Mw12RULLujzHmfOFIY8Q_KaAD8anoZzgtVAQ74/edit#gid=1503384807"",""Second Star - Summary!A1:AD2000""),28,FALSE),"""")"),120)</f>
        <v>120</v>
      </c>
      <c r="T53" s="54">
        <f ca="1">IFERROR(__xludf.DUMMYFUNCTION("IFERROR(VLOOKUP($B$2,IMPORTRANGE(""https://docs.google.com/spreadsheets/d/1iVgg6Mw12RULLujzHmfOFIY8Q_KaAD8anoZzgtVAQ74/edit#gid=1503384807"",""Second Star - Summary!A1:AD2000""),29,FALSE),"""")"),44322)</f>
        <v>44322</v>
      </c>
      <c r="U53" s="55">
        <v>0</v>
      </c>
      <c r="V53" s="55">
        <f t="shared" si="58"/>
        <v>0</v>
      </c>
      <c r="W53" s="55">
        <f t="shared" si="59"/>
        <v>0</v>
      </c>
      <c r="X53" s="55">
        <v>0</v>
      </c>
      <c r="Y53" s="55" t="s">
        <v>35</v>
      </c>
      <c r="Z53" s="56">
        <f t="shared" si="65"/>
        <v>-2.4</v>
      </c>
      <c r="AA53" s="55">
        <v>0.1789230185185185</v>
      </c>
      <c r="AB53" s="55">
        <f t="shared" si="61"/>
        <v>-2.5764914666666665</v>
      </c>
      <c r="AC53" s="55">
        <v>-7.32</v>
      </c>
      <c r="AD53" s="55">
        <v>-4.34052743589743</v>
      </c>
      <c r="AE53" s="55">
        <v>0</v>
      </c>
      <c r="AF53" s="55">
        <v>0</v>
      </c>
    </row>
    <row r="54" spans="1:32" s="57" customFormat="1">
      <c r="A54" s="2" t="s">
        <v>40</v>
      </c>
      <c r="B54" s="2"/>
      <c r="C54" s="51" t="str">
        <f t="shared" si="50"/>
        <v xml:space="preserve"> - </v>
      </c>
      <c r="D54" s="51">
        <v>0</v>
      </c>
      <c r="E54" s="51">
        <v>0</v>
      </c>
      <c r="F54" s="51">
        <v>0</v>
      </c>
      <c r="G54" s="51">
        <v>0</v>
      </c>
      <c r="H54" s="51" t="e">
        <f t="shared" si="51"/>
        <v>#DIV/0!</v>
      </c>
      <c r="I54" s="51" t="e">
        <f t="shared" si="52"/>
        <v>#DIV/0!</v>
      </c>
      <c r="J54" s="51">
        <f t="shared" si="70"/>
        <v>0</v>
      </c>
      <c r="K54" s="51" t="e">
        <f t="shared" si="54"/>
        <v>#DIV/0!</v>
      </c>
      <c r="L54" s="51">
        <v>0</v>
      </c>
      <c r="M54" s="51" t="str">
        <f t="shared" si="55"/>
        <v>-</v>
      </c>
      <c r="N54" s="51">
        <v>0</v>
      </c>
      <c r="O54" s="51">
        <f t="shared" ref="O54:P54" si="76">D54/7</f>
        <v>0</v>
      </c>
      <c r="P54" s="51">
        <f t="shared" si="76"/>
        <v>0</v>
      </c>
      <c r="Q54" s="51" t="e">
        <f t="shared" si="57"/>
        <v>#DIV/0!</v>
      </c>
      <c r="R54" s="55">
        <f ca="1">IFERROR(__xludf.DUMMYFUNCTION("IFERROR(VLOOKUP($B$2,IMPORTRANGE(""https://docs.google.com/spreadsheets/d/1iVgg6Mw12RULLujzHmfOFIY8Q_KaAD8anoZzgtVAQ74/edit#gid=1503384807"",""Second Star - Summary!A1:AD2000""),9,FALSE),"""")"),244)</f>
        <v>244</v>
      </c>
      <c r="S54" s="53">
        <f ca="1">IFERROR(__xludf.DUMMYFUNCTION("IFERROR(VLOOKUP($B$2,IMPORTRANGE(""https://docs.google.com/spreadsheets/d/1iVgg6Mw12RULLujzHmfOFIY8Q_KaAD8anoZzgtVAQ74/edit#gid=1503384807"",""Second Star - Summary!A1:AD2000""),28,FALSE),"""")"),120)</f>
        <v>120</v>
      </c>
      <c r="T54" s="54">
        <f ca="1">IFERROR(__xludf.DUMMYFUNCTION("IFERROR(VLOOKUP($B$2,IMPORTRANGE(""https://docs.google.com/spreadsheets/d/1iVgg6Mw12RULLujzHmfOFIY8Q_KaAD8anoZzgtVAQ74/edit#gid=1503384807"",""Second Star - Summary!A1:AD2000""),29,FALSE),"""")"),44322)</f>
        <v>44322</v>
      </c>
      <c r="U54" s="55">
        <v>0</v>
      </c>
      <c r="V54" s="55">
        <f t="shared" si="58"/>
        <v>0</v>
      </c>
      <c r="W54" s="55">
        <f t="shared" si="59"/>
        <v>0</v>
      </c>
      <c r="X54" s="55">
        <v>0</v>
      </c>
      <c r="Y54" s="55" t="e">
        <v>#N/A</v>
      </c>
      <c r="Z54" s="56" t="e">
        <f t="shared" si="65"/>
        <v>#N/A</v>
      </c>
      <c r="AA54" s="55" t="e">
        <v>#N/A</v>
      </c>
      <c r="AB54" s="55">
        <f t="shared" si="61"/>
        <v>0</v>
      </c>
      <c r="AC54" s="55">
        <v>0</v>
      </c>
      <c r="AD54" s="55">
        <v>-4.34052743589743</v>
      </c>
      <c r="AE54" s="55">
        <v>0</v>
      </c>
      <c r="AF54" s="55">
        <v>0</v>
      </c>
    </row>
    <row r="55" spans="1:32" s="57" customFormat="1" ht="15.75" customHeight="1">
      <c r="A55" s="2" t="s">
        <v>32</v>
      </c>
      <c r="B55" s="2"/>
      <c r="C55" s="51" t="str">
        <f t="shared" si="50"/>
        <v xml:space="preserve"> - </v>
      </c>
      <c r="D55" s="51">
        <v>0</v>
      </c>
      <c r="E55" s="51">
        <v>0</v>
      </c>
      <c r="F55" s="51">
        <v>0</v>
      </c>
      <c r="G55" s="51">
        <v>0</v>
      </c>
      <c r="H55" s="51" t="e">
        <f t="shared" si="51"/>
        <v>#DIV/0!</v>
      </c>
      <c r="I55" s="51" t="e">
        <f t="shared" si="52"/>
        <v>#DIV/0!</v>
      </c>
      <c r="J55" s="51">
        <f t="shared" si="70"/>
        <v>0</v>
      </c>
      <c r="K55" s="51" t="e">
        <f t="shared" si="54"/>
        <v>#DIV/0!</v>
      </c>
      <c r="L55" s="51">
        <v>0</v>
      </c>
      <c r="M55" s="51" t="str">
        <f t="shared" si="55"/>
        <v>-</v>
      </c>
      <c r="N55" s="51">
        <v>0</v>
      </c>
      <c r="O55" s="51">
        <f t="shared" ref="O55:P55" si="77">D55/7</f>
        <v>0</v>
      </c>
      <c r="P55" s="51">
        <f t="shared" si="77"/>
        <v>0</v>
      </c>
      <c r="Q55" s="51" t="e">
        <f t="shared" si="57"/>
        <v>#DIV/0!</v>
      </c>
      <c r="R55" s="55">
        <v>180</v>
      </c>
      <c r="S55" s="53" t="s">
        <v>34</v>
      </c>
      <c r="T55" s="54" t="s">
        <v>34</v>
      </c>
      <c r="U55" s="55">
        <v>0</v>
      </c>
      <c r="V55" s="55">
        <f t="shared" si="58"/>
        <v>0</v>
      </c>
      <c r="W55" s="55">
        <f t="shared" si="59"/>
        <v>0</v>
      </c>
      <c r="X55" s="55">
        <v>0</v>
      </c>
      <c r="Y55" s="55" t="e">
        <v>#N/A</v>
      </c>
      <c r="Z55" s="56" t="e">
        <f t="shared" si="65"/>
        <v>#N/A</v>
      </c>
      <c r="AA55" s="55" t="e">
        <v>#N/A</v>
      </c>
      <c r="AB55" s="55">
        <f t="shared" si="61"/>
        <v>0</v>
      </c>
      <c r="AC55" s="55">
        <v>0</v>
      </c>
      <c r="AD55" s="55">
        <v>-4.34052743589743</v>
      </c>
      <c r="AE55" s="55">
        <v>0</v>
      </c>
      <c r="AF55" s="55" t="e">
        <v>#N/A</v>
      </c>
    </row>
    <row r="56" spans="1:32" s="57" customFormat="1" ht="15.75" customHeight="1">
      <c r="A56" s="2" t="s">
        <v>36</v>
      </c>
      <c r="B56" s="2"/>
      <c r="C56" s="51" t="str">
        <f t="shared" si="50"/>
        <v xml:space="preserve"> - </v>
      </c>
      <c r="D56" s="51">
        <v>0</v>
      </c>
      <c r="E56" s="51">
        <v>0</v>
      </c>
      <c r="F56" s="51">
        <v>0</v>
      </c>
      <c r="G56" s="51">
        <v>0</v>
      </c>
      <c r="H56" s="51" t="e">
        <f t="shared" si="51"/>
        <v>#DIV/0!</v>
      </c>
      <c r="I56" s="51" t="e">
        <f t="shared" si="52"/>
        <v>#DIV/0!</v>
      </c>
      <c r="J56" s="51">
        <f t="shared" si="70"/>
        <v>0</v>
      </c>
      <c r="K56" s="51" t="e">
        <f t="shared" si="54"/>
        <v>#DIV/0!</v>
      </c>
      <c r="L56" s="51">
        <v>0</v>
      </c>
      <c r="M56" s="51" t="str">
        <f t="shared" si="55"/>
        <v>-</v>
      </c>
      <c r="N56" s="51">
        <v>0</v>
      </c>
      <c r="O56" s="51">
        <f t="shared" ref="O56:P56" si="78">D56/7</f>
        <v>0</v>
      </c>
      <c r="P56" s="51">
        <f t="shared" si="78"/>
        <v>0</v>
      </c>
      <c r="Q56" s="51" t="e">
        <f t="shared" si="57"/>
        <v>#DIV/0!</v>
      </c>
      <c r="R56" s="55">
        <f ca="1">IFERROR(__xludf.DUMMYFUNCTION("IFERROR(VLOOKUP($B$2,IMPORTRANGE(""https://docs.google.com/spreadsheets/d/1iVgg6Mw12RULLujzHmfOFIY8Q_KaAD8anoZzgtVAQ74/edit#gid=1503384807"",""Second Star - Summary!A1:AD2000""),9,FALSE),"""")"),244)</f>
        <v>244</v>
      </c>
      <c r="S56" s="53">
        <f ca="1">IFERROR(__xludf.DUMMYFUNCTION("IFERROR(VLOOKUP($B$2,IMPORTRANGE(""https://docs.google.com/spreadsheets/d/1iVgg6Mw12RULLujzHmfOFIY8Q_KaAD8anoZzgtVAQ74/edit#gid=1503384807"",""Second Star - Summary!A1:AD2000""),28,FALSE),"""")"),120)</f>
        <v>120</v>
      </c>
      <c r="T56" s="54">
        <f ca="1">IFERROR(__xludf.DUMMYFUNCTION("IFERROR(VLOOKUP($B$2,IMPORTRANGE(""https://docs.google.com/spreadsheets/d/1iVgg6Mw12RULLujzHmfOFIY8Q_KaAD8anoZzgtVAQ74/edit#gid=1503384807"",""Second Star - Summary!A1:AD2000""),29,FALSE),"""")"),44322)</f>
        <v>44322</v>
      </c>
      <c r="U56" s="55">
        <v>0</v>
      </c>
      <c r="V56" s="55">
        <f t="shared" si="58"/>
        <v>0</v>
      </c>
      <c r="W56" s="55">
        <f t="shared" si="59"/>
        <v>0</v>
      </c>
      <c r="X56" s="55">
        <v>0</v>
      </c>
      <c r="Y56" s="55" t="e">
        <v>#N/A</v>
      </c>
      <c r="Z56" s="56" t="e">
        <f t="shared" si="65"/>
        <v>#N/A</v>
      </c>
      <c r="AA56" s="55" t="e">
        <v>#N/A</v>
      </c>
      <c r="AB56" s="55">
        <f t="shared" si="61"/>
        <v>0</v>
      </c>
      <c r="AC56" s="55">
        <v>0</v>
      </c>
      <c r="AD56" s="55">
        <v>-4.34052743589743</v>
      </c>
      <c r="AE56" s="55">
        <v>0</v>
      </c>
      <c r="AF56" s="55" t="e">
        <v>#N/A</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180" priority="1" operator="lessThan">
      <formula>100</formula>
    </cfRule>
  </conditionalFormatting>
  <conditionalFormatting sqref="Q1:Q3 Q57:Q1000">
    <cfRule type="cellIs" dxfId="179" priority="2" operator="lessThan">
      <formula>100</formula>
    </cfRule>
  </conditionalFormatting>
  <conditionalFormatting sqref="I1:I3 I57:I1000">
    <cfRule type="cellIs" dxfId="178" priority="3" operator="lessThan">
      <formula>0.05</formula>
    </cfRule>
  </conditionalFormatting>
  <conditionalFormatting sqref="I4:I17">
    <cfRule type="cellIs" dxfId="177" priority="4" operator="lessThan">
      <formula>0.05</formula>
    </cfRule>
  </conditionalFormatting>
  <conditionalFormatting sqref="I18:I56">
    <cfRule type="cellIs" dxfId="176" priority="5" operator="lessThan">
      <formula>0.05</formula>
    </cfRule>
  </conditionalFormatting>
  <conditionalFormatting sqref="Q4:Q56">
    <cfRule type="cellIs" dxfId="175" priority="6" operator="lessThan">
      <formula>100</formula>
    </cfRule>
  </conditionalFormatting>
  <conditionalFormatting sqref="Q4:Q56">
    <cfRule type="cellIs" dxfId="174" priority="7" operator="lessThan">
      <formula>100</formula>
    </cfRule>
  </conditionalFormatting>
  <pageMargins left="0.7" right="0.7" top="0.75" bottom="0.75" header="0" footer="0"/>
  <pageSetup orientation="portrait"/>
  <legacy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2" width="17.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8.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Info!B1:BJ5000""),4,FALSE),"""")"),"All Weather Cornhole Bean Bags - Set of 8 American Flag Bags for Corn Hole Toss Game - Regulation Size &amp; Weight - 4 Blue &amp; 4 Gray")</f>
        <v>All Weather Cornhole Bean Bags - Set of 8 American Flag Bags for Corn Hole Toss Game - Regulation Size &amp; Weight - 4 Blue &amp; 4 Gray</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Info!B1:BJ5000""),3,FALSE),"""")"),"B07VQWH1FX")</f>
        <v>B07VQWH1FX</v>
      </c>
      <c r="B2" s="4" t="s">
        <v>967</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12.426502865761684</v>
      </c>
      <c r="D3" s="8">
        <f>SUM(D4:D99819)</f>
        <v>460</v>
      </c>
      <c r="E3" s="8"/>
      <c r="F3" s="9">
        <f t="shared" ref="F3:G3" si="0">SUM(F4:F99819)</f>
        <v>7225.670000000001</v>
      </c>
      <c r="G3" s="9">
        <f t="shared" si="0"/>
        <v>-315.28000000000003</v>
      </c>
      <c r="H3" s="10">
        <f t="shared" ref="H3:H39" si="1">G3/F3*-1</f>
        <v>4.3633323968573154E-2</v>
      </c>
      <c r="I3" s="11">
        <f t="shared" ref="I3:I39" si="2">J3/F3</f>
        <v>3.219107209257837E-2</v>
      </c>
      <c r="J3" s="9">
        <f>SUM(J4:J99819)</f>
        <v>232.60206388718078</v>
      </c>
      <c r="K3" s="9">
        <f t="shared" ref="K3:K39" si="3">J3/D3</f>
        <v>0.50565666062430603</v>
      </c>
      <c r="L3" s="8"/>
      <c r="M3" s="12"/>
      <c r="N3" s="13"/>
      <c r="O3" s="8" t="str">
        <f ca="1">IFERROR(__xludf.DUMMYFUNCTION("IFERROR(VLOOKUP(B2,IMPORTRANGE(""https://docs.google.com/spreadsheets/d/1owCo6kL_VFQ5nPTdNogErmCBLjNiktT1m3SzTrxu3R0/edit#gid=2146806407"",""Second Star - Compiled!b1:g5000""),2,FALSE),"""")"),"1 - March
1 - April
1 - May
1 - Jun
1 - Jul
1 - Aug
1 - Sept
1 - Oct
1 - Nov
1 - Dec
1 - Jan
1 - Feb")</f>
        <v>1 - March
1 - April
1 - May
1 - Jun
1 - Jul
1 - Aug
1 - Sept
1 - Oct
1 - Nov
1 - Dec
1 - Jan
1 - Feb</v>
      </c>
      <c r="P3" s="8"/>
      <c r="Q3" s="14"/>
      <c r="R3" s="13"/>
      <c r="S3" s="13"/>
      <c r="T3" s="13"/>
      <c r="U3" s="8">
        <f>SUM(U4:U99819)</f>
        <v>46</v>
      </c>
      <c r="V3" s="10">
        <f>AVERAGE(V4:V99819)</f>
        <v>7.8843945871809651E-2</v>
      </c>
      <c r="W3" s="9">
        <f>ROUND(AVERAGE(W4:W99819),2)</f>
        <v>0.74</v>
      </c>
      <c r="X3" s="8"/>
      <c r="Y3" s="8"/>
      <c r="Z3" s="8"/>
      <c r="AA3" s="8"/>
      <c r="AB3" s="8"/>
      <c r="AC3" s="15"/>
      <c r="AD3" s="9"/>
      <c r="AE3" s="9">
        <f>SUM(AE4:AE99819)</f>
        <v>-26.15</v>
      </c>
      <c r="AF3" s="16"/>
    </row>
    <row r="4" spans="1:32" s="57" customFormat="1" ht="16">
      <c r="A4" s="17" t="s">
        <v>48</v>
      </c>
      <c r="B4" s="17"/>
      <c r="C4" s="50" t="s">
        <v>397</v>
      </c>
      <c r="D4" s="51">
        <v>0</v>
      </c>
      <c r="E4" s="51">
        <v>0</v>
      </c>
      <c r="F4" s="51">
        <v>0</v>
      </c>
      <c r="G4" s="51">
        <v>0</v>
      </c>
      <c r="H4" s="51" t="e">
        <f t="shared" si="1"/>
        <v>#DIV/0!</v>
      </c>
      <c r="I4" s="51" t="e">
        <f t="shared" si="2"/>
        <v>#DIV/0!</v>
      </c>
      <c r="J4" s="51">
        <f t="shared" ref="J4:J38" si="4">F4*0.85+G4+AD4*D4+D4*AC4+AE4+AB4</f>
        <v>0</v>
      </c>
      <c r="K4" s="51" t="e">
        <f t="shared" si="3"/>
        <v>#DIV/0!</v>
      </c>
      <c r="L4" s="51">
        <v>0</v>
      </c>
      <c r="M4" s="51" t="str">
        <f t="shared" ref="M4:M39" si="5">IFERROR(D4/L4,"-")</f>
        <v>-</v>
      </c>
      <c r="N4" s="51">
        <v>0</v>
      </c>
      <c r="O4" s="51">
        <f t="shared" ref="O4:P4" si="6">D4/7</f>
        <v>0</v>
      </c>
      <c r="P4" s="51">
        <f t="shared" si="6"/>
        <v>0</v>
      </c>
      <c r="Q4" s="51" t="e">
        <f t="shared" ref="Q4:Q39" si="7">ROUNDDOWN(N4/(O4+P4),0)</f>
        <v>#DIV/0!</v>
      </c>
      <c r="R4" s="52">
        <v>700</v>
      </c>
      <c r="S4" s="53">
        <v>200</v>
      </c>
      <c r="T4" s="54">
        <v>43876</v>
      </c>
      <c r="U4" s="52">
        <v>0</v>
      </c>
      <c r="V4" s="55">
        <f t="shared" ref="V4:V39" si="8">IFERROR(U4/D4,0)</f>
        <v>0</v>
      </c>
      <c r="W4" s="55">
        <f t="shared" ref="W4:W39" si="9">IFERROR(G4/(U4+X4)*-1,0)</f>
        <v>0</v>
      </c>
      <c r="X4" s="52">
        <v>0</v>
      </c>
      <c r="Y4" s="56" t="e">
        <v>#N/A</v>
      </c>
      <c r="Z4" s="56" t="e">
        <f t="shared" ref="Z4:Z10" si="10">IF(OR(Y4="UsLargeStandardSize",Y4="UsSmallStandardSize"),-0.69,-0.48)</f>
        <v>#N/A</v>
      </c>
      <c r="AA4" s="55" t="e">
        <v>#N/A</v>
      </c>
      <c r="AB4" s="55">
        <f t="shared" ref="AB4:AB17" si="11">IFERROR((Z4*AA4*N4)/4,0)</f>
        <v>0</v>
      </c>
      <c r="AC4" s="55">
        <v>0</v>
      </c>
      <c r="AD4" s="55">
        <v>-4.102027435897436</v>
      </c>
      <c r="AE4" s="55">
        <v>0</v>
      </c>
      <c r="AF4" s="55"/>
    </row>
    <row r="5" spans="1:32" s="57" customFormat="1" ht="15.75" customHeight="1">
      <c r="A5" s="2" t="s">
        <v>49</v>
      </c>
      <c r="B5" s="2"/>
      <c r="C5" s="51" t="s">
        <v>397</v>
      </c>
      <c r="D5" s="51">
        <v>0</v>
      </c>
      <c r="E5" s="51">
        <v>0</v>
      </c>
      <c r="F5" s="51">
        <v>0</v>
      </c>
      <c r="G5" s="51">
        <v>0</v>
      </c>
      <c r="H5" s="51" t="e">
        <f t="shared" si="1"/>
        <v>#DIV/0!</v>
      </c>
      <c r="I5" s="51" t="e">
        <f t="shared" si="2"/>
        <v>#DIV/0!</v>
      </c>
      <c r="J5" s="51">
        <f t="shared" si="4"/>
        <v>0</v>
      </c>
      <c r="K5" s="51" t="e">
        <f t="shared" si="3"/>
        <v>#DIV/0!</v>
      </c>
      <c r="L5" s="51">
        <v>0</v>
      </c>
      <c r="M5" s="51" t="str">
        <f t="shared" si="5"/>
        <v>-</v>
      </c>
      <c r="N5" s="51">
        <v>0</v>
      </c>
      <c r="O5" s="51">
        <f t="shared" ref="O5:P5" si="12">D5/7</f>
        <v>0</v>
      </c>
      <c r="P5" s="51">
        <f t="shared" si="12"/>
        <v>0</v>
      </c>
      <c r="Q5" s="51" t="e">
        <f t="shared" si="7"/>
        <v>#DIV/0!</v>
      </c>
      <c r="R5" s="55">
        <v>700</v>
      </c>
      <c r="S5" s="53">
        <v>200</v>
      </c>
      <c r="T5" s="54">
        <v>43876</v>
      </c>
      <c r="U5" s="55">
        <v>0</v>
      </c>
      <c r="V5" s="55">
        <f t="shared" si="8"/>
        <v>0</v>
      </c>
      <c r="W5" s="55">
        <f t="shared" si="9"/>
        <v>0</v>
      </c>
      <c r="X5" s="55">
        <v>0</v>
      </c>
      <c r="Y5" s="55" t="e">
        <v>#N/A</v>
      </c>
      <c r="Z5" s="56" t="e">
        <f t="shared" si="10"/>
        <v>#N/A</v>
      </c>
      <c r="AA5" s="55" t="e">
        <v>#N/A</v>
      </c>
      <c r="AB5" s="55">
        <f t="shared" si="11"/>
        <v>0</v>
      </c>
      <c r="AC5" s="55">
        <v>0</v>
      </c>
      <c r="AD5" s="55">
        <v>-4.102027435897436</v>
      </c>
      <c r="AE5" s="55">
        <v>0</v>
      </c>
      <c r="AF5" s="55"/>
    </row>
    <row r="6" spans="1:32" s="57" customFormat="1" ht="15.75" customHeight="1">
      <c r="A6" s="2" t="s">
        <v>51</v>
      </c>
      <c r="B6" s="2"/>
      <c r="C6" s="51" t="s">
        <v>397</v>
      </c>
      <c r="D6" s="51">
        <v>0</v>
      </c>
      <c r="E6" s="51">
        <v>0</v>
      </c>
      <c r="F6" s="51">
        <v>0</v>
      </c>
      <c r="G6" s="51">
        <v>0</v>
      </c>
      <c r="H6" s="51" t="e">
        <f t="shared" si="1"/>
        <v>#DIV/0!</v>
      </c>
      <c r="I6" s="51" t="e">
        <f t="shared" si="2"/>
        <v>#DIV/0!</v>
      </c>
      <c r="J6" s="51">
        <f t="shared" si="4"/>
        <v>0</v>
      </c>
      <c r="K6" s="51" t="e">
        <f t="shared" si="3"/>
        <v>#DIV/0!</v>
      </c>
      <c r="L6" s="51">
        <v>0</v>
      </c>
      <c r="M6" s="51" t="str">
        <f t="shared" si="5"/>
        <v>-</v>
      </c>
      <c r="N6" s="51">
        <v>0</v>
      </c>
      <c r="O6" s="51">
        <f t="shared" ref="O6:P6" si="13">D6/7</f>
        <v>0</v>
      </c>
      <c r="P6" s="51">
        <f t="shared" si="13"/>
        <v>0</v>
      </c>
      <c r="Q6" s="51" t="e">
        <f t="shared" si="7"/>
        <v>#DIV/0!</v>
      </c>
      <c r="R6" s="55">
        <v>700</v>
      </c>
      <c r="S6" s="53">
        <v>200</v>
      </c>
      <c r="T6" s="54">
        <v>43884</v>
      </c>
      <c r="U6" s="55">
        <v>0</v>
      </c>
      <c r="V6" s="55">
        <f t="shared" si="8"/>
        <v>0</v>
      </c>
      <c r="W6" s="55">
        <f t="shared" si="9"/>
        <v>0</v>
      </c>
      <c r="X6" s="55">
        <v>0</v>
      </c>
      <c r="Y6" s="55" t="e">
        <v>#N/A</v>
      </c>
      <c r="Z6" s="56" t="e">
        <f t="shared" si="10"/>
        <v>#N/A</v>
      </c>
      <c r="AA6" s="55" t="e">
        <v>#N/A</v>
      </c>
      <c r="AB6" s="55">
        <f t="shared" si="11"/>
        <v>0</v>
      </c>
      <c r="AC6" s="55">
        <v>0</v>
      </c>
      <c r="AD6" s="55">
        <v>-4.102027435897436</v>
      </c>
      <c r="AE6" s="55">
        <v>0</v>
      </c>
      <c r="AF6" s="55"/>
    </row>
    <row r="7" spans="1:32" s="57" customFormat="1" ht="15.75" customHeight="1">
      <c r="A7" s="2" t="s">
        <v>53</v>
      </c>
      <c r="B7" s="2"/>
      <c r="C7" s="51" t="s">
        <v>397</v>
      </c>
      <c r="D7" s="51">
        <v>0</v>
      </c>
      <c r="E7" s="51">
        <v>0</v>
      </c>
      <c r="F7" s="51">
        <v>0</v>
      </c>
      <c r="G7" s="51">
        <v>0</v>
      </c>
      <c r="H7" s="51" t="e">
        <f t="shared" si="1"/>
        <v>#DIV/0!</v>
      </c>
      <c r="I7" s="51" t="e">
        <f t="shared" si="2"/>
        <v>#DIV/0!</v>
      </c>
      <c r="J7" s="51">
        <f t="shared" si="4"/>
        <v>0</v>
      </c>
      <c r="K7" s="51" t="e">
        <f t="shared" si="3"/>
        <v>#DIV/0!</v>
      </c>
      <c r="L7" s="51">
        <v>0</v>
      </c>
      <c r="M7" s="51" t="str">
        <f t="shared" si="5"/>
        <v>-</v>
      </c>
      <c r="N7" s="51">
        <v>0</v>
      </c>
      <c r="O7" s="51">
        <f t="shared" ref="O7:P7" si="14">D7/7</f>
        <v>0</v>
      </c>
      <c r="P7" s="51">
        <f t="shared" si="14"/>
        <v>0</v>
      </c>
      <c r="Q7" s="51" t="e">
        <f t="shared" si="7"/>
        <v>#DIV/0!</v>
      </c>
      <c r="R7" s="55">
        <v>700</v>
      </c>
      <c r="S7" s="53">
        <v>200</v>
      </c>
      <c r="T7" s="54">
        <v>43884</v>
      </c>
      <c r="U7" s="55">
        <v>0</v>
      </c>
      <c r="V7" s="55">
        <f t="shared" si="8"/>
        <v>0</v>
      </c>
      <c r="W7" s="55">
        <f t="shared" si="9"/>
        <v>0</v>
      </c>
      <c r="X7" s="55">
        <v>0</v>
      </c>
      <c r="Y7" s="55" t="e">
        <v>#N/A</v>
      </c>
      <c r="Z7" s="56" t="e">
        <f t="shared" si="10"/>
        <v>#N/A</v>
      </c>
      <c r="AA7" s="55" t="e">
        <v>#N/A</v>
      </c>
      <c r="AB7" s="55">
        <f t="shared" si="11"/>
        <v>0</v>
      </c>
      <c r="AC7" s="55">
        <v>0</v>
      </c>
      <c r="AD7" s="55">
        <v>-4.102027435897436</v>
      </c>
      <c r="AE7" s="55">
        <v>0</v>
      </c>
      <c r="AF7" s="55"/>
    </row>
    <row r="8" spans="1:32" s="57" customFormat="1" ht="15.75" customHeight="1">
      <c r="A8" s="2" t="s">
        <v>54</v>
      </c>
      <c r="B8" s="2"/>
      <c r="C8" s="51" t="s">
        <v>397</v>
      </c>
      <c r="D8" s="51">
        <v>0</v>
      </c>
      <c r="E8" s="51">
        <v>0</v>
      </c>
      <c r="F8" s="51">
        <v>0</v>
      </c>
      <c r="G8" s="51">
        <v>0</v>
      </c>
      <c r="H8" s="51" t="e">
        <f t="shared" si="1"/>
        <v>#DIV/0!</v>
      </c>
      <c r="I8" s="51" t="e">
        <f t="shared" si="2"/>
        <v>#DIV/0!</v>
      </c>
      <c r="J8" s="51">
        <f t="shared" si="4"/>
        <v>0</v>
      </c>
      <c r="K8" s="51" t="e">
        <f t="shared" si="3"/>
        <v>#DIV/0!</v>
      </c>
      <c r="L8" s="51">
        <v>0</v>
      </c>
      <c r="M8" s="51" t="str">
        <f t="shared" si="5"/>
        <v>-</v>
      </c>
      <c r="N8" s="51">
        <v>0</v>
      </c>
      <c r="O8" s="51">
        <f t="shared" ref="O8:P8" si="15">D8/7</f>
        <v>0</v>
      </c>
      <c r="P8" s="51">
        <f t="shared" si="15"/>
        <v>0</v>
      </c>
      <c r="Q8" s="51" t="e">
        <f t="shared" si="7"/>
        <v>#DIV/0!</v>
      </c>
      <c r="R8" s="55">
        <v>700</v>
      </c>
      <c r="S8" s="53">
        <v>200</v>
      </c>
      <c r="T8" s="54">
        <v>43884</v>
      </c>
      <c r="U8" s="55">
        <v>0</v>
      </c>
      <c r="V8" s="55">
        <f t="shared" si="8"/>
        <v>0</v>
      </c>
      <c r="W8" s="55">
        <f t="shared" si="9"/>
        <v>0</v>
      </c>
      <c r="X8" s="55">
        <v>0</v>
      </c>
      <c r="Y8" s="55" t="e">
        <v>#N/A</v>
      </c>
      <c r="Z8" s="56" t="e">
        <f t="shared" si="10"/>
        <v>#N/A</v>
      </c>
      <c r="AA8" s="55" t="e">
        <v>#N/A</v>
      </c>
      <c r="AB8" s="55">
        <f t="shared" si="11"/>
        <v>0</v>
      </c>
      <c r="AC8" s="55">
        <v>0</v>
      </c>
      <c r="AD8" s="55">
        <v>-4.102027435897436</v>
      </c>
      <c r="AE8" s="55">
        <v>0</v>
      </c>
      <c r="AF8" s="55"/>
    </row>
    <row r="9" spans="1:32" s="57" customFormat="1" ht="15.75" customHeight="1">
      <c r="A9" s="2" t="s">
        <v>56</v>
      </c>
      <c r="B9" s="2"/>
      <c r="C9" s="51" t="s">
        <v>397</v>
      </c>
      <c r="D9" s="51">
        <v>0</v>
      </c>
      <c r="E9" s="51">
        <v>0</v>
      </c>
      <c r="F9" s="51">
        <v>0</v>
      </c>
      <c r="G9" s="51">
        <v>0</v>
      </c>
      <c r="H9" s="51" t="e">
        <f t="shared" si="1"/>
        <v>#DIV/0!</v>
      </c>
      <c r="I9" s="51" t="e">
        <f t="shared" si="2"/>
        <v>#DIV/0!</v>
      </c>
      <c r="J9" s="51">
        <f t="shared" si="4"/>
        <v>0</v>
      </c>
      <c r="K9" s="51" t="e">
        <f t="shared" si="3"/>
        <v>#DIV/0!</v>
      </c>
      <c r="L9" s="51">
        <v>0</v>
      </c>
      <c r="M9" s="51" t="str">
        <f t="shared" si="5"/>
        <v>-</v>
      </c>
      <c r="N9" s="51">
        <v>0</v>
      </c>
      <c r="O9" s="51">
        <f t="shared" ref="O9:P9" si="16">D9/7</f>
        <v>0</v>
      </c>
      <c r="P9" s="51">
        <f t="shared" si="16"/>
        <v>0</v>
      </c>
      <c r="Q9" s="51" t="e">
        <f t="shared" si="7"/>
        <v>#DIV/0!</v>
      </c>
      <c r="R9" s="55">
        <v>500</v>
      </c>
      <c r="S9" s="53">
        <v>200</v>
      </c>
      <c r="T9" s="54">
        <v>43881</v>
      </c>
      <c r="U9" s="55">
        <v>0</v>
      </c>
      <c r="V9" s="55">
        <f t="shared" si="8"/>
        <v>0</v>
      </c>
      <c r="W9" s="55">
        <f t="shared" si="9"/>
        <v>0</v>
      </c>
      <c r="X9" s="55">
        <v>0</v>
      </c>
      <c r="Y9" s="55" t="e">
        <v>#N/A</v>
      </c>
      <c r="Z9" s="56" t="e">
        <f t="shared" si="10"/>
        <v>#N/A</v>
      </c>
      <c r="AA9" s="55" t="e">
        <v>#N/A</v>
      </c>
      <c r="AB9" s="55">
        <f t="shared" si="11"/>
        <v>0</v>
      </c>
      <c r="AC9" s="55">
        <v>0</v>
      </c>
      <c r="AD9" s="55">
        <v>-4.102027435897436</v>
      </c>
      <c r="AE9" s="55">
        <v>0</v>
      </c>
      <c r="AF9" s="55"/>
    </row>
    <row r="10" spans="1:32" s="57" customFormat="1" ht="15.75" customHeight="1">
      <c r="A10" s="2" t="s">
        <v>58</v>
      </c>
      <c r="B10" s="2"/>
      <c r="C10" s="51" t="s">
        <v>397</v>
      </c>
      <c r="D10" s="51">
        <v>0</v>
      </c>
      <c r="E10" s="51">
        <v>0</v>
      </c>
      <c r="F10" s="51">
        <v>0</v>
      </c>
      <c r="G10" s="51">
        <v>0</v>
      </c>
      <c r="H10" s="51" t="e">
        <f t="shared" si="1"/>
        <v>#DIV/0!</v>
      </c>
      <c r="I10" s="51" t="e">
        <f t="shared" si="2"/>
        <v>#DIV/0!</v>
      </c>
      <c r="J10" s="51">
        <f t="shared" si="4"/>
        <v>0</v>
      </c>
      <c r="K10" s="51" t="e">
        <f t="shared" si="3"/>
        <v>#DIV/0!</v>
      </c>
      <c r="L10" s="51">
        <v>0</v>
      </c>
      <c r="M10" s="51" t="str">
        <f t="shared" si="5"/>
        <v>-</v>
      </c>
      <c r="N10" s="51">
        <v>0</v>
      </c>
      <c r="O10" s="51">
        <f t="shared" ref="O10:P10" si="17">D10/7</f>
        <v>0</v>
      </c>
      <c r="P10" s="51">
        <f t="shared" si="17"/>
        <v>0</v>
      </c>
      <c r="Q10" s="51" t="e">
        <f t="shared" si="7"/>
        <v>#DIV/0!</v>
      </c>
      <c r="R10" s="55">
        <v>500</v>
      </c>
      <c r="S10" s="53">
        <v>200</v>
      </c>
      <c r="T10" s="54">
        <v>43885</v>
      </c>
      <c r="U10" s="55">
        <v>0</v>
      </c>
      <c r="V10" s="55">
        <f t="shared" si="8"/>
        <v>0</v>
      </c>
      <c r="W10" s="55">
        <f t="shared" si="9"/>
        <v>0</v>
      </c>
      <c r="X10" s="55">
        <v>0</v>
      </c>
      <c r="Y10" s="55" t="e">
        <v>#N/A</v>
      </c>
      <c r="Z10" s="56" t="e">
        <f t="shared" si="10"/>
        <v>#N/A</v>
      </c>
      <c r="AA10" s="55" t="e">
        <v>#N/A</v>
      </c>
      <c r="AB10" s="55">
        <f t="shared" si="11"/>
        <v>0</v>
      </c>
      <c r="AC10" s="55">
        <v>0</v>
      </c>
      <c r="AD10" s="55">
        <v>-4.102027435897436</v>
      </c>
      <c r="AE10" s="55">
        <v>0</v>
      </c>
      <c r="AF10" s="55"/>
    </row>
    <row r="11" spans="1:32" s="57" customFormat="1" ht="15.75" customHeight="1">
      <c r="A11" s="2" t="s">
        <v>60</v>
      </c>
      <c r="B11" s="2" t="s">
        <v>968</v>
      </c>
      <c r="C11" s="51" t="s">
        <v>397</v>
      </c>
      <c r="D11" s="51">
        <v>0</v>
      </c>
      <c r="E11" s="51">
        <v>0</v>
      </c>
      <c r="F11" s="51">
        <v>0</v>
      </c>
      <c r="G11" s="51">
        <v>0</v>
      </c>
      <c r="H11" s="51" t="e">
        <f t="shared" si="1"/>
        <v>#DIV/0!</v>
      </c>
      <c r="I11" s="51" t="e">
        <f t="shared" si="2"/>
        <v>#DIV/0!</v>
      </c>
      <c r="J11" s="51">
        <f t="shared" si="4"/>
        <v>0</v>
      </c>
      <c r="K11" s="51" t="e">
        <f t="shared" si="3"/>
        <v>#DIV/0!</v>
      </c>
      <c r="L11" s="51">
        <v>0</v>
      </c>
      <c r="M11" s="51" t="str">
        <f t="shared" si="5"/>
        <v>-</v>
      </c>
      <c r="N11" s="51">
        <v>0</v>
      </c>
      <c r="O11" s="51">
        <f t="shared" ref="O11:P11" si="18">D11/7</f>
        <v>0</v>
      </c>
      <c r="P11" s="51">
        <f t="shared" si="18"/>
        <v>0</v>
      </c>
      <c r="Q11" s="51" t="e">
        <f t="shared" si="7"/>
        <v>#DIV/0!</v>
      </c>
      <c r="R11" s="55">
        <v>300</v>
      </c>
      <c r="S11" s="53" t="s">
        <v>34</v>
      </c>
      <c r="T11" s="54" t="s">
        <v>34</v>
      </c>
      <c r="U11" s="55">
        <v>0</v>
      </c>
      <c r="V11" s="55">
        <f t="shared" si="8"/>
        <v>0</v>
      </c>
      <c r="W11" s="55">
        <f t="shared" si="9"/>
        <v>0</v>
      </c>
      <c r="X11" s="55">
        <v>0</v>
      </c>
      <c r="Y11" s="55" t="e">
        <v>#N/A</v>
      </c>
      <c r="Z11" s="56" t="e">
        <f t="shared" ref="Z11:Z39" si="19">IF(OR(Y11="UsLargeStandardSize",Y11="UsSmallStandardSize"),-0.75,-0.48)</f>
        <v>#N/A</v>
      </c>
      <c r="AA11" s="55" t="e">
        <v>#N/A</v>
      </c>
      <c r="AB11" s="55">
        <f t="shared" si="11"/>
        <v>0</v>
      </c>
      <c r="AC11" s="55">
        <v>0</v>
      </c>
      <c r="AD11" s="55">
        <v>-4.102027435897436</v>
      </c>
      <c r="AE11" s="55">
        <v>0</v>
      </c>
      <c r="AF11" s="55"/>
    </row>
    <row r="12" spans="1:32" s="57" customFormat="1" ht="15.75" customHeight="1">
      <c r="A12" s="2" t="s">
        <v>62</v>
      </c>
      <c r="B12" s="2" t="s">
        <v>927</v>
      </c>
      <c r="C12" s="51">
        <v>15.99</v>
      </c>
      <c r="D12" s="51">
        <v>4</v>
      </c>
      <c r="E12" s="51">
        <v>0</v>
      </c>
      <c r="F12" s="51">
        <v>55.96</v>
      </c>
      <c r="G12" s="51">
        <v>-6.19</v>
      </c>
      <c r="H12" s="51">
        <f t="shared" si="1"/>
        <v>0.11061472480343103</v>
      </c>
      <c r="I12" s="51">
        <f t="shared" si="2"/>
        <v>-0.18694904831289744</v>
      </c>
      <c r="J12" s="51">
        <f t="shared" si="4"/>
        <v>-10.46166874358974</v>
      </c>
      <c r="K12" s="51">
        <f t="shared" si="3"/>
        <v>-2.6154171858974351</v>
      </c>
      <c r="L12" s="51">
        <v>16</v>
      </c>
      <c r="M12" s="51">
        <f t="shared" si="5"/>
        <v>0.25</v>
      </c>
      <c r="N12" s="51">
        <v>193</v>
      </c>
      <c r="O12" s="51">
        <f t="shared" ref="O12:P12" si="20">D12/7</f>
        <v>0.5714285714285714</v>
      </c>
      <c r="P12" s="51">
        <f t="shared" si="20"/>
        <v>0</v>
      </c>
      <c r="Q12" s="51">
        <f t="shared" si="7"/>
        <v>337</v>
      </c>
      <c r="R12" s="55">
        <v>300</v>
      </c>
      <c r="S12" s="53" t="s">
        <v>34</v>
      </c>
      <c r="T12" s="54" t="s">
        <v>34</v>
      </c>
      <c r="U12" s="55">
        <v>1</v>
      </c>
      <c r="V12" s="55">
        <f t="shared" si="8"/>
        <v>0.25</v>
      </c>
      <c r="W12" s="55">
        <f t="shared" si="9"/>
        <v>3.0950000000000002</v>
      </c>
      <c r="X12" s="55">
        <v>1</v>
      </c>
      <c r="Y12" s="55" t="s">
        <v>35</v>
      </c>
      <c r="Z12" s="56">
        <f t="shared" si="19"/>
        <v>-0.75</v>
      </c>
      <c r="AA12" s="55">
        <v>0.169936</v>
      </c>
      <c r="AB12" s="55">
        <f t="shared" si="11"/>
        <v>-6.1495590000000009</v>
      </c>
      <c r="AC12" s="55">
        <v>-7.32</v>
      </c>
      <c r="AD12" s="55">
        <v>-4.102027435897436</v>
      </c>
      <c r="AE12" s="55">
        <v>0</v>
      </c>
      <c r="AF12" s="55"/>
    </row>
    <row r="13" spans="1:32" s="57" customFormat="1" ht="15.75" customHeight="1">
      <c r="A13" s="2" t="s">
        <v>63</v>
      </c>
      <c r="B13" s="2" t="s">
        <v>969</v>
      </c>
      <c r="C13" s="51">
        <v>15.99</v>
      </c>
      <c r="D13" s="51">
        <v>7</v>
      </c>
      <c r="E13" s="51">
        <v>0</v>
      </c>
      <c r="F13" s="51">
        <v>111.92999999999999</v>
      </c>
      <c r="G13" s="51">
        <v>-49.030000000000008</v>
      </c>
      <c r="H13" s="51">
        <f t="shared" si="1"/>
        <v>0.43804163316358447</v>
      </c>
      <c r="I13" s="51">
        <f t="shared" si="2"/>
        <v>-0.35616723891076635</v>
      </c>
      <c r="J13" s="51">
        <f t="shared" si="4"/>
        <v>-39.865799051282075</v>
      </c>
      <c r="K13" s="51">
        <f t="shared" si="3"/>
        <v>-5.6951141501831533</v>
      </c>
      <c r="L13" s="51">
        <v>45</v>
      </c>
      <c r="M13" s="51">
        <f t="shared" si="5"/>
        <v>0.15555555555555556</v>
      </c>
      <c r="N13" s="51">
        <v>189</v>
      </c>
      <c r="O13" s="51">
        <f t="shared" ref="O13:P13" si="21">D13/7</f>
        <v>1</v>
      </c>
      <c r="P13" s="51">
        <f t="shared" si="21"/>
        <v>0</v>
      </c>
      <c r="Q13" s="51">
        <f t="shared" si="7"/>
        <v>189</v>
      </c>
      <c r="R13" s="55">
        <v>300</v>
      </c>
      <c r="S13" s="53" t="s">
        <v>34</v>
      </c>
      <c r="T13" s="54" t="s">
        <v>34</v>
      </c>
      <c r="U13" s="55">
        <v>3</v>
      </c>
      <c r="V13" s="55">
        <f t="shared" si="8"/>
        <v>0.42857142857142855</v>
      </c>
      <c r="W13" s="55">
        <f t="shared" si="9"/>
        <v>2.580526315789474</v>
      </c>
      <c r="X13" s="55">
        <v>16</v>
      </c>
      <c r="Y13" s="55" t="s">
        <v>35</v>
      </c>
      <c r="Z13" s="56">
        <f t="shared" si="19"/>
        <v>-0.75</v>
      </c>
      <c r="AA13" s="55">
        <v>0.169936</v>
      </c>
      <c r="AB13" s="55">
        <f t="shared" si="11"/>
        <v>-6.0221070000000001</v>
      </c>
      <c r="AC13" s="55">
        <v>-7.32</v>
      </c>
      <c r="AD13" s="55">
        <v>-4.102027435897436</v>
      </c>
      <c r="AE13" s="55">
        <v>0</v>
      </c>
      <c r="AF13" s="55"/>
    </row>
    <row r="14" spans="1:32" s="57" customFormat="1" ht="15.75" customHeight="1">
      <c r="A14" s="2" t="s">
        <v>64</v>
      </c>
      <c r="B14" s="2"/>
      <c r="C14" s="51">
        <v>17.989999999999998</v>
      </c>
      <c r="D14" s="51">
        <v>9</v>
      </c>
      <c r="E14" s="51">
        <v>0</v>
      </c>
      <c r="F14" s="51">
        <v>143.91</v>
      </c>
      <c r="G14" s="51">
        <v>-39.6</v>
      </c>
      <c r="H14" s="51">
        <f t="shared" si="1"/>
        <v>0.27517198248905567</v>
      </c>
      <c r="I14" s="51">
        <f t="shared" si="2"/>
        <v>-0.17868458010615604</v>
      </c>
      <c r="J14" s="51">
        <f t="shared" si="4"/>
        <v>-25.714497923076916</v>
      </c>
      <c r="K14" s="51">
        <f t="shared" si="3"/>
        <v>-2.8571664358974349</v>
      </c>
      <c r="L14" s="51">
        <v>59</v>
      </c>
      <c r="M14" s="51">
        <f t="shared" si="5"/>
        <v>0.15254237288135594</v>
      </c>
      <c r="N14" s="51">
        <v>177</v>
      </c>
      <c r="O14" s="51">
        <f t="shared" ref="O14:P14" si="22">D14/7</f>
        <v>1.2857142857142858</v>
      </c>
      <c r="P14" s="51">
        <f t="shared" si="22"/>
        <v>0</v>
      </c>
      <c r="Q14" s="51">
        <f t="shared" si="7"/>
        <v>137</v>
      </c>
      <c r="R14" s="55">
        <v>300</v>
      </c>
      <c r="S14" s="53" t="s">
        <v>34</v>
      </c>
      <c r="T14" s="54" t="s">
        <v>34</v>
      </c>
      <c r="U14" s="55">
        <v>3</v>
      </c>
      <c r="V14" s="55">
        <f t="shared" si="8"/>
        <v>0.33333333333333331</v>
      </c>
      <c r="W14" s="55">
        <f t="shared" si="9"/>
        <v>3.0461538461538464</v>
      </c>
      <c r="X14" s="55">
        <v>10</v>
      </c>
      <c r="Y14" s="55" t="s">
        <v>35</v>
      </c>
      <c r="Z14" s="56">
        <f t="shared" si="19"/>
        <v>-0.75</v>
      </c>
      <c r="AA14" s="55">
        <v>0.169936</v>
      </c>
      <c r="AB14" s="55">
        <f t="shared" si="11"/>
        <v>-5.6397510000000004</v>
      </c>
      <c r="AC14" s="55">
        <v>-7.32</v>
      </c>
      <c r="AD14" s="55">
        <v>-4.102027435897436</v>
      </c>
      <c r="AE14" s="55">
        <v>0</v>
      </c>
      <c r="AF14" s="55"/>
    </row>
    <row r="15" spans="1:32" s="57" customFormat="1" ht="15.75" customHeight="1">
      <c r="A15" s="2" t="s">
        <v>65</v>
      </c>
      <c r="B15" s="2" t="s">
        <v>970</v>
      </c>
      <c r="C15" s="51">
        <v>14.99</v>
      </c>
      <c r="D15" s="51">
        <v>6</v>
      </c>
      <c r="E15" s="51">
        <v>0</v>
      </c>
      <c r="F15" s="51">
        <v>95.949999999999989</v>
      </c>
      <c r="G15" s="51">
        <v>-31.750000000000004</v>
      </c>
      <c r="H15" s="51">
        <f t="shared" si="1"/>
        <v>0.33090151120375205</v>
      </c>
      <c r="I15" s="51">
        <f t="shared" si="2"/>
        <v>-0.25259993345893306</v>
      </c>
      <c r="J15" s="51">
        <f t="shared" si="4"/>
        <v>-24.236963615384624</v>
      </c>
      <c r="K15" s="51">
        <f t="shared" si="3"/>
        <v>-4.0394939358974371</v>
      </c>
      <c r="L15" s="51">
        <v>56</v>
      </c>
      <c r="M15" s="51">
        <f t="shared" si="5"/>
        <v>0.10714285714285714</v>
      </c>
      <c r="N15" s="51">
        <v>173</v>
      </c>
      <c r="O15" s="51">
        <f t="shared" ref="O15:P15" si="23">D15/7</f>
        <v>0.8571428571428571</v>
      </c>
      <c r="P15" s="51">
        <f t="shared" si="23"/>
        <v>0</v>
      </c>
      <c r="Q15" s="51">
        <f t="shared" si="7"/>
        <v>201</v>
      </c>
      <c r="R15" s="55">
        <v>300</v>
      </c>
      <c r="S15" s="53" t="s">
        <v>34</v>
      </c>
      <c r="T15" s="54" t="s">
        <v>34</v>
      </c>
      <c r="U15" s="55">
        <v>3</v>
      </c>
      <c r="V15" s="55">
        <f t="shared" si="8"/>
        <v>0.5</v>
      </c>
      <c r="W15" s="55">
        <f t="shared" si="9"/>
        <v>1.9843750000000002</v>
      </c>
      <c r="X15" s="55">
        <v>13</v>
      </c>
      <c r="Y15" s="55" t="s">
        <v>35</v>
      </c>
      <c r="Z15" s="56">
        <f t="shared" si="19"/>
        <v>-0.75</v>
      </c>
      <c r="AA15" s="55">
        <v>0.169936</v>
      </c>
      <c r="AB15" s="55">
        <f t="shared" si="11"/>
        <v>-5.5122990000000005</v>
      </c>
      <c r="AC15" s="55">
        <v>-7.32</v>
      </c>
      <c r="AD15" s="55">
        <v>-4.102027435897436</v>
      </c>
      <c r="AE15" s="55">
        <v>0</v>
      </c>
      <c r="AF15" s="55"/>
    </row>
    <row r="16" spans="1:32" s="57" customFormat="1" ht="15.75" customHeight="1">
      <c r="A16" s="2" t="s">
        <v>66</v>
      </c>
      <c r="B16" s="2" t="s">
        <v>940</v>
      </c>
      <c r="C16" s="51">
        <v>14.99</v>
      </c>
      <c r="D16" s="51">
        <v>7</v>
      </c>
      <c r="E16" s="51">
        <v>0</v>
      </c>
      <c r="F16" s="51">
        <v>102.97</v>
      </c>
      <c r="G16" s="51">
        <v>-23.69</v>
      </c>
      <c r="H16" s="51">
        <f t="shared" si="1"/>
        <v>0.23006700980868217</v>
      </c>
      <c r="I16" s="51">
        <f t="shared" si="2"/>
        <v>-0.20574836409907793</v>
      </c>
      <c r="J16" s="51">
        <f t="shared" si="4"/>
        <v>-21.185909051282053</v>
      </c>
      <c r="K16" s="51">
        <f t="shared" si="3"/>
        <v>-3.026558435897436</v>
      </c>
      <c r="L16" s="51">
        <v>44</v>
      </c>
      <c r="M16" s="51">
        <f t="shared" si="5"/>
        <v>0.15909090909090909</v>
      </c>
      <c r="N16" s="51">
        <v>159</v>
      </c>
      <c r="O16" s="51">
        <f t="shared" ref="O16:P16" si="24">D16/7</f>
        <v>1</v>
      </c>
      <c r="P16" s="51">
        <f t="shared" si="24"/>
        <v>0</v>
      </c>
      <c r="Q16" s="51">
        <f t="shared" si="7"/>
        <v>159</v>
      </c>
      <c r="R16" s="55">
        <v>300</v>
      </c>
      <c r="S16" s="53" t="s">
        <v>34</v>
      </c>
      <c r="T16" s="54" t="s">
        <v>34</v>
      </c>
      <c r="U16" s="55">
        <v>1</v>
      </c>
      <c r="V16" s="55">
        <f t="shared" si="8"/>
        <v>0.14285714285714285</v>
      </c>
      <c r="W16" s="55">
        <f t="shared" si="9"/>
        <v>3.3842857142857143</v>
      </c>
      <c r="X16" s="55">
        <v>6</v>
      </c>
      <c r="Y16" s="55" t="s">
        <v>35</v>
      </c>
      <c r="Z16" s="56">
        <f t="shared" si="19"/>
        <v>-0.75</v>
      </c>
      <c r="AA16" s="55">
        <v>0.169936</v>
      </c>
      <c r="AB16" s="55">
        <f t="shared" si="11"/>
        <v>-5.066217</v>
      </c>
      <c r="AC16" s="55">
        <v>-7.32</v>
      </c>
      <c r="AD16" s="55">
        <v>-4.102027435897436</v>
      </c>
      <c r="AE16" s="55">
        <v>0</v>
      </c>
      <c r="AF16" s="55"/>
    </row>
    <row r="17" spans="1:32" s="57" customFormat="1" ht="15.75" customHeight="1">
      <c r="A17" s="2" t="s">
        <v>67</v>
      </c>
      <c r="B17" s="2" t="s">
        <v>971</v>
      </c>
      <c r="C17" s="51">
        <v>14.99</v>
      </c>
      <c r="D17" s="51">
        <v>8</v>
      </c>
      <c r="E17" s="51">
        <v>0</v>
      </c>
      <c r="F17" s="51">
        <v>112.99000000000001</v>
      </c>
      <c r="G17" s="51">
        <v>0</v>
      </c>
      <c r="H17" s="51">
        <f t="shared" si="1"/>
        <v>0</v>
      </c>
      <c r="I17" s="51">
        <f t="shared" si="2"/>
        <v>-2.4204308981280753E-3</v>
      </c>
      <c r="J17" s="51">
        <f t="shared" si="4"/>
        <v>-0.27348448717949125</v>
      </c>
      <c r="K17" s="51">
        <f t="shared" si="3"/>
        <v>-3.4185560897436407E-2</v>
      </c>
      <c r="L17" s="51">
        <v>30</v>
      </c>
      <c r="M17" s="51">
        <f t="shared" si="5"/>
        <v>0.26666666666666666</v>
      </c>
      <c r="N17" s="51">
        <v>155</v>
      </c>
      <c r="O17" s="51">
        <f t="shared" ref="O17:P17" si="25">D17/7</f>
        <v>1.1428571428571428</v>
      </c>
      <c r="P17" s="51">
        <f t="shared" si="25"/>
        <v>0</v>
      </c>
      <c r="Q17" s="51">
        <f t="shared" si="7"/>
        <v>135</v>
      </c>
      <c r="R17" s="55">
        <v>300</v>
      </c>
      <c r="S17" s="53" t="s">
        <v>34</v>
      </c>
      <c r="T17" s="54" t="s">
        <v>34</v>
      </c>
      <c r="U17" s="55">
        <v>0</v>
      </c>
      <c r="V17" s="55">
        <f t="shared" si="8"/>
        <v>0</v>
      </c>
      <c r="W17" s="55">
        <f t="shared" si="9"/>
        <v>0</v>
      </c>
      <c r="X17" s="55">
        <v>0</v>
      </c>
      <c r="Y17" s="55" t="s">
        <v>35</v>
      </c>
      <c r="Z17" s="56">
        <f t="shared" si="19"/>
        <v>-0.75</v>
      </c>
      <c r="AA17" s="55">
        <v>0.169936</v>
      </c>
      <c r="AB17" s="55">
        <f t="shared" si="11"/>
        <v>-4.9387650000000001</v>
      </c>
      <c r="AC17" s="55">
        <v>-7.32</v>
      </c>
      <c r="AD17" s="55">
        <v>-4.102027435897436</v>
      </c>
      <c r="AE17" s="55">
        <v>0</v>
      </c>
      <c r="AF17" s="55"/>
    </row>
    <row r="18" spans="1:32" s="57" customFormat="1" ht="15.75" customHeight="1">
      <c r="A18" s="2" t="s">
        <v>69</v>
      </c>
      <c r="B18" s="2" t="s">
        <v>972</v>
      </c>
      <c r="C18" s="51">
        <v>14.99</v>
      </c>
      <c r="D18" s="51">
        <v>5</v>
      </c>
      <c r="E18" s="51">
        <v>0</v>
      </c>
      <c r="F18" s="51">
        <v>70</v>
      </c>
      <c r="G18" s="51">
        <v>-0.16</v>
      </c>
      <c r="H18" s="51">
        <f t="shared" si="1"/>
        <v>2.2857142857142859E-3</v>
      </c>
      <c r="I18" s="51">
        <f t="shared" si="2"/>
        <v>4.5440402930402969E-3</v>
      </c>
      <c r="J18" s="51">
        <f t="shared" si="4"/>
        <v>0.31808282051282077</v>
      </c>
      <c r="K18" s="51">
        <f t="shared" si="3"/>
        <v>6.3616564102564152E-2</v>
      </c>
      <c r="L18" s="51">
        <v>51</v>
      </c>
      <c r="M18" s="51">
        <f t="shared" si="5"/>
        <v>9.8039215686274508E-2</v>
      </c>
      <c r="N18" s="51">
        <v>134</v>
      </c>
      <c r="O18" s="51">
        <f t="shared" ref="O18:P18" si="26">D18/7</f>
        <v>0.7142857142857143</v>
      </c>
      <c r="P18" s="51">
        <f t="shared" si="26"/>
        <v>0</v>
      </c>
      <c r="Q18" s="51">
        <f t="shared" si="7"/>
        <v>187</v>
      </c>
      <c r="R18" s="55">
        <v>300</v>
      </c>
      <c r="S18" s="53" t="s">
        <v>34</v>
      </c>
      <c r="T18" s="54" t="s">
        <v>34</v>
      </c>
      <c r="U18" s="55">
        <v>1</v>
      </c>
      <c r="V18" s="55">
        <f t="shared" si="8"/>
        <v>0.2</v>
      </c>
      <c r="W18" s="55">
        <f t="shared" si="9"/>
        <v>0.16</v>
      </c>
      <c r="X18" s="55">
        <v>0</v>
      </c>
      <c r="Y18" s="55" t="s">
        <v>35</v>
      </c>
      <c r="Z18" s="56">
        <f t="shared" si="19"/>
        <v>-0.75</v>
      </c>
      <c r="AA18" s="55">
        <v>0.169936</v>
      </c>
      <c r="AB18" s="58">
        <f t="shared" ref="AB18:AB39" si="27">IFERROR(Z18*AA18*D18*3,0)</f>
        <v>-1.9117800000000003</v>
      </c>
      <c r="AC18" s="55">
        <v>-7.32</v>
      </c>
      <c r="AD18" s="55">
        <v>-4.102027435897436</v>
      </c>
      <c r="AE18" s="55">
        <v>0</v>
      </c>
      <c r="AF18" s="55"/>
    </row>
    <row r="19" spans="1:32" s="57" customFormat="1" ht="15.75" customHeight="1">
      <c r="A19" s="2" t="s">
        <v>71</v>
      </c>
      <c r="B19" s="2" t="s">
        <v>965</v>
      </c>
      <c r="C19" s="51">
        <v>14</v>
      </c>
      <c r="D19" s="51">
        <v>52</v>
      </c>
      <c r="E19" s="51">
        <v>0</v>
      </c>
      <c r="F19" s="51">
        <v>750.79000000000019</v>
      </c>
      <c r="G19" s="51">
        <v>-0.13</v>
      </c>
      <c r="H19" s="51">
        <f t="shared" si="1"/>
        <v>1.7315094766845584E-4</v>
      </c>
      <c r="I19" s="51">
        <f t="shared" si="2"/>
        <v>3.225077762534595E-2</v>
      </c>
      <c r="J19" s="51">
        <f t="shared" si="4"/>
        <v>24.213561333333494</v>
      </c>
      <c r="K19" s="51">
        <f t="shared" si="3"/>
        <v>0.46564541025641337</v>
      </c>
      <c r="L19" s="51">
        <v>108</v>
      </c>
      <c r="M19" s="51">
        <f t="shared" si="5"/>
        <v>0.48148148148148145</v>
      </c>
      <c r="N19" s="51">
        <v>99</v>
      </c>
      <c r="O19" s="51">
        <f t="shared" ref="O19:P19" si="28">D19/7</f>
        <v>7.4285714285714288</v>
      </c>
      <c r="P19" s="51">
        <f t="shared" si="28"/>
        <v>0</v>
      </c>
      <c r="Q19" s="51">
        <f t="shared" si="7"/>
        <v>13</v>
      </c>
      <c r="R19" s="55">
        <v>400</v>
      </c>
      <c r="S19" s="53">
        <v>100</v>
      </c>
      <c r="T19" s="54">
        <v>43990</v>
      </c>
      <c r="U19" s="55">
        <v>0</v>
      </c>
      <c r="V19" s="55">
        <f t="shared" si="8"/>
        <v>0</v>
      </c>
      <c r="W19" s="55">
        <f t="shared" si="9"/>
        <v>0</v>
      </c>
      <c r="X19" s="55">
        <v>0</v>
      </c>
      <c r="Y19" s="55" t="s">
        <v>35</v>
      </c>
      <c r="Z19" s="56">
        <f t="shared" si="19"/>
        <v>-0.75</v>
      </c>
      <c r="AA19" s="55">
        <v>0.169936</v>
      </c>
      <c r="AB19" s="55">
        <f t="shared" si="27"/>
        <v>-19.882511999999998</v>
      </c>
      <c r="AC19" s="55">
        <v>-7.32</v>
      </c>
      <c r="AD19" s="55">
        <v>-4.102027435897436</v>
      </c>
      <c r="AE19" s="55">
        <v>0</v>
      </c>
      <c r="AF19" s="55"/>
    </row>
    <row r="20" spans="1:32" s="57" customFormat="1" ht="15.75" customHeight="1">
      <c r="A20" s="2" t="s">
        <v>73</v>
      </c>
      <c r="B20" s="2" t="s">
        <v>944</v>
      </c>
      <c r="C20" s="51">
        <v>16</v>
      </c>
      <c r="D20" s="51">
        <v>72</v>
      </c>
      <c r="E20" s="51">
        <v>0</v>
      </c>
      <c r="F20" s="51">
        <v>1054.81</v>
      </c>
      <c r="G20" s="51">
        <v>-0.08</v>
      </c>
      <c r="H20" s="51">
        <f t="shared" si="1"/>
        <v>7.5843042822878055E-5</v>
      </c>
      <c r="I20" s="51">
        <f t="shared" si="2"/>
        <v>4.417183437337964E-2</v>
      </c>
      <c r="J20" s="51">
        <f t="shared" si="4"/>
        <v>46.592892615384578</v>
      </c>
      <c r="K20" s="51">
        <f t="shared" si="3"/>
        <v>0.64712350854700806</v>
      </c>
      <c r="L20" s="51">
        <v>237</v>
      </c>
      <c r="M20" s="51">
        <f t="shared" si="5"/>
        <v>0.30379746835443039</v>
      </c>
      <c r="N20" s="51">
        <v>12</v>
      </c>
      <c r="O20" s="51">
        <f t="shared" ref="O20:P20" si="29">D20/7</f>
        <v>10.285714285714286</v>
      </c>
      <c r="P20" s="51">
        <f t="shared" si="29"/>
        <v>0</v>
      </c>
      <c r="Q20" s="51">
        <f t="shared" si="7"/>
        <v>1</v>
      </c>
      <c r="R20" s="55">
        <v>300</v>
      </c>
      <c r="S20" s="53">
        <v>100</v>
      </c>
      <c r="T20" s="54">
        <v>43990</v>
      </c>
      <c r="U20" s="55">
        <v>0</v>
      </c>
      <c r="V20" s="55">
        <f t="shared" si="8"/>
        <v>0</v>
      </c>
      <c r="W20" s="55">
        <f t="shared" si="9"/>
        <v>0</v>
      </c>
      <c r="X20" s="55">
        <v>0</v>
      </c>
      <c r="Y20" s="55" t="s">
        <v>35</v>
      </c>
      <c r="Z20" s="56">
        <f t="shared" si="19"/>
        <v>-0.75</v>
      </c>
      <c r="AA20" s="55">
        <v>0.169936</v>
      </c>
      <c r="AB20" s="55">
        <f t="shared" si="27"/>
        <v>-27.529631999999999</v>
      </c>
      <c r="AC20" s="55">
        <v>-7.32</v>
      </c>
      <c r="AD20" s="55">
        <v>-4.102027435897436</v>
      </c>
      <c r="AE20" s="55">
        <v>0</v>
      </c>
      <c r="AF20" s="55"/>
    </row>
    <row r="21" spans="1:32" s="57" customFormat="1" ht="15.75" customHeight="1">
      <c r="A21" s="2" t="s">
        <v>75</v>
      </c>
      <c r="B21" s="2"/>
      <c r="C21" s="51">
        <v>16</v>
      </c>
      <c r="D21" s="51">
        <v>24</v>
      </c>
      <c r="E21" s="51">
        <v>0</v>
      </c>
      <c r="F21" s="51">
        <v>358.90000000000009</v>
      </c>
      <c r="G21" s="51">
        <v>0</v>
      </c>
      <c r="H21" s="51">
        <f t="shared" si="1"/>
        <v>0</v>
      </c>
      <c r="I21" s="51">
        <f t="shared" si="2"/>
        <v>6.0629137749962619E-2</v>
      </c>
      <c r="J21" s="51">
        <f t="shared" si="4"/>
        <v>21.759797538461591</v>
      </c>
      <c r="K21" s="51">
        <f t="shared" si="3"/>
        <v>0.90665823076923291</v>
      </c>
      <c r="L21" s="51">
        <v>3</v>
      </c>
      <c r="M21" s="51">
        <f t="shared" si="5"/>
        <v>8</v>
      </c>
      <c r="N21" s="51">
        <v>2</v>
      </c>
      <c r="O21" s="51">
        <f t="shared" ref="O21:P21" si="30">D21/7</f>
        <v>3.4285714285714284</v>
      </c>
      <c r="P21" s="51">
        <f t="shared" si="30"/>
        <v>0</v>
      </c>
      <c r="Q21" s="51">
        <f t="shared" si="7"/>
        <v>0</v>
      </c>
      <c r="R21" s="55">
        <v>300</v>
      </c>
      <c r="S21" s="53">
        <v>100</v>
      </c>
      <c r="T21" s="54">
        <v>43990</v>
      </c>
      <c r="U21" s="55">
        <v>0</v>
      </c>
      <c r="V21" s="55">
        <f t="shared" si="8"/>
        <v>0</v>
      </c>
      <c r="W21" s="55">
        <f t="shared" si="9"/>
        <v>0</v>
      </c>
      <c r="X21" s="55">
        <v>0</v>
      </c>
      <c r="Y21" s="55" t="s">
        <v>35</v>
      </c>
      <c r="Z21" s="56">
        <f t="shared" si="19"/>
        <v>-0.75</v>
      </c>
      <c r="AA21" s="55">
        <v>0.169936</v>
      </c>
      <c r="AB21" s="55">
        <f t="shared" si="27"/>
        <v>-9.1765439999999998</v>
      </c>
      <c r="AC21" s="55">
        <v>-7.32</v>
      </c>
      <c r="AD21" s="55">
        <v>-4.102027435897436</v>
      </c>
      <c r="AE21" s="55">
        <v>0</v>
      </c>
      <c r="AF21" s="55"/>
    </row>
    <row r="22" spans="1:32" s="57" customFormat="1" ht="15.75" customHeight="1">
      <c r="A22" s="2" t="s">
        <v>77</v>
      </c>
      <c r="B22" s="2"/>
      <c r="C22" s="51">
        <v>16</v>
      </c>
      <c r="D22" s="51">
        <v>4</v>
      </c>
      <c r="E22" s="51">
        <v>0</v>
      </c>
      <c r="F22" s="51">
        <v>59.980000000000004</v>
      </c>
      <c r="G22" s="51">
        <v>0</v>
      </c>
      <c r="H22" s="51">
        <f t="shared" si="1"/>
        <v>0</v>
      </c>
      <c r="I22" s="51">
        <f t="shared" si="2"/>
        <v>6.2778697172561765E-2</v>
      </c>
      <c r="J22" s="51">
        <f t="shared" si="4"/>
        <v>3.7654662564102552</v>
      </c>
      <c r="K22" s="51">
        <f t="shared" si="3"/>
        <v>0.94136656410256381</v>
      </c>
      <c r="L22" s="51">
        <v>2</v>
      </c>
      <c r="M22" s="51">
        <f t="shared" si="5"/>
        <v>2</v>
      </c>
      <c r="N22" s="51">
        <v>2</v>
      </c>
      <c r="O22" s="51">
        <f t="shared" ref="O22:P22" si="31">D22/7</f>
        <v>0.5714285714285714</v>
      </c>
      <c r="P22" s="51">
        <f t="shared" si="31"/>
        <v>0</v>
      </c>
      <c r="Q22" s="51">
        <f t="shared" si="7"/>
        <v>3</v>
      </c>
      <c r="R22" s="55">
        <v>300</v>
      </c>
      <c r="S22" s="53">
        <v>100</v>
      </c>
      <c r="T22" s="54">
        <v>43992</v>
      </c>
      <c r="U22" s="55">
        <v>0</v>
      </c>
      <c r="V22" s="55">
        <f t="shared" si="8"/>
        <v>0</v>
      </c>
      <c r="W22" s="55">
        <f t="shared" si="9"/>
        <v>0</v>
      </c>
      <c r="X22" s="55">
        <v>0</v>
      </c>
      <c r="Y22" s="55" t="s">
        <v>35</v>
      </c>
      <c r="Z22" s="56">
        <f t="shared" si="19"/>
        <v>-0.75</v>
      </c>
      <c r="AA22" s="55">
        <v>0.169936</v>
      </c>
      <c r="AB22" s="55">
        <f t="shared" si="27"/>
        <v>-1.5294240000000001</v>
      </c>
      <c r="AC22" s="55">
        <v>-7.32</v>
      </c>
      <c r="AD22" s="55">
        <v>-4.102027435897436</v>
      </c>
      <c r="AE22" s="55">
        <v>0</v>
      </c>
      <c r="AF22" s="55"/>
    </row>
    <row r="23" spans="1:32" s="57" customFormat="1" ht="15.75" customHeight="1">
      <c r="A23" s="2" t="s">
        <v>79</v>
      </c>
      <c r="B23" s="2"/>
      <c r="C23" s="51">
        <v>17</v>
      </c>
      <c r="D23" s="51">
        <v>2</v>
      </c>
      <c r="E23" s="51">
        <v>0</v>
      </c>
      <c r="F23" s="51">
        <v>34</v>
      </c>
      <c r="G23" s="51">
        <v>0</v>
      </c>
      <c r="H23" s="51">
        <f t="shared" si="1"/>
        <v>0</v>
      </c>
      <c r="I23" s="51">
        <f t="shared" si="2"/>
        <v>0.15562450377073894</v>
      </c>
      <c r="J23" s="51">
        <f t="shared" si="4"/>
        <v>5.2912331282051239</v>
      </c>
      <c r="K23" s="51">
        <f t="shared" si="3"/>
        <v>2.645616564102562</v>
      </c>
      <c r="L23" s="51">
        <v>20</v>
      </c>
      <c r="M23" s="51">
        <f t="shared" si="5"/>
        <v>0.1</v>
      </c>
      <c r="N23" s="51">
        <v>0</v>
      </c>
      <c r="O23" s="51">
        <f t="shared" ref="O23:P23" si="32">D23/7</f>
        <v>0.2857142857142857</v>
      </c>
      <c r="P23" s="51">
        <f t="shared" si="32"/>
        <v>0</v>
      </c>
      <c r="Q23" s="51">
        <f t="shared" si="7"/>
        <v>0</v>
      </c>
      <c r="R23" s="55">
        <v>300</v>
      </c>
      <c r="S23" s="53">
        <v>100</v>
      </c>
      <c r="T23" s="54">
        <v>43992</v>
      </c>
      <c r="U23" s="55">
        <v>0</v>
      </c>
      <c r="V23" s="55">
        <f t="shared" si="8"/>
        <v>0</v>
      </c>
      <c r="W23" s="55">
        <f t="shared" si="9"/>
        <v>0</v>
      </c>
      <c r="X23" s="55">
        <v>0</v>
      </c>
      <c r="Y23" s="55" t="s">
        <v>35</v>
      </c>
      <c r="Z23" s="56">
        <f t="shared" si="19"/>
        <v>-0.75</v>
      </c>
      <c r="AA23" s="55">
        <v>0.169936</v>
      </c>
      <c r="AB23" s="55">
        <f t="shared" si="27"/>
        <v>-0.76471200000000006</v>
      </c>
      <c r="AC23" s="55">
        <v>-7.32</v>
      </c>
      <c r="AD23" s="55">
        <v>-4.102027435897436</v>
      </c>
      <c r="AE23" s="55">
        <v>0</v>
      </c>
      <c r="AF23" s="55"/>
    </row>
    <row r="24" spans="1:32" s="57" customFormat="1" ht="15.75" customHeight="1">
      <c r="A24" s="2" t="s">
        <v>80</v>
      </c>
      <c r="B24" s="2"/>
      <c r="C24" s="51">
        <v>17</v>
      </c>
      <c r="D24" s="51">
        <v>1</v>
      </c>
      <c r="E24" s="51">
        <v>0</v>
      </c>
      <c r="F24" s="51">
        <v>17</v>
      </c>
      <c r="G24" s="51">
        <v>0</v>
      </c>
      <c r="H24" s="51">
        <f t="shared" si="1"/>
        <v>0</v>
      </c>
      <c r="I24" s="51">
        <f t="shared" si="2"/>
        <v>0.15562450377073894</v>
      </c>
      <c r="J24" s="51">
        <f t="shared" si="4"/>
        <v>2.645616564102562</v>
      </c>
      <c r="K24" s="51">
        <f t="shared" si="3"/>
        <v>2.645616564102562</v>
      </c>
      <c r="L24" s="51">
        <v>0</v>
      </c>
      <c r="M24" s="51" t="str">
        <f t="shared" si="5"/>
        <v>-</v>
      </c>
      <c r="N24" s="51">
        <v>0</v>
      </c>
      <c r="O24" s="51">
        <f t="shared" ref="O24:P24" si="33">D24/7</f>
        <v>0.14285714285714285</v>
      </c>
      <c r="P24" s="51">
        <f t="shared" si="33"/>
        <v>0</v>
      </c>
      <c r="Q24" s="51">
        <f t="shared" si="7"/>
        <v>0</v>
      </c>
      <c r="R24" s="55">
        <v>300</v>
      </c>
      <c r="S24" s="53">
        <v>100</v>
      </c>
      <c r="T24" s="54">
        <v>43992</v>
      </c>
      <c r="U24" s="55">
        <v>0</v>
      </c>
      <c r="V24" s="55">
        <f t="shared" si="8"/>
        <v>0</v>
      </c>
      <c r="W24" s="55">
        <f t="shared" si="9"/>
        <v>0</v>
      </c>
      <c r="X24" s="55">
        <v>0</v>
      </c>
      <c r="Y24" s="55" t="s">
        <v>35</v>
      </c>
      <c r="Z24" s="56">
        <f t="shared" si="19"/>
        <v>-0.75</v>
      </c>
      <c r="AA24" s="55">
        <v>0.169936</v>
      </c>
      <c r="AB24" s="55">
        <f t="shared" si="27"/>
        <v>-0.38235600000000003</v>
      </c>
      <c r="AC24" s="55">
        <v>-7.32</v>
      </c>
      <c r="AD24" s="55">
        <v>-4.102027435897436</v>
      </c>
      <c r="AE24" s="55">
        <v>0</v>
      </c>
      <c r="AF24" s="55"/>
    </row>
    <row r="25" spans="1:32" s="57" customFormat="1" ht="15.75" customHeight="1">
      <c r="A25" s="2" t="s">
        <v>81</v>
      </c>
      <c r="B25" s="2"/>
      <c r="C25" s="51"/>
      <c r="D25" s="51">
        <v>0</v>
      </c>
      <c r="E25" s="51">
        <v>0</v>
      </c>
      <c r="F25" s="51">
        <v>0</v>
      </c>
      <c r="G25" s="51">
        <v>0</v>
      </c>
      <c r="H25" s="51" t="e">
        <f t="shared" si="1"/>
        <v>#DIV/0!</v>
      </c>
      <c r="I25" s="51" t="e">
        <f t="shared" si="2"/>
        <v>#DIV/0!</v>
      </c>
      <c r="J25" s="51">
        <f t="shared" si="4"/>
        <v>0</v>
      </c>
      <c r="K25" s="51" t="e">
        <f t="shared" si="3"/>
        <v>#DIV/0!</v>
      </c>
      <c r="L25" s="51">
        <v>0</v>
      </c>
      <c r="M25" s="51" t="str">
        <f t="shared" si="5"/>
        <v>-</v>
      </c>
      <c r="N25" s="51">
        <v>0</v>
      </c>
      <c r="O25" s="51">
        <f t="shared" ref="O25:P25" si="34">D25/7</f>
        <v>0</v>
      </c>
      <c r="P25" s="51">
        <f t="shared" si="34"/>
        <v>0</v>
      </c>
      <c r="Q25" s="51" t="e">
        <f t="shared" si="7"/>
        <v>#DIV/0!</v>
      </c>
      <c r="R25" s="55">
        <v>300</v>
      </c>
      <c r="S25" s="53">
        <v>100</v>
      </c>
      <c r="T25" s="54">
        <v>43990</v>
      </c>
      <c r="U25" s="55">
        <v>0</v>
      </c>
      <c r="V25" s="55">
        <f t="shared" si="8"/>
        <v>0</v>
      </c>
      <c r="W25" s="55">
        <f t="shared" si="9"/>
        <v>0</v>
      </c>
      <c r="X25" s="55">
        <v>0</v>
      </c>
      <c r="Y25" s="55" t="e">
        <v>#N/A</v>
      </c>
      <c r="Z25" s="56" t="e">
        <f t="shared" si="19"/>
        <v>#N/A</v>
      </c>
      <c r="AA25" s="55" t="e">
        <v>#N/A</v>
      </c>
      <c r="AB25" s="55">
        <f t="shared" si="27"/>
        <v>0</v>
      </c>
      <c r="AC25" s="55">
        <v>0</v>
      </c>
      <c r="AD25" s="55">
        <v>-4.102027435897436</v>
      </c>
      <c r="AE25" s="55">
        <v>0</v>
      </c>
      <c r="AF25" s="55"/>
    </row>
    <row r="26" spans="1:32" s="57" customFormat="1" ht="15.75" customHeight="1">
      <c r="A26" s="2" t="s">
        <v>83</v>
      </c>
      <c r="B26" s="2"/>
      <c r="C26" s="51" t="str">
        <f t="shared" ref="C26:C39" si="35">IFERROR(F26/D26," - ")</f>
        <v xml:space="preserve"> - </v>
      </c>
      <c r="D26" s="51">
        <v>0</v>
      </c>
      <c r="E26" s="51">
        <v>0</v>
      </c>
      <c r="F26" s="51">
        <v>0</v>
      </c>
      <c r="G26" s="51">
        <v>0</v>
      </c>
      <c r="H26" s="51" t="e">
        <f t="shared" si="1"/>
        <v>#DIV/0!</v>
      </c>
      <c r="I26" s="51" t="e">
        <f t="shared" si="2"/>
        <v>#DIV/0!</v>
      </c>
      <c r="J26" s="51">
        <f t="shared" si="4"/>
        <v>0</v>
      </c>
      <c r="K26" s="51" t="e">
        <f t="shared" si="3"/>
        <v>#DIV/0!</v>
      </c>
      <c r="L26" s="51">
        <v>0</v>
      </c>
      <c r="M26" s="51" t="str">
        <f t="shared" si="5"/>
        <v>-</v>
      </c>
      <c r="N26" s="51">
        <v>0</v>
      </c>
      <c r="O26" s="51">
        <f t="shared" ref="O26:P26" si="36">D26/7</f>
        <v>0</v>
      </c>
      <c r="P26" s="51">
        <f t="shared" si="36"/>
        <v>0</v>
      </c>
      <c r="Q26" s="51" t="e">
        <f t="shared" si="7"/>
        <v>#DIV/0!</v>
      </c>
      <c r="R26" s="55">
        <v>300</v>
      </c>
      <c r="S26" s="53">
        <v>100</v>
      </c>
      <c r="T26" s="54">
        <v>43990</v>
      </c>
      <c r="U26" s="55">
        <v>0</v>
      </c>
      <c r="V26" s="55">
        <f t="shared" si="8"/>
        <v>0</v>
      </c>
      <c r="W26" s="55">
        <f t="shared" si="9"/>
        <v>0</v>
      </c>
      <c r="X26" s="55">
        <v>0</v>
      </c>
      <c r="Y26" s="55" t="e">
        <v>#N/A</v>
      </c>
      <c r="Z26" s="56" t="e">
        <f t="shared" si="19"/>
        <v>#N/A</v>
      </c>
      <c r="AA26" s="55" t="e">
        <v>#N/A</v>
      </c>
      <c r="AB26" s="55">
        <f t="shared" si="27"/>
        <v>0</v>
      </c>
      <c r="AC26" s="55">
        <v>0</v>
      </c>
      <c r="AD26" s="55">
        <v>-4.102027435897436</v>
      </c>
      <c r="AE26" s="55">
        <v>0</v>
      </c>
      <c r="AF26" s="55"/>
    </row>
    <row r="27" spans="1:32" s="57" customFormat="1" ht="15.75" customHeight="1">
      <c r="A27" s="2" t="s">
        <v>84</v>
      </c>
      <c r="B27" s="2" t="s">
        <v>973</v>
      </c>
      <c r="C27" s="51" t="str">
        <f t="shared" si="35"/>
        <v xml:space="preserve"> - </v>
      </c>
      <c r="D27" s="51">
        <v>0</v>
      </c>
      <c r="E27" s="51">
        <v>0</v>
      </c>
      <c r="F27" s="51">
        <v>0</v>
      </c>
      <c r="G27" s="51">
        <v>-0.30000000000000004</v>
      </c>
      <c r="H27" s="51" t="e">
        <f t="shared" si="1"/>
        <v>#DIV/0!</v>
      </c>
      <c r="I27" s="51" t="e">
        <f t="shared" si="2"/>
        <v>#DIV/0!</v>
      </c>
      <c r="J27" s="51">
        <f t="shared" si="4"/>
        <v>-0.30000000000000004</v>
      </c>
      <c r="K27" s="51" t="e">
        <f t="shared" si="3"/>
        <v>#DIV/0!</v>
      </c>
      <c r="L27" s="51">
        <v>7</v>
      </c>
      <c r="M27" s="51">
        <f t="shared" si="5"/>
        <v>0</v>
      </c>
      <c r="N27" s="51">
        <v>93</v>
      </c>
      <c r="O27" s="51">
        <f t="shared" ref="O27:P27" si="37">D27/7</f>
        <v>0</v>
      </c>
      <c r="P27" s="51">
        <f t="shared" si="37"/>
        <v>0</v>
      </c>
      <c r="Q27" s="51" t="e">
        <f t="shared" si="7"/>
        <v>#DIV/0!</v>
      </c>
      <c r="R27" s="55">
        <v>200</v>
      </c>
      <c r="S27" s="53" t="s">
        <v>34</v>
      </c>
      <c r="T27" s="54" t="s">
        <v>34</v>
      </c>
      <c r="U27" s="55">
        <v>0</v>
      </c>
      <c r="V27" s="55">
        <f t="shared" si="8"/>
        <v>0</v>
      </c>
      <c r="W27" s="55">
        <f t="shared" si="9"/>
        <v>0.15000000000000002</v>
      </c>
      <c r="X27" s="55">
        <v>2</v>
      </c>
      <c r="Y27" s="55" t="s">
        <v>35</v>
      </c>
      <c r="Z27" s="56">
        <f t="shared" si="19"/>
        <v>-0.75</v>
      </c>
      <c r="AA27" s="55">
        <v>0.169936</v>
      </c>
      <c r="AB27" s="55">
        <f t="shared" si="27"/>
        <v>0</v>
      </c>
      <c r="AC27" s="55">
        <v>-7.32</v>
      </c>
      <c r="AD27" s="55">
        <v>-4.102027435897436</v>
      </c>
      <c r="AE27" s="55">
        <v>0</v>
      </c>
      <c r="AF27" s="55"/>
    </row>
    <row r="28" spans="1:32" s="57" customFormat="1" ht="15.75" customHeight="1">
      <c r="A28" s="2" t="s">
        <v>86</v>
      </c>
      <c r="B28" s="2" t="s">
        <v>921</v>
      </c>
      <c r="C28" s="51">
        <f t="shared" si="35"/>
        <v>16.998421052631581</v>
      </c>
      <c r="D28" s="51">
        <v>38</v>
      </c>
      <c r="E28" s="51">
        <v>0</v>
      </c>
      <c r="F28" s="51">
        <v>645.94000000000005</v>
      </c>
      <c r="G28" s="51">
        <v>-3.7600000000000002</v>
      </c>
      <c r="H28" s="51">
        <f t="shared" si="1"/>
        <v>5.8209740842802733E-3</v>
      </c>
      <c r="I28" s="51">
        <f t="shared" si="2"/>
        <v>0.14973903061568783</v>
      </c>
      <c r="J28" s="51">
        <f t="shared" si="4"/>
        <v>96.722429435897396</v>
      </c>
      <c r="K28" s="51">
        <f t="shared" si="3"/>
        <v>2.5453270904183527</v>
      </c>
      <c r="L28" s="51">
        <v>228</v>
      </c>
      <c r="M28" s="51">
        <f t="shared" si="5"/>
        <v>0.16666666666666666</v>
      </c>
      <c r="N28" s="51">
        <v>9</v>
      </c>
      <c r="O28" s="51">
        <f t="shared" ref="O28:P28" si="38">D28/7</f>
        <v>5.4285714285714288</v>
      </c>
      <c r="P28" s="51">
        <f t="shared" si="38"/>
        <v>0</v>
      </c>
      <c r="Q28" s="51">
        <f t="shared" si="7"/>
        <v>1</v>
      </c>
      <c r="R28" s="55">
        <v>200</v>
      </c>
      <c r="S28" s="53" t="s">
        <v>34</v>
      </c>
      <c r="T28" s="54" t="s">
        <v>34</v>
      </c>
      <c r="U28" s="55">
        <v>2</v>
      </c>
      <c r="V28" s="55">
        <f t="shared" si="8"/>
        <v>5.2631578947368418E-2</v>
      </c>
      <c r="W28" s="55">
        <f t="shared" si="9"/>
        <v>1.2533333333333334</v>
      </c>
      <c r="X28" s="55">
        <v>1</v>
      </c>
      <c r="Y28" s="55" t="s">
        <v>35</v>
      </c>
      <c r="Z28" s="56">
        <f t="shared" si="19"/>
        <v>-0.75</v>
      </c>
      <c r="AA28" s="55">
        <v>0.169936</v>
      </c>
      <c r="AB28" s="55">
        <f t="shared" si="27"/>
        <v>-14.529528000000003</v>
      </c>
      <c r="AC28" s="55">
        <v>-7.32</v>
      </c>
      <c r="AD28" s="55">
        <v>-4.102027435897436</v>
      </c>
      <c r="AE28" s="55">
        <v>0</v>
      </c>
      <c r="AF28" s="55"/>
    </row>
    <row r="29" spans="1:32" s="57" customFormat="1" ht="15.75" customHeight="1">
      <c r="A29" s="2" t="s">
        <v>87</v>
      </c>
      <c r="B29" s="2"/>
      <c r="C29" s="51">
        <f t="shared" si="35"/>
        <v>17.382156862745106</v>
      </c>
      <c r="D29" s="51">
        <v>51</v>
      </c>
      <c r="E29" s="51">
        <v>0</v>
      </c>
      <c r="F29" s="51">
        <v>886.49000000000035</v>
      </c>
      <c r="G29" s="51">
        <v>-1.35</v>
      </c>
      <c r="H29" s="51">
        <f t="shared" si="1"/>
        <v>1.522859817933648E-3</v>
      </c>
      <c r="I29" s="51">
        <f t="shared" si="2"/>
        <v>0.16936789447058731</v>
      </c>
      <c r="J29" s="51">
        <f t="shared" si="4"/>
        <v>150.14294476923101</v>
      </c>
      <c r="K29" s="51">
        <f t="shared" si="3"/>
        <v>2.9439793092006079</v>
      </c>
      <c r="L29" s="51">
        <v>125</v>
      </c>
      <c r="M29" s="51">
        <f t="shared" si="5"/>
        <v>0.40799999999999997</v>
      </c>
      <c r="N29" s="51">
        <v>2</v>
      </c>
      <c r="O29" s="51">
        <f t="shared" ref="O29:P29" si="39">D29/7</f>
        <v>7.2857142857142856</v>
      </c>
      <c r="P29" s="51">
        <f t="shared" si="39"/>
        <v>0</v>
      </c>
      <c r="Q29" s="51">
        <f t="shared" si="7"/>
        <v>0</v>
      </c>
      <c r="R29" s="55">
        <v>200</v>
      </c>
      <c r="S29" s="53" t="s">
        <v>34</v>
      </c>
      <c r="T29" s="54" t="s">
        <v>34</v>
      </c>
      <c r="U29" s="55">
        <v>1</v>
      </c>
      <c r="V29" s="55">
        <f t="shared" si="8"/>
        <v>1.9607843137254902E-2</v>
      </c>
      <c r="W29" s="55">
        <f t="shared" si="9"/>
        <v>0.67500000000000004</v>
      </c>
      <c r="X29" s="55">
        <v>1</v>
      </c>
      <c r="Y29" s="55" t="s">
        <v>35</v>
      </c>
      <c r="Z29" s="56">
        <f t="shared" si="19"/>
        <v>-0.75</v>
      </c>
      <c r="AA29" s="55">
        <v>0.169936</v>
      </c>
      <c r="AB29" s="55">
        <f t="shared" si="27"/>
        <v>-19.500156</v>
      </c>
      <c r="AC29" s="55">
        <v>-7.32</v>
      </c>
      <c r="AD29" s="55">
        <v>-4.102027435897436</v>
      </c>
      <c r="AE29" s="55">
        <v>0</v>
      </c>
      <c r="AF29" s="55"/>
    </row>
    <row r="30" spans="1:32" s="57" customFormat="1" ht="15.75" customHeight="1">
      <c r="A30" s="2" t="s">
        <v>89</v>
      </c>
      <c r="B30" s="2"/>
      <c r="C30" s="51">
        <f t="shared" si="35"/>
        <v>17.493333333333329</v>
      </c>
      <c r="D30" s="51">
        <v>6</v>
      </c>
      <c r="E30" s="51">
        <v>0</v>
      </c>
      <c r="F30" s="51">
        <v>104.95999999999998</v>
      </c>
      <c r="G30" s="51">
        <v>0</v>
      </c>
      <c r="H30" s="51">
        <f t="shared" si="1"/>
        <v>0</v>
      </c>
      <c r="I30" s="51">
        <f t="shared" si="2"/>
        <v>0.17520673956378968</v>
      </c>
      <c r="J30" s="51">
        <f t="shared" si="4"/>
        <v>18.389699384615362</v>
      </c>
      <c r="K30" s="51">
        <f t="shared" si="3"/>
        <v>3.0649498974358935</v>
      </c>
      <c r="L30" s="51">
        <v>0</v>
      </c>
      <c r="M30" s="51" t="str">
        <f t="shared" si="5"/>
        <v>-</v>
      </c>
      <c r="N30" s="51">
        <v>0</v>
      </c>
      <c r="O30" s="51">
        <f t="shared" ref="O30:P30" si="40">D30/7</f>
        <v>0.8571428571428571</v>
      </c>
      <c r="P30" s="51">
        <f t="shared" si="40"/>
        <v>0</v>
      </c>
      <c r="Q30" s="51">
        <f t="shared" si="7"/>
        <v>0</v>
      </c>
      <c r="R30" s="55">
        <v>300</v>
      </c>
      <c r="S30" s="53">
        <v>100</v>
      </c>
      <c r="T30" s="54">
        <v>44058</v>
      </c>
      <c r="U30" s="55">
        <v>0</v>
      </c>
      <c r="V30" s="55">
        <f t="shared" si="8"/>
        <v>0</v>
      </c>
      <c r="W30" s="55">
        <f t="shared" si="9"/>
        <v>0</v>
      </c>
      <c r="X30" s="55">
        <v>0</v>
      </c>
      <c r="Y30" s="55" t="s">
        <v>35</v>
      </c>
      <c r="Z30" s="56">
        <f t="shared" si="19"/>
        <v>-0.75</v>
      </c>
      <c r="AA30" s="55">
        <v>0.169936</v>
      </c>
      <c r="AB30" s="55">
        <f t="shared" si="27"/>
        <v>-2.294136</v>
      </c>
      <c r="AC30" s="55">
        <v>-7.32</v>
      </c>
      <c r="AD30" s="55">
        <v>-4.102027435897436</v>
      </c>
      <c r="AE30" s="55">
        <v>0</v>
      </c>
      <c r="AF30" s="55"/>
    </row>
    <row r="31" spans="1:32" s="57" customFormat="1" ht="15.75" customHeight="1">
      <c r="A31" s="2" t="s">
        <v>90</v>
      </c>
      <c r="B31" s="2"/>
      <c r="C31" s="51">
        <f t="shared" si="35"/>
        <v>17.989999999999998</v>
      </c>
      <c r="D31" s="51">
        <v>1</v>
      </c>
      <c r="E31" s="51">
        <v>0</v>
      </c>
      <c r="F31" s="51">
        <v>17.989999999999998</v>
      </c>
      <c r="G31" s="51">
        <v>0</v>
      </c>
      <c r="H31" s="51">
        <f t="shared" si="1"/>
        <v>0</v>
      </c>
      <c r="I31" s="51">
        <f t="shared" si="2"/>
        <v>0.19383638488619023</v>
      </c>
      <c r="J31" s="51">
        <f t="shared" si="4"/>
        <v>3.4871165641025619</v>
      </c>
      <c r="K31" s="51">
        <f t="shared" si="3"/>
        <v>3.4871165641025619</v>
      </c>
      <c r="L31" s="51">
        <v>0</v>
      </c>
      <c r="M31" s="51" t="str">
        <f t="shared" si="5"/>
        <v>-</v>
      </c>
      <c r="N31" s="51">
        <v>0</v>
      </c>
      <c r="O31" s="51">
        <f t="shared" ref="O31:P31" si="41">D31/7</f>
        <v>0.14285714285714285</v>
      </c>
      <c r="P31" s="51">
        <f t="shared" si="41"/>
        <v>0</v>
      </c>
      <c r="Q31" s="51">
        <f t="shared" si="7"/>
        <v>0</v>
      </c>
      <c r="R31" s="55">
        <v>200</v>
      </c>
      <c r="S31" s="53">
        <v>100</v>
      </c>
      <c r="T31" s="54">
        <v>44058</v>
      </c>
      <c r="U31" s="55">
        <v>0</v>
      </c>
      <c r="V31" s="55">
        <f t="shared" si="8"/>
        <v>0</v>
      </c>
      <c r="W31" s="55">
        <f t="shared" si="9"/>
        <v>0</v>
      </c>
      <c r="X31" s="55">
        <v>0</v>
      </c>
      <c r="Y31" s="55" t="s">
        <v>35</v>
      </c>
      <c r="Z31" s="56">
        <f t="shared" si="19"/>
        <v>-0.75</v>
      </c>
      <c r="AA31" s="55">
        <v>0.169936</v>
      </c>
      <c r="AB31" s="55">
        <f t="shared" si="27"/>
        <v>-0.38235600000000003</v>
      </c>
      <c r="AC31" s="55">
        <v>-7.32</v>
      </c>
      <c r="AD31" s="55">
        <v>-4.102027435897436</v>
      </c>
      <c r="AE31" s="55">
        <v>0</v>
      </c>
      <c r="AF31" s="55"/>
    </row>
    <row r="32" spans="1:32" s="57" customFormat="1" ht="15.75" customHeight="1">
      <c r="A32" s="2" t="s">
        <v>92</v>
      </c>
      <c r="B32" s="2"/>
      <c r="C32" s="51">
        <f t="shared" si="35"/>
        <v>18.989999999999998</v>
      </c>
      <c r="D32" s="51">
        <v>3</v>
      </c>
      <c r="E32" s="51">
        <v>0</v>
      </c>
      <c r="F32" s="51">
        <v>56.97</v>
      </c>
      <c r="G32" s="51">
        <v>-0.08</v>
      </c>
      <c r="H32" s="51">
        <f t="shared" si="1"/>
        <v>1.4042478497454801E-3</v>
      </c>
      <c r="I32" s="51">
        <f t="shared" si="2"/>
        <v>0.22698524999662434</v>
      </c>
      <c r="J32" s="51">
        <f t="shared" si="4"/>
        <v>12.931349692307688</v>
      </c>
      <c r="K32" s="51">
        <f t="shared" si="3"/>
        <v>4.3104498974358956</v>
      </c>
      <c r="L32" s="51">
        <v>13</v>
      </c>
      <c r="M32" s="51">
        <f t="shared" si="5"/>
        <v>0.23076923076923078</v>
      </c>
      <c r="N32" s="51">
        <v>0</v>
      </c>
      <c r="O32" s="51">
        <f t="shared" ref="O32:P32" si="42">D32/7</f>
        <v>0.42857142857142855</v>
      </c>
      <c r="P32" s="51">
        <f t="shared" si="42"/>
        <v>0</v>
      </c>
      <c r="Q32" s="51">
        <f t="shared" si="7"/>
        <v>0</v>
      </c>
      <c r="R32" s="55">
        <v>100</v>
      </c>
      <c r="S32" s="53" t="s">
        <v>34</v>
      </c>
      <c r="T32" s="54" t="s">
        <v>34</v>
      </c>
      <c r="U32" s="55">
        <v>1</v>
      </c>
      <c r="V32" s="55">
        <f t="shared" si="8"/>
        <v>0.33333333333333331</v>
      </c>
      <c r="W32" s="55">
        <f t="shared" si="9"/>
        <v>0.08</v>
      </c>
      <c r="X32" s="55">
        <v>0</v>
      </c>
      <c r="Y32" s="55" t="s">
        <v>35</v>
      </c>
      <c r="Z32" s="56">
        <f t="shared" si="19"/>
        <v>-0.75</v>
      </c>
      <c r="AA32" s="55">
        <v>0.169936</v>
      </c>
      <c r="AB32" s="55">
        <f t="shared" si="27"/>
        <v>-1.147068</v>
      </c>
      <c r="AC32" s="55">
        <v>-7.32</v>
      </c>
      <c r="AD32" s="55">
        <v>-4.102027435897436</v>
      </c>
      <c r="AE32" s="55">
        <v>0</v>
      </c>
      <c r="AF32" s="52" t="e">
        <v>#N/A</v>
      </c>
    </row>
    <row r="33" spans="1:32" s="57" customFormat="1" ht="15.75" customHeight="1">
      <c r="A33" s="2" t="s">
        <v>94</v>
      </c>
      <c r="B33" s="2"/>
      <c r="C33" s="51">
        <f t="shared" si="35"/>
        <v>18.989999999999998</v>
      </c>
      <c r="D33" s="51">
        <v>2</v>
      </c>
      <c r="E33" s="51">
        <v>0</v>
      </c>
      <c r="F33" s="51">
        <v>37.979999999999997</v>
      </c>
      <c r="G33" s="51">
        <v>-0.65999999999999992</v>
      </c>
      <c r="H33" s="51">
        <f t="shared" si="1"/>
        <v>1.7377567140600316E-2</v>
      </c>
      <c r="I33" s="51">
        <f t="shared" si="2"/>
        <v>0.21101193070576946</v>
      </c>
      <c r="J33" s="51">
        <f t="shared" si="4"/>
        <v>8.0142331282051238</v>
      </c>
      <c r="K33" s="51">
        <f t="shared" si="3"/>
        <v>4.0071165641025619</v>
      </c>
      <c r="L33" s="51">
        <v>8</v>
      </c>
      <c r="M33" s="51">
        <f t="shared" si="5"/>
        <v>0.25</v>
      </c>
      <c r="N33" s="51">
        <v>1</v>
      </c>
      <c r="O33" s="51">
        <f t="shared" ref="O33:P33" si="43">D33/7</f>
        <v>0.2857142857142857</v>
      </c>
      <c r="P33" s="51">
        <f t="shared" si="43"/>
        <v>0</v>
      </c>
      <c r="Q33" s="51">
        <f t="shared" si="7"/>
        <v>3</v>
      </c>
      <c r="R33" s="55">
        <v>100</v>
      </c>
      <c r="S33" s="53" t="s">
        <v>34</v>
      </c>
      <c r="T33" s="54">
        <v>44058</v>
      </c>
      <c r="U33" s="55">
        <v>1</v>
      </c>
      <c r="V33" s="55">
        <f t="shared" si="8"/>
        <v>0.5</v>
      </c>
      <c r="W33" s="55">
        <f t="shared" si="9"/>
        <v>0.65999999999999992</v>
      </c>
      <c r="X33" s="55">
        <v>0</v>
      </c>
      <c r="Y33" s="55" t="s">
        <v>35</v>
      </c>
      <c r="Z33" s="56">
        <f t="shared" si="19"/>
        <v>-0.75</v>
      </c>
      <c r="AA33" s="55">
        <v>0.169936</v>
      </c>
      <c r="AB33" s="55">
        <f t="shared" si="27"/>
        <v>-0.76471200000000006</v>
      </c>
      <c r="AC33" s="55">
        <v>-7.32</v>
      </c>
      <c r="AD33" s="55">
        <v>-4.102027435897436</v>
      </c>
      <c r="AE33" s="55">
        <v>0</v>
      </c>
      <c r="AF33" s="55">
        <v>6.9047619047618998</v>
      </c>
    </row>
    <row r="34" spans="1:32" s="57" customFormat="1" ht="15.75" customHeight="1">
      <c r="A34" s="2" t="s">
        <v>95</v>
      </c>
      <c r="B34" s="2"/>
      <c r="C34" s="51" t="str">
        <f t="shared" si="35"/>
        <v xml:space="preserve"> - </v>
      </c>
      <c r="D34" s="51">
        <v>0</v>
      </c>
      <c r="E34" s="51">
        <v>0</v>
      </c>
      <c r="F34" s="51">
        <v>0</v>
      </c>
      <c r="G34" s="51">
        <v>0</v>
      </c>
      <c r="H34" s="51" t="e">
        <f t="shared" si="1"/>
        <v>#DIV/0!</v>
      </c>
      <c r="I34" s="51" t="e">
        <f t="shared" si="2"/>
        <v>#DIV/0!</v>
      </c>
      <c r="J34" s="51">
        <f t="shared" si="4"/>
        <v>0</v>
      </c>
      <c r="K34" s="51" t="e">
        <f t="shared" si="3"/>
        <v>#DIV/0!</v>
      </c>
      <c r="L34" s="51">
        <v>0</v>
      </c>
      <c r="M34" s="51" t="str">
        <f t="shared" si="5"/>
        <v>-</v>
      </c>
      <c r="N34" s="51">
        <v>0</v>
      </c>
      <c r="O34" s="51">
        <f t="shared" ref="O34:P34" si="44">D34/7</f>
        <v>0</v>
      </c>
      <c r="P34" s="51">
        <f t="shared" si="44"/>
        <v>0</v>
      </c>
      <c r="Q34" s="51" t="e">
        <f t="shared" si="7"/>
        <v>#DIV/0!</v>
      </c>
      <c r="R34" s="55">
        <v>300</v>
      </c>
      <c r="S34" s="53">
        <v>100</v>
      </c>
      <c r="T34" s="54">
        <v>44058</v>
      </c>
      <c r="U34" s="55">
        <v>0</v>
      </c>
      <c r="V34" s="55">
        <f t="shared" si="8"/>
        <v>0</v>
      </c>
      <c r="W34" s="55">
        <f t="shared" si="9"/>
        <v>0</v>
      </c>
      <c r="X34" s="55">
        <v>0</v>
      </c>
      <c r="Y34" s="55" t="e">
        <v>#N/A</v>
      </c>
      <c r="Z34" s="56" t="e">
        <f t="shared" si="19"/>
        <v>#N/A</v>
      </c>
      <c r="AA34" s="55" t="e">
        <v>#N/A</v>
      </c>
      <c r="AB34" s="55">
        <f t="shared" si="27"/>
        <v>0</v>
      </c>
      <c r="AC34" s="55">
        <v>0</v>
      </c>
      <c r="AD34" s="55">
        <v>-4.102027435897436</v>
      </c>
      <c r="AE34" s="55">
        <v>0</v>
      </c>
      <c r="AF34" s="55" t="e">
        <v>#N/A</v>
      </c>
    </row>
    <row r="35" spans="1:32" s="57" customFormat="1" ht="15.75" customHeight="1">
      <c r="A35" s="2" t="s">
        <v>96</v>
      </c>
      <c r="B35" s="2"/>
      <c r="C35" s="51" t="str">
        <f t="shared" si="35"/>
        <v xml:space="preserve"> - </v>
      </c>
      <c r="D35" s="51">
        <v>0</v>
      </c>
      <c r="E35" s="51">
        <v>0</v>
      </c>
      <c r="F35" s="51">
        <v>0</v>
      </c>
      <c r="G35" s="51">
        <v>0</v>
      </c>
      <c r="H35" s="51" t="e">
        <f t="shared" si="1"/>
        <v>#DIV/0!</v>
      </c>
      <c r="I35" s="51" t="e">
        <f t="shared" si="2"/>
        <v>#DIV/0!</v>
      </c>
      <c r="J35" s="51">
        <f t="shared" si="4"/>
        <v>0</v>
      </c>
      <c r="K35" s="51" t="e">
        <f t="shared" si="3"/>
        <v>#DIV/0!</v>
      </c>
      <c r="L35" s="51">
        <v>0</v>
      </c>
      <c r="M35" s="51" t="str">
        <f t="shared" si="5"/>
        <v>-</v>
      </c>
      <c r="N35" s="51">
        <v>0</v>
      </c>
      <c r="O35" s="51">
        <f t="shared" ref="O35:P35" si="45">D35/7</f>
        <v>0</v>
      </c>
      <c r="P35" s="51">
        <f t="shared" si="45"/>
        <v>0</v>
      </c>
      <c r="Q35" s="51" t="e">
        <f t="shared" si="7"/>
        <v>#DIV/0!</v>
      </c>
      <c r="R35" s="55">
        <v>200</v>
      </c>
      <c r="S35" s="53">
        <v>200</v>
      </c>
      <c r="T35" s="54">
        <v>44070</v>
      </c>
      <c r="U35" s="55">
        <v>0</v>
      </c>
      <c r="V35" s="55">
        <f t="shared" si="8"/>
        <v>0</v>
      </c>
      <c r="W35" s="55">
        <f t="shared" si="9"/>
        <v>0</v>
      </c>
      <c r="X35" s="55">
        <v>0</v>
      </c>
      <c r="Y35" s="55" t="e">
        <v>#N/A</v>
      </c>
      <c r="Z35" s="56" t="e">
        <f t="shared" si="19"/>
        <v>#N/A</v>
      </c>
      <c r="AA35" s="55" t="e">
        <v>#N/A</v>
      </c>
      <c r="AB35" s="55">
        <f t="shared" si="27"/>
        <v>0</v>
      </c>
      <c r="AC35" s="55">
        <v>0</v>
      </c>
      <c r="AD35" s="55">
        <v>-4.102027435897436</v>
      </c>
      <c r="AE35" s="55">
        <v>0</v>
      </c>
      <c r="AF35" s="55" t="e">
        <v>#N/A</v>
      </c>
    </row>
    <row r="36" spans="1:32" s="57" customFormat="1" ht="15.75" customHeight="1">
      <c r="A36" s="2" t="s">
        <v>98</v>
      </c>
      <c r="B36" s="2"/>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v>200</v>
      </c>
      <c r="S36" s="53"/>
      <c r="T36" s="54">
        <v>44070</v>
      </c>
      <c r="U36" s="55"/>
      <c r="V36" s="55">
        <f t="shared" si="8"/>
        <v>0</v>
      </c>
      <c r="W36" s="55">
        <f t="shared" si="9"/>
        <v>0</v>
      </c>
      <c r="X36" s="55"/>
      <c r="Y36" s="55" t="e">
        <v>#N/A</v>
      </c>
      <c r="Z36" s="56" t="e">
        <f t="shared" si="19"/>
        <v>#N/A</v>
      </c>
      <c r="AA36" s="55" t="e">
        <v>#N/A</v>
      </c>
      <c r="AB36" s="55">
        <f t="shared" si="27"/>
        <v>0</v>
      </c>
      <c r="AC36" s="55">
        <v>0</v>
      </c>
      <c r="AD36" s="55">
        <v>-4.3405274358974362</v>
      </c>
      <c r="AE36" s="55">
        <v>0</v>
      </c>
      <c r="AF36" s="55" t="e">
        <v>#N/A</v>
      </c>
    </row>
    <row r="37" spans="1:32" s="57" customFormat="1" ht="15.75" customHeight="1">
      <c r="A37" s="2" t="s">
        <v>99</v>
      </c>
      <c r="B37" s="2"/>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v>200</v>
      </c>
      <c r="S37" s="53">
        <v>200</v>
      </c>
      <c r="T37" s="54">
        <v>44070</v>
      </c>
      <c r="U37" s="55">
        <v>0</v>
      </c>
      <c r="V37" s="55">
        <f t="shared" si="8"/>
        <v>0</v>
      </c>
      <c r="W37" s="55">
        <f t="shared" si="9"/>
        <v>0</v>
      </c>
      <c r="X37" s="55">
        <v>0</v>
      </c>
      <c r="Y37" s="55" t="e">
        <v>#N/A</v>
      </c>
      <c r="Z37" s="56" t="e">
        <f t="shared" si="19"/>
        <v>#N/A</v>
      </c>
      <c r="AA37" s="55" t="e">
        <v>#N/A</v>
      </c>
      <c r="AB37" s="55">
        <f t="shared" si="27"/>
        <v>0</v>
      </c>
      <c r="AC37" s="55">
        <v>0</v>
      </c>
      <c r="AD37" s="55">
        <v>-4.3405274358974362</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5">
        <v>0</v>
      </c>
      <c r="S38" s="53"/>
      <c r="T38" s="54" t="s">
        <v>34</v>
      </c>
      <c r="U38" s="55">
        <v>0</v>
      </c>
      <c r="V38" s="55">
        <f t="shared" si="8"/>
        <v>0</v>
      </c>
      <c r="W38" s="55">
        <f t="shared" si="9"/>
        <v>0</v>
      </c>
      <c r="X38" s="55">
        <v>0</v>
      </c>
      <c r="Y38" s="55" t="e">
        <v>#N/A</v>
      </c>
      <c r="Z38" s="56" t="e">
        <f t="shared" si="19"/>
        <v>#N/A</v>
      </c>
      <c r="AA38" s="55" t="e">
        <v>#N/A</v>
      </c>
      <c r="AB38" s="55">
        <f t="shared" si="27"/>
        <v>0</v>
      </c>
      <c r="AC38" s="55">
        <v>0</v>
      </c>
      <c r="AD38" s="55">
        <v>-4.3405274358974362</v>
      </c>
      <c r="AE38" s="55">
        <v>0</v>
      </c>
      <c r="AF38" s="55" t="e">
        <v>#N/A</v>
      </c>
    </row>
    <row r="39" spans="1:32" s="57" customFormat="1" ht="15.75" customHeight="1">
      <c r="A39" s="2" t="s">
        <v>101</v>
      </c>
      <c r="B39" s="2" t="s">
        <v>974</v>
      </c>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196</v>
      </c>
      <c r="O39" s="51">
        <f t="shared" ref="O39:P39" si="49">D39/7</f>
        <v>0</v>
      </c>
      <c r="P39" s="51">
        <f t="shared" si="49"/>
        <v>0</v>
      </c>
      <c r="Q39" s="51" t="e">
        <f t="shared" si="7"/>
        <v>#DIV/0!</v>
      </c>
      <c r="R39" s="55">
        <v>0</v>
      </c>
      <c r="S39" s="53" t="s">
        <v>34</v>
      </c>
      <c r="T39" s="54" t="s">
        <v>34</v>
      </c>
      <c r="U39" s="55">
        <v>0</v>
      </c>
      <c r="V39" s="55">
        <f t="shared" si="8"/>
        <v>0</v>
      </c>
      <c r="W39" s="55">
        <f t="shared" si="9"/>
        <v>0</v>
      </c>
      <c r="X39" s="55">
        <v>0</v>
      </c>
      <c r="Y39" s="55" t="s">
        <v>35</v>
      </c>
      <c r="Z39" s="56">
        <f t="shared" si="19"/>
        <v>-0.75</v>
      </c>
      <c r="AA39" s="55">
        <v>0.169936</v>
      </c>
      <c r="AB39" s="55">
        <f t="shared" si="27"/>
        <v>0</v>
      </c>
      <c r="AC39" s="55">
        <v>-7.32</v>
      </c>
      <c r="AD39" s="55">
        <v>-4.34052743589743</v>
      </c>
      <c r="AE39" s="55">
        <v>0</v>
      </c>
      <c r="AF39" s="55">
        <v>2.02</v>
      </c>
    </row>
    <row r="40" spans="1:32" s="57" customFormat="1" ht="15.75" customHeight="1">
      <c r="A40" s="2" t="s">
        <v>102</v>
      </c>
      <c r="B40" s="2" t="s">
        <v>975</v>
      </c>
      <c r="C40" s="51">
        <v>18.989999999999998</v>
      </c>
      <c r="D40" s="51">
        <v>3</v>
      </c>
      <c r="E40" s="51">
        <v>0</v>
      </c>
      <c r="F40" s="51">
        <v>56.97</v>
      </c>
      <c r="G40" s="51">
        <v>-7.0000000000000007E-2</v>
      </c>
      <c r="H40" s="51">
        <v>1.2287168685272951E-3</v>
      </c>
      <c r="I40" s="51">
        <v>0.2146015392716816</v>
      </c>
      <c r="J40" s="51">
        <v>12.225849692307701</v>
      </c>
      <c r="K40" s="51">
        <v>4.0752832307692337</v>
      </c>
      <c r="L40" s="51">
        <v>8</v>
      </c>
      <c r="M40" s="51">
        <v>0.375</v>
      </c>
      <c r="N40" s="51">
        <v>197</v>
      </c>
      <c r="O40" s="51">
        <v>0.42857142857142855</v>
      </c>
      <c r="P40" s="51">
        <v>0</v>
      </c>
      <c r="Q40" s="51">
        <v>459</v>
      </c>
      <c r="R40" s="55">
        <v>0</v>
      </c>
      <c r="S40" s="53" t="s">
        <v>34</v>
      </c>
      <c r="T40" s="54" t="s">
        <v>34</v>
      </c>
      <c r="U40" s="55">
        <v>0</v>
      </c>
      <c r="V40" s="55">
        <v>0</v>
      </c>
      <c r="W40" s="55">
        <v>0</v>
      </c>
      <c r="X40" s="55">
        <v>0</v>
      </c>
      <c r="Y40" s="55" t="s">
        <v>35</v>
      </c>
      <c r="Z40" s="56">
        <v>-0.75</v>
      </c>
      <c r="AA40" s="55">
        <v>0.169936</v>
      </c>
      <c r="AB40" s="55">
        <v>-1.147068</v>
      </c>
      <c r="AC40" s="55">
        <v>-7.32</v>
      </c>
      <c r="AD40" s="55">
        <v>-4.34052743589743</v>
      </c>
      <c r="AE40" s="55">
        <v>0</v>
      </c>
      <c r="AF40" s="55">
        <v>1.38205980066445</v>
      </c>
    </row>
    <row r="41" spans="1:32" s="57" customFormat="1" ht="15.75" customHeight="1">
      <c r="A41" s="2" t="s">
        <v>105</v>
      </c>
      <c r="B41" s="2" t="s">
        <v>961</v>
      </c>
      <c r="C41" s="51">
        <f t="shared" ref="C41:C56" si="50">IFERROR(F41/D41," - ")</f>
        <v>16</v>
      </c>
      <c r="D41" s="51">
        <v>1</v>
      </c>
      <c r="E41" s="51">
        <v>0</v>
      </c>
      <c r="F41" s="51">
        <v>16</v>
      </c>
      <c r="G41" s="51">
        <v>0</v>
      </c>
      <c r="H41" s="51">
        <f t="shared" ref="H41:H56" si="51">G41/F41*-1</f>
        <v>0</v>
      </c>
      <c r="I41" s="51">
        <f t="shared" ref="I41:I56" si="52">J41/F41</f>
        <v>-0.18330521474358943</v>
      </c>
      <c r="J41" s="51">
        <f t="shared" ref="J41:J48" si="53">F41*0.85+G41+AD41*D41+D41*AC41+AE42+AB41</f>
        <v>-2.9328834358974309</v>
      </c>
      <c r="K41" s="51">
        <f t="shared" ref="K41:K56" si="54">J41/D41</f>
        <v>-2.9328834358974309</v>
      </c>
      <c r="L41" s="51">
        <v>11</v>
      </c>
      <c r="M41" s="51">
        <f t="shared" ref="M41:M56" si="55">IFERROR(D41/L41,"-")</f>
        <v>9.0909090909090912E-2</v>
      </c>
      <c r="N41" s="51">
        <v>191</v>
      </c>
      <c r="O41" s="51">
        <f t="shared" ref="O41:P41" si="56">D41/7</f>
        <v>0.14285714285714285</v>
      </c>
      <c r="P41" s="51">
        <f t="shared" si="56"/>
        <v>0</v>
      </c>
      <c r="Q41" s="51">
        <f t="shared" ref="Q41:Q56" si="57">ROUNDDOWN(N41/(O41+P41),0)</f>
        <v>1337</v>
      </c>
      <c r="R41" s="55">
        <v>0</v>
      </c>
      <c r="S41" s="53" t="s">
        <v>34</v>
      </c>
      <c r="T41" s="54" t="s">
        <v>34</v>
      </c>
      <c r="U41" s="55">
        <v>0</v>
      </c>
      <c r="V41" s="55">
        <f t="shared" ref="V41:V56" si="58">IFERROR(U41/D41,0)</f>
        <v>0</v>
      </c>
      <c r="W41" s="55">
        <f t="shared" ref="W41:W56" si="59">IFERROR(G41/(U41+X41)*-1,0)</f>
        <v>0</v>
      </c>
      <c r="X41" s="55">
        <v>0</v>
      </c>
      <c r="Y41" s="52" t="s">
        <v>35</v>
      </c>
      <c r="Z41" s="56">
        <f t="shared" ref="Z41:Z43" si="60">IF(OR(Y41="UsLargeStandardSize",Y41="UsSmallStandardSize"),-0.75,-0.48)</f>
        <v>-0.75</v>
      </c>
      <c r="AA41" s="55">
        <v>0.169936</v>
      </c>
      <c r="AB41" s="55">
        <f t="shared" ref="AB41:AB56" si="61">IFERROR(Z41*AA41*D41*3,0)</f>
        <v>-0.38235600000000003</v>
      </c>
      <c r="AC41" s="55">
        <v>-7.32</v>
      </c>
      <c r="AD41" s="55">
        <v>-4.34052743589743</v>
      </c>
      <c r="AE41" s="55">
        <v>0</v>
      </c>
      <c r="AF41" s="55">
        <v>0.77253218884120101</v>
      </c>
    </row>
    <row r="42" spans="1:32" s="57" customFormat="1" ht="15.75" customHeight="1">
      <c r="A42" s="2" t="s">
        <v>106</v>
      </c>
      <c r="B42" s="2" t="s">
        <v>940</v>
      </c>
      <c r="C42" s="51">
        <f t="shared" si="50"/>
        <v>15.166111111111112</v>
      </c>
      <c r="D42" s="51">
        <v>18</v>
      </c>
      <c r="E42" s="51">
        <v>0</v>
      </c>
      <c r="F42" s="51">
        <v>272.99</v>
      </c>
      <c r="G42" s="51">
        <v>-18.22</v>
      </c>
      <c r="H42" s="51">
        <f t="shared" si="51"/>
        <v>6.6742371515440116E-2</v>
      </c>
      <c r="I42" s="51">
        <f t="shared" si="52"/>
        <v>-9.0151294355667627E-2</v>
      </c>
      <c r="J42" s="51">
        <f t="shared" si="53"/>
        <v>-24.610401846153707</v>
      </c>
      <c r="K42" s="51">
        <f t="shared" si="54"/>
        <v>-1.3672445470085393</v>
      </c>
      <c r="L42" s="51">
        <v>40</v>
      </c>
      <c r="M42" s="51">
        <f t="shared" si="55"/>
        <v>0.45</v>
      </c>
      <c r="N42" s="51">
        <v>163</v>
      </c>
      <c r="O42" s="51">
        <f t="shared" ref="O42:P42" si="62">D42/7</f>
        <v>2.5714285714285716</v>
      </c>
      <c r="P42" s="51">
        <f t="shared" si="62"/>
        <v>0</v>
      </c>
      <c r="Q42" s="51">
        <f t="shared" si="57"/>
        <v>63</v>
      </c>
      <c r="R42" s="55">
        <f ca="1">IFERROR(__xludf.DUMMYFUNCTION("IFERROR(VLOOKUP($B$2,IMPORTRANGE(""https://docs.google.com/spreadsheets/d/1iVgg6Mw12RULLujzHmfOFIY8Q_KaAD8anoZzgtVAQ74/edit#gid=1503384807"",""Second Star - Summary!A1:AD2000""),9,FALSE),"""")"),120)</f>
        <v>120</v>
      </c>
      <c r="S42" s="53">
        <f ca="1">IFERROR(__xludf.DUMMYFUNCTION("IFERROR(VLOOKUP($B$2,IMPORTRANGE(""https://docs.google.com/spreadsheets/d/1iVgg6Mw12RULLujzHmfOFIY8Q_KaAD8anoZzgtVAQ74/edit#gid=1503384807"",""Second Star - Summary!A1:AD2000""),28,FALSE),"""")"),64)</f>
        <v>64</v>
      </c>
      <c r="T42" s="54">
        <f ca="1">IFERROR(__xludf.DUMMYFUNCTION("IFERROR(VLOOKUP($B$2,IMPORTRANGE(""https://docs.google.com/spreadsheets/d/1iVgg6Mw12RULLujzHmfOFIY8Q_KaAD8anoZzgtVAQ74/edit#gid=1503384807"",""Second Star - Summary!A1:AD2000""),29,FALSE),"""")"),44322)</f>
        <v>44322</v>
      </c>
      <c r="U42" s="55">
        <v>4</v>
      </c>
      <c r="V42" s="55">
        <f t="shared" si="58"/>
        <v>0.22222222222222221</v>
      </c>
      <c r="W42" s="55">
        <f t="shared" si="59"/>
        <v>3.6439999999999997</v>
      </c>
      <c r="X42" s="55">
        <v>1</v>
      </c>
      <c r="Y42" s="55" t="s">
        <v>35</v>
      </c>
      <c r="Z42" s="56">
        <f t="shared" si="60"/>
        <v>-0.75</v>
      </c>
      <c r="AA42" s="55">
        <v>0.169936</v>
      </c>
      <c r="AB42" s="55">
        <f t="shared" si="61"/>
        <v>-6.8824079999999999</v>
      </c>
      <c r="AC42" s="55">
        <v>-7.32</v>
      </c>
      <c r="AD42" s="55">
        <v>-4.34052743589743</v>
      </c>
      <c r="AE42" s="55">
        <v>-4.49</v>
      </c>
      <c r="AF42" s="55">
        <v>0.93567251461988299</v>
      </c>
    </row>
    <row r="43" spans="1:32" s="57" customFormat="1" ht="15.75" customHeight="1">
      <c r="A43" s="2" t="s">
        <v>107</v>
      </c>
      <c r="B43" s="2" t="s">
        <v>952</v>
      </c>
      <c r="C43" s="51">
        <f t="shared" si="50"/>
        <v>15.938947368421058</v>
      </c>
      <c r="D43" s="51">
        <v>38</v>
      </c>
      <c r="E43" s="51">
        <v>0</v>
      </c>
      <c r="F43" s="51">
        <v>605.68000000000018</v>
      </c>
      <c r="G43" s="51">
        <v>-41.7</v>
      </c>
      <c r="H43" s="51">
        <f t="shared" si="51"/>
        <v>6.8848236692642964E-2</v>
      </c>
      <c r="I43" s="51">
        <f t="shared" si="52"/>
        <v>2.5588478133499109E-2</v>
      </c>
      <c r="J43" s="51">
        <f t="shared" si="53"/>
        <v>15.498429435897744</v>
      </c>
      <c r="K43" s="51">
        <f t="shared" si="54"/>
        <v>0.40785340620783539</v>
      </c>
      <c r="L43" s="51">
        <v>120</v>
      </c>
      <c r="M43" s="51">
        <f t="shared" si="55"/>
        <v>0.31666666666666665</v>
      </c>
      <c r="N43" s="51">
        <v>134</v>
      </c>
      <c r="O43" s="51">
        <f t="shared" ref="O43:P43" si="63">D43/7</f>
        <v>5.4285714285714288</v>
      </c>
      <c r="P43" s="51">
        <f t="shared" si="63"/>
        <v>0</v>
      </c>
      <c r="Q43" s="51">
        <f t="shared" si="57"/>
        <v>24</v>
      </c>
      <c r="R43" s="55">
        <v>0</v>
      </c>
      <c r="S43" s="53" t="s">
        <v>34</v>
      </c>
      <c r="T43" s="54" t="s">
        <v>34</v>
      </c>
      <c r="U43" s="55">
        <v>11</v>
      </c>
      <c r="V43" s="55">
        <f t="shared" si="58"/>
        <v>0.28947368421052633</v>
      </c>
      <c r="W43" s="55">
        <f t="shared" si="59"/>
        <v>2.9785714285714286</v>
      </c>
      <c r="X43" s="55">
        <v>3</v>
      </c>
      <c r="Y43" s="55" t="s">
        <v>35</v>
      </c>
      <c r="Z43" s="56">
        <f t="shared" si="60"/>
        <v>-0.75</v>
      </c>
      <c r="AA43" s="55">
        <v>0.169936</v>
      </c>
      <c r="AB43" s="55">
        <f t="shared" si="61"/>
        <v>-14.529528000000003</v>
      </c>
      <c r="AC43" s="55">
        <v>-7.32</v>
      </c>
      <c r="AD43" s="55">
        <v>-4.34052743589743</v>
      </c>
      <c r="AE43" s="55">
        <v>-21.659999999999997</v>
      </c>
      <c r="AF43" s="55">
        <v>0.83582089552238803</v>
      </c>
    </row>
    <row r="44" spans="1:32" s="57" customFormat="1" ht="15.75" customHeight="1">
      <c r="A44" s="2" t="s">
        <v>108</v>
      </c>
      <c r="B44" s="2" t="s">
        <v>976</v>
      </c>
      <c r="C44" s="51">
        <f t="shared" si="50"/>
        <v>16.561428571428575</v>
      </c>
      <c r="D44" s="51">
        <v>21</v>
      </c>
      <c r="E44" s="51">
        <v>0</v>
      </c>
      <c r="F44" s="51">
        <v>347.79000000000008</v>
      </c>
      <c r="G44" s="51">
        <v>0</v>
      </c>
      <c r="H44" s="51">
        <f t="shared" si="51"/>
        <v>0</v>
      </c>
      <c r="I44" s="51">
        <f t="shared" si="52"/>
        <v>7.204376389819736E-2</v>
      </c>
      <c r="J44" s="51">
        <f t="shared" si="53"/>
        <v>25.056100646154064</v>
      </c>
      <c r="K44" s="51">
        <f t="shared" si="54"/>
        <v>1.1931476498168603</v>
      </c>
      <c r="L44" s="51">
        <v>86</v>
      </c>
      <c r="M44" s="51">
        <f t="shared" si="55"/>
        <v>0.2441860465116279</v>
      </c>
      <c r="N44" s="51">
        <v>105</v>
      </c>
      <c r="O44" s="51">
        <f t="shared" ref="O44:P44" si="64">D44/7</f>
        <v>3</v>
      </c>
      <c r="P44" s="51">
        <f t="shared" si="64"/>
        <v>0</v>
      </c>
      <c r="Q44" s="51">
        <f t="shared" si="57"/>
        <v>35</v>
      </c>
      <c r="R44" s="55">
        <v>0</v>
      </c>
      <c r="S44" s="53" t="s">
        <v>34</v>
      </c>
      <c r="T44" s="54" t="s">
        <v>34</v>
      </c>
      <c r="U44" s="55">
        <v>0</v>
      </c>
      <c r="V44" s="55">
        <f t="shared" si="58"/>
        <v>0</v>
      </c>
      <c r="W44" s="55">
        <f t="shared" si="59"/>
        <v>0</v>
      </c>
      <c r="X44" s="55">
        <v>0</v>
      </c>
      <c r="Y44" s="55" t="s">
        <v>35</v>
      </c>
      <c r="Z44" s="56">
        <f t="shared" ref="Z44:Z56" si="65">IF(OR(Y44="UsLargeStandardSize",Y44="UsSmallStandardSize"),-2.4,-1.2)</f>
        <v>-2.4</v>
      </c>
      <c r="AA44" s="55">
        <v>0.169936</v>
      </c>
      <c r="AB44" s="55">
        <f t="shared" si="61"/>
        <v>-25.694323199999999</v>
      </c>
      <c r="AC44" s="55">
        <v>-7.32</v>
      </c>
      <c r="AD44" s="55">
        <v>-4.34052743589743</v>
      </c>
      <c r="AE44" s="55">
        <v>0</v>
      </c>
      <c r="AF44" s="55">
        <v>1.1870967741935401</v>
      </c>
    </row>
    <row r="45" spans="1:32" s="57" customFormat="1" ht="15.75" customHeight="1">
      <c r="A45" s="2" t="s">
        <v>109</v>
      </c>
      <c r="B45" s="2" t="s">
        <v>810</v>
      </c>
      <c r="C45" s="51">
        <f t="shared" si="50"/>
        <v>16.490625000000001</v>
      </c>
      <c r="D45" s="51">
        <v>16</v>
      </c>
      <c r="E45" s="51">
        <v>0</v>
      </c>
      <c r="F45" s="51">
        <v>263.85000000000002</v>
      </c>
      <c r="G45" s="51">
        <v>0</v>
      </c>
      <c r="H45" s="51">
        <f t="shared" si="51"/>
        <v>0</v>
      </c>
      <c r="I45" s="51">
        <f t="shared" si="52"/>
        <v>6.8703558179424376E-2</v>
      </c>
      <c r="J45" s="51">
        <f t="shared" si="53"/>
        <v>18.127433825641123</v>
      </c>
      <c r="K45" s="51">
        <f t="shared" si="54"/>
        <v>1.1329646141025702</v>
      </c>
      <c r="L45" s="51">
        <v>46</v>
      </c>
      <c r="M45" s="51">
        <f t="shared" si="55"/>
        <v>0.34782608695652173</v>
      </c>
      <c r="N45" s="51">
        <v>97</v>
      </c>
      <c r="O45" s="51">
        <f t="shared" ref="O45:P45" si="66">D45/7</f>
        <v>2.2857142857142856</v>
      </c>
      <c r="P45" s="51">
        <f t="shared" si="66"/>
        <v>0</v>
      </c>
      <c r="Q45" s="51">
        <f t="shared" si="57"/>
        <v>42</v>
      </c>
      <c r="R45" s="55">
        <v>0</v>
      </c>
      <c r="S45" s="53" t="s">
        <v>34</v>
      </c>
      <c r="T45" s="54" t="s">
        <v>34</v>
      </c>
      <c r="U45" s="55">
        <v>0</v>
      </c>
      <c r="V45" s="55">
        <f t="shared" si="58"/>
        <v>0</v>
      </c>
      <c r="W45" s="55">
        <f t="shared" si="59"/>
        <v>0</v>
      </c>
      <c r="X45" s="55">
        <v>0</v>
      </c>
      <c r="Y45" s="55" t="s">
        <v>35</v>
      </c>
      <c r="Z45" s="56">
        <f t="shared" si="65"/>
        <v>-2.4</v>
      </c>
      <c r="AA45" s="55">
        <v>0.169936</v>
      </c>
      <c r="AB45" s="55">
        <f t="shared" si="61"/>
        <v>-19.576627200000001</v>
      </c>
      <c r="AC45" s="55">
        <v>-7.32</v>
      </c>
      <c r="AD45" s="55">
        <v>-4.34052743589743</v>
      </c>
      <c r="AE45" s="55">
        <v>0</v>
      </c>
      <c r="AF45" s="55">
        <v>1.3469387755102</v>
      </c>
    </row>
    <row r="46" spans="1:32" s="57" customFormat="1" ht="15.75" customHeight="1">
      <c r="A46" s="2" t="s">
        <v>111</v>
      </c>
      <c r="B46" s="2" t="s">
        <v>810</v>
      </c>
      <c r="C46" s="51">
        <f t="shared" si="50"/>
        <v>17</v>
      </c>
      <c r="D46" s="51">
        <v>4</v>
      </c>
      <c r="E46" s="51">
        <v>0</v>
      </c>
      <c r="F46" s="51">
        <v>68</v>
      </c>
      <c r="G46" s="51">
        <v>0</v>
      </c>
      <c r="H46" s="51">
        <f t="shared" si="51"/>
        <v>0</v>
      </c>
      <c r="I46" s="51">
        <f t="shared" si="52"/>
        <v>9.2113727300151119E-2</v>
      </c>
      <c r="J46" s="51">
        <f t="shared" si="53"/>
        <v>6.263733456410276</v>
      </c>
      <c r="K46" s="51">
        <f t="shared" si="54"/>
        <v>1.565933364102569</v>
      </c>
      <c r="L46" s="51">
        <v>26</v>
      </c>
      <c r="M46" s="51">
        <f t="shared" si="55"/>
        <v>0.15384615384615385</v>
      </c>
      <c r="N46" s="51">
        <v>99</v>
      </c>
      <c r="O46" s="51">
        <f t="shared" ref="O46:P46" si="67">D46/7</f>
        <v>0.5714285714285714</v>
      </c>
      <c r="P46" s="51">
        <f t="shared" si="67"/>
        <v>0</v>
      </c>
      <c r="Q46" s="51">
        <f t="shared" si="57"/>
        <v>173</v>
      </c>
      <c r="R46" s="55">
        <v>0</v>
      </c>
      <c r="S46" s="53" t="s">
        <v>34</v>
      </c>
      <c r="T46" s="54" t="s">
        <v>34</v>
      </c>
      <c r="U46" s="55">
        <v>0</v>
      </c>
      <c r="V46" s="55">
        <f t="shared" si="58"/>
        <v>0</v>
      </c>
      <c r="W46" s="55">
        <f t="shared" si="59"/>
        <v>0</v>
      </c>
      <c r="X46" s="55">
        <v>0</v>
      </c>
      <c r="Y46" s="55" t="s">
        <v>35</v>
      </c>
      <c r="Z46" s="56">
        <f t="shared" si="65"/>
        <v>-2.4</v>
      </c>
      <c r="AA46" s="55">
        <v>0.169936</v>
      </c>
      <c r="AB46" s="55">
        <f t="shared" si="61"/>
        <v>-4.8941568000000002</v>
      </c>
      <c r="AC46" s="55">
        <v>-7.32</v>
      </c>
      <c r="AD46" s="55">
        <v>-4.34052743589743</v>
      </c>
      <c r="AE46" s="55">
        <v>0</v>
      </c>
      <c r="AF46" s="55">
        <v>1.4690909090908999</v>
      </c>
    </row>
    <row r="47" spans="1:32" s="57" customFormat="1" ht="15.75" customHeight="1">
      <c r="A47" s="2" t="s">
        <v>113</v>
      </c>
      <c r="B47" s="2" t="s">
        <v>963</v>
      </c>
      <c r="C47" s="51">
        <f t="shared" si="50"/>
        <v>17</v>
      </c>
      <c r="D47" s="51">
        <v>2</v>
      </c>
      <c r="E47" s="51">
        <v>0</v>
      </c>
      <c r="F47" s="51">
        <v>34</v>
      </c>
      <c r="G47" s="51">
        <v>0</v>
      </c>
      <c r="H47" s="51">
        <f t="shared" si="51"/>
        <v>0</v>
      </c>
      <c r="I47" s="51">
        <f t="shared" si="52"/>
        <v>9.2113727300151119E-2</v>
      </c>
      <c r="J47" s="51">
        <f t="shared" si="53"/>
        <v>3.131866728205138</v>
      </c>
      <c r="K47" s="51">
        <f t="shared" si="54"/>
        <v>1.565933364102569</v>
      </c>
      <c r="L47" s="51">
        <v>20</v>
      </c>
      <c r="M47" s="51">
        <f t="shared" si="55"/>
        <v>0.1</v>
      </c>
      <c r="N47" s="51">
        <v>97</v>
      </c>
      <c r="O47" s="51">
        <f t="shared" ref="O47:P47" si="68">D47/7</f>
        <v>0.2857142857142857</v>
      </c>
      <c r="P47" s="51">
        <f t="shared" si="68"/>
        <v>0</v>
      </c>
      <c r="Q47" s="51">
        <f t="shared" si="57"/>
        <v>339</v>
      </c>
      <c r="R47" s="55">
        <v>0</v>
      </c>
      <c r="S47" s="53" t="s">
        <v>34</v>
      </c>
      <c r="T47" s="54" t="s">
        <v>34</v>
      </c>
      <c r="U47" s="55">
        <v>0</v>
      </c>
      <c r="V47" s="55">
        <f t="shared" si="58"/>
        <v>0</v>
      </c>
      <c r="W47" s="55">
        <f t="shared" si="59"/>
        <v>0</v>
      </c>
      <c r="X47" s="55">
        <v>0</v>
      </c>
      <c r="Y47" s="55" t="s">
        <v>35</v>
      </c>
      <c r="Z47" s="56">
        <f t="shared" si="65"/>
        <v>-2.4</v>
      </c>
      <c r="AA47" s="55">
        <v>0.169936</v>
      </c>
      <c r="AB47" s="55">
        <f t="shared" si="61"/>
        <v>-2.4470784000000001</v>
      </c>
      <c r="AC47" s="55">
        <v>-7.32</v>
      </c>
      <c r="AD47" s="55">
        <v>-4.34052743589743</v>
      </c>
      <c r="AE47" s="55">
        <v>0</v>
      </c>
      <c r="AF47" s="55">
        <v>0.93849658314350703</v>
      </c>
    </row>
    <row r="48" spans="1:32" s="57" customFormat="1" ht="15.75" customHeight="1">
      <c r="A48" s="2" t="s">
        <v>115</v>
      </c>
      <c r="B48" s="2" t="s">
        <v>964</v>
      </c>
      <c r="C48" s="51">
        <f t="shared" si="50"/>
        <v>17</v>
      </c>
      <c r="D48" s="51">
        <v>1</v>
      </c>
      <c r="E48" s="51">
        <v>0</v>
      </c>
      <c r="F48" s="51">
        <v>17</v>
      </c>
      <c r="G48" s="51">
        <v>0</v>
      </c>
      <c r="H48" s="51">
        <f t="shared" si="51"/>
        <v>0</v>
      </c>
      <c r="I48" s="51">
        <f t="shared" si="52"/>
        <v>9.2113727300151119E-2</v>
      </c>
      <c r="J48" s="51">
        <f t="shared" si="53"/>
        <v>1.565933364102569</v>
      </c>
      <c r="K48" s="51">
        <f t="shared" si="54"/>
        <v>1.565933364102569</v>
      </c>
      <c r="L48" s="51">
        <v>13</v>
      </c>
      <c r="M48" s="51">
        <f t="shared" si="55"/>
        <v>7.6923076923076927E-2</v>
      </c>
      <c r="N48" s="51">
        <v>96</v>
      </c>
      <c r="O48" s="51">
        <f t="shared" ref="O48:P48" si="69">D48/7</f>
        <v>0.14285714285714285</v>
      </c>
      <c r="P48" s="51">
        <f t="shared" si="69"/>
        <v>0</v>
      </c>
      <c r="Q48" s="51">
        <f t="shared" si="57"/>
        <v>672</v>
      </c>
      <c r="R48" s="55">
        <f ca="1">IFERROR(__xludf.DUMMYFUNCTION("IFERROR(VLOOKUP($B$2,IMPORTRANGE(""https://docs.google.com/spreadsheets/d/1iVgg6Mw12RULLujzHmfOFIY8Q_KaAD8anoZzgtVAQ74/edit#gid=1503384807"",""Second Star - Summary!A1:AD2000""),9,FALSE),"""")"),120)</f>
        <v>120</v>
      </c>
      <c r="S48" s="53">
        <f ca="1">IFERROR(__xludf.DUMMYFUNCTION("IFERROR(VLOOKUP($B$2,IMPORTRANGE(""https://docs.google.com/spreadsheets/d/1iVgg6Mw12RULLujzHmfOFIY8Q_KaAD8anoZzgtVAQ74/edit#gid=1503384807"",""Second Star - Summary!A1:AD2000""),28,FALSE),"""")"),64)</f>
        <v>64</v>
      </c>
      <c r="T48" s="54">
        <f ca="1">IFERROR(__xludf.DUMMYFUNCTION("IFERROR(VLOOKUP($B$2,IMPORTRANGE(""https://docs.google.com/spreadsheets/d/1iVgg6Mw12RULLujzHmfOFIY8Q_KaAD8anoZzgtVAQ74/edit#gid=1503384807"",""Second Star - Summary!A1:AD2000""),29,FALSE),"""")"),44322)</f>
        <v>44322</v>
      </c>
      <c r="U48" s="55">
        <v>0</v>
      </c>
      <c r="V48" s="55">
        <f t="shared" si="58"/>
        <v>0</v>
      </c>
      <c r="W48" s="55">
        <f t="shared" si="59"/>
        <v>0</v>
      </c>
      <c r="X48" s="55">
        <v>0</v>
      </c>
      <c r="Y48" s="55" t="s">
        <v>35</v>
      </c>
      <c r="Z48" s="56">
        <f t="shared" si="65"/>
        <v>-2.4</v>
      </c>
      <c r="AA48" s="55">
        <v>0.169936</v>
      </c>
      <c r="AB48" s="55">
        <f t="shared" si="61"/>
        <v>-1.2235392</v>
      </c>
      <c r="AC48" s="55">
        <v>-7.32</v>
      </c>
      <c r="AD48" s="55">
        <v>-4.34052743589743</v>
      </c>
      <c r="AE48" s="55">
        <v>0</v>
      </c>
      <c r="AF48" s="55">
        <v>0.97652582159624401</v>
      </c>
    </row>
    <row r="49" spans="1:32" s="57" customFormat="1" ht="15.75" customHeight="1">
      <c r="A49" s="2" t="s">
        <v>117</v>
      </c>
      <c r="B49" s="2" t="s">
        <v>810</v>
      </c>
      <c r="C49" s="51">
        <f t="shared" si="50"/>
        <v>14.495000000000001</v>
      </c>
      <c r="D49" s="51">
        <v>4</v>
      </c>
      <c r="E49" s="51">
        <v>0</v>
      </c>
      <c r="F49" s="51">
        <v>57.980000000000004</v>
      </c>
      <c r="G49" s="51">
        <v>0</v>
      </c>
      <c r="H49" s="51">
        <f t="shared" si="51"/>
        <v>0</v>
      </c>
      <c r="I49" s="51">
        <f t="shared" si="52"/>
        <v>-3.8862824139181094E-2</v>
      </c>
      <c r="J49" s="51">
        <f t="shared" ref="J49:J56" si="70">F49*0.85+G49+AD49*D49+D49*AC49+AE49+AB49</f>
        <v>-2.2532665435897199</v>
      </c>
      <c r="K49" s="51">
        <f t="shared" si="54"/>
        <v>-0.56331663589742997</v>
      </c>
      <c r="L49" s="51">
        <v>13</v>
      </c>
      <c r="M49" s="51">
        <f t="shared" si="55"/>
        <v>0.30769230769230771</v>
      </c>
      <c r="N49" s="51">
        <v>92</v>
      </c>
      <c r="O49" s="51">
        <f t="shared" ref="O49:P49" si="71">D49/7</f>
        <v>0.5714285714285714</v>
      </c>
      <c r="P49" s="51">
        <f t="shared" si="71"/>
        <v>0</v>
      </c>
      <c r="Q49" s="51">
        <f t="shared" si="57"/>
        <v>161</v>
      </c>
      <c r="R49" s="55">
        <f ca="1">IFERROR(__xludf.DUMMYFUNCTION("IFERROR(VLOOKUP($B$2,IMPORTRANGE(""https://docs.google.com/spreadsheets/d/1iVgg6Mw12RULLujzHmfOFIY8Q_KaAD8anoZzgtVAQ74/edit#gid=1503384807"",""Second Star - Summary!A1:AD2000""),9,FALSE),"""")"),120)</f>
        <v>120</v>
      </c>
      <c r="S49" s="53">
        <f ca="1">IFERROR(__xludf.DUMMYFUNCTION("IFERROR(VLOOKUP($B$2,IMPORTRANGE(""https://docs.google.com/spreadsheets/d/1iVgg6Mw12RULLujzHmfOFIY8Q_KaAD8anoZzgtVAQ74/edit#gid=1503384807"",""Second Star - Summary!A1:AD2000""),28,FALSE),"""")"),64)</f>
        <v>64</v>
      </c>
      <c r="T49" s="54">
        <f ca="1">IFERROR(__xludf.DUMMYFUNCTION("IFERROR(VLOOKUP($B$2,IMPORTRANGE(""https://docs.google.com/spreadsheets/d/1iVgg6Mw12RULLujzHmfOFIY8Q_KaAD8anoZzgtVAQ74/edit#gid=1503384807"",""Second Star - Summary!A1:AD2000""),29,FALSE),"""")"),44322)</f>
        <v>44322</v>
      </c>
      <c r="U49" s="55">
        <v>0</v>
      </c>
      <c r="V49" s="55">
        <f t="shared" si="58"/>
        <v>0</v>
      </c>
      <c r="W49" s="55">
        <f t="shared" si="59"/>
        <v>0</v>
      </c>
      <c r="X49" s="55">
        <v>0</v>
      </c>
      <c r="Y49" s="55" t="s">
        <v>35</v>
      </c>
      <c r="Z49" s="56">
        <f t="shared" si="65"/>
        <v>-2.4</v>
      </c>
      <c r="AA49" s="55">
        <v>0.169936</v>
      </c>
      <c r="AB49" s="55">
        <f t="shared" si="61"/>
        <v>-4.8941568000000002</v>
      </c>
      <c r="AC49" s="55">
        <v>-7.32</v>
      </c>
      <c r="AD49" s="55">
        <v>-4.34052743589743</v>
      </c>
      <c r="AE49" s="55"/>
      <c r="AF49" s="55">
        <v>1.09644670050761</v>
      </c>
    </row>
    <row r="50" spans="1:32" s="57" customFormat="1" ht="15.75" customHeight="1">
      <c r="A50" s="2" t="s">
        <v>119</v>
      </c>
      <c r="B50" s="2" t="s">
        <v>977</v>
      </c>
      <c r="C50" s="51">
        <f t="shared" si="50"/>
        <v>14</v>
      </c>
      <c r="D50" s="51">
        <v>2</v>
      </c>
      <c r="E50" s="51">
        <v>0</v>
      </c>
      <c r="F50" s="51">
        <v>28</v>
      </c>
      <c r="G50" s="51">
        <v>0</v>
      </c>
      <c r="H50" s="51">
        <f t="shared" si="51"/>
        <v>0</v>
      </c>
      <c r="I50" s="51">
        <f t="shared" si="52"/>
        <v>-7.0290473992673561E-2</v>
      </c>
      <c r="J50" s="51">
        <f t="shared" si="70"/>
        <v>-1.9681332717948599</v>
      </c>
      <c r="K50" s="51">
        <f t="shared" si="54"/>
        <v>-0.98406663589742993</v>
      </c>
      <c r="L50" s="51">
        <v>11</v>
      </c>
      <c r="M50" s="51">
        <f t="shared" si="55"/>
        <v>0.18181818181818182</v>
      </c>
      <c r="N50" s="51">
        <v>90</v>
      </c>
      <c r="O50" s="51">
        <f t="shared" ref="O50:P50" si="72">D50/7</f>
        <v>0.2857142857142857</v>
      </c>
      <c r="P50" s="51">
        <f t="shared" si="72"/>
        <v>0</v>
      </c>
      <c r="Q50" s="51">
        <f t="shared" si="57"/>
        <v>315</v>
      </c>
      <c r="R50" s="55">
        <f ca="1">IFERROR(__xludf.DUMMYFUNCTION("IFERROR(VLOOKUP($B$2,IMPORTRANGE(""https://docs.google.com/spreadsheets/d/1iVgg6Mw12RULLujzHmfOFIY8Q_KaAD8anoZzgtVAQ74/edit#gid=1503384807"",""Second Star - Summary!A1:AD2000""),9,FALSE),"""")"),120)</f>
        <v>120</v>
      </c>
      <c r="S50" s="53">
        <f ca="1">IFERROR(__xludf.DUMMYFUNCTION("IFERROR(VLOOKUP($B$2,IMPORTRANGE(""https://docs.google.com/spreadsheets/d/1iVgg6Mw12RULLujzHmfOFIY8Q_KaAD8anoZzgtVAQ74/edit#gid=1503384807"",""Second Star - Summary!A1:AD2000""),28,FALSE),"""")"),64)</f>
        <v>64</v>
      </c>
      <c r="T50" s="54">
        <f ca="1">IFERROR(__xludf.DUMMYFUNCTION("IFERROR(VLOOKUP($B$2,IMPORTRANGE(""https://docs.google.com/spreadsheets/d/1iVgg6Mw12RULLujzHmfOFIY8Q_KaAD8anoZzgtVAQ74/edit#gid=1503384807"",""Second Star - Summary!A1:AD2000""),29,FALSE),"""")"),44322)</f>
        <v>44322</v>
      </c>
      <c r="U50" s="55">
        <v>0</v>
      </c>
      <c r="V50" s="55">
        <f t="shared" si="58"/>
        <v>0</v>
      </c>
      <c r="W50" s="55">
        <f t="shared" si="59"/>
        <v>0</v>
      </c>
      <c r="X50" s="55">
        <v>0</v>
      </c>
      <c r="Y50" s="55" t="s">
        <v>35</v>
      </c>
      <c r="Z50" s="56">
        <f t="shared" si="65"/>
        <v>-2.4</v>
      </c>
      <c r="AA50" s="55">
        <v>0.169936</v>
      </c>
      <c r="AB50" s="55">
        <f t="shared" si="61"/>
        <v>-2.4470784000000001</v>
      </c>
      <c r="AC50" s="55">
        <v>-7.32</v>
      </c>
      <c r="AD50" s="55">
        <v>-4.34052743589743</v>
      </c>
      <c r="AE50" s="55">
        <v>0</v>
      </c>
      <c r="AF50" s="55">
        <v>1.1428571428571399</v>
      </c>
    </row>
    <row r="51" spans="1:32" s="57" customFormat="1" ht="15.75" customHeight="1">
      <c r="A51" s="2" t="s">
        <v>121</v>
      </c>
      <c r="B51" s="2" t="s">
        <v>978</v>
      </c>
      <c r="C51" s="51" t="str">
        <f t="shared" si="50"/>
        <v xml:space="preserve"> - </v>
      </c>
      <c r="D51" s="51">
        <v>0</v>
      </c>
      <c r="E51" s="51">
        <v>0</v>
      </c>
      <c r="F51" s="51">
        <v>0</v>
      </c>
      <c r="G51" s="51">
        <v>0</v>
      </c>
      <c r="H51" s="51" t="e">
        <f t="shared" si="51"/>
        <v>#DIV/0!</v>
      </c>
      <c r="I51" s="51" t="e">
        <f t="shared" si="52"/>
        <v>#DIV/0!</v>
      </c>
      <c r="J51" s="51">
        <f t="shared" si="70"/>
        <v>0</v>
      </c>
      <c r="K51" s="51" t="e">
        <f t="shared" si="54"/>
        <v>#DIV/0!</v>
      </c>
      <c r="L51" s="51">
        <v>0</v>
      </c>
      <c r="M51" s="51" t="str">
        <f t="shared" si="55"/>
        <v>-</v>
      </c>
      <c r="N51" s="51">
        <v>90</v>
      </c>
      <c r="O51" s="51">
        <f t="shared" ref="O51:P51" si="73">D51/7</f>
        <v>0</v>
      </c>
      <c r="P51" s="51">
        <f t="shared" si="73"/>
        <v>0</v>
      </c>
      <c r="Q51" s="51" t="e">
        <f t="shared" si="57"/>
        <v>#DIV/0!</v>
      </c>
      <c r="R51" s="55">
        <f ca="1">IFERROR(__xludf.DUMMYFUNCTION("IFERROR(VLOOKUP($B$2,IMPORTRANGE(""https://docs.google.com/spreadsheets/d/1iVgg6Mw12RULLujzHmfOFIY8Q_KaAD8anoZzgtVAQ74/edit#gid=1503384807"",""Second Star - Summary!A1:AD2000""),9,FALSE),"""")"),120)</f>
        <v>120</v>
      </c>
      <c r="S51" s="53">
        <f ca="1">IFERROR(__xludf.DUMMYFUNCTION("IFERROR(VLOOKUP($B$2,IMPORTRANGE(""https://docs.google.com/spreadsheets/d/1iVgg6Mw12RULLujzHmfOFIY8Q_KaAD8anoZzgtVAQ74/edit#gid=1503384807"",""Second Star - Summary!A1:AD2000""),28,FALSE),"""")"),64)</f>
        <v>64</v>
      </c>
      <c r="T51" s="54">
        <f ca="1">IFERROR(__xludf.DUMMYFUNCTION("IFERROR(VLOOKUP($B$2,IMPORTRANGE(""https://docs.google.com/spreadsheets/d/1iVgg6Mw12RULLujzHmfOFIY8Q_KaAD8anoZzgtVAQ74/edit#gid=1503384807"",""Second Star - Summary!A1:AD2000""),29,FALSE),"""")"),44322)</f>
        <v>44322</v>
      </c>
      <c r="U51" s="55">
        <v>0</v>
      </c>
      <c r="V51" s="55">
        <f t="shared" si="58"/>
        <v>0</v>
      </c>
      <c r="W51" s="55">
        <f t="shared" si="59"/>
        <v>0</v>
      </c>
      <c r="X51" s="55">
        <v>0</v>
      </c>
      <c r="Y51" s="55" t="s">
        <v>35</v>
      </c>
      <c r="Z51" s="56">
        <f t="shared" si="65"/>
        <v>-2.4</v>
      </c>
      <c r="AA51" s="55">
        <v>0.169936</v>
      </c>
      <c r="AB51" s="55">
        <f t="shared" si="61"/>
        <v>0</v>
      </c>
      <c r="AC51" s="55">
        <v>-7.32</v>
      </c>
      <c r="AD51" s="55">
        <v>-4.34052743589743</v>
      </c>
      <c r="AE51" s="55">
        <v>0</v>
      </c>
      <c r="AF51" s="55">
        <v>1.2021857923497199</v>
      </c>
    </row>
    <row r="52" spans="1:32" s="57" customFormat="1" ht="15.75" customHeight="1">
      <c r="A52" s="2" t="s">
        <v>123</v>
      </c>
      <c r="B52" s="2" t="s">
        <v>979</v>
      </c>
      <c r="C52" s="51">
        <f t="shared" si="50"/>
        <v>16</v>
      </c>
      <c r="D52" s="51">
        <v>2</v>
      </c>
      <c r="E52" s="51">
        <v>0</v>
      </c>
      <c r="F52" s="51">
        <v>32</v>
      </c>
      <c r="G52" s="51">
        <v>-9.49</v>
      </c>
      <c r="H52" s="51">
        <f t="shared" si="51"/>
        <v>0.29656250000000001</v>
      </c>
      <c r="I52" s="51">
        <f t="shared" si="52"/>
        <v>-0.25181666474358938</v>
      </c>
      <c r="J52" s="51">
        <f t="shared" si="70"/>
        <v>-8.0581332717948602</v>
      </c>
      <c r="K52" s="51">
        <f t="shared" si="54"/>
        <v>-4.0290666358974301</v>
      </c>
      <c r="L52" s="51">
        <v>11</v>
      </c>
      <c r="M52" s="51">
        <f t="shared" si="55"/>
        <v>0.18181818181818182</v>
      </c>
      <c r="N52" s="51">
        <v>85</v>
      </c>
      <c r="O52" s="51">
        <f t="shared" ref="O52:P52" si="74">D52/7</f>
        <v>0.2857142857142857</v>
      </c>
      <c r="P52" s="51">
        <f t="shared" si="74"/>
        <v>0</v>
      </c>
      <c r="Q52" s="51">
        <f t="shared" si="57"/>
        <v>297</v>
      </c>
      <c r="R52" s="55">
        <f ca="1">IFERROR(__xludf.DUMMYFUNCTION("IFERROR(VLOOKUP($B$2,IMPORTRANGE(""https://docs.google.com/spreadsheets/d/1iVgg6Mw12RULLujzHmfOFIY8Q_KaAD8anoZzgtVAQ74/edit#gid=1503384807"",""Second Star - Summary!A1:AD2000""),9,FALSE),"""")"),120)</f>
        <v>120</v>
      </c>
      <c r="S52" s="53">
        <f ca="1">IFERROR(__xludf.DUMMYFUNCTION("IFERROR(VLOOKUP($B$2,IMPORTRANGE(""https://docs.google.com/spreadsheets/d/1iVgg6Mw12RULLujzHmfOFIY8Q_KaAD8anoZzgtVAQ74/edit#gid=1503384807"",""Second Star - Summary!A1:AD2000""),28,FALSE),"""")"),64)</f>
        <v>64</v>
      </c>
      <c r="T52" s="54">
        <f ca="1">IFERROR(__xludf.DUMMYFUNCTION("IFERROR(VLOOKUP($B$2,IMPORTRANGE(""https://docs.google.com/spreadsheets/d/1iVgg6Mw12RULLujzHmfOFIY8Q_KaAD8anoZzgtVAQ74/edit#gid=1503384807"",""Second Star - Summary!A1:AD2000""),29,FALSE),"""")"),44322)</f>
        <v>44322</v>
      </c>
      <c r="U52" s="55">
        <v>0</v>
      </c>
      <c r="V52" s="55">
        <f t="shared" si="58"/>
        <v>0</v>
      </c>
      <c r="W52" s="55">
        <f t="shared" si="59"/>
        <v>4.7450000000000001</v>
      </c>
      <c r="X52" s="55">
        <v>2</v>
      </c>
      <c r="Y52" s="55" t="s">
        <v>35</v>
      </c>
      <c r="Z52" s="56">
        <f t="shared" si="65"/>
        <v>-2.4</v>
      </c>
      <c r="AA52" s="55">
        <v>0.169936</v>
      </c>
      <c r="AB52" s="55">
        <f t="shared" si="61"/>
        <v>-2.4470784000000001</v>
      </c>
      <c r="AC52" s="55">
        <v>-7.32</v>
      </c>
      <c r="AD52" s="55">
        <v>-4.34052743589743</v>
      </c>
      <c r="AE52" s="55">
        <v>0</v>
      </c>
      <c r="AF52" s="55">
        <v>1.3095238095238</v>
      </c>
    </row>
    <row r="53" spans="1:32" s="57" customFormat="1">
      <c r="A53" s="2" t="s">
        <v>38</v>
      </c>
      <c r="B53" s="2" t="s">
        <v>980</v>
      </c>
      <c r="C53" s="51">
        <f t="shared" si="50"/>
        <v>15.783571428571429</v>
      </c>
      <c r="D53" s="51">
        <v>14</v>
      </c>
      <c r="E53" s="51">
        <v>0</v>
      </c>
      <c r="F53" s="51">
        <v>220.97</v>
      </c>
      <c r="G53" s="51">
        <v>-31.279999999999994</v>
      </c>
      <c r="H53" s="51">
        <f t="shared" si="51"/>
        <v>0.1415576775127845</v>
      </c>
      <c r="I53" s="51">
        <f t="shared" si="52"/>
        <v>-0.107853703681785</v>
      </c>
      <c r="J53" s="51">
        <f t="shared" si="70"/>
        <v>-23.83243290256403</v>
      </c>
      <c r="K53" s="51">
        <f t="shared" si="54"/>
        <v>-1.7023166358974307</v>
      </c>
      <c r="L53" s="51">
        <v>36</v>
      </c>
      <c r="M53" s="51">
        <f t="shared" si="55"/>
        <v>0.3888888888888889</v>
      </c>
      <c r="N53" s="51">
        <v>68</v>
      </c>
      <c r="O53" s="51">
        <f t="shared" ref="O53:P53" si="75">D53/7</f>
        <v>2</v>
      </c>
      <c r="P53" s="51">
        <f t="shared" si="75"/>
        <v>0</v>
      </c>
      <c r="Q53" s="51">
        <f t="shared" si="57"/>
        <v>34</v>
      </c>
      <c r="R53" s="55">
        <f ca="1">IFERROR(__xludf.DUMMYFUNCTION("IFERROR(VLOOKUP($B$2,IMPORTRANGE(""https://docs.google.com/spreadsheets/d/1iVgg6Mw12RULLujzHmfOFIY8Q_KaAD8anoZzgtVAQ74/edit#gid=1503384807"",""Second Star - Summary!A1:AD2000""),9,FALSE),"""")"),120)</f>
        <v>120</v>
      </c>
      <c r="S53" s="53">
        <f ca="1">IFERROR(__xludf.DUMMYFUNCTION("IFERROR(VLOOKUP($B$2,IMPORTRANGE(""https://docs.google.com/spreadsheets/d/1iVgg6Mw12RULLujzHmfOFIY8Q_KaAD8anoZzgtVAQ74/edit#gid=1503384807"",""Second Star - Summary!A1:AD2000""),28,FALSE),"""")"),64)</f>
        <v>64</v>
      </c>
      <c r="T53" s="54">
        <f ca="1">IFERROR(__xludf.DUMMYFUNCTION("IFERROR(VLOOKUP($B$2,IMPORTRANGE(""https://docs.google.com/spreadsheets/d/1iVgg6Mw12RULLujzHmfOFIY8Q_KaAD8anoZzgtVAQ74/edit#gid=1503384807"",""Second Star - Summary!A1:AD2000""),29,FALSE),"""")"),44322)</f>
        <v>44322</v>
      </c>
      <c r="U53" s="55">
        <v>7</v>
      </c>
      <c r="V53" s="55">
        <f t="shared" si="58"/>
        <v>0.5</v>
      </c>
      <c r="W53" s="55">
        <f t="shared" si="59"/>
        <v>3.1279999999999992</v>
      </c>
      <c r="X53" s="55">
        <v>3</v>
      </c>
      <c r="Y53" s="55" t="s">
        <v>35</v>
      </c>
      <c r="Z53" s="56">
        <f t="shared" si="65"/>
        <v>-2.4</v>
      </c>
      <c r="AA53" s="55">
        <v>0.169936</v>
      </c>
      <c r="AB53" s="55">
        <f t="shared" si="61"/>
        <v>-17.129548800000002</v>
      </c>
      <c r="AC53" s="55">
        <v>-7.32</v>
      </c>
      <c r="AD53" s="55">
        <v>-4.34052743589743</v>
      </c>
      <c r="AE53" s="55">
        <v>0</v>
      </c>
      <c r="AF53" s="55">
        <v>0.99591836734693795</v>
      </c>
    </row>
    <row r="54" spans="1:32" s="57" customFormat="1">
      <c r="A54" s="2" t="s">
        <v>40</v>
      </c>
      <c r="B54" s="2" t="s">
        <v>981</v>
      </c>
      <c r="C54" s="51">
        <f t="shared" si="50"/>
        <v>15.258947368421053</v>
      </c>
      <c r="D54" s="51">
        <v>19</v>
      </c>
      <c r="E54" s="51">
        <v>0</v>
      </c>
      <c r="F54" s="51">
        <v>289.92</v>
      </c>
      <c r="G54" s="51">
        <v>-37.06</v>
      </c>
      <c r="H54" s="51">
        <f t="shared" si="51"/>
        <v>0.12782836644591611</v>
      </c>
      <c r="I54" s="51">
        <f t="shared" si="52"/>
        <v>-0.12218979746844359</v>
      </c>
      <c r="J54" s="51">
        <f t="shared" si="70"/>
        <v>-35.425266082051166</v>
      </c>
      <c r="K54" s="51">
        <f t="shared" si="54"/>
        <v>-1.8644876885290087</v>
      </c>
      <c r="L54" s="51">
        <v>79</v>
      </c>
      <c r="M54" s="51">
        <f t="shared" si="55"/>
        <v>0.24050632911392406</v>
      </c>
      <c r="N54" s="51">
        <v>47</v>
      </c>
      <c r="O54" s="51">
        <f t="shared" ref="O54:P54" si="76">D54/7</f>
        <v>2.7142857142857144</v>
      </c>
      <c r="P54" s="51">
        <f t="shared" si="76"/>
        <v>0</v>
      </c>
      <c r="Q54" s="51">
        <f t="shared" si="57"/>
        <v>17</v>
      </c>
      <c r="R54" s="55">
        <f ca="1">IFERROR(__xludf.DUMMYFUNCTION("IFERROR(VLOOKUP($B$2,IMPORTRANGE(""https://docs.google.com/spreadsheets/d/1iVgg6Mw12RULLujzHmfOFIY8Q_KaAD8anoZzgtVAQ74/edit#gid=1503384807"",""Second Star - Summary!A1:AD2000""),9,FALSE),"""")"),120)</f>
        <v>120</v>
      </c>
      <c r="S54" s="53">
        <f ca="1">IFERROR(__xludf.DUMMYFUNCTION("IFERROR(VLOOKUP($B$2,IMPORTRANGE(""https://docs.google.com/spreadsheets/d/1iVgg6Mw12RULLujzHmfOFIY8Q_KaAD8anoZzgtVAQ74/edit#gid=1503384807"",""Second Star - Summary!A1:AD2000""),28,FALSE),"""")"),64)</f>
        <v>64</v>
      </c>
      <c r="T54" s="54">
        <f ca="1">IFERROR(__xludf.DUMMYFUNCTION("IFERROR(VLOOKUP($B$2,IMPORTRANGE(""https://docs.google.com/spreadsheets/d/1iVgg6Mw12RULLujzHmfOFIY8Q_KaAD8anoZzgtVAQ74/edit#gid=1503384807"",""Second Star - Summary!A1:AD2000""),29,FALSE),"""")"),44322)</f>
        <v>44322</v>
      </c>
      <c r="U54" s="55">
        <v>6</v>
      </c>
      <c r="V54" s="55">
        <f t="shared" si="58"/>
        <v>0.31578947368421051</v>
      </c>
      <c r="W54" s="55">
        <f t="shared" si="59"/>
        <v>3.3690909090909091</v>
      </c>
      <c r="X54" s="55">
        <v>5</v>
      </c>
      <c r="Y54" s="55" t="s">
        <v>35</v>
      </c>
      <c r="Z54" s="56">
        <f t="shared" si="65"/>
        <v>-2.4</v>
      </c>
      <c r="AA54" s="55">
        <v>0.169936</v>
      </c>
      <c r="AB54" s="55">
        <f t="shared" si="61"/>
        <v>-23.247244800000001</v>
      </c>
      <c r="AC54" s="55">
        <v>-7.32</v>
      </c>
      <c r="AD54" s="55">
        <v>-4.34052743589743</v>
      </c>
      <c r="AE54" s="55">
        <v>0</v>
      </c>
      <c r="AF54" s="55">
        <v>1.35796766743648</v>
      </c>
    </row>
    <row r="55" spans="1:32" s="57" customFormat="1" ht="15.75" customHeight="1">
      <c r="A55" s="2" t="s">
        <v>32</v>
      </c>
      <c r="B55" s="2"/>
      <c r="C55" s="51">
        <f t="shared" si="50"/>
        <v>15</v>
      </c>
      <c r="D55" s="51">
        <v>11</v>
      </c>
      <c r="E55" s="51">
        <v>0</v>
      </c>
      <c r="F55" s="51">
        <v>165</v>
      </c>
      <c r="G55" s="51">
        <v>-20.68</v>
      </c>
      <c r="H55" s="51">
        <f t="shared" si="51"/>
        <v>0.12533333333333332</v>
      </c>
      <c r="I55" s="51">
        <f t="shared" si="52"/>
        <v>-0.13427110905982881</v>
      </c>
      <c r="J55" s="51">
        <f t="shared" si="70"/>
        <v>-22.154732994871754</v>
      </c>
      <c r="K55" s="51">
        <f t="shared" si="54"/>
        <v>-2.0140666358974322</v>
      </c>
      <c r="L55" s="51">
        <v>42</v>
      </c>
      <c r="M55" s="51">
        <f t="shared" si="55"/>
        <v>0.26190476190476192</v>
      </c>
      <c r="N55" s="51">
        <v>35</v>
      </c>
      <c r="O55" s="51">
        <f t="shared" ref="O55:P55" si="77">D55/7</f>
        <v>1.5714285714285714</v>
      </c>
      <c r="P55" s="51">
        <f t="shared" si="77"/>
        <v>0</v>
      </c>
      <c r="Q55" s="51">
        <f t="shared" si="57"/>
        <v>22</v>
      </c>
      <c r="R55" s="55">
        <v>120</v>
      </c>
      <c r="S55" s="53" t="s">
        <v>34</v>
      </c>
      <c r="T55" s="54" t="s">
        <v>34</v>
      </c>
      <c r="U55" s="55">
        <v>1</v>
      </c>
      <c r="V55" s="55">
        <f t="shared" si="58"/>
        <v>9.0909090909090912E-2</v>
      </c>
      <c r="W55" s="55">
        <f t="shared" si="59"/>
        <v>4.1360000000000001</v>
      </c>
      <c r="X55" s="55">
        <v>4</v>
      </c>
      <c r="Y55" s="55" t="s">
        <v>35</v>
      </c>
      <c r="Z55" s="56">
        <f t="shared" si="65"/>
        <v>-2.4</v>
      </c>
      <c r="AA55" s="55">
        <v>0.169936</v>
      </c>
      <c r="AB55" s="55">
        <f t="shared" si="61"/>
        <v>-13.458931199999999</v>
      </c>
      <c r="AC55" s="55">
        <v>-7.32</v>
      </c>
      <c r="AD55" s="55">
        <v>-4.34052743589743</v>
      </c>
      <c r="AE55" s="55">
        <v>0</v>
      </c>
      <c r="AF55" s="55">
        <v>1.31958762886597</v>
      </c>
    </row>
    <row r="56" spans="1:32" s="57" customFormat="1" ht="15.75" customHeight="1">
      <c r="A56" s="2" t="s">
        <v>36</v>
      </c>
      <c r="B56" s="31" t="s">
        <v>963</v>
      </c>
      <c r="C56" s="51">
        <f t="shared" si="50"/>
        <v>15</v>
      </c>
      <c r="D56" s="51">
        <v>2</v>
      </c>
      <c r="E56" s="51">
        <v>0</v>
      </c>
      <c r="F56" s="51">
        <v>30</v>
      </c>
      <c r="G56" s="51">
        <v>0</v>
      </c>
      <c r="H56" s="51">
        <f t="shared" si="51"/>
        <v>0</v>
      </c>
      <c r="I56" s="51">
        <f t="shared" si="52"/>
        <v>-8.937775726495352E-3</v>
      </c>
      <c r="J56" s="51">
        <f t="shared" si="70"/>
        <v>-0.26813327179486057</v>
      </c>
      <c r="K56" s="51">
        <f t="shared" si="54"/>
        <v>-0.13406663589743029</v>
      </c>
      <c r="L56" s="51">
        <v>9</v>
      </c>
      <c r="M56" s="51">
        <f t="shared" si="55"/>
        <v>0.22222222222222221</v>
      </c>
      <c r="N56" s="51">
        <v>32</v>
      </c>
      <c r="O56" s="51">
        <f t="shared" ref="O56:P56" si="78">D56/7</f>
        <v>0.2857142857142857</v>
      </c>
      <c r="P56" s="51">
        <f t="shared" si="78"/>
        <v>0</v>
      </c>
      <c r="Q56" s="51">
        <f t="shared" si="57"/>
        <v>112</v>
      </c>
      <c r="R56" s="55">
        <f ca="1">IFERROR(__xludf.DUMMYFUNCTION("IFERROR(VLOOKUP($B$2,IMPORTRANGE(""https://docs.google.com/spreadsheets/d/1iVgg6Mw12RULLujzHmfOFIY8Q_KaAD8anoZzgtVAQ74/edit#gid=1503384807"",""Second Star - Summary!A1:AD2000""),9,FALSE),"""")"),120)</f>
        <v>120</v>
      </c>
      <c r="S56" s="53">
        <f ca="1">IFERROR(__xludf.DUMMYFUNCTION("IFERROR(VLOOKUP($B$2,IMPORTRANGE(""https://docs.google.com/spreadsheets/d/1iVgg6Mw12RULLujzHmfOFIY8Q_KaAD8anoZzgtVAQ74/edit#gid=1503384807"",""Second Star - Summary!A1:AD2000""),28,FALSE),"""")"),64)</f>
        <v>64</v>
      </c>
      <c r="T56" s="54">
        <f ca="1">IFERROR(__xludf.DUMMYFUNCTION("IFERROR(VLOOKUP($B$2,IMPORTRANGE(""https://docs.google.com/spreadsheets/d/1iVgg6Mw12RULLujzHmfOFIY8Q_KaAD8anoZzgtVAQ74/edit#gid=1503384807"",""Second Star - Summary!A1:AD2000""),29,FALSE),"""")"),44322)</f>
        <v>44322</v>
      </c>
      <c r="U56" s="55">
        <v>0</v>
      </c>
      <c r="V56" s="55">
        <f t="shared" si="58"/>
        <v>0</v>
      </c>
      <c r="W56" s="55">
        <f t="shared" si="59"/>
        <v>0</v>
      </c>
      <c r="X56" s="55">
        <v>0</v>
      </c>
      <c r="Y56" s="55" t="s">
        <v>35</v>
      </c>
      <c r="Z56" s="56">
        <f t="shared" si="65"/>
        <v>-2.4</v>
      </c>
      <c r="AA56" s="55">
        <v>0.169936</v>
      </c>
      <c r="AB56" s="55">
        <f t="shared" si="61"/>
        <v>-2.4470784000000001</v>
      </c>
      <c r="AC56" s="55">
        <v>-7.32</v>
      </c>
      <c r="AD56" s="55">
        <v>-4.34052743589743</v>
      </c>
      <c r="AE56" s="55">
        <v>0</v>
      </c>
      <c r="AF56" s="55">
        <v>1.16091954022988</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173" priority="1" operator="lessThan">
      <formula>100</formula>
    </cfRule>
  </conditionalFormatting>
  <conditionalFormatting sqref="Q1:Q3 Q57:Q1000">
    <cfRule type="cellIs" dxfId="172" priority="2" operator="lessThan">
      <formula>100</formula>
    </cfRule>
  </conditionalFormatting>
  <conditionalFormatting sqref="I1:I3 I57:I1000">
    <cfRule type="cellIs" dxfId="171" priority="3" operator="lessThan">
      <formula>0.05</formula>
    </cfRule>
  </conditionalFormatting>
  <conditionalFormatting sqref="I4:I17">
    <cfRule type="cellIs" dxfId="170" priority="4" operator="lessThan">
      <formula>0.05</formula>
    </cfRule>
  </conditionalFormatting>
  <conditionalFormatting sqref="I18:I56">
    <cfRule type="cellIs" dxfId="169" priority="5" operator="lessThan">
      <formula>0.05</formula>
    </cfRule>
  </conditionalFormatting>
  <conditionalFormatting sqref="Q4:Q56">
    <cfRule type="cellIs" dxfId="168" priority="6" operator="lessThan">
      <formula>100</formula>
    </cfRule>
  </conditionalFormatting>
  <conditionalFormatting sqref="Q4:Q56">
    <cfRule type="cellIs" dxfId="167" priority="7" operator="lessThan">
      <formula>100</formula>
    </cfRule>
  </conditionalFormatting>
  <pageMargins left="0.7" right="0.7" top="0.75" bottom="0.75" header="0" footer="0"/>
  <pageSetup orientation="portrait"/>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2" width="17.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Info!B1:BJ5000""),4,FALSE),"""")"),"All Weather Cornhole Bean Bags - Set of 8 American Flag Bags for Corn Hole Toss Game - Regulation Size &amp; Weight - 4 Stars &amp; 4 Stripes")</f>
        <v>All Weather Cornhole Bean Bags - Set of 8 American Flag Bags for Corn Hole Toss Game - Regulation Size &amp; Weight - 4 Stars &amp; 4 Stripes</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Info!B1:BJ5000""),3,FALSE),"""")"),"B07VNNPVND")</f>
        <v>B07VNNPVND</v>
      </c>
      <c r="B2" s="4" t="s">
        <v>982</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12.38843815987933</v>
      </c>
      <c r="D3" s="8">
        <f>SUM(D4:D99819)</f>
        <v>677</v>
      </c>
      <c r="E3" s="8"/>
      <c r="F3" s="9">
        <f t="shared" ref="F3:G3" si="0">SUM(F4:F99819)</f>
        <v>12597.119999999999</v>
      </c>
      <c r="G3" s="9">
        <f t="shared" si="0"/>
        <v>-276.84999999999997</v>
      </c>
      <c r="H3" s="10">
        <f t="shared" ref="H3:H39" si="1">G3/F3*-1</f>
        <v>2.1977245592643396E-2</v>
      </c>
      <c r="I3" s="11">
        <f t="shared" ref="I3:I39" si="2">J3/F3</f>
        <v>0.1876474326375078</v>
      </c>
      <c r="J3" s="9">
        <f>SUM(J4:J99819)</f>
        <v>2363.817226626602</v>
      </c>
      <c r="K3" s="9">
        <f t="shared" ref="K3:K39" si="3">J3/D3</f>
        <v>3.4916059477497812</v>
      </c>
      <c r="L3" s="8"/>
      <c r="M3" s="12"/>
      <c r="N3" s="13"/>
      <c r="O3" s="8" t="str">
        <f ca="1">IFERROR(__xludf.DUMMYFUNCTION("IFERROR(VLOOKUP(B2,IMPORTRANGE(""https://docs.google.com/spreadsheets/d/1owCo6kL_VFQ5nPTdNogErmCBLjNiktT1m3SzTrxu3R0/edit#gid=2146806407"",""Second Star - Compiled!b1:g5000""),2,FALSE),"""")"),"3 - March
3 - April
3 - May
3 - Jun
3 - Jul
3 - Aug
3 - Sept
3 - Oct
3 - Nov
3 - Dec
3 - Jan
3 - Feb")</f>
        <v>3 - March
3 - April
3 - May
3 - Jun
3 - Jul
3 - Aug
3 - Sept
3 - Oct
3 - Nov
3 - Dec
3 - Jan
3 - Feb</v>
      </c>
      <c r="P3" s="8"/>
      <c r="Q3" s="14"/>
      <c r="R3" s="13"/>
      <c r="S3" s="13"/>
      <c r="T3" s="13"/>
      <c r="U3" s="8">
        <f>SUM(U4:U99819)</f>
        <v>76</v>
      </c>
      <c r="V3" s="10">
        <f>AVERAGE(V4:V99819)</f>
        <v>6.5545657408678071E-2</v>
      </c>
      <c r="W3" s="9">
        <f>ROUND(AVERAGE(W4:W99819),2)</f>
        <v>1.58</v>
      </c>
      <c r="X3" s="8"/>
      <c r="Y3" s="8"/>
      <c r="Z3" s="8"/>
      <c r="AA3" s="8"/>
      <c r="AB3" s="8"/>
      <c r="AC3" s="15"/>
      <c r="AD3" s="9"/>
      <c r="AE3" s="9">
        <f>SUM(AE4:AE99819)</f>
        <v>-11.74</v>
      </c>
      <c r="AF3" s="16"/>
    </row>
    <row r="4" spans="1:32" s="57" customFormat="1">
      <c r="A4" s="17" t="s">
        <v>48</v>
      </c>
      <c r="B4" s="2" t="s">
        <v>810</v>
      </c>
      <c r="C4" s="50">
        <v>15.99</v>
      </c>
      <c r="D4" s="51">
        <v>7</v>
      </c>
      <c r="E4" s="51">
        <v>0</v>
      </c>
      <c r="F4" s="51">
        <v>111.92999999999999</v>
      </c>
      <c r="G4" s="51">
        <v>-14.28</v>
      </c>
      <c r="H4" s="51">
        <f t="shared" si="1"/>
        <v>0.12757973733583489</v>
      </c>
      <c r="I4" s="51">
        <f t="shared" si="2"/>
        <v>-2.9791656644394802E-4</v>
      </c>
      <c r="J4" s="51">
        <f t="shared" ref="J4:J38" si="4">F4*0.85+G4+AD4*D4+D4*AC4+AE4+AB4</f>
        <v>-3.3345801282071097E-2</v>
      </c>
      <c r="K4" s="51">
        <f t="shared" si="3"/>
        <v>-4.7636858974387285E-3</v>
      </c>
      <c r="L4" s="51">
        <v>24</v>
      </c>
      <c r="M4" s="51">
        <f t="shared" ref="M4:M39" si="5">IFERROR(D4/L4,"-")</f>
        <v>0.29166666666666669</v>
      </c>
      <c r="N4" s="51">
        <v>72</v>
      </c>
      <c r="O4" s="51">
        <f t="shared" ref="O4:P4" si="6">D4/7</f>
        <v>1</v>
      </c>
      <c r="P4" s="51">
        <f t="shared" si="6"/>
        <v>0</v>
      </c>
      <c r="Q4" s="51">
        <f t="shared" ref="Q4:Q39" si="7">ROUNDDOWN(N4/(O4+P4),0)</f>
        <v>72</v>
      </c>
      <c r="R4" s="52">
        <v>1052</v>
      </c>
      <c r="S4" s="53">
        <v>300</v>
      </c>
      <c r="T4" s="54">
        <v>43876</v>
      </c>
      <c r="U4" s="52">
        <v>1</v>
      </c>
      <c r="V4" s="55">
        <f t="shared" ref="V4:V39" si="8">IFERROR(U4/D4,0)</f>
        <v>0.14285714285714285</v>
      </c>
      <c r="W4" s="55">
        <f t="shared" ref="W4:W39" si="9">IFERROR(G4/(U4+X4)*-1,0)</f>
        <v>14.28</v>
      </c>
      <c r="X4" s="52">
        <v>0</v>
      </c>
      <c r="Y4" s="56" t="s">
        <v>35</v>
      </c>
      <c r="Z4" s="56">
        <f t="shared" ref="Z4:Z10" si="10">IF(OR(Y4="UsLargeStandardSize",Y4="UsSmallStandardSize"),-0.69,-0.48)</f>
        <v>-0.69</v>
      </c>
      <c r="AA4" s="55">
        <v>0.12624305555555557</v>
      </c>
      <c r="AB4" s="55">
        <f t="shared" ref="AB4:AB17" si="11">IFERROR((Z4*AA4*N4)/4,0)</f>
        <v>-1.5679387500000002</v>
      </c>
      <c r="AC4" s="55">
        <v>-7.16</v>
      </c>
      <c r="AD4" s="55">
        <v>-4.1722724358974359</v>
      </c>
      <c r="AE4" s="55">
        <v>0</v>
      </c>
      <c r="AF4" s="55"/>
    </row>
    <row r="5" spans="1:32" s="57" customFormat="1" ht="15.75" customHeight="1">
      <c r="A5" s="2" t="s">
        <v>49</v>
      </c>
      <c r="B5" s="2" t="s">
        <v>810</v>
      </c>
      <c r="C5" s="51">
        <v>15.99</v>
      </c>
      <c r="D5" s="51">
        <v>7</v>
      </c>
      <c r="E5" s="51">
        <v>0</v>
      </c>
      <c r="F5" s="51">
        <v>111.92999999999999</v>
      </c>
      <c r="G5" s="51">
        <v>-7.51</v>
      </c>
      <c r="H5" s="51">
        <f t="shared" si="1"/>
        <v>6.709550611989637E-2</v>
      </c>
      <c r="I5" s="51">
        <f t="shared" si="2"/>
        <v>6.0769989993459526E-2</v>
      </c>
      <c r="J5" s="51">
        <f t="shared" si="4"/>
        <v>6.8019849799679246</v>
      </c>
      <c r="K5" s="51">
        <f t="shared" si="3"/>
        <v>0.97171213999541783</v>
      </c>
      <c r="L5" s="51">
        <v>31</v>
      </c>
      <c r="M5" s="51">
        <f t="shared" si="5"/>
        <v>0.22580645161290322</v>
      </c>
      <c r="N5" s="51">
        <v>69</v>
      </c>
      <c r="O5" s="51">
        <f t="shared" ref="O5:P5" si="12">D5/7</f>
        <v>1</v>
      </c>
      <c r="P5" s="51">
        <f t="shared" si="12"/>
        <v>0</v>
      </c>
      <c r="Q5" s="51">
        <f t="shared" si="7"/>
        <v>69</v>
      </c>
      <c r="R5" s="55">
        <v>1052</v>
      </c>
      <c r="S5" s="53">
        <v>300</v>
      </c>
      <c r="T5" s="54">
        <v>43876</v>
      </c>
      <c r="U5" s="55">
        <v>2</v>
      </c>
      <c r="V5" s="55">
        <f t="shared" si="8"/>
        <v>0.2857142857142857</v>
      </c>
      <c r="W5" s="55">
        <f t="shared" si="9"/>
        <v>3.7549999999999999</v>
      </c>
      <c r="X5" s="55">
        <v>0</v>
      </c>
      <c r="Y5" s="55" t="s">
        <v>35</v>
      </c>
      <c r="Z5" s="56">
        <f t="shared" si="10"/>
        <v>-0.69</v>
      </c>
      <c r="AA5" s="55">
        <v>0.12624305555555557</v>
      </c>
      <c r="AB5" s="55">
        <f t="shared" si="11"/>
        <v>-1.50260796875</v>
      </c>
      <c r="AC5" s="55">
        <v>-7.16</v>
      </c>
      <c r="AD5" s="55">
        <v>-4.1722724358974359</v>
      </c>
      <c r="AE5" s="55">
        <v>0</v>
      </c>
      <c r="AF5" s="55"/>
    </row>
    <row r="6" spans="1:32" s="57" customFormat="1" ht="15.75" customHeight="1">
      <c r="A6" s="2" t="s">
        <v>51</v>
      </c>
      <c r="B6" s="2" t="s">
        <v>810</v>
      </c>
      <c r="C6" s="51">
        <v>15.99</v>
      </c>
      <c r="D6" s="51">
        <v>5</v>
      </c>
      <c r="E6" s="51">
        <v>0</v>
      </c>
      <c r="F6" s="51">
        <v>79.95</v>
      </c>
      <c r="G6" s="51">
        <v>-10.89</v>
      </c>
      <c r="H6" s="51">
        <f t="shared" si="1"/>
        <v>0.13621013133208254</v>
      </c>
      <c r="I6" s="51">
        <f t="shared" si="2"/>
        <v>-1.1535393765735029E-2</v>
      </c>
      <c r="J6" s="51">
        <f t="shared" si="4"/>
        <v>-0.92225473157051563</v>
      </c>
      <c r="K6" s="51">
        <f t="shared" si="3"/>
        <v>-0.18445094631410314</v>
      </c>
      <c r="L6" s="51">
        <v>30</v>
      </c>
      <c r="M6" s="51">
        <f t="shared" si="5"/>
        <v>0.16666666666666666</v>
      </c>
      <c r="N6" s="51">
        <v>61</v>
      </c>
      <c r="O6" s="51">
        <f t="shared" ref="O6:P6" si="13">D6/7</f>
        <v>0.7142857142857143</v>
      </c>
      <c r="P6" s="51">
        <f t="shared" si="13"/>
        <v>0</v>
      </c>
      <c r="Q6" s="51">
        <f t="shared" si="7"/>
        <v>85</v>
      </c>
      <c r="R6" s="55">
        <v>1052</v>
      </c>
      <c r="S6" s="53">
        <v>300</v>
      </c>
      <c r="T6" s="54">
        <v>43884</v>
      </c>
      <c r="U6" s="55">
        <v>0</v>
      </c>
      <c r="V6" s="55">
        <f t="shared" si="8"/>
        <v>0</v>
      </c>
      <c r="W6" s="55">
        <f t="shared" si="9"/>
        <v>0</v>
      </c>
      <c r="X6" s="55">
        <v>0</v>
      </c>
      <c r="Y6" s="55" t="s">
        <v>35</v>
      </c>
      <c r="Z6" s="56">
        <f t="shared" si="10"/>
        <v>-0.69</v>
      </c>
      <c r="AA6" s="55">
        <v>0.12624305555555557</v>
      </c>
      <c r="AB6" s="55">
        <f t="shared" si="11"/>
        <v>-1.3283925520833335</v>
      </c>
      <c r="AC6" s="55">
        <v>-7.16</v>
      </c>
      <c r="AD6" s="55">
        <v>-4.1722724358974359</v>
      </c>
      <c r="AE6" s="55">
        <v>0</v>
      </c>
      <c r="AF6" s="55"/>
    </row>
    <row r="7" spans="1:32" s="57" customFormat="1" ht="15.75" customHeight="1">
      <c r="A7" s="2" t="s">
        <v>53</v>
      </c>
      <c r="B7" s="2" t="s">
        <v>810</v>
      </c>
      <c r="C7" s="51">
        <v>15.99</v>
      </c>
      <c r="D7" s="51">
        <v>3</v>
      </c>
      <c r="E7" s="51">
        <v>0</v>
      </c>
      <c r="F7" s="51">
        <v>47.97</v>
      </c>
      <c r="G7" s="51">
        <v>-8.11</v>
      </c>
      <c r="H7" s="51">
        <f t="shared" si="1"/>
        <v>0.16906399833229102</v>
      </c>
      <c r="I7" s="51">
        <f t="shared" si="2"/>
        <v>-5.4558182314133362E-2</v>
      </c>
      <c r="J7" s="51">
        <f t="shared" si="4"/>
        <v>-2.6171560056089773</v>
      </c>
      <c r="K7" s="51">
        <f t="shared" si="3"/>
        <v>-0.87238533520299244</v>
      </c>
      <c r="L7" s="51">
        <v>22</v>
      </c>
      <c r="M7" s="51">
        <f t="shared" si="5"/>
        <v>0.13636363636363635</v>
      </c>
      <c r="N7" s="51">
        <v>59</v>
      </c>
      <c r="O7" s="51">
        <f t="shared" ref="O7:P7" si="14">D7/7</f>
        <v>0.42857142857142855</v>
      </c>
      <c r="P7" s="51">
        <f t="shared" si="14"/>
        <v>0</v>
      </c>
      <c r="Q7" s="51">
        <f t="shared" si="7"/>
        <v>137</v>
      </c>
      <c r="R7" s="55">
        <v>1052</v>
      </c>
      <c r="S7" s="53">
        <v>300</v>
      </c>
      <c r="T7" s="54">
        <v>43884</v>
      </c>
      <c r="U7" s="55">
        <v>2</v>
      </c>
      <c r="V7" s="55">
        <f t="shared" si="8"/>
        <v>0.66666666666666663</v>
      </c>
      <c r="W7" s="55">
        <f t="shared" si="9"/>
        <v>4.0549999999999997</v>
      </c>
      <c r="X7" s="55">
        <v>0</v>
      </c>
      <c r="Y7" s="55" t="s">
        <v>35</v>
      </c>
      <c r="Z7" s="56">
        <f t="shared" si="10"/>
        <v>-0.69</v>
      </c>
      <c r="AA7" s="55">
        <v>0.12624305555555557</v>
      </c>
      <c r="AB7" s="55">
        <f t="shared" si="11"/>
        <v>-1.2848386979166668</v>
      </c>
      <c r="AC7" s="55">
        <v>-7.16</v>
      </c>
      <c r="AD7" s="55">
        <v>-4.1722724358974359</v>
      </c>
      <c r="AE7" s="55">
        <v>0</v>
      </c>
      <c r="AF7" s="55"/>
    </row>
    <row r="8" spans="1:32" s="57" customFormat="1" ht="15.75" customHeight="1">
      <c r="A8" s="2" t="s">
        <v>54</v>
      </c>
      <c r="B8" s="2" t="s">
        <v>940</v>
      </c>
      <c r="C8" s="51">
        <v>15.99</v>
      </c>
      <c r="D8" s="51">
        <v>4</v>
      </c>
      <c r="E8" s="51">
        <v>0</v>
      </c>
      <c r="F8" s="51">
        <v>63.96</v>
      </c>
      <c r="G8" s="51">
        <v>-11.299999999999999</v>
      </c>
      <c r="H8" s="51">
        <f t="shared" si="1"/>
        <v>0.17667292057535958</v>
      </c>
      <c r="I8" s="51">
        <f t="shared" si="2"/>
        <v>-5.3428187601726213E-2</v>
      </c>
      <c r="J8" s="51">
        <f t="shared" si="4"/>
        <v>-3.4172668790064087</v>
      </c>
      <c r="K8" s="51">
        <f t="shared" si="3"/>
        <v>-0.85431671975160217</v>
      </c>
      <c r="L8" s="51">
        <v>15</v>
      </c>
      <c r="M8" s="51">
        <f t="shared" si="5"/>
        <v>0.26666666666666666</v>
      </c>
      <c r="N8" s="51">
        <v>53</v>
      </c>
      <c r="O8" s="51">
        <f t="shared" ref="O8:P8" si="15">D8/7</f>
        <v>0.5714285714285714</v>
      </c>
      <c r="P8" s="51">
        <f t="shared" si="15"/>
        <v>0</v>
      </c>
      <c r="Q8" s="51">
        <f t="shared" si="7"/>
        <v>92</v>
      </c>
      <c r="R8" s="55">
        <v>1052</v>
      </c>
      <c r="S8" s="53">
        <v>300</v>
      </c>
      <c r="T8" s="54">
        <v>43884</v>
      </c>
      <c r="U8" s="55">
        <v>1</v>
      </c>
      <c r="V8" s="55">
        <f t="shared" si="8"/>
        <v>0.25</v>
      </c>
      <c r="W8" s="55">
        <f t="shared" si="9"/>
        <v>11.299999999999999</v>
      </c>
      <c r="X8" s="55">
        <v>0</v>
      </c>
      <c r="Y8" s="55" t="s">
        <v>35</v>
      </c>
      <c r="Z8" s="56">
        <f t="shared" si="10"/>
        <v>-0.69</v>
      </c>
      <c r="AA8" s="55">
        <v>0.12624305555555557</v>
      </c>
      <c r="AB8" s="55">
        <f t="shared" si="11"/>
        <v>-1.1541771354166668</v>
      </c>
      <c r="AC8" s="55">
        <v>-7.16</v>
      </c>
      <c r="AD8" s="55">
        <v>-4.1722724358974359</v>
      </c>
      <c r="AE8" s="55">
        <v>0</v>
      </c>
      <c r="AF8" s="55"/>
    </row>
    <row r="9" spans="1:32" s="57" customFormat="1" ht="15.75" customHeight="1">
      <c r="A9" s="2" t="s">
        <v>56</v>
      </c>
      <c r="B9" s="2" t="s">
        <v>983</v>
      </c>
      <c r="C9" s="51">
        <v>15.99</v>
      </c>
      <c r="D9" s="51">
        <v>4</v>
      </c>
      <c r="E9" s="51">
        <v>0</v>
      </c>
      <c r="F9" s="51">
        <v>63.96</v>
      </c>
      <c r="G9" s="51">
        <v>-4.45</v>
      </c>
      <c r="H9" s="51">
        <f t="shared" si="1"/>
        <v>6.9574734208880551E-2</v>
      </c>
      <c r="I9" s="51">
        <f t="shared" si="2"/>
        <v>5.4010476048732263E-2</v>
      </c>
      <c r="J9" s="51">
        <f t="shared" si="4"/>
        <v>3.4545100480769158</v>
      </c>
      <c r="K9" s="51">
        <f t="shared" si="3"/>
        <v>0.86362751201922894</v>
      </c>
      <c r="L9" s="51">
        <v>18</v>
      </c>
      <c r="M9" s="51">
        <f t="shared" si="5"/>
        <v>0.22222222222222221</v>
      </c>
      <c r="N9" s="51">
        <v>52</v>
      </c>
      <c r="O9" s="51">
        <f t="shared" ref="O9:P9" si="16">D9/7</f>
        <v>0.5714285714285714</v>
      </c>
      <c r="P9" s="51">
        <f t="shared" si="16"/>
        <v>0</v>
      </c>
      <c r="Q9" s="51">
        <f t="shared" si="7"/>
        <v>91</v>
      </c>
      <c r="R9" s="55">
        <v>752</v>
      </c>
      <c r="S9" s="53">
        <v>300</v>
      </c>
      <c r="T9" s="54">
        <v>43881</v>
      </c>
      <c r="U9" s="55">
        <v>0</v>
      </c>
      <c r="V9" s="55">
        <f t="shared" si="8"/>
        <v>0</v>
      </c>
      <c r="W9" s="55">
        <f t="shared" si="9"/>
        <v>0</v>
      </c>
      <c r="X9" s="55">
        <v>0</v>
      </c>
      <c r="Y9" s="55" t="s">
        <v>35</v>
      </c>
      <c r="Z9" s="56">
        <f t="shared" si="10"/>
        <v>-0.69</v>
      </c>
      <c r="AA9" s="55">
        <v>0.12624305555555557</v>
      </c>
      <c r="AB9" s="55">
        <f t="shared" si="11"/>
        <v>-1.1324002083333333</v>
      </c>
      <c r="AC9" s="55">
        <v>-7.16</v>
      </c>
      <c r="AD9" s="55">
        <v>-4.1722724358974359</v>
      </c>
      <c r="AE9" s="55">
        <v>0</v>
      </c>
      <c r="AF9" s="55"/>
    </row>
    <row r="10" spans="1:32" s="57" customFormat="1" ht="15.75" customHeight="1">
      <c r="A10" s="2" t="s">
        <v>58</v>
      </c>
      <c r="B10" s="2" t="s">
        <v>983</v>
      </c>
      <c r="C10" s="51">
        <v>15.99</v>
      </c>
      <c r="D10" s="51">
        <v>4</v>
      </c>
      <c r="E10" s="51">
        <v>0</v>
      </c>
      <c r="F10" s="51">
        <v>63.96</v>
      </c>
      <c r="G10" s="51">
        <v>0</v>
      </c>
      <c r="H10" s="51">
        <f t="shared" si="1"/>
        <v>0</v>
      </c>
      <c r="I10" s="51">
        <f t="shared" si="2"/>
        <v>0.12494711939353113</v>
      </c>
      <c r="J10" s="51">
        <f t="shared" si="4"/>
        <v>7.9916177564102515</v>
      </c>
      <c r="K10" s="51">
        <f t="shared" si="3"/>
        <v>1.9979044391025629</v>
      </c>
      <c r="L10" s="51">
        <v>19</v>
      </c>
      <c r="M10" s="51">
        <f t="shared" si="5"/>
        <v>0.21052631578947367</v>
      </c>
      <c r="N10" s="51">
        <v>48</v>
      </c>
      <c r="O10" s="51">
        <f t="shared" ref="O10:P10" si="17">D10/7</f>
        <v>0.5714285714285714</v>
      </c>
      <c r="P10" s="51">
        <f t="shared" si="17"/>
        <v>0</v>
      </c>
      <c r="Q10" s="51">
        <f t="shared" si="7"/>
        <v>84</v>
      </c>
      <c r="R10" s="55">
        <v>752</v>
      </c>
      <c r="S10" s="53">
        <v>300</v>
      </c>
      <c r="T10" s="54">
        <v>43885</v>
      </c>
      <c r="U10" s="55">
        <v>0</v>
      </c>
      <c r="V10" s="55">
        <f t="shared" si="8"/>
        <v>0</v>
      </c>
      <c r="W10" s="55">
        <f t="shared" si="9"/>
        <v>0</v>
      </c>
      <c r="X10" s="55">
        <v>0</v>
      </c>
      <c r="Y10" s="55" t="s">
        <v>35</v>
      </c>
      <c r="Z10" s="56">
        <f t="shared" si="10"/>
        <v>-0.69</v>
      </c>
      <c r="AA10" s="55">
        <v>0.12624305555555557</v>
      </c>
      <c r="AB10" s="55">
        <f t="shared" si="11"/>
        <v>-1.0452925</v>
      </c>
      <c r="AC10" s="55">
        <v>-7.16</v>
      </c>
      <c r="AD10" s="55">
        <v>-4.1722724358974359</v>
      </c>
      <c r="AE10" s="55">
        <v>0</v>
      </c>
      <c r="AF10" s="55"/>
    </row>
    <row r="11" spans="1:32" s="57" customFormat="1" ht="15.75" customHeight="1">
      <c r="A11" s="2" t="s">
        <v>60</v>
      </c>
      <c r="B11" s="2" t="s">
        <v>984</v>
      </c>
      <c r="C11" s="51">
        <v>15.99</v>
      </c>
      <c r="D11" s="51">
        <v>2</v>
      </c>
      <c r="E11" s="51">
        <v>0</v>
      </c>
      <c r="F11" s="51">
        <v>31.98</v>
      </c>
      <c r="G11" s="51">
        <v>0</v>
      </c>
      <c r="H11" s="51">
        <f t="shared" si="1"/>
        <v>0</v>
      </c>
      <c r="I11" s="51">
        <f t="shared" si="2"/>
        <v>9.6495878709249305E-2</v>
      </c>
      <c r="J11" s="51">
        <f t="shared" si="4"/>
        <v>3.0859382011217926</v>
      </c>
      <c r="K11" s="51">
        <f t="shared" si="3"/>
        <v>1.5429691005608963</v>
      </c>
      <c r="L11" s="51">
        <v>14</v>
      </c>
      <c r="M11" s="51">
        <f t="shared" si="5"/>
        <v>0.14285714285714285</v>
      </c>
      <c r="N11" s="51">
        <v>47</v>
      </c>
      <c r="O11" s="51">
        <f t="shared" ref="O11:P11" si="18">D11/7</f>
        <v>0.2857142857142857</v>
      </c>
      <c r="P11" s="51">
        <f t="shared" si="18"/>
        <v>0</v>
      </c>
      <c r="Q11" s="51">
        <f t="shared" si="7"/>
        <v>164</v>
      </c>
      <c r="R11" s="55">
        <v>452</v>
      </c>
      <c r="S11" s="53" t="s">
        <v>34</v>
      </c>
      <c r="T11" s="54" t="s">
        <v>34</v>
      </c>
      <c r="U11" s="55">
        <v>0</v>
      </c>
      <c r="V11" s="55">
        <f t="shared" si="8"/>
        <v>0</v>
      </c>
      <c r="W11" s="55">
        <f t="shared" si="9"/>
        <v>0</v>
      </c>
      <c r="X11" s="55">
        <v>0</v>
      </c>
      <c r="Y11" s="55" t="s">
        <v>35</v>
      </c>
      <c r="Z11" s="56">
        <f t="shared" ref="Z11:Z39" si="19">IF(OR(Y11="UsLargeStandardSize",Y11="UsSmallStandardSize"),-0.75,-0.48)</f>
        <v>-0.75</v>
      </c>
      <c r="AA11" s="55">
        <v>0.12624305555555557</v>
      </c>
      <c r="AB11" s="55">
        <f t="shared" si="11"/>
        <v>-1.1125169270833333</v>
      </c>
      <c r="AC11" s="55">
        <v>-7.32</v>
      </c>
      <c r="AD11" s="55">
        <v>-4.1722724358974359</v>
      </c>
      <c r="AE11" s="55">
        <v>0</v>
      </c>
      <c r="AF11" s="55"/>
    </row>
    <row r="12" spans="1:32" s="57" customFormat="1" ht="15.75" customHeight="1">
      <c r="A12" s="2" t="s">
        <v>62</v>
      </c>
      <c r="B12" s="2" t="s">
        <v>985</v>
      </c>
      <c r="C12" s="51">
        <v>16.989999999999998</v>
      </c>
      <c r="D12" s="51">
        <v>2</v>
      </c>
      <c r="E12" s="51">
        <v>0</v>
      </c>
      <c r="F12" s="51">
        <v>31.98</v>
      </c>
      <c r="G12" s="51">
        <v>0</v>
      </c>
      <c r="H12" s="51">
        <f t="shared" si="1"/>
        <v>0</v>
      </c>
      <c r="I12" s="51">
        <f t="shared" si="2"/>
        <v>-0.12259385185151783</v>
      </c>
      <c r="J12" s="51">
        <f t="shared" si="4"/>
        <v>-3.9205513822115403</v>
      </c>
      <c r="K12" s="51">
        <f t="shared" si="3"/>
        <v>-1.9602756911057702</v>
      </c>
      <c r="L12" s="51">
        <v>16</v>
      </c>
      <c r="M12" s="51">
        <f t="shared" si="5"/>
        <v>0.125</v>
      </c>
      <c r="N12" s="51">
        <v>343</v>
      </c>
      <c r="O12" s="51">
        <f t="shared" ref="O12:P12" si="20">D12/7</f>
        <v>0.2857142857142857</v>
      </c>
      <c r="P12" s="51">
        <f t="shared" si="20"/>
        <v>0</v>
      </c>
      <c r="Q12" s="51">
        <f t="shared" si="7"/>
        <v>1200</v>
      </c>
      <c r="R12" s="55">
        <v>452</v>
      </c>
      <c r="S12" s="53" t="s">
        <v>34</v>
      </c>
      <c r="T12" s="54" t="s">
        <v>34</v>
      </c>
      <c r="U12" s="55">
        <v>0</v>
      </c>
      <c r="V12" s="55">
        <f t="shared" si="8"/>
        <v>0</v>
      </c>
      <c r="W12" s="55">
        <f t="shared" si="9"/>
        <v>0</v>
      </c>
      <c r="X12" s="55">
        <v>0</v>
      </c>
      <c r="Y12" s="55" t="s">
        <v>35</v>
      </c>
      <c r="Z12" s="56">
        <f t="shared" si="19"/>
        <v>-0.75</v>
      </c>
      <c r="AA12" s="55">
        <v>0.12624305555555557</v>
      </c>
      <c r="AB12" s="55">
        <f t="shared" si="11"/>
        <v>-8.119006510416666</v>
      </c>
      <c r="AC12" s="55">
        <v>-7.32</v>
      </c>
      <c r="AD12" s="55">
        <v>-4.1722724358974359</v>
      </c>
      <c r="AE12" s="55">
        <v>0</v>
      </c>
      <c r="AF12" s="55"/>
    </row>
    <row r="13" spans="1:32" s="57" customFormat="1" ht="15.75" customHeight="1">
      <c r="A13" s="2" t="s">
        <v>63</v>
      </c>
      <c r="B13" s="2" t="s">
        <v>983</v>
      </c>
      <c r="C13" s="51">
        <v>17.989999999999998</v>
      </c>
      <c r="D13" s="51">
        <v>13</v>
      </c>
      <c r="E13" s="51">
        <v>0</v>
      </c>
      <c r="F13" s="51">
        <v>206.87000000000003</v>
      </c>
      <c r="G13" s="51">
        <v>0</v>
      </c>
      <c r="H13" s="51">
        <f t="shared" si="1"/>
        <v>0</v>
      </c>
      <c r="I13" s="51">
        <f t="shared" si="2"/>
        <v>9.0164547028327033E-2</v>
      </c>
      <c r="J13" s="51">
        <f t="shared" si="4"/>
        <v>18.652339843750017</v>
      </c>
      <c r="K13" s="51">
        <f t="shared" si="3"/>
        <v>1.4347953725961551</v>
      </c>
      <c r="L13" s="51">
        <v>37</v>
      </c>
      <c r="M13" s="51">
        <f t="shared" si="5"/>
        <v>0.35135135135135137</v>
      </c>
      <c r="N13" s="51">
        <v>329</v>
      </c>
      <c r="O13" s="51">
        <f t="shared" ref="O13:P13" si="21">D13/7</f>
        <v>1.8571428571428572</v>
      </c>
      <c r="P13" s="51">
        <f t="shared" si="21"/>
        <v>0</v>
      </c>
      <c r="Q13" s="51">
        <f t="shared" si="7"/>
        <v>177</v>
      </c>
      <c r="R13" s="55">
        <v>452</v>
      </c>
      <c r="S13" s="53" t="s">
        <v>34</v>
      </c>
      <c r="T13" s="54" t="s">
        <v>34</v>
      </c>
      <c r="U13" s="55">
        <v>0</v>
      </c>
      <c r="V13" s="55">
        <f t="shared" si="8"/>
        <v>0</v>
      </c>
      <c r="W13" s="55">
        <f t="shared" si="9"/>
        <v>0</v>
      </c>
      <c r="X13" s="55">
        <v>0</v>
      </c>
      <c r="Y13" s="55" t="s">
        <v>35</v>
      </c>
      <c r="Z13" s="56">
        <f t="shared" si="19"/>
        <v>-0.75</v>
      </c>
      <c r="AA13" s="55">
        <v>0.12624305555555557</v>
      </c>
      <c r="AB13" s="55">
        <f t="shared" si="11"/>
        <v>-7.7876184895833331</v>
      </c>
      <c r="AC13" s="55">
        <v>-7.32</v>
      </c>
      <c r="AD13" s="55">
        <v>-4.1722724358974359</v>
      </c>
      <c r="AE13" s="55">
        <v>0</v>
      </c>
      <c r="AF13" s="55"/>
    </row>
    <row r="14" spans="1:32" s="57" customFormat="1" ht="15.75" customHeight="1">
      <c r="A14" s="2" t="s">
        <v>64</v>
      </c>
      <c r="B14" s="2"/>
      <c r="C14" s="51">
        <v>18.989999999999998</v>
      </c>
      <c r="D14" s="51">
        <v>12</v>
      </c>
      <c r="E14" s="51">
        <v>0</v>
      </c>
      <c r="F14" s="51">
        <v>208.88000000000002</v>
      </c>
      <c r="G14" s="51">
        <v>0</v>
      </c>
      <c r="H14" s="51">
        <f t="shared" si="1"/>
        <v>0</v>
      </c>
      <c r="I14" s="51">
        <f t="shared" si="2"/>
        <v>0.15464789910505602</v>
      </c>
      <c r="J14" s="51">
        <f t="shared" si="4"/>
        <v>32.302853165064107</v>
      </c>
      <c r="K14" s="51">
        <f t="shared" si="3"/>
        <v>2.6919044304220088</v>
      </c>
      <c r="L14" s="51">
        <v>52</v>
      </c>
      <c r="M14" s="51">
        <f t="shared" si="5"/>
        <v>0.23076923076923078</v>
      </c>
      <c r="N14" s="51">
        <v>310</v>
      </c>
      <c r="O14" s="51">
        <f t="shared" ref="O14:P14" si="22">D14/7</f>
        <v>1.7142857142857142</v>
      </c>
      <c r="P14" s="51">
        <f t="shared" si="22"/>
        <v>0</v>
      </c>
      <c r="Q14" s="51">
        <f t="shared" si="7"/>
        <v>180</v>
      </c>
      <c r="R14" s="55">
        <v>452</v>
      </c>
      <c r="S14" s="53" t="s">
        <v>34</v>
      </c>
      <c r="T14" s="54" t="s">
        <v>34</v>
      </c>
      <c r="U14" s="55">
        <v>0</v>
      </c>
      <c r="V14" s="55">
        <f t="shared" si="8"/>
        <v>0</v>
      </c>
      <c r="W14" s="55">
        <f t="shared" si="9"/>
        <v>0</v>
      </c>
      <c r="X14" s="55">
        <v>0</v>
      </c>
      <c r="Y14" s="55" t="s">
        <v>35</v>
      </c>
      <c r="Z14" s="56">
        <f t="shared" si="19"/>
        <v>-0.75</v>
      </c>
      <c r="AA14" s="55">
        <v>0.12624305555555557</v>
      </c>
      <c r="AB14" s="55">
        <f t="shared" si="11"/>
        <v>-7.3378776041666667</v>
      </c>
      <c r="AC14" s="55">
        <v>-7.32</v>
      </c>
      <c r="AD14" s="55">
        <v>-4.1722724358974359</v>
      </c>
      <c r="AE14" s="55">
        <v>0</v>
      </c>
      <c r="AF14" s="55"/>
    </row>
    <row r="15" spans="1:32" s="57" customFormat="1" ht="15.75" customHeight="1">
      <c r="A15" s="2" t="s">
        <v>65</v>
      </c>
      <c r="B15" s="2" t="s">
        <v>983</v>
      </c>
      <c r="C15" s="51">
        <v>17.989999999999998</v>
      </c>
      <c r="D15" s="51">
        <v>12</v>
      </c>
      <c r="E15" s="51">
        <v>0</v>
      </c>
      <c r="F15" s="51">
        <v>204.88000000000002</v>
      </c>
      <c r="G15" s="51">
        <v>0</v>
      </c>
      <c r="H15" s="51">
        <f t="shared" si="1"/>
        <v>0</v>
      </c>
      <c r="I15" s="51">
        <f t="shared" si="2"/>
        <v>0.14176530946194907</v>
      </c>
      <c r="J15" s="51">
        <f t="shared" si="4"/>
        <v>29.044876602564127</v>
      </c>
      <c r="K15" s="51">
        <f t="shared" si="3"/>
        <v>2.4204063835470104</v>
      </c>
      <c r="L15" s="51">
        <v>23</v>
      </c>
      <c r="M15" s="51">
        <f t="shared" si="5"/>
        <v>0.52173913043478259</v>
      </c>
      <c r="N15" s="51">
        <v>304</v>
      </c>
      <c r="O15" s="51">
        <f t="shared" ref="O15:P15" si="23">D15/7</f>
        <v>1.7142857142857142</v>
      </c>
      <c r="P15" s="51">
        <f t="shared" si="23"/>
        <v>0</v>
      </c>
      <c r="Q15" s="51">
        <f t="shared" si="7"/>
        <v>177</v>
      </c>
      <c r="R15" s="55">
        <v>452</v>
      </c>
      <c r="S15" s="53" t="s">
        <v>34</v>
      </c>
      <c r="T15" s="54" t="s">
        <v>34</v>
      </c>
      <c r="U15" s="55">
        <v>0</v>
      </c>
      <c r="V15" s="55">
        <f t="shared" si="8"/>
        <v>0</v>
      </c>
      <c r="W15" s="55">
        <f t="shared" si="9"/>
        <v>0</v>
      </c>
      <c r="X15" s="55">
        <v>0</v>
      </c>
      <c r="Y15" s="55" t="s">
        <v>35</v>
      </c>
      <c r="Z15" s="56">
        <f t="shared" si="19"/>
        <v>-0.75</v>
      </c>
      <c r="AA15" s="55">
        <v>0.12624305555555557</v>
      </c>
      <c r="AB15" s="55">
        <f t="shared" si="11"/>
        <v>-7.1958541666666669</v>
      </c>
      <c r="AC15" s="55">
        <v>-7.32</v>
      </c>
      <c r="AD15" s="55">
        <v>-4.1722724358974359</v>
      </c>
      <c r="AE15" s="55">
        <v>0</v>
      </c>
      <c r="AF15" s="55"/>
    </row>
    <row r="16" spans="1:32" s="57" customFormat="1" ht="15.75" customHeight="1">
      <c r="A16" s="2" t="s">
        <v>66</v>
      </c>
      <c r="B16" s="2" t="s">
        <v>810</v>
      </c>
      <c r="C16" s="51">
        <v>16.989999999999998</v>
      </c>
      <c r="D16" s="51">
        <v>6</v>
      </c>
      <c r="E16" s="51">
        <v>0</v>
      </c>
      <c r="F16" s="51">
        <v>106.93999999999998</v>
      </c>
      <c r="G16" s="51">
        <v>0</v>
      </c>
      <c r="H16" s="51">
        <f t="shared" si="1"/>
        <v>0</v>
      </c>
      <c r="I16" s="51">
        <f t="shared" si="2"/>
        <v>0.13902996149740077</v>
      </c>
      <c r="J16" s="51">
        <f t="shared" si="4"/>
        <v>14.867864082532037</v>
      </c>
      <c r="K16" s="51">
        <f t="shared" si="3"/>
        <v>2.477977347088673</v>
      </c>
      <c r="L16" s="51">
        <v>41</v>
      </c>
      <c r="M16" s="51">
        <f t="shared" si="5"/>
        <v>0.14634146341463414</v>
      </c>
      <c r="N16" s="51">
        <v>299</v>
      </c>
      <c r="O16" s="51">
        <f t="shared" ref="O16:P16" si="24">D16/7</f>
        <v>0.8571428571428571</v>
      </c>
      <c r="P16" s="51">
        <f t="shared" si="24"/>
        <v>0</v>
      </c>
      <c r="Q16" s="51">
        <f t="shared" si="7"/>
        <v>348</v>
      </c>
      <c r="R16" s="55">
        <v>452</v>
      </c>
      <c r="S16" s="53" t="s">
        <v>34</v>
      </c>
      <c r="T16" s="54" t="s">
        <v>34</v>
      </c>
      <c r="U16" s="55">
        <v>0</v>
      </c>
      <c r="V16" s="55">
        <f t="shared" si="8"/>
        <v>0</v>
      </c>
      <c r="W16" s="55">
        <f t="shared" si="9"/>
        <v>0</v>
      </c>
      <c r="X16" s="55">
        <v>0</v>
      </c>
      <c r="Y16" s="55" t="s">
        <v>35</v>
      </c>
      <c r="Z16" s="56">
        <f t="shared" si="19"/>
        <v>-0.75</v>
      </c>
      <c r="AA16" s="55">
        <v>0.12624305555555557</v>
      </c>
      <c r="AB16" s="55">
        <f t="shared" si="11"/>
        <v>-7.0775013020833333</v>
      </c>
      <c r="AC16" s="55">
        <v>-7.32</v>
      </c>
      <c r="AD16" s="55">
        <v>-4.1722724358974359</v>
      </c>
      <c r="AE16" s="55">
        <v>0</v>
      </c>
      <c r="AF16" s="55"/>
    </row>
    <row r="17" spans="1:32" s="57" customFormat="1" ht="15.75" customHeight="1">
      <c r="A17" s="2" t="s">
        <v>67</v>
      </c>
      <c r="B17" s="2" t="s">
        <v>986</v>
      </c>
      <c r="C17" s="51">
        <v>15.99</v>
      </c>
      <c r="D17" s="51">
        <v>3</v>
      </c>
      <c r="E17" s="51">
        <v>0</v>
      </c>
      <c r="F17" s="51">
        <v>46.97</v>
      </c>
      <c r="G17" s="51">
        <v>0</v>
      </c>
      <c r="H17" s="51">
        <f t="shared" si="1"/>
        <v>0</v>
      </c>
      <c r="I17" s="51">
        <f t="shared" si="2"/>
        <v>-3.3187287439336743E-2</v>
      </c>
      <c r="J17" s="51">
        <f t="shared" si="4"/>
        <v>-1.5588068910256467</v>
      </c>
      <c r="K17" s="51">
        <f t="shared" si="3"/>
        <v>-0.51960229700854887</v>
      </c>
      <c r="L17" s="51">
        <v>35</v>
      </c>
      <c r="M17" s="51">
        <f t="shared" si="5"/>
        <v>8.5714285714285715E-2</v>
      </c>
      <c r="N17" s="51">
        <v>296</v>
      </c>
      <c r="O17" s="51">
        <f t="shared" ref="O17:P17" si="25">D17/7</f>
        <v>0.42857142857142855</v>
      </c>
      <c r="P17" s="51">
        <f t="shared" si="25"/>
        <v>0</v>
      </c>
      <c r="Q17" s="51">
        <f t="shared" si="7"/>
        <v>690</v>
      </c>
      <c r="R17" s="55">
        <v>452</v>
      </c>
      <c r="S17" s="53" t="s">
        <v>34</v>
      </c>
      <c r="T17" s="54" t="s">
        <v>34</v>
      </c>
      <c r="U17" s="55">
        <v>0</v>
      </c>
      <c r="V17" s="55">
        <f t="shared" si="8"/>
        <v>0</v>
      </c>
      <c r="W17" s="55">
        <f t="shared" si="9"/>
        <v>0</v>
      </c>
      <c r="X17" s="55">
        <v>0</v>
      </c>
      <c r="Y17" s="55" t="s">
        <v>35</v>
      </c>
      <c r="Z17" s="56">
        <f t="shared" si="19"/>
        <v>-0.75</v>
      </c>
      <c r="AA17" s="55">
        <v>0.12624305555555557</v>
      </c>
      <c r="AB17" s="55">
        <f t="shared" si="11"/>
        <v>-7.0064895833333338</v>
      </c>
      <c r="AC17" s="55">
        <v>-7.32</v>
      </c>
      <c r="AD17" s="55">
        <v>-4.1722724358974359</v>
      </c>
      <c r="AE17" s="55">
        <v>0</v>
      </c>
      <c r="AF17" s="55"/>
    </row>
    <row r="18" spans="1:32" s="57" customFormat="1" ht="15.75" customHeight="1">
      <c r="A18" s="2" t="s">
        <v>69</v>
      </c>
      <c r="B18" s="2" t="s">
        <v>983</v>
      </c>
      <c r="C18" s="51">
        <v>17.71</v>
      </c>
      <c r="D18" s="51">
        <v>9</v>
      </c>
      <c r="E18" s="51">
        <v>0</v>
      </c>
      <c r="F18" s="51">
        <v>145.07</v>
      </c>
      <c r="G18" s="51">
        <v>-0.08</v>
      </c>
      <c r="H18" s="51">
        <f t="shared" si="1"/>
        <v>5.5145791686771911E-4</v>
      </c>
      <c r="I18" s="51">
        <f t="shared" si="2"/>
        <v>0.1188572840830156</v>
      </c>
      <c r="J18" s="51">
        <f t="shared" si="4"/>
        <v>17.242626201923073</v>
      </c>
      <c r="K18" s="51">
        <f t="shared" si="3"/>
        <v>1.9158473557692304</v>
      </c>
      <c r="L18" s="51">
        <v>48</v>
      </c>
      <c r="M18" s="51">
        <f t="shared" si="5"/>
        <v>0.1875</v>
      </c>
      <c r="N18" s="51">
        <v>276</v>
      </c>
      <c r="O18" s="51">
        <f t="shared" ref="O18:P18" si="26">D18/7</f>
        <v>1.2857142857142858</v>
      </c>
      <c r="P18" s="51">
        <f t="shared" si="26"/>
        <v>0</v>
      </c>
      <c r="Q18" s="51">
        <f t="shared" si="7"/>
        <v>214</v>
      </c>
      <c r="R18" s="55">
        <v>452</v>
      </c>
      <c r="S18" s="53" t="s">
        <v>34</v>
      </c>
      <c r="T18" s="54" t="s">
        <v>34</v>
      </c>
      <c r="U18" s="55">
        <v>0</v>
      </c>
      <c r="V18" s="55">
        <f t="shared" si="8"/>
        <v>0</v>
      </c>
      <c r="W18" s="55">
        <f t="shared" si="9"/>
        <v>0</v>
      </c>
      <c r="X18" s="55">
        <v>0</v>
      </c>
      <c r="Y18" s="55" t="s">
        <v>35</v>
      </c>
      <c r="Z18" s="56">
        <f t="shared" si="19"/>
        <v>-0.75</v>
      </c>
      <c r="AA18" s="55">
        <v>0.12624305555555557</v>
      </c>
      <c r="AB18" s="58">
        <f t="shared" ref="AB18:AB39" si="27">IFERROR(Z18*AA18*D18*3,0)</f>
        <v>-2.5564218749999998</v>
      </c>
      <c r="AC18" s="55">
        <v>-7.32</v>
      </c>
      <c r="AD18" s="55">
        <v>-4.1722724358974359</v>
      </c>
      <c r="AE18" s="55">
        <v>0</v>
      </c>
      <c r="AF18" s="55"/>
    </row>
    <row r="19" spans="1:32" s="57" customFormat="1" ht="15.75" customHeight="1">
      <c r="A19" s="2" t="s">
        <v>71</v>
      </c>
      <c r="B19" s="2" t="s">
        <v>987</v>
      </c>
      <c r="C19" s="51">
        <v>16</v>
      </c>
      <c r="D19" s="51">
        <v>21</v>
      </c>
      <c r="E19" s="51">
        <v>0</v>
      </c>
      <c r="F19" s="51">
        <v>344.81000000000006</v>
      </c>
      <c r="G19" s="51">
        <v>0</v>
      </c>
      <c r="H19" s="51">
        <f t="shared" si="1"/>
        <v>0</v>
      </c>
      <c r="I19" s="51">
        <f t="shared" si="2"/>
        <v>0.13278557603072388</v>
      </c>
      <c r="J19" s="51">
        <f t="shared" si="4"/>
        <v>45.785794471153906</v>
      </c>
      <c r="K19" s="51">
        <f t="shared" si="3"/>
        <v>2.1802759271978052</v>
      </c>
      <c r="L19" s="51">
        <v>56</v>
      </c>
      <c r="M19" s="51">
        <f t="shared" si="5"/>
        <v>0.375</v>
      </c>
      <c r="N19" s="51">
        <v>268</v>
      </c>
      <c r="O19" s="51">
        <f t="shared" ref="O19:P19" si="28">D19/7</f>
        <v>3</v>
      </c>
      <c r="P19" s="51">
        <f t="shared" si="28"/>
        <v>0</v>
      </c>
      <c r="Q19" s="51">
        <f t="shared" si="7"/>
        <v>89</v>
      </c>
      <c r="R19" s="55">
        <v>652</v>
      </c>
      <c r="S19" s="53">
        <v>200</v>
      </c>
      <c r="T19" s="54">
        <v>43990</v>
      </c>
      <c r="U19" s="55">
        <v>0</v>
      </c>
      <c r="V19" s="55">
        <f t="shared" si="8"/>
        <v>0</v>
      </c>
      <c r="W19" s="55">
        <f t="shared" si="9"/>
        <v>0</v>
      </c>
      <c r="X19" s="55">
        <v>0</v>
      </c>
      <c r="Y19" s="55" t="s">
        <v>35</v>
      </c>
      <c r="Z19" s="56">
        <f t="shared" si="19"/>
        <v>-0.75</v>
      </c>
      <c r="AA19" s="55">
        <v>0.12624305555555557</v>
      </c>
      <c r="AB19" s="55">
        <f t="shared" si="27"/>
        <v>-5.9649843750000002</v>
      </c>
      <c r="AC19" s="55">
        <v>-7.32</v>
      </c>
      <c r="AD19" s="55">
        <v>-4.1722724358974359</v>
      </c>
      <c r="AE19" s="55">
        <v>0</v>
      </c>
      <c r="AF19" s="55"/>
    </row>
    <row r="20" spans="1:32" s="57" customFormat="1" ht="15.75" customHeight="1">
      <c r="A20" s="2" t="s">
        <v>73</v>
      </c>
      <c r="B20" s="2" t="s">
        <v>988</v>
      </c>
      <c r="C20" s="51">
        <v>19.96</v>
      </c>
      <c r="D20" s="51">
        <v>38</v>
      </c>
      <c r="E20" s="51">
        <v>0</v>
      </c>
      <c r="F20" s="51">
        <v>619.42999999999995</v>
      </c>
      <c r="G20" s="51">
        <v>-0.1</v>
      </c>
      <c r="H20" s="51">
        <f t="shared" si="1"/>
        <v>1.6143874206932181E-4</v>
      </c>
      <c r="I20" s="51">
        <f t="shared" si="2"/>
        <v>0.12739997446991166</v>
      </c>
      <c r="J20" s="51">
        <f t="shared" si="4"/>
        <v>78.915366185897369</v>
      </c>
      <c r="K20" s="51">
        <f t="shared" si="3"/>
        <v>2.0767201627867728</v>
      </c>
      <c r="L20" s="51">
        <v>79</v>
      </c>
      <c r="M20" s="51">
        <f t="shared" si="5"/>
        <v>0.48101265822784811</v>
      </c>
      <c r="N20" s="51">
        <v>211</v>
      </c>
      <c r="O20" s="51">
        <f t="shared" ref="O20:P20" si="29">D20/7</f>
        <v>5.4285714285714288</v>
      </c>
      <c r="P20" s="51">
        <f t="shared" si="29"/>
        <v>0</v>
      </c>
      <c r="Q20" s="51">
        <f t="shared" si="7"/>
        <v>38</v>
      </c>
      <c r="R20" s="55">
        <v>452</v>
      </c>
      <c r="S20" s="53">
        <v>200</v>
      </c>
      <c r="T20" s="54">
        <v>43990</v>
      </c>
      <c r="U20" s="55">
        <v>0</v>
      </c>
      <c r="V20" s="55">
        <f t="shared" si="8"/>
        <v>0</v>
      </c>
      <c r="W20" s="55">
        <f t="shared" si="9"/>
        <v>0</v>
      </c>
      <c r="X20" s="55">
        <v>0</v>
      </c>
      <c r="Y20" s="55" t="s">
        <v>35</v>
      </c>
      <c r="Z20" s="56">
        <f t="shared" si="19"/>
        <v>-0.75</v>
      </c>
      <c r="AA20" s="55">
        <v>0.12624305555555557</v>
      </c>
      <c r="AB20" s="55">
        <f t="shared" si="27"/>
        <v>-10.79378125</v>
      </c>
      <c r="AC20" s="55">
        <v>-7.32</v>
      </c>
      <c r="AD20" s="55">
        <v>-4.1722724358974359</v>
      </c>
      <c r="AE20" s="55">
        <v>0</v>
      </c>
      <c r="AF20" s="55"/>
    </row>
    <row r="21" spans="1:32" s="57" customFormat="1" ht="15.75" customHeight="1">
      <c r="A21" s="2" t="s">
        <v>75</v>
      </c>
      <c r="B21" s="2" t="s">
        <v>983</v>
      </c>
      <c r="C21" s="51">
        <v>22.37</v>
      </c>
      <c r="D21" s="51">
        <v>22</v>
      </c>
      <c r="E21" s="51">
        <v>0</v>
      </c>
      <c r="F21" s="51">
        <v>387.07</v>
      </c>
      <c r="G21" s="51">
        <v>-0.48000000000000004</v>
      </c>
      <c r="H21" s="51">
        <f t="shared" si="1"/>
        <v>1.2400857725992716E-3</v>
      </c>
      <c r="I21" s="51">
        <f t="shared" si="2"/>
        <v>0.17942613780519387</v>
      </c>
      <c r="J21" s="51">
        <f t="shared" si="4"/>
        <v>69.450475160256389</v>
      </c>
      <c r="K21" s="51">
        <f t="shared" si="3"/>
        <v>3.1568397800116541</v>
      </c>
      <c r="L21" s="51">
        <v>48</v>
      </c>
      <c r="M21" s="51">
        <f t="shared" si="5"/>
        <v>0.45833333333333331</v>
      </c>
      <c r="N21" s="51">
        <v>200</v>
      </c>
      <c r="O21" s="51">
        <f t="shared" ref="O21:P21" si="30">D21/7</f>
        <v>3.1428571428571428</v>
      </c>
      <c r="P21" s="51">
        <f t="shared" si="30"/>
        <v>0</v>
      </c>
      <c r="Q21" s="51">
        <f t="shared" si="7"/>
        <v>63</v>
      </c>
      <c r="R21" s="55">
        <v>452</v>
      </c>
      <c r="S21" s="53">
        <v>200</v>
      </c>
      <c r="T21" s="54">
        <v>43990</v>
      </c>
      <c r="U21" s="55">
        <v>0</v>
      </c>
      <c r="V21" s="55">
        <f t="shared" si="8"/>
        <v>0</v>
      </c>
      <c r="W21" s="55">
        <f t="shared" si="9"/>
        <v>0</v>
      </c>
      <c r="X21" s="55">
        <v>0</v>
      </c>
      <c r="Y21" s="55" t="s">
        <v>35</v>
      </c>
      <c r="Z21" s="56">
        <f t="shared" si="19"/>
        <v>-0.75</v>
      </c>
      <c r="AA21" s="55">
        <v>0.12624305555555557</v>
      </c>
      <c r="AB21" s="55">
        <f t="shared" si="27"/>
        <v>-6.2490312499999998</v>
      </c>
      <c r="AC21" s="55">
        <v>-7.32</v>
      </c>
      <c r="AD21" s="55">
        <v>-4.1722724358974359</v>
      </c>
      <c r="AE21" s="55">
        <v>0</v>
      </c>
      <c r="AF21" s="55"/>
    </row>
    <row r="22" spans="1:32" s="57" customFormat="1" ht="15.75" customHeight="1">
      <c r="A22" s="2" t="s">
        <v>77</v>
      </c>
      <c r="B22" s="2" t="s">
        <v>989</v>
      </c>
      <c r="C22" s="51">
        <v>22.37</v>
      </c>
      <c r="D22" s="51">
        <v>15</v>
      </c>
      <c r="E22" s="51">
        <v>0</v>
      </c>
      <c r="F22" s="51">
        <v>300.51</v>
      </c>
      <c r="G22" s="51">
        <v>-0.08</v>
      </c>
      <c r="H22" s="51">
        <f t="shared" si="1"/>
        <v>2.6621410269209015E-4</v>
      </c>
      <c r="I22" s="51">
        <f t="shared" si="2"/>
        <v>0.26191710870366514</v>
      </c>
      <c r="J22" s="51">
        <f t="shared" si="4"/>
        <v>78.708710336538402</v>
      </c>
      <c r="K22" s="51">
        <f t="shared" si="3"/>
        <v>5.2472473557692272</v>
      </c>
      <c r="L22" s="51">
        <v>18</v>
      </c>
      <c r="M22" s="51">
        <f t="shared" si="5"/>
        <v>0.83333333333333337</v>
      </c>
      <c r="N22" s="51">
        <v>191</v>
      </c>
      <c r="O22" s="51">
        <f t="shared" ref="O22:P22" si="31">D22/7</f>
        <v>2.1428571428571428</v>
      </c>
      <c r="P22" s="51">
        <f t="shared" si="31"/>
        <v>0</v>
      </c>
      <c r="Q22" s="51">
        <f t="shared" si="7"/>
        <v>89</v>
      </c>
      <c r="R22" s="55">
        <v>452</v>
      </c>
      <c r="S22" s="53">
        <v>200</v>
      </c>
      <c r="T22" s="54">
        <v>43992</v>
      </c>
      <c r="U22" s="55">
        <v>0</v>
      </c>
      <c r="V22" s="55">
        <f t="shared" si="8"/>
        <v>0</v>
      </c>
      <c r="W22" s="55">
        <f t="shared" si="9"/>
        <v>0</v>
      </c>
      <c r="X22" s="55">
        <v>0</v>
      </c>
      <c r="Y22" s="55" t="s">
        <v>35</v>
      </c>
      <c r="Z22" s="56">
        <f t="shared" si="19"/>
        <v>-0.75</v>
      </c>
      <c r="AA22" s="55">
        <v>0.12624305555555557</v>
      </c>
      <c r="AB22" s="55">
        <f t="shared" si="27"/>
        <v>-4.260703125</v>
      </c>
      <c r="AC22" s="55">
        <v>-7.32</v>
      </c>
      <c r="AD22" s="55">
        <v>-4.1722724358974359</v>
      </c>
      <c r="AE22" s="55">
        <v>0</v>
      </c>
      <c r="AF22" s="55"/>
    </row>
    <row r="23" spans="1:32" s="57" customFormat="1" ht="15.75" customHeight="1">
      <c r="A23" s="2" t="s">
        <v>79</v>
      </c>
      <c r="B23" s="2" t="s">
        <v>990</v>
      </c>
      <c r="C23" s="51">
        <v>22.37</v>
      </c>
      <c r="D23" s="51">
        <v>2</v>
      </c>
      <c r="E23" s="51">
        <v>0</v>
      </c>
      <c r="F23" s="51">
        <v>37</v>
      </c>
      <c r="G23" s="51">
        <v>0</v>
      </c>
      <c r="H23" s="51">
        <f t="shared" si="1"/>
        <v>0</v>
      </c>
      <c r="I23" s="51">
        <f t="shared" si="2"/>
        <v>0.21344219941094941</v>
      </c>
      <c r="J23" s="51">
        <f t="shared" si="4"/>
        <v>7.8973613782051286</v>
      </c>
      <c r="K23" s="51">
        <f t="shared" si="3"/>
        <v>3.9486806891025643</v>
      </c>
      <c r="L23" s="51">
        <v>0</v>
      </c>
      <c r="M23" s="51" t="str">
        <f t="shared" si="5"/>
        <v>-</v>
      </c>
      <c r="N23" s="51">
        <v>192</v>
      </c>
      <c r="O23" s="51">
        <f t="shared" ref="O23:P23" si="32">D23/7</f>
        <v>0.2857142857142857</v>
      </c>
      <c r="P23" s="51">
        <f t="shared" si="32"/>
        <v>0</v>
      </c>
      <c r="Q23" s="51">
        <f t="shared" si="7"/>
        <v>672</v>
      </c>
      <c r="R23" s="55">
        <v>452</v>
      </c>
      <c r="S23" s="53">
        <v>200</v>
      </c>
      <c r="T23" s="54">
        <v>43992</v>
      </c>
      <c r="U23" s="55">
        <v>0</v>
      </c>
      <c r="V23" s="55">
        <f t="shared" si="8"/>
        <v>0</v>
      </c>
      <c r="W23" s="55">
        <f t="shared" si="9"/>
        <v>0</v>
      </c>
      <c r="X23" s="55">
        <v>0</v>
      </c>
      <c r="Y23" s="55" t="s">
        <v>35</v>
      </c>
      <c r="Z23" s="56">
        <f t="shared" si="19"/>
        <v>-0.75</v>
      </c>
      <c r="AA23" s="55">
        <v>0.12624305555555557</v>
      </c>
      <c r="AB23" s="55">
        <f t="shared" si="27"/>
        <v>-0.56809375000000006</v>
      </c>
      <c r="AC23" s="55">
        <v>-7.32</v>
      </c>
      <c r="AD23" s="55">
        <v>-4.1722724358974359</v>
      </c>
      <c r="AE23" s="55">
        <v>0</v>
      </c>
      <c r="AF23" s="55"/>
    </row>
    <row r="24" spans="1:32" s="57" customFormat="1" ht="15.75" customHeight="1">
      <c r="A24" s="2" t="s">
        <v>80</v>
      </c>
      <c r="B24" s="2" t="s">
        <v>991</v>
      </c>
      <c r="C24" s="51">
        <v>22.37</v>
      </c>
      <c r="D24" s="51">
        <v>1</v>
      </c>
      <c r="E24" s="51">
        <v>0</v>
      </c>
      <c r="F24" s="51">
        <v>21</v>
      </c>
      <c r="G24" s="51">
        <v>0</v>
      </c>
      <c r="H24" s="51">
        <f t="shared" si="1"/>
        <v>0</v>
      </c>
      <c r="I24" s="51">
        <f t="shared" si="2"/>
        <v>0.28922288995726481</v>
      </c>
      <c r="J24" s="51">
        <f t="shared" si="4"/>
        <v>6.0736806891025612</v>
      </c>
      <c r="K24" s="51">
        <f t="shared" si="3"/>
        <v>6.0736806891025612</v>
      </c>
      <c r="L24" s="51">
        <v>0</v>
      </c>
      <c r="M24" s="51" t="str">
        <f t="shared" si="5"/>
        <v>-</v>
      </c>
      <c r="N24" s="51">
        <v>191</v>
      </c>
      <c r="O24" s="51">
        <f t="shared" ref="O24:P24" si="33">D24/7</f>
        <v>0.14285714285714285</v>
      </c>
      <c r="P24" s="51">
        <f t="shared" si="33"/>
        <v>0</v>
      </c>
      <c r="Q24" s="51">
        <f t="shared" si="7"/>
        <v>1337</v>
      </c>
      <c r="R24" s="55">
        <v>452</v>
      </c>
      <c r="S24" s="53">
        <v>200</v>
      </c>
      <c r="T24" s="54">
        <v>43992</v>
      </c>
      <c r="U24" s="55">
        <v>0</v>
      </c>
      <c r="V24" s="55">
        <f t="shared" si="8"/>
        <v>0</v>
      </c>
      <c r="W24" s="55">
        <f t="shared" si="9"/>
        <v>0</v>
      </c>
      <c r="X24" s="55">
        <v>0</v>
      </c>
      <c r="Y24" s="55" t="s">
        <v>35</v>
      </c>
      <c r="Z24" s="56">
        <f t="shared" si="19"/>
        <v>-0.75</v>
      </c>
      <c r="AA24" s="55">
        <v>0.12624305555555557</v>
      </c>
      <c r="AB24" s="55">
        <f t="shared" si="27"/>
        <v>-0.28404687500000003</v>
      </c>
      <c r="AC24" s="55">
        <v>-7.32</v>
      </c>
      <c r="AD24" s="55">
        <v>-4.1722724358974359</v>
      </c>
      <c r="AE24" s="55">
        <v>0</v>
      </c>
      <c r="AF24" s="55"/>
    </row>
    <row r="25" spans="1:32" s="57" customFormat="1" ht="15.75" customHeight="1">
      <c r="A25" s="2" t="s">
        <v>81</v>
      </c>
      <c r="B25" s="2" t="s">
        <v>992</v>
      </c>
      <c r="C25" s="51"/>
      <c r="D25" s="51">
        <v>1</v>
      </c>
      <c r="E25" s="51">
        <v>0</v>
      </c>
      <c r="F25" s="51">
        <v>18.989999999999998</v>
      </c>
      <c r="G25" s="51">
        <v>0</v>
      </c>
      <c r="H25" s="51">
        <f t="shared" si="1"/>
        <v>0</v>
      </c>
      <c r="I25" s="51">
        <f t="shared" si="2"/>
        <v>0.22986733486585365</v>
      </c>
      <c r="J25" s="51">
        <f t="shared" si="4"/>
        <v>4.3651806891025604</v>
      </c>
      <c r="K25" s="51">
        <f t="shared" si="3"/>
        <v>4.3651806891025604</v>
      </c>
      <c r="L25" s="51">
        <v>0</v>
      </c>
      <c r="M25" s="51" t="str">
        <f t="shared" si="5"/>
        <v>-</v>
      </c>
      <c r="N25" s="51">
        <v>190</v>
      </c>
      <c r="O25" s="51">
        <f t="shared" ref="O25:P25" si="34">D25/7</f>
        <v>0.14285714285714285</v>
      </c>
      <c r="P25" s="51">
        <f t="shared" si="34"/>
        <v>0</v>
      </c>
      <c r="Q25" s="51">
        <f t="shared" si="7"/>
        <v>1330</v>
      </c>
      <c r="R25" s="55">
        <v>452</v>
      </c>
      <c r="S25" s="53">
        <v>200</v>
      </c>
      <c r="T25" s="54">
        <v>43990</v>
      </c>
      <c r="U25" s="55">
        <v>0</v>
      </c>
      <c r="V25" s="55">
        <f t="shared" si="8"/>
        <v>0</v>
      </c>
      <c r="W25" s="55">
        <f t="shared" si="9"/>
        <v>0</v>
      </c>
      <c r="X25" s="55">
        <v>0</v>
      </c>
      <c r="Y25" s="55" t="s">
        <v>35</v>
      </c>
      <c r="Z25" s="56">
        <f t="shared" si="19"/>
        <v>-0.75</v>
      </c>
      <c r="AA25" s="55">
        <v>0.12624305555555557</v>
      </c>
      <c r="AB25" s="55">
        <f t="shared" si="27"/>
        <v>-0.28404687500000003</v>
      </c>
      <c r="AC25" s="55">
        <v>-7.32</v>
      </c>
      <c r="AD25" s="55">
        <v>-4.1722724358974359</v>
      </c>
      <c r="AE25" s="55">
        <v>0</v>
      </c>
      <c r="AF25" s="55"/>
    </row>
    <row r="26" spans="1:32" s="57" customFormat="1" ht="15.75" customHeight="1">
      <c r="A26" s="2" t="s">
        <v>83</v>
      </c>
      <c r="B26" s="2" t="s">
        <v>993</v>
      </c>
      <c r="C26" s="51">
        <f t="shared" ref="C26:C39" si="35">IFERROR(F26/D26," - ")</f>
        <v>18.990000000000006</v>
      </c>
      <c r="D26" s="51">
        <v>63</v>
      </c>
      <c r="E26" s="51">
        <v>0</v>
      </c>
      <c r="F26" s="51">
        <v>1196.3700000000003</v>
      </c>
      <c r="G26" s="51">
        <v>-0.89000000000000012</v>
      </c>
      <c r="H26" s="51">
        <f t="shared" si="1"/>
        <v>7.4391701563897446E-4</v>
      </c>
      <c r="I26" s="51">
        <f t="shared" si="2"/>
        <v>0.22912341785021509</v>
      </c>
      <c r="J26" s="51">
        <f t="shared" si="4"/>
        <v>274.1163834134619</v>
      </c>
      <c r="K26" s="51">
        <f t="shared" si="3"/>
        <v>4.3510537049755857</v>
      </c>
      <c r="L26" s="51">
        <v>101</v>
      </c>
      <c r="M26" s="51">
        <f t="shared" si="5"/>
        <v>0.62376237623762376</v>
      </c>
      <c r="N26" s="51">
        <v>59</v>
      </c>
      <c r="O26" s="51">
        <f t="shared" ref="O26:P26" si="36">D26/7</f>
        <v>9</v>
      </c>
      <c r="P26" s="51">
        <f t="shared" si="36"/>
        <v>0</v>
      </c>
      <c r="Q26" s="51">
        <f t="shared" si="7"/>
        <v>6</v>
      </c>
      <c r="R26" s="55">
        <v>452</v>
      </c>
      <c r="S26" s="53">
        <v>200</v>
      </c>
      <c r="T26" s="54">
        <v>43990</v>
      </c>
      <c r="U26" s="55">
        <v>5</v>
      </c>
      <c r="V26" s="55">
        <f t="shared" si="8"/>
        <v>7.9365079365079361E-2</v>
      </c>
      <c r="W26" s="55">
        <f t="shared" si="9"/>
        <v>0.17800000000000002</v>
      </c>
      <c r="X26" s="55">
        <v>0</v>
      </c>
      <c r="Y26" s="55" t="s">
        <v>35</v>
      </c>
      <c r="Z26" s="56">
        <f t="shared" si="19"/>
        <v>-0.75</v>
      </c>
      <c r="AA26" s="55">
        <v>0.12624305555555557</v>
      </c>
      <c r="AB26" s="55">
        <f t="shared" si="27"/>
        <v>-17.894953125000001</v>
      </c>
      <c r="AC26" s="55">
        <v>-7.32</v>
      </c>
      <c r="AD26" s="55">
        <v>-4.1722724358974359</v>
      </c>
      <c r="AE26" s="55">
        <v>0</v>
      </c>
      <c r="AF26" s="55"/>
    </row>
    <row r="27" spans="1:32" s="57" customFormat="1" ht="15.75" customHeight="1">
      <c r="A27" s="2" t="s">
        <v>84</v>
      </c>
      <c r="B27" s="2" t="s">
        <v>994</v>
      </c>
      <c r="C27" s="51">
        <f t="shared" si="35"/>
        <v>19.142926829268269</v>
      </c>
      <c r="D27" s="51">
        <v>123</v>
      </c>
      <c r="E27" s="51">
        <v>0</v>
      </c>
      <c r="F27" s="51">
        <v>2354.5799999999972</v>
      </c>
      <c r="G27" s="51">
        <v>-1.9000000000000004</v>
      </c>
      <c r="H27" s="51">
        <f t="shared" si="1"/>
        <v>8.0693796770549427E-4</v>
      </c>
      <c r="I27" s="51">
        <f t="shared" si="2"/>
        <v>0.23401444196400778</v>
      </c>
      <c r="J27" s="51">
        <f t="shared" si="4"/>
        <v>551.0057247596128</v>
      </c>
      <c r="K27" s="51">
        <f t="shared" si="3"/>
        <v>4.4797213395090472</v>
      </c>
      <c r="L27" s="51">
        <v>202</v>
      </c>
      <c r="M27" s="51">
        <f t="shared" si="5"/>
        <v>0.6089108910891089</v>
      </c>
      <c r="N27" s="51">
        <v>198</v>
      </c>
      <c r="O27" s="51">
        <f t="shared" ref="O27:P27" si="37">D27/7</f>
        <v>17.571428571428573</v>
      </c>
      <c r="P27" s="51">
        <f t="shared" si="37"/>
        <v>0</v>
      </c>
      <c r="Q27" s="51">
        <f t="shared" si="7"/>
        <v>11</v>
      </c>
      <c r="R27" s="55">
        <v>252</v>
      </c>
      <c r="S27" s="53" t="s">
        <v>34</v>
      </c>
      <c r="T27" s="54" t="s">
        <v>34</v>
      </c>
      <c r="U27" s="55">
        <v>2</v>
      </c>
      <c r="V27" s="55">
        <f t="shared" si="8"/>
        <v>1.6260162601626018E-2</v>
      </c>
      <c r="W27" s="55">
        <f t="shared" si="9"/>
        <v>0.63333333333333341</v>
      </c>
      <c r="X27" s="55">
        <v>1</v>
      </c>
      <c r="Y27" s="55" t="s">
        <v>35</v>
      </c>
      <c r="Z27" s="56">
        <f t="shared" si="19"/>
        <v>-0.75</v>
      </c>
      <c r="AA27" s="55">
        <v>0.12624305555555557</v>
      </c>
      <c r="AB27" s="55">
        <f t="shared" si="27"/>
        <v>-34.937765625000004</v>
      </c>
      <c r="AC27" s="55">
        <v>-7.32</v>
      </c>
      <c r="AD27" s="55">
        <v>-4.1722724358974359</v>
      </c>
      <c r="AE27" s="55">
        <v>0</v>
      </c>
      <c r="AF27" s="55"/>
    </row>
    <row r="28" spans="1:32" s="57" customFormat="1" ht="15.75" customHeight="1">
      <c r="A28" s="2" t="s">
        <v>86</v>
      </c>
      <c r="B28" s="2" t="s">
        <v>995</v>
      </c>
      <c r="C28" s="51">
        <f t="shared" si="35"/>
        <v>19.996179775280904</v>
      </c>
      <c r="D28" s="51">
        <v>89</v>
      </c>
      <c r="E28" s="51">
        <v>0</v>
      </c>
      <c r="F28" s="51">
        <v>1779.6600000000005</v>
      </c>
      <c r="G28" s="51">
        <v>-12.390000000000002</v>
      </c>
      <c r="H28" s="51">
        <f t="shared" si="1"/>
        <v>6.9620039782879867E-3</v>
      </c>
      <c r="I28" s="51">
        <f t="shared" si="2"/>
        <v>0.25410953852428458</v>
      </c>
      <c r="J28" s="51">
        <f t="shared" si="4"/>
        <v>452.22858133012841</v>
      </c>
      <c r="K28" s="51">
        <f t="shared" si="3"/>
        <v>5.0812200149452629</v>
      </c>
      <c r="L28" s="51">
        <v>323</v>
      </c>
      <c r="M28" s="51">
        <f t="shared" si="5"/>
        <v>0.27554179566563469</v>
      </c>
      <c r="N28" s="51">
        <v>51</v>
      </c>
      <c r="O28" s="51">
        <f t="shared" ref="O28:P28" si="38">D28/7</f>
        <v>12.714285714285714</v>
      </c>
      <c r="P28" s="51">
        <f t="shared" si="38"/>
        <v>0</v>
      </c>
      <c r="Q28" s="51">
        <f t="shared" si="7"/>
        <v>4</v>
      </c>
      <c r="R28" s="55">
        <v>504</v>
      </c>
      <c r="S28" s="53">
        <v>252</v>
      </c>
      <c r="T28" s="54">
        <v>44042</v>
      </c>
      <c r="U28" s="55">
        <v>21</v>
      </c>
      <c r="V28" s="55">
        <f t="shared" si="8"/>
        <v>0.23595505617977527</v>
      </c>
      <c r="W28" s="55">
        <f t="shared" si="9"/>
        <v>0.3996774193548388</v>
      </c>
      <c r="X28" s="55">
        <v>10</v>
      </c>
      <c r="Y28" s="55" t="s">
        <v>35</v>
      </c>
      <c r="Z28" s="56">
        <f t="shared" si="19"/>
        <v>-0.75</v>
      </c>
      <c r="AA28" s="55">
        <v>0.12624305555555557</v>
      </c>
      <c r="AB28" s="55">
        <f t="shared" si="27"/>
        <v>-25.280171875000001</v>
      </c>
      <c r="AC28" s="55">
        <v>-7.32</v>
      </c>
      <c r="AD28" s="55">
        <v>-4.1722724358974359</v>
      </c>
      <c r="AE28" s="55">
        <v>0</v>
      </c>
      <c r="AF28" s="55"/>
    </row>
    <row r="29" spans="1:32" s="57" customFormat="1" ht="15.75" customHeight="1">
      <c r="A29" s="2" t="s">
        <v>87</v>
      </c>
      <c r="B29" s="2"/>
      <c r="C29" s="51">
        <f t="shared" si="35"/>
        <v>21.517608695652189</v>
      </c>
      <c r="D29" s="51">
        <v>92</v>
      </c>
      <c r="E29" s="51">
        <v>0</v>
      </c>
      <c r="F29" s="51">
        <v>1979.6200000000015</v>
      </c>
      <c r="G29" s="51">
        <v>-14.69</v>
      </c>
      <c r="H29" s="51">
        <f t="shared" si="1"/>
        <v>7.4206160778331138E-3</v>
      </c>
      <c r="I29" s="51">
        <f t="shared" si="2"/>
        <v>0.29529183550248861</v>
      </c>
      <c r="J29" s="51">
        <f t="shared" si="4"/>
        <v>584.56562339743698</v>
      </c>
      <c r="K29" s="51">
        <f t="shared" si="3"/>
        <v>6.3539741673634458</v>
      </c>
      <c r="L29" s="51">
        <v>228</v>
      </c>
      <c r="M29" s="51">
        <f t="shared" si="5"/>
        <v>0.40350877192982454</v>
      </c>
      <c r="N29" s="51">
        <v>8</v>
      </c>
      <c r="O29" s="51">
        <f t="shared" ref="O29:P29" si="39">D29/7</f>
        <v>13.142857142857142</v>
      </c>
      <c r="P29" s="51">
        <f t="shared" si="39"/>
        <v>0</v>
      </c>
      <c r="Q29" s="51">
        <f t="shared" si="7"/>
        <v>0</v>
      </c>
      <c r="R29" s="55">
        <v>504</v>
      </c>
      <c r="S29" s="53">
        <v>252</v>
      </c>
      <c r="T29" s="54">
        <v>44042</v>
      </c>
      <c r="U29" s="55">
        <v>35</v>
      </c>
      <c r="V29" s="55">
        <f t="shared" si="8"/>
        <v>0.38043478260869568</v>
      </c>
      <c r="W29" s="55">
        <f t="shared" si="9"/>
        <v>0.33386363636363636</v>
      </c>
      <c r="X29" s="55">
        <v>9</v>
      </c>
      <c r="Y29" s="55" t="s">
        <v>35</v>
      </c>
      <c r="Z29" s="56">
        <f t="shared" si="19"/>
        <v>-0.75</v>
      </c>
      <c r="AA29" s="55">
        <v>0.12624305555555557</v>
      </c>
      <c r="AB29" s="55">
        <f t="shared" si="27"/>
        <v>-26.132312499999998</v>
      </c>
      <c r="AC29" s="55">
        <v>-7.32</v>
      </c>
      <c r="AD29" s="55">
        <v>-4.1722724358974359</v>
      </c>
      <c r="AE29" s="55">
        <v>0</v>
      </c>
      <c r="AF29" s="55"/>
    </row>
    <row r="30" spans="1:32" s="57" customFormat="1" ht="15.75" customHeight="1">
      <c r="A30" s="2" t="s">
        <v>89</v>
      </c>
      <c r="B30" s="2"/>
      <c r="C30" s="51">
        <f t="shared" si="35"/>
        <v>21.467058823529406</v>
      </c>
      <c r="D30" s="51">
        <v>17</v>
      </c>
      <c r="E30" s="51">
        <v>0</v>
      </c>
      <c r="F30" s="51">
        <v>364.93999999999988</v>
      </c>
      <c r="G30" s="51">
        <v>-0.60000000000000009</v>
      </c>
      <c r="H30" s="51">
        <f t="shared" si="1"/>
        <v>1.6441058804186996E-3</v>
      </c>
      <c r="I30" s="51">
        <f t="shared" si="2"/>
        <v>0.29977961230542971</v>
      </c>
      <c r="J30" s="51">
        <f t="shared" si="4"/>
        <v>109.40157171474348</v>
      </c>
      <c r="K30" s="51">
        <f t="shared" si="3"/>
        <v>6.4353865714554992</v>
      </c>
      <c r="L30" s="51">
        <v>89</v>
      </c>
      <c r="M30" s="51">
        <f t="shared" si="5"/>
        <v>0.19101123595505617</v>
      </c>
      <c r="N30" s="51">
        <v>0</v>
      </c>
      <c r="O30" s="51">
        <f t="shared" ref="O30:P30" si="40">D30/7</f>
        <v>2.4285714285714284</v>
      </c>
      <c r="P30" s="51">
        <f t="shared" si="40"/>
        <v>0</v>
      </c>
      <c r="Q30" s="51">
        <f t="shared" si="7"/>
        <v>0</v>
      </c>
      <c r="R30" s="55">
        <v>504</v>
      </c>
      <c r="S30" s="53">
        <v>252</v>
      </c>
      <c r="T30" s="54">
        <v>44042</v>
      </c>
      <c r="U30" s="55">
        <v>0</v>
      </c>
      <c r="V30" s="55">
        <f t="shared" si="8"/>
        <v>0</v>
      </c>
      <c r="W30" s="55">
        <f t="shared" si="9"/>
        <v>0</v>
      </c>
      <c r="X30" s="55">
        <v>0</v>
      </c>
      <c r="Y30" s="55" t="s">
        <v>35</v>
      </c>
      <c r="Z30" s="56">
        <f t="shared" si="19"/>
        <v>-0.75</v>
      </c>
      <c r="AA30" s="55">
        <v>0.12624305555555557</v>
      </c>
      <c r="AB30" s="55">
        <f t="shared" si="27"/>
        <v>-4.8287968750000001</v>
      </c>
      <c r="AC30" s="55">
        <v>-7.32</v>
      </c>
      <c r="AD30" s="55">
        <v>-4.1722724358974359</v>
      </c>
      <c r="AE30" s="55">
        <v>0</v>
      </c>
      <c r="AF30" s="55"/>
    </row>
    <row r="31" spans="1:32" s="57" customFormat="1" ht="15.75" customHeight="1">
      <c r="A31" s="2" t="s">
        <v>90</v>
      </c>
      <c r="B31" s="2"/>
      <c r="C31" s="51" t="str">
        <f t="shared" si="35"/>
        <v xml:space="preserve"> - </v>
      </c>
      <c r="D31" s="51">
        <v>0</v>
      </c>
      <c r="E31" s="51">
        <v>0</v>
      </c>
      <c r="F31" s="51">
        <v>0</v>
      </c>
      <c r="G31" s="51">
        <v>-0.15000000000000002</v>
      </c>
      <c r="H31" s="51" t="e">
        <f t="shared" si="1"/>
        <v>#DIV/0!</v>
      </c>
      <c r="I31" s="51" t="e">
        <f t="shared" si="2"/>
        <v>#DIV/0!</v>
      </c>
      <c r="J31" s="51">
        <f t="shared" si="4"/>
        <v>-0.15000000000000002</v>
      </c>
      <c r="K31" s="51" t="e">
        <f t="shared" si="3"/>
        <v>#DIV/0!</v>
      </c>
      <c r="L31" s="51">
        <v>3</v>
      </c>
      <c r="M31" s="51">
        <f t="shared" si="5"/>
        <v>0</v>
      </c>
      <c r="N31" s="51">
        <v>0</v>
      </c>
      <c r="O31" s="51">
        <f t="shared" ref="O31:P31" si="41">D31/7</f>
        <v>0</v>
      </c>
      <c r="P31" s="51">
        <f t="shared" si="41"/>
        <v>0</v>
      </c>
      <c r="Q31" s="51" t="e">
        <f t="shared" si="7"/>
        <v>#DIV/0!</v>
      </c>
      <c r="R31" s="55">
        <v>0</v>
      </c>
      <c r="S31" s="53" t="s">
        <v>34</v>
      </c>
      <c r="T31" s="54" t="s">
        <v>34</v>
      </c>
      <c r="U31" s="55">
        <v>0</v>
      </c>
      <c r="V31" s="55">
        <f t="shared" si="8"/>
        <v>0</v>
      </c>
      <c r="W31" s="55">
        <f t="shared" si="9"/>
        <v>0</v>
      </c>
      <c r="X31" s="55">
        <v>0</v>
      </c>
      <c r="Y31" s="55" t="s">
        <v>35</v>
      </c>
      <c r="Z31" s="56">
        <f t="shared" si="19"/>
        <v>-0.75</v>
      </c>
      <c r="AA31" s="55">
        <v>0.12624305555555557</v>
      </c>
      <c r="AB31" s="55">
        <f t="shared" si="27"/>
        <v>0</v>
      </c>
      <c r="AC31" s="55">
        <v>-7.32</v>
      </c>
      <c r="AD31" s="55">
        <v>-4.1722724358974359</v>
      </c>
      <c r="AE31" s="55">
        <v>0</v>
      </c>
      <c r="AF31" s="55"/>
    </row>
    <row r="32" spans="1:32" s="57" customFormat="1" ht="15.75" customHeight="1">
      <c r="A32" s="2" t="s">
        <v>92</v>
      </c>
      <c r="B32" s="2"/>
      <c r="C32" s="51">
        <f t="shared" si="35"/>
        <v>21.34</v>
      </c>
      <c r="D32" s="51">
        <v>8</v>
      </c>
      <c r="E32" s="51">
        <v>0</v>
      </c>
      <c r="F32" s="51">
        <v>170.72</v>
      </c>
      <c r="G32" s="51">
        <v>-0.48</v>
      </c>
      <c r="H32" s="51">
        <f t="shared" si="1"/>
        <v>2.8116213683223993E-3</v>
      </c>
      <c r="I32" s="51">
        <f t="shared" si="2"/>
        <v>0.29534586171989524</v>
      </c>
      <c r="J32" s="51">
        <f t="shared" si="4"/>
        <v>50.421445512820512</v>
      </c>
      <c r="K32" s="51">
        <f t="shared" si="3"/>
        <v>6.302680689102564</v>
      </c>
      <c r="L32" s="51">
        <v>26</v>
      </c>
      <c r="M32" s="51">
        <f t="shared" si="5"/>
        <v>0.30769230769230771</v>
      </c>
      <c r="N32" s="51">
        <v>0</v>
      </c>
      <c r="O32" s="51">
        <f t="shared" ref="O32:P32" si="42">D32/7</f>
        <v>1.1428571428571428</v>
      </c>
      <c r="P32" s="51">
        <f t="shared" si="42"/>
        <v>0</v>
      </c>
      <c r="Q32" s="51">
        <f t="shared" si="7"/>
        <v>0</v>
      </c>
      <c r="R32" s="55">
        <v>0</v>
      </c>
      <c r="S32" s="53" t="s">
        <v>34</v>
      </c>
      <c r="T32" s="54" t="s">
        <v>34</v>
      </c>
      <c r="U32" s="55">
        <v>2</v>
      </c>
      <c r="V32" s="55">
        <f t="shared" si="8"/>
        <v>0.25</v>
      </c>
      <c r="W32" s="55">
        <f t="shared" si="9"/>
        <v>0.24</v>
      </c>
      <c r="X32" s="55">
        <v>0</v>
      </c>
      <c r="Y32" s="55" t="s">
        <v>35</v>
      </c>
      <c r="Z32" s="56">
        <f t="shared" si="19"/>
        <v>-0.75</v>
      </c>
      <c r="AA32" s="55">
        <v>0.12624305555555557</v>
      </c>
      <c r="AB32" s="55">
        <f t="shared" si="27"/>
        <v>-2.2723750000000003</v>
      </c>
      <c r="AC32" s="55">
        <v>-7.32</v>
      </c>
      <c r="AD32" s="55">
        <v>-4.1722724358974359</v>
      </c>
      <c r="AE32" s="55">
        <v>0</v>
      </c>
      <c r="AF32" s="52">
        <v>2.9119010819165299</v>
      </c>
    </row>
    <row r="33" spans="1:32" s="57" customFormat="1" ht="15.75" customHeight="1">
      <c r="A33" s="2" t="s">
        <v>94</v>
      </c>
      <c r="B33" s="2"/>
      <c r="C33" s="51">
        <f t="shared" si="35"/>
        <v>21.34</v>
      </c>
      <c r="D33" s="51">
        <v>1</v>
      </c>
      <c r="E33" s="51">
        <v>0</v>
      </c>
      <c r="F33" s="51">
        <v>21.34</v>
      </c>
      <c r="G33" s="51">
        <v>0</v>
      </c>
      <c r="H33" s="51">
        <f t="shared" si="1"/>
        <v>0</v>
      </c>
      <c r="I33" s="51">
        <f t="shared" si="2"/>
        <v>0.29815748308821755</v>
      </c>
      <c r="J33" s="51">
        <f t="shared" si="4"/>
        <v>6.3626806891025627</v>
      </c>
      <c r="K33" s="51">
        <f t="shared" si="3"/>
        <v>6.3626806891025627</v>
      </c>
      <c r="L33" s="51">
        <v>2</v>
      </c>
      <c r="M33" s="51">
        <f t="shared" si="5"/>
        <v>0.5</v>
      </c>
      <c r="N33" s="51">
        <v>0</v>
      </c>
      <c r="O33" s="51">
        <f t="shared" ref="O33:P33" si="43">D33/7</f>
        <v>0.14285714285714285</v>
      </c>
      <c r="P33" s="51">
        <f t="shared" si="43"/>
        <v>0</v>
      </c>
      <c r="Q33" s="51">
        <f t="shared" si="7"/>
        <v>0</v>
      </c>
      <c r="R33" s="55">
        <v>0</v>
      </c>
      <c r="S33" s="53" t="s">
        <v>34</v>
      </c>
      <c r="T33" s="54" t="s">
        <v>34</v>
      </c>
      <c r="U33" s="55">
        <v>0</v>
      </c>
      <c r="V33" s="55">
        <f t="shared" si="8"/>
        <v>0</v>
      </c>
      <c r="W33" s="55">
        <f t="shared" si="9"/>
        <v>0</v>
      </c>
      <c r="X33" s="55">
        <v>0</v>
      </c>
      <c r="Y33" s="55" t="s">
        <v>35</v>
      </c>
      <c r="Z33" s="56">
        <f t="shared" si="19"/>
        <v>-0.75</v>
      </c>
      <c r="AA33" s="55">
        <v>0.12624305555555557</v>
      </c>
      <c r="AB33" s="55">
        <f t="shared" si="27"/>
        <v>-0.28404687500000003</v>
      </c>
      <c r="AC33" s="55">
        <v>-7.32</v>
      </c>
      <c r="AD33" s="55">
        <v>-4.1722724358974359</v>
      </c>
      <c r="AE33" s="55">
        <v>0</v>
      </c>
      <c r="AF33" s="55">
        <v>3.4285714285714199</v>
      </c>
    </row>
    <row r="34" spans="1:32" s="57" customFormat="1" ht="15.75" customHeight="1">
      <c r="A34" s="2" t="s">
        <v>95</v>
      </c>
      <c r="B34" s="2"/>
      <c r="C34" s="51">
        <f t="shared" si="35"/>
        <v>21.34</v>
      </c>
      <c r="D34" s="51">
        <v>1</v>
      </c>
      <c r="E34" s="51">
        <v>0</v>
      </c>
      <c r="F34" s="51">
        <v>21.34</v>
      </c>
      <c r="G34" s="51">
        <v>0</v>
      </c>
      <c r="H34" s="51">
        <f t="shared" si="1"/>
        <v>0</v>
      </c>
      <c r="I34" s="51">
        <f t="shared" si="2"/>
        <v>0.29815748308821755</v>
      </c>
      <c r="J34" s="51">
        <f t="shared" si="4"/>
        <v>6.3626806891025627</v>
      </c>
      <c r="K34" s="51">
        <f t="shared" si="3"/>
        <v>6.3626806891025627</v>
      </c>
      <c r="L34" s="51">
        <v>0</v>
      </c>
      <c r="M34" s="51" t="str">
        <f t="shared" si="5"/>
        <v>-</v>
      </c>
      <c r="N34" s="51">
        <v>0</v>
      </c>
      <c r="O34" s="51">
        <f t="shared" ref="O34:P34" si="44">D34/7</f>
        <v>0.14285714285714285</v>
      </c>
      <c r="P34" s="51">
        <f t="shared" si="44"/>
        <v>0</v>
      </c>
      <c r="Q34" s="51">
        <f t="shared" si="7"/>
        <v>0</v>
      </c>
      <c r="R34" s="55">
        <v>252</v>
      </c>
      <c r="S34" s="53">
        <v>252</v>
      </c>
      <c r="T34" s="54">
        <v>44068</v>
      </c>
      <c r="U34" s="55">
        <v>0</v>
      </c>
      <c r="V34" s="55">
        <f t="shared" si="8"/>
        <v>0</v>
      </c>
      <c r="W34" s="55">
        <f t="shared" si="9"/>
        <v>0</v>
      </c>
      <c r="X34" s="55">
        <v>0</v>
      </c>
      <c r="Y34" s="55" t="s">
        <v>35</v>
      </c>
      <c r="Z34" s="56">
        <f t="shared" si="19"/>
        <v>-0.75</v>
      </c>
      <c r="AA34" s="55">
        <v>0.12624305555555557</v>
      </c>
      <c r="AB34" s="55">
        <f t="shared" si="27"/>
        <v>-0.28404687500000003</v>
      </c>
      <c r="AC34" s="55">
        <v>-7.32</v>
      </c>
      <c r="AD34" s="55">
        <v>-4.1722724358974359</v>
      </c>
      <c r="AE34" s="55">
        <v>0</v>
      </c>
      <c r="AF34" s="55" t="e">
        <v>#N/A</v>
      </c>
    </row>
    <row r="35" spans="1:32" s="57" customFormat="1" ht="15.75" customHeight="1">
      <c r="A35" s="2" t="s">
        <v>96</v>
      </c>
      <c r="B35" s="2"/>
      <c r="C35" s="51" t="str">
        <f t="shared" si="35"/>
        <v xml:space="preserve"> - </v>
      </c>
      <c r="D35" s="51">
        <v>0</v>
      </c>
      <c r="E35" s="51">
        <v>0</v>
      </c>
      <c r="F35" s="51">
        <v>0</v>
      </c>
      <c r="G35" s="51">
        <v>0</v>
      </c>
      <c r="H35" s="51" t="e">
        <f t="shared" si="1"/>
        <v>#DIV/0!</v>
      </c>
      <c r="I35" s="51" t="e">
        <f t="shared" si="2"/>
        <v>#DIV/0!</v>
      </c>
      <c r="J35" s="51">
        <f t="shared" si="4"/>
        <v>0</v>
      </c>
      <c r="K35" s="51" t="e">
        <f t="shared" si="3"/>
        <v>#DIV/0!</v>
      </c>
      <c r="L35" s="51">
        <v>0</v>
      </c>
      <c r="M35" s="51" t="str">
        <f t="shared" si="5"/>
        <v>-</v>
      </c>
      <c r="N35" s="51">
        <v>0</v>
      </c>
      <c r="O35" s="51">
        <f t="shared" ref="O35:P35" si="45">D35/7</f>
        <v>0</v>
      </c>
      <c r="P35" s="51">
        <f t="shared" si="45"/>
        <v>0</v>
      </c>
      <c r="Q35" s="51" t="e">
        <f t="shared" si="7"/>
        <v>#DIV/0!</v>
      </c>
      <c r="R35" s="55">
        <v>252</v>
      </c>
      <c r="S35" s="53">
        <v>252</v>
      </c>
      <c r="T35" s="54">
        <v>44070</v>
      </c>
      <c r="U35" s="55">
        <v>0</v>
      </c>
      <c r="V35" s="55">
        <f t="shared" si="8"/>
        <v>0</v>
      </c>
      <c r="W35" s="55">
        <f t="shared" si="9"/>
        <v>0</v>
      </c>
      <c r="X35" s="55">
        <v>0</v>
      </c>
      <c r="Y35" s="55" t="e">
        <v>#N/A</v>
      </c>
      <c r="Z35" s="56" t="e">
        <f t="shared" si="19"/>
        <v>#N/A</v>
      </c>
      <c r="AA35" s="55" t="e">
        <v>#N/A</v>
      </c>
      <c r="AB35" s="55">
        <f t="shared" si="27"/>
        <v>0</v>
      </c>
      <c r="AC35" s="55">
        <v>0</v>
      </c>
      <c r="AD35" s="55">
        <v>-4.1722724358974359</v>
      </c>
      <c r="AE35" s="55">
        <v>0</v>
      </c>
      <c r="AF35" s="55" t="e">
        <v>#N/A</v>
      </c>
    </row>
    <row r="36" spans="1:32" s="57" customFormat="1" ht="15.75" customHeight="1">
      <c r="A36" s="2" t="s">
        <v>98</v>
      </c>
      <c r="B36" s="2"/>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v>252</v>
      </c>
      <c r="S36" s="53"/>
      <c r="T36" s="54">
        <v>44070</v>
      </c>
      <c r="U36" s="55"/>
      <c r="V36" s="55">
        <f t="shared" si="8"/>
        <v>0</v>
      </c>
      <c r="W36" s="55">
        <f t="shared" si="9"/>
        <v>0</v>
      </c>
      <c r="X36" s="55"/>
      <c r="Y36" s="55" t="e">
        <v>#N/A</v>
      </c>
      <c r="Z36" s="56" t="e">
        <f t="shared" si="19"/>
        <v>#N/A</v>
      </c>
      <c r="AA36" s="55" t="e">
        <v>#N/A</v>
      </c>
      <c r="AB36" s="55">
        <f t="shared" si="27"/>
        <v>0</v>
      </c>
      <c r="AC36" s="55">
        <v>0</v>
      </c>
      <c r="AD36" s="55">
        <v>-4.3081724358974363</v>
      </c>
      <c r="AE36" s="55">
        <v>0</v>
      </c>
      <c r="AF36" s="55" t="e">
        <v>#N/A</v>
      </c>
    </row>
    <row r="37" spans="1:32" s="57" customFormat="1" ht="15.75" customHeight="1">
      <c r="A37" s="2" t="s">
        <v>99</v>
      </c>
      <c r="B37" s="2"/>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v>252</v>
      </c>
      <c r="S37" s="53">
        <v>252</v>
      </c>
      <c r="T37" s="54">
        <v>44070</v>
      </c>
      <c r="U37" s="55">
        <v>0</v>
      </c>
      <c r="V37" s="55">
        <f t="shared" si="8"/>
        <v>0</v>
      </c>
      <c r="W37" s="55">
        <f t="shared" si="9"/>
        <v>0</v>
      </c>
      <c r="X37" s="55">
        <v>0</v>
      </c>
      <c r="Y37" s="55" t="e">
        <v>#N/A</v>
      </c>
      <c r="Z37" s="56" t="e">
        <f t="shared" si="19"/>
        <v>#N/A</v>
      </c>
      <c r="AA37" s="55" t="e">
        <v>#N/A</v>
      </c>
      <c r="AB37" s="55">
        <f t="shared" si="27"/>
        <v>0</v>
      </c>
      <c r="AC37" s="55">
        <v>0</v>
      </c>
      <c r="AD37" s="55">
        <v>-4.3081724358974363</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5">
        <v>0</v>
      </c>
      <c r="S38" s="53"/>
      <c r="T38" s="54" t="s">
        <v>34</v>
      </c>
      <c r="U38" s="55">
        <v>0</v>
      </c>
      <c r="V38" s="55">
        <f t="shared" si="8"/>
        <v>0</v>
      </c>
      <c r="W38" s="55">
        <f t="shared" si="9"/>
        <v>0</v>
      </c>
      <c r="X38" s="55">
        <v>0</v>
      </c>
      <c r="Y38" s="55" t="e">
        <v>#N/A</v>
      </c>
      <c r="Z38" s="56" t="e">
        <f t="shared" si="19"/>
        <v>#N/A</v>
      </c>
      <c r="AA38" s="55" t="e">
        <v>#N/A</v>
      </c>
      <c r="AB38" s="55">
        <f t="shared" si="27"/>
        <v>0</v>
      </c>
      <c r="AC38" s="55">
        <v>0</v>
      </c>
      <c r="AD38" s="55">
        <v>-4.3081724358974363</v>
      </c>
      <c r="AE38" s="55">
        <v>0</v>
      </c>
      <c r="AF38" s="55" t="e">
        <v>#N/A</v>
      </c>
    </row>
    <row r="39" spans="1:32" s="57" customFormat="1" ht="15.75" customHeight="1">
      <c r="A39" s="2" t="s">
        <v>101</v>
      </c>
      <c r="B39" s="2" t="s">
        <v>996</v>
      </c>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252</v>
      </c>
      <c r="O39" s="51">
        <f t="shared" ref="O39:P39" si="49">D39/7</f>
        <v>0</v>
      </c>
      <c r="P39" s="51">
        <f t="shared" si="49"/>
        <v>0</v>
      </c>
      <c r="Q39" s="51" t="e">
        <f t="shared" si="7"/>
        <v>#DIV/0!</v>
      </c>
      <c r="R39" s="55">
        <v>0</v>
      </c>
      <c r="S39" s="53" t="s">
        <v>34</v>
      </c>
      <c r="T39" s="54" t="s">
        <v>34</v>
      </c>
      <c r="U39" s="55">
        <v>0</v>
      </c>
      <c r="V39" s="55">
        <f t="shared" si="8"/>
        <v>0</v>
      </c>
      <c r="W39" s="55">
        <f t="shared" si="9"/>
        <v>0</v>
      </c>
      <c r="X39" s="55">
        <v>0</v>
      </c>
      <c r="Y39" s="55" t="s">
        <v>35</v>
      </c>
      <c r="Z39" s="56">
        <f t="shared" si="19"/>
        <v>-0.75</v>
      </c>
      <c r="AA39" s="55">
        <v>0.12624305555555557</v>
      </c>
      <c r="AB39" s="55">
        <f t="shared" si="27"/>
        <v>0</v>
      </c>
      <c r="AC39" s="55">
        <v>-7.32</v>
      </c>
      <c r="AD39" s="55">
        <v>-4.30817243589743</v>
      </c>
      <c r="AE39" s="55">
        <v>0</v>
      </c>
      <c r="AF39" s="55">
        <v>3.26501766784452</v>
      </c>
    </row>
    <row r="40" spans="1:32" s="57" customFormat="1" ht="15.75" customHeight="1">
      <c r="A40" s="2" t="s">
        <v>102</v>
      </c>
      <c r="B40" s="2" t="s">
        <v>997</v>
      </c>
      <c r="C40" s="51" t="s">
        <v>103</v>
      </c>
      <c r="D40" s="51">
        <v>0</v>
      </c>
      <c r="E40" s="51">
        <v>0</v>
      </c>
      <c r="F40" s="51">
        <v>0</v>
      </c>
      <c r="G40" s="51">
        <v>-8.0399999999999991</v>
      </c>
      <c r="H40" s="51" t="e">
        <v>#DIV/0!</v>
      </c>
      <c r="I40" s="51" t="e">
        <v>#DIV/0!</v>
      </c>
      <c r="J40" s="51">
        <v>-8.0399999999999991</v>
      </c>
      <c r="K40" s="51" t="e">
        <v>#DIV/0!</v>
      </c>
      <c r="L40" s="51">
        <v>0</v>
      </c>
      <c r="M40" s="51" t="s">
        <v>104</v>
      </c>
      <c r="N40" s="51">
        <v>252</v>
      </c>
      <c r="O40" s="51">
        <v>0</v>
      </c>
      <c r="P40" s="51">
        <v>0</v>
      </c>
      <c r="Q40" s="51" t="e">
        <v>#DIV/0!</v>
      </c>
      <c r="R40" s="55">
        <v>0</v>
      </c>
      <c r="S40" s="53" t="s">
        <v>34</v>
      </c>
      <c r="T40" s="54" t="s">
        <v>34</v>
      </c>
      <c r="U40" s="55">
        <v>0</v>
      </c>
      <c r="V40" s="55">
        <v>0</v>
      </c>
      <c r="W40" s="55">
        <v>0</v>
      </c>
      <c r="X40" s="55">
        <v>0</v>
      </c>
      <c r="Y40" s="55" t="s">
        <v>35</v>
      </c>
      <c r="Z40" s="56">
        <v>-0.75</v>
      </c>
      <c r="AA40" s="55">
        <v>0.12624305555555557</v>
      </c>
      <c r="AB40" s="55">
        <v>0</v>
      </c>
      <c r="AC40" s="55">
        <v>-7.32</v>
      </c>
      <c r="AD40" s="55">
        <v>-4.30817243589743</v>
      </c>
      <c r="AE40" s="55">
        <v>0</v>
      </c>
      <c r="AF40" s="55">
        <v>1.7652173913043401</v>
      </c>
    </row>
    <row r="41" spans="1:32" s="57" customFormat="1" ht="15.75" customHeight="1">
      <c r="A41" s="2" t="s">
        <v>105</v>
      </c>
      <c r="B41" s="2"/>
      <c r="C41" s="51">
        <f t="shared" ref="C41:C56" si="50">IFERROR(F41/D41," - ")</f>
        <v>20.824999999999999</v>
      </c>
      <c r="D41" s="51">
        <v>4</v>
      </c>
      <c r="E41" s="51">
        <v>0</v>
      </c>
      <c r="F41" s="51">
        <v>83.3</v>
      </c>
      <c r="G41" s="51">
        <v>-75.17</v>
      </c>
      <c r="H41" s="51">
        <f t="shared" ref="H41:H56" si="51">G41/F41*-1</f>
        <v>0.90240096038415374</v>
      </c>
      <c r="I41" s="51">
        <f t="shared" ref="I41:I56" si="52">J41/F41</f>
        <v>-0.64254354434081307</v>
      </c>
      <c r="J41" s="51">
        <f t="shared" ref="J41:J48" si="53">F41*0.85+G41+AD41*D41+D41*AC41+AE42+AB41</f>
        <v>-53.523877243589723</v>
      </c>
      <c r="K41" s="51">
        <f t="shared" ref="K41:K56" si="54">J41/D41</f>
        <v>-13.380969310897431</v>
      </c>
      <c r="L41" s="51">
        <v>38</v>
      </c>
      <c r="M41" s="51">
        <f t="shared" ref="M41:M56" si="55">IFERROR(D41/L41,"-")</f>
        <v>0.10526315789473684</v>
      </c>
      <c r="N41" s="51">
        <v>248</v>
      </c>
      <c r="O41" s="51">
        <f t="shared" ref="O41:P41" si="56">D41/7</f>
        <v>0.5714285714285714</v>
      </c>
      <c r="P41" s="51">
        <f t="shared" si="56"/>
        <v>0</v>
      </c>
      <c r="Q41" s="51">
        <f t="shared" ref="Q41:Q56" si="57">ROUNDDOWN(N41/(O41+P41),0)</f>
        <v>434</v>
      </c>
      <c r="R41" s="55">
        <v>0</v>
      </c>
      <c r="S41" s="53" t="s">
        <v>34</v>
      </c>
      <c r="T41" s="54" t="s">
        <v>34</v>
      </c>
      <c r="U41" s="55">
        <v>4</v>
      </c>
      <c r="V41" s="55">
        <f t="shared" ref="V41:V56" si="58">IFERROR(U41/D41,0)</f>
        <v>1</v>
      </c>
      <c r="W41" s="55">
        <f t="shared" ref="W41:W56" si="59">IFERROR(G41/(U41+X41)*-1,0)</f>
        <v>15.034000000000001</v>
      </c>
      <c r="X41" s="55">
        <v>1</v>
      </c>
      <c r="Y41" s="52" t="s">
        <v>35</v>
      </c>
      <c r="Z41" s="56">
        <f t="shared" ref="Z41:Z43" si="60">IF(OR(Y41="UsLargeStandardSize",Y41="UsSmallStandardSize"),-0.75,-0.48)</f>
        <v>-0.75</v>
      </c>
      <c r="AA41" s="55">
        <v>0.12624305555555557</v>
      </c>
      <c r="AB41" s="55">
        <f t="shared" ref="AB41:AB56" si="61">IFERROR(Z41*AA41*D41*3,0)</f>
        <v>-1.1361875000000001</v>
      </c>
      <c r="AC41" s="55">
        <v>-7.32</v>
      </c>
      <c r="AD41" s="55">
        <v>-4.30817243589743</v>
      </c>
      <c r="AE41" s="55">
        <v>0</v>
      </c>
      <c r="AF41" s="55">
        <v>1.02102102102102</v>
      </c>
    </row>
    <row r="42" spans="1:32" s="57" customFormat="1" ht="15.75" customHeight="1">
      <c r="A42" s="2" t="s">
        <v>106</v>
      </c>
      <c r="B42" s="2" t="s">
        <v>966</v>
      </c>
      <c r="C42" s="51">
        <f t="shared" si="50"/>
        <v>16.29</v>
      </c>
      <c r="D42" s="51">
        <v>2</v>
      </c>
      <c r="E42" s="51">
        <v>0</v>
      </c>
      <c r="F42" s="51">
        <v>32.58</v>
      </c>
      <c r="G42" s="51">
        <v>0</v>
      </c>
      <c r="H42" s="51">
        <f t="shared" si="51"/>
        <v>0</v>
      </c>
      <c r="I42" s="51">
        <f t="shared" si="52"/>
        <v>-0.19525594296485149</v>
      </c>
      <c r="J42" s="51">
        <f t="shared" si="53"/>
        <v>-6.3614386217948615</v>
      </c>
      <c r="K42" s="51">
        <f t="shared" si="54"/>
        <v>-3.1807193108974308</v>
      </c>
      <c r="L42" s="51">
        <v>16</v>
      </c>
      <c r="M42" s="51">
        <f t="shared" si="55"/>
        <v>0.125</v>
      </c>
      <c r="N42" s="51">
        <v>236</v>
      </c>
      <c r="O42" s="51">
        <f t="shared" ref="O42:P42" si="62">D42/7</f>
        <v>0.2857142857142857</v>
      </c>
      <c r="P42" s="51">
        <f t="shared" si="62"/>
        <v>0</v>
      </c>
      <c r="Q42" s="51">
        <f t="shared" si="57"/>
        <v>826</v>
      </c>
      <c r="R42" s="55">
        <f ca="1">IFERROR(__xludf.DUMMYFUNCTION("IFERROR(VLOOKUP($B$2,IMPORTRANGE(""https://docs.google.com/spreadsheets/d/1iVgg6Mw12RULLujzHmfOFIY8Q_KaAD8anoZzgtVAQ74/edit#gid=1503384807"",""Second Star - Summary!A1:AD2000""),9,FALSE),"""")"),308)</f>
        <v>308</v>
      </c>
      <c r="S42" s="53">
        <f ca="1">IFERROR(__xludf.DUMMYFUNCTION("IFERROR(VLOOKUP($B$2,IMPORTRANGE(""https://docs.google.com/spreadsheets/d/1iVgg6Mw12RULLujzHmfOFIY8Q_KaAD8anoZzgtVAQ74/edit#gid=1503384807"",""Second Star - Summary!A1:AD2000""),28,FALSE),"""")"),216)</f>
        <v>216</v>
      </c>
      <c r="T42" s="54">
        <f ca="1">IFERROR(__xludf.DUMMYFUNCTION("IFERROR(VLOOKUP($B$2,IMPORTRANGE(""https://docs.google.com/spreadsheets/d/1iVgg6Mw12RULLujzHmfOFIY8Q_KaAD8anoZzgtVAQ74/edit#gid=1503384807"",""Second Star - Summary!A1:AD2000""),29,FALSE),"""")"),44324)</f>
        <v>44324</v>
      </c>
      <c r="U42" s="55">
        <v>0</v>
      </c>
      <c r="V42" s="55">
        <f t="shared" si="58"/>
        <v>0</v>
      </c>
      <c r="W42" s="55">
        <f t="shared" si="59"/>
        <v>0</v>
      </c>
      <c r="X42" s="55">
        <v>0</v>
      </c>
      <c r="Y42" s="55" t="s">
        <v>35</v>
      </c>
      <c r="Z42" s="56">
        <f t="shared" si="60"/>
        <v>-0.75</v>
      </c>
      <c r="AA42" s="55">
        <v>0.12624305555555557</v>
      </c>
      <c r="AB42" s="55">
        <f t="shared" si="61"/>
        <v>-0.56809375000000006</v>
      </c>
      <c r="AC42" s="55">
        <v>-7.32</v>
      </c>
      <c r="AD42" s="55">
        <v>-4.30817243589743</v>
      </c>
      <c r="AE42" s="55">
        <v>-1.51</v>
      </c>
      <c r="AF42" s="55">
        <v>0.62015503875968903</v>
      </c>
    </row>
    <row r="43" spans="1:32" s="57" customFormat="1" ht="15.75" customHeight="1">
      <c r="A43" s="2" t="s">
        <v>107</v>
      </c>
      <c r="B43" s="2" t="s">
        <v>998</v>
      </c>
      <c r="C43" s="51">
        <f t="shared" si="50"/>
        <v>16.285</v>
      </c>
      <c r="D43" s="51">
        <v>12</v>
      </c>
      <c r="E43" s="51">
        <v>0</v>
      </c>
      <c r="F43" s="51">
        <v>195.42000000000002</v>
      </c>
      <c r="G43" s="51">
        <v>0</v>
      </c>
      <c r="H43" s="51">
        <f t="shared" si="51"/>
        <v>0</v>
      </c>
      <c r="I43" s="51">
        <f t="shared" si="52"/>
        <v>0.11851585441219337</v>
      </c>
      <c r="J43" s="51">
        <f t="shared" si="53"/>
        <v>23.16036826923083</v>
      </c>
      <c r="K43" s="51">
        <f t="shared" si="54"/>
        <v>1.9300306891025691</v>
      </c>
      <c r="L43" s="51">
        <v>34</v>
      </c>
      <c r="M43" s="51">
        <f t="shared" si="55"/>
        <v>0.35294117647058826</v>
      </c>
      <c r="N43" s="51">
        <v>231</v>
      </c>
      <c r="O43" s="51">
        <f t="shared" ref="O43:P43" si="63">D43/7</f>
        <v>1.7142857142857142</v>
      </c>
      <c r="P43" s="51">
        <f t="shared" si="63"/>
        <v>0</v>
      </c>
      <c r="Q43" s="51">
        <f t="shared" si="57"/>
        <v>134</v>
      </c>
      <c r="R43" s="55">
        <v>0</v>
      </c>
      <c r="S43" s="53" t="s">
        <v>34</v>
      </c>
      <c r="T43" s="54" t="s">
        <v>34</v>
      </c>
      <c r="U43" s="55">
        <v>0</v>
      </c>
      <c r="V43" s="55">
        <f t="shared" si="58"/>
        <v>0</v>
      </c>
      <c r="W43" s="55">
        <f t="shared" si="59"/>
        <v>0</v>
      </c>
      <c r="X43" s="55">
        <v>0</v>
      </c>
      <c r="Y43" s="55" t="s">
        <v>35</v>
      </c>
      <c r="Z43" s="56">
        <f t="shared" si="60"/>
        <v>-0.75</v>
      </c>
      <c r="AA43" s="55">
        <v>0.12624305555555557</v>
      </c>
      <c r="AB43" s="55">
        <f t="shared" si="61"/>
        <v>-3.4085625000000004</v>
      </c>
      <c r="AC43" s="55">
        <v>-7.32</v>
      </c>
      <c r="AD43" s="55">
        <v>-4.30817243589743</v>
      </c>
      <c r="AE43" s="55">
        <v>-10.23</v>
      </c>
      <c r="AF43" s="55">
        <v>0.23819301848049201</v>
      </c>
    </row>
    <row r="44" spans="1:32" s="57" customFormat="1" ht="15.75" customHeight="1">
      <c r="A44" s="2" t="s">
        <v>108</v>
      </c>
      <c r="B44" s="2" t="s">
        <v>810</v>
      </c>
      <c r="C44" s="51">
        <f t="shared" si="50"/>
        <v>15.02</v>
      </c>
      <c r="D44" s="51">
        <v>8</v>
      </c>
      <c r="E44" s="51">
        <v>0</v>
      </c>
      <c r="F44" s="51">
        <v>120.16</v>
      </c>
      <c r="G44" s="51">
        <v>0</v>
      </c>
      <c r="H44" s="51">
        <f t="shared" si="51"/>
        <v>0</v>
      </c>
      <c r="I44" s="51">
        <f t="shared" si="52"/>
        <v>1.5304764587388156E-2</v>
      </c>
      <c r="J44" s="51">
        <f t="shared" si="53"/>
        <v>1.8390205128205608</v>
      </c>
      <c r="K44" s="51">
        <f t="shared" si="54"/>
        <v>0.2298775641025701</v>
      </c>
      <c r="L44" s="51">
        <v>28</v>
      </c>
      <c r="M44" s="51">
        <f t="shared" si="55"/>
        <v>0.2857142857142857</v>
      </c>
      <c r="N44" s="51">
        <v>223</v>
      </c>
      <c r="O44" s="51">
        <f t="shared" ref="O44:P44" si="64">D44/7</f>
        <v>1.1428571428571428</v>
      </c>
      <c r="P44" s="51">
        <f t="shared" si="64"/>
        <v>0</v>
      </c>
      <c r="Q44" s="51">
        <f t="shared" si="57"/>
        <v>195</v>
      </c>
      <c r="R44" s="55">
        <v>0</v>
      </c>
      <c r="S44" s="53" t="s">
        <v>34</v>
      </c>
      <c r="T44" s="54" t="s">
        <v>34</v>
      </c>
      <c r="U44" s="55">
        <v>0</v>
      </c>
      <c r="V44" s="55">
        <f t="shared" si="58"/>
        <v>0</v>
      </c>
      <c r="W44" s="55">
        <f t="shared" si="59"/>
        <v>0</v>
      </c>
      <c r="X44" s="55">
        <v>0</v>
      </c>
      <c r="Y44" s="55" t="s">
        <v>35</v>
      </c>
      <c r="Z44" s="56">
        <f t="shared" ref="Z44:Z56" si="65">IF(OR(Y44="UsLargeStandardSize",Y44="UsSmallStandardSize"),-2.4,-1.2)</f>
        <v>-2.4</v>
      </c>
      <c r="AA44" s="55">
        <v>0.12624305555555557</v>
      </c>
      <c r="AB44" s="55">
        <f t="shared" si="61"/>
        <v>-7.2715999999999994</v>
      </c>
      <c r="AC44" s="55">
        <v>-7.32</v>
      </c>
      <c r="AD44" s="55">
        <v>-4.30817243589743</v>
      </c>
      <c r="AE44" s="55">
        <v>0</v>
      </c>
      <c r="AF44" s="55">
        <v>0.28041237113402001</v>
      </c>
    </row>
    <row r="45" spans="1:32" s="57" customFormat="1" ht="15.75" customHeight="1">
      <c r="A45" s="2" t="s">
        <v>109</v>
      </c>
      <c r="B45" s="2" t="s">
        <v>810</v>
      </c>
      <c r="C45" s="51">
        <f t="shared" si="50"/>
        <v>15.216666666666665</v>
      </c>
      <c r="D45" s="51">
        <v>9</v>
      </c>
      <c r="E45" s="51">
        <v>0</v>
      </c>
      <c r="F45" s="51">
        <v>136.94999999999999</v>
      </c>
      <c r="G45" s="51">
        <v>-2.1100000000000003</v>
      </c>
      <c r="H45" s="51">
        <f t="shared" si="51"/>
        <v>1.5407082876962399E-2</v>
      </c>
      <c r="I45" s="51">
        <f t="shared" si="52"/>
        <v>1.0685637655517515E-2</v>
      </c>
      <c r="J45" s="51">
        <f t="shared" si="53"/>
        <v>1.4633980769231236</v>
      </c>
      <c r="K45" s="51">
        <f t="shared" si="54"/>
        <v>0.16259978632479152</v>
      </c>
      <c r="L45" s="51">
        <v>26</v>
      </c>
      <c r="M45" s="51">
        <f t="shared" si="55"/>
        <v>0.34615384615384615</v>
      </c>
      <c r="N45" s="51">
        <v>216</v>
      </c>
      <c r="O45" s="51">
        <f t="shared" ref="O45:P45" si="66">D45/7</f>
        <v>1.2857142857142858</v>
      </c>
      <c r="P45" s="51">
        <f t="shared" si="66"/>
        <v>0</v>
      </c>
      <c r="Q45" s="51">
        <f t="shared" si="57"/>
        <v>168</v>
      </c>
      <c r="R45" s="55">
        <v>0</v>
      </c>
      <c r="S45" s="53" t="s">
        <v>34</v>
      </c>
      <c r="T45" s="54" t="s">
        <v>34</v>
      </c>
      <c r="U45" s="55">
        <v>0</v>
      </c>
      <c r="V45" s="55">
        <f t="shared" si="58"/>
        <v>0</v>
      </c>
      <c r="W45" s="55">
        <f t="shared" si="59"/>
        <v>0</v>
      </c>
      <c r="X45" s="55">
        <v>0</v>
      </c>
      <c r="Y45" s="55" t="s">
        <v>35</v>
      </c>
      <c r="Z45" s="56">
        <f t="shared" si="65"/>
        <v>-2.4</v>
      </c>
      <c r="AA45" s="55">
        <v>0.12624305555555557</v>
      </c>
      <c r="AB45" s="55">
        <f t="shared" si="61"/>
        <v>-8.1805500000000002</v>
      </c>
      <c r="AC45" s="55">
        <v>-7.32</v>
      </c>
      <c r="AD45" s="55">
        <v>-4.30817243589743</v>
      </c>
      <c r="AE45" s="55">
        <v>0</v>
      </c>
      <c r="AF45" s="55">
        <v>0.316239316239316</v>
      </c>
    </row>
    <row r="46" spans="1:32" s="57" customFormat="1" ht="15.75" customHeight="1">
      <c r="A46" s="2" t="s">
        <v>111</v>
      </c>
      <c r="B46" s="2" t="s">
        <v>810</v>
      </c>
      <c r="C46" s="51">
        <f t="shared" si="50"/>
        <v>16.003333333333334</v>
      </c>
      <c r="D46" s="51">
        <v>3</v>
      </c>
      <c r="E46" s="51">
        <v>0</v>
      </c>
      <c r="F46" s="51">
        <v>48.010000000000005</v>
      </c>
      <c r="G46" s="51">
        <v>-0.28999999999999998</v>
      </c>
      <c r="H46" s="51">
        <f t="shared" si="51"/>
        <v>6.0404082482816068E-3</v>
      </c>
      <c r="I46" s="51">
        <f t="shared" si="52"/>
        <v>6.055264928780902E-2</v>
      </c>
      <c r="J46" s="51">
        <f t="shared" si="53"/>
        <v>2.9071326923077114</v>
      </c>
      <c r="K46" s="51">
        <f t="shared" si="54"/>
        <v>0.96904423076923718</v>
      </c>
      <c r="L46" s="51">
        <v>21</v>
      </c>
      <c r="M46" s="51">
        <f t="shared" si="55"/>
        <v>0.14285714285714285</v>
      </c>
      <c r="N46" s="51">
        <v>211</v>
      </c>
      <c r="O46" s="51">
        <f t="shared" ref="O46:P46" si="67">D46/7</f>
        <v>0.42857142857142855</v>
      </c>
      <c r="P46" s="51">
        <f t="shared" si="67"/>
        <v>0</v>
      </c>
      <c r="Q46" s="51">
        <f t="shared" si="57"/>
        <v>492</v>
      </c>
      <c r="R46" s="55">
        <v>0</v>
      </c>
      <c r="S46" s="53" t="s">
        <v>34</v>
      </c>
      <c r="T46" s="54" t="s">
        <v>34</v>
      </c>
      <c r="U46" s="55">
        <v>0</v>
      </c>
      <c r="V46" s="55">
        <f t="shared" si="58"/>
        <v>0</v>
      </c>
      <c r="W46" s="55">
        <f t="shared" si="59"/>
        <v>0</v>
      </c>
      <c r="X46" s="55">
        <v>0</v>
      </c>
      <c r="Y46" s="55" t="s">
        <v>35</v>
      </c>
      <c r="Z46" s="56">
        <f t="shared" si="65"/>
        <v>-2.4</v>
      </c>
      <c r="AA46" s="55">
        <v>0.12624305555555557</v>
      </c>
      <c r="AB46" s="55">
        <f t="shared" si="61"/>
        <v>-2.7268499999999998</v>
      </c>
      <c r="AC46" s="55">
        <v>-7.32</v>
      </c>
      <c r="AD46" s="55">
        <v>-4.30817243589743</v>
      </c>
      <c r="AE46" s="55">
        <v>0</v>
      </c>
      <c r="AF46" s="55">
        <v>0.36761487964988998</v>
      </c>
    </row>
    <row r="47" spans="1:32" s="57" customFormat="1" ht="15.75" customHeight="1">
      <c r="A47" s="2" t="s">
        <v>113</v>
      </c>
      <c r="B47" s="2" t="s">
        <v>963</v>
      </c>
      <c r="C47" s="51">
        <f t="shared" si="50"/>
        <v>15.75</v>
      </c>
      <c r="D47" s="51">
        <v>5</v>
      </c>
      <c r="E47" s="51">
        <v>0</v>
      </c>
      <c r="F47" s="51">
        <v>78.75</v>
      </c>
      <c r="G47" s="51">
        <v>-2.78</v>
      </c>
      <c r="H47" s="51">
        <f t="shared" si="51"/>
        <v>3.5301587301587299E-2</v>
      </c>
      <c r="I47" s="51">
        <f t="shared" si="52"/>
        <v>1.8690638990639333E-2</v>
      </c>
      <c r="J47" s="51">
        <f t="shared" si="53"/>
        <v>1.4718878205128476</v>
      </c>
      <c r="K47" s="51">
        <f t="shared" si="54"/>
        <v>0.29437756410256954</v>
      </c>
      <c r="L47" s="51">
        <v>19</v>
      </c>
      <c r="M47" s="51">
        <f t="shared" si="55"/>
        <v>0.26315789473684209</v>
      </c>
      <c r="N47" s="51">
        <v>208</v>
      </c>
      <c r="O47" s="51">
        <f t="shared" ref="O47:P47" si="68">D47/7</f>
        <v>0.7142857142857143</v>
      </c>
      <c r="P47" s="51">
        <f t="shared" si="68"/>
        <v>0</v>
      </c>
      <c r="Q47" s="51">
        <f t="shared" si="57"/>
        <v>291</v>
      </c>
      <c r="R47" s="55">
        <v>0</v>
      </c>
      <c r="S47" s="53" t="s">
        <v>34</v>
      </c>
      <c r="T47" s="54" t="s">
        <v>34</v>
      </c>
      <c r="U47" s="55">
        <v>0</v>
      </c>
      <c r="V47" s="55">
        <f t="shared" si="58"/>
        <v>0</v>
      </c>
      <c r="W47" s="55">
        <f t="shared" si="59"/>
        <v>0</v>
      </c>
      <c r="X47" s="55">
        <v>0</v>
      </c>
      <c r="Y47" s="55" t="s">
        <v>35</v>
      </c>
      <c r="Z47" s="56">
        <f t="shared" si="65"/>
        <v>-2.4</v>
      </c>
      <c r="AA47" s="55">
        <v>0.12624305555555557</v>
      </c>
      <c r="AB47" s="55">
        <f t="shared" si="61"/>
        <v>-4.5447500000000005</v>
      </c>
      <c r="AC47" s="55">
        <v>-7.32</v>
      </c>
      <c r="AD47" s="55">
        <v>-4.30817243589743</v>
      </c>
      <c r="AE47" s="55">
        <v>0</v>
      </c>
      <c r="AF47" s="55">
        <v>0.247126436781609</v>
      </c>
    </row>
    <row r="48" spans="1:32" s="57" customFormat="1" ht="15.75" customHeight="1">
      <c r="A48" s="2" t="s">
        <v>115</v>
      </c>
      <c r="B48" s="2" t="s">
        <v>964</v>
      </c>
      <c r="C48" s="51">
        <f t="shared" si="50"/>
        <v>18.399999999999999</v>
      </c>
      <c r="D48" s="51">
        <v>1</v>
      </c>
      <c r="E48" s="51">
        <v>0</v>
      </c>
      <c r="F48" s="51">
        <v>18.399999999999999</v>
      </c>
      <c r="G48" s="51">
        <v>0</v>
      </c>
      <c r="H48" s="51">
        <f t="shared" si="51"/>
        <v>0</v>
      </c>
      <c r="I48" s="51">
        <f t="shared" si="52"/>
        <v>0.16863465022296564</v>
      </c>
      <c r="J48" s="51">
        <f t="shared" si="53"/>
        <v>3.1028775641025677</v>
      </c>
      <c r="K48" s="51">
        <f t="shared" si="54"/>
        <v>3.1028775641025677</v>
      </c>
      <c r="L48" s="51">
        <v>15</v>
      </c>
      <c r="M48" s="51">
        <f t="shared" si="55"/>
        <v>6.6666666666666666E-2</v>
      </c>
      <c r="N48" s="51">
        <v>207</v>
      </c>
      <c r="O48" s="51">
        <f t="shared" ref="O48:P48" si="69">D48/7</f>
        <v>0.14285714285714285</v>
      </c>
      <c r="P48" s="51">
        <f t="shared" si="69"/>
        <v>0</v>
      </c>
      <c r="Q48" s="51">
        <f t="shared" si="57"/>
        <v>1449</v>
      </c>
      <c r="R48" s="55">
        <f ca="1">IFERROR(__xludf.DUMMYFUNCTION("IFERROR(VLOOKUP($B$2,IMPORTRANGE(""https://docs.google.com/spreadsheets/d/1iVgg6Mw12RULLujzHmfOFIY8Q_KaAD8anoZzgtVAQ74/edit#gid=1503384807"",""Second Star - Summary!A1:AD2000""),9,FALSE),"""")"),308)</f>
        <v>308</v>
      </c>
      <c r="S48" s="53">
        <f ca="1">IFERROR(__xludf.DUMMYFUNCTION("IFERROR(VLOOKUP($B$2,IMPORTRANGE(""https://docs.google.com/spreadsheets/d/1iVgg6Mw12RULLujzHmfOFIY8Q_KaAD8anoZzgtVAQ74/edit#gid=1503384807"",""Second Star - Summary!A1:AD2000""),28,FALSE),"""")"),216)</f>
        <v>216</v>
      </c>
      <c r="T48" s="54">
        <f ca="1">IFERROR(__xludf.DUMMYFUNCTION("IFERROR(VLOOKUP($B$2,IMPORTRANGE(""https://docs.google.com/spreadsheets/d/1iVgg6Mw12RULLujzHmfOFIY8Q_KaAD8anoZzgtVAQ74/edit#gid=1503384807"",""Second Star - Summary!A1:AD2000""),29,FALSE),"""")"),44324)</f>
        <v>44324</v>
      </c>
      <c r="U48" s="55">
        <v>0</v>
      </c>
      <c r="V48" s="55">
        <f t="shared" si="58"/>
        <v>0</v>
      </c>
      <c r="W48" s="55">
        <f t="shared" si="59"/>
        <v>0</v>
      </c>
      <c r="X48" s="55">
        <v>0</v>
      </c>
      <c r="Y48" s="55" t="s">
        <v>35</v>
      </c>
      <c r="Z48" s="56">
        <f t="shared" si="65"/>
        <v>-2.4</v>
      </c>
      <c r="AA48" s="55">
        <v>0.12624305555555557</v>
      </c>
      <c r="AB48" s="55">
        <f t="shared" si="61"/>
        <v>-0.90894999999999992</v>
      </c>
      <c r="AC48" s="55">
        <v>-7.32</v>
      </c>
      <c r="AD48" s="55">
        <v>-4.30817243589743</v>
      </c>
      <c r="AE48" s="55">
        <v>0</v>
      </c>
      <c r="AF48" s="55">
        <v>0.25470332850940602</v>
      </c>
    </row>
    <row r="49" spans="1:32" s="57" customFormat="1" ht="15.75" customHeight="1">
      <c r="A49" s="2" t="s">
        <v>117</v>
      </c>
      <c r="B49" s="2" t="s">
        <v>810</v>
      </c>
      <c r="C49" s="51">
        <f t="shared" si="50"/>
        <v>16.450000000000003</v>
      </c>
      <c r="D49" s="51">
        <v>2</v>
      </c>
      <c r="E49" s="51">
        <v>0</v>
      </c>
      <c r="F49" s="51">
        <v>32.900000000000006</v>
      </c>
      <c r="G49" s="51">
        <v>-0.95</v>
      </c>
      <c r="H49" s="51">
        <f t="shared" si="51"/>
        <v>2.887537993920972E-2</v>
      </c>
      <c r="I49" s="51">
        <f t="shared" si="52"/>
        <v>5.898951757462436E-2</v>
      </c>
      <c r="J49" s="51">
        <f t="shared" ref="J49:J56" si="70">F49*0.85+G49+AD49*D49+D49*AC49+AE49+AB49</f>
        <v>1.9407551282051418</v>
      </c>
      <c r="K49" s="51">
        <f t="shared" si="54"/>
        <v>0.97037756410257092</v>
      </c>
      <c r="L49" s="51">
        <v>16</v>
      </c>
      <c r="M49" s="51">
        <f t="shared" si="55"/>
        <v>0.125</v>
      </c>
      <c r="N49" s="51">
        <v>206</v>
      </c>
      <c r="O49" s="51">
        <f t="shared" ref="O49:P49" si="71">D49/7</f>
        <v>0.2857142857142857</v>
      </c>
      <c r="P49" s="51">
        <f t="shared" si="71"/>
        <v>0</v>
      </c>
      <c r="Q49" s="51">
        <f t="shared" si="57"/>
        <v>721</v>
      </c>
      <c r="R49" s="55">
        <f ca="1">IFERROR(__xludf.DUMMYFUNCTION("IFERROR(VLOOKUP($B$2,IMPORTRANGE(""https://docs.google.com/spreadsheets/d/1iVgg6Mw12RULLujzHmfOFIY8Q_KaAD8anoZzgtVAQ74/edit#gid=1503384807"",""Second Star - Summary!A1:AD2000""),9,FALSE),"""")"),308)</f>
        <v>308</v>
      </c>
      <c r="S49" s="53">
        <f ca="1">IFERROR(__xludf.DUMMYFUNCTION("IFERROR(VLOOKUP($B$2,IMPORTRANGE(""https://docs.google.com/spreadsheets/d/1iVgg6Mw12RULLujzHmfOFIY8Q_KaAD8anoZzgtVAQ74/edit#gid=1503384807"",""Second Star - Summary!A1:AD2000""),28,FALSE),"""")"),216)</f>
        <v>216</v>
      </c>
      <c r="T49" s="54">
        <f ca="1">IFERROR(__xludf.DUMMYFUNCTION("IFERROR(VLOOKUP($B$2,IMPORTRANGE(""https://docs.google.com/spreadsheets/d/1iVgg6Mw12RULLujzHmfOFIY8Q_KaAD8anoZzgtVAQ74/edit#gid=1503384807"",""Second Star - Summary!A1:AD2000""),29,FALSE),"""")"),44324)</f>
        <v>44324</v>
      </c>
      <c r="U49" s="55">
        <v>0</v>
      </c>
      <c r="V49" s="55">
        <f t="shared" si="58"/>
        <v>0</v>
      </c>
      <c r="W49" s="55">
        <f t="shared" si="59"/>
        <v>0</v>
      </c>
      <c r="X49" s="55">
        <v>0</v>
      </c>
      <c r="Y49" s="55" t="s">
        <v>35</v>
      </c>
      <c r="Z49" s="56">
        <f t="shared" si="65"/>
        <v>-2.4</v>
      </c>
      <c r="AA49" s="55">
        <v>0.12624305555555557</v>
      </c>
      <c r="AB49" s="55">
        <f t="shared" si="61"/>
        <v>-1.8178999999999998</v>
      </c>
      <c r="AC49" s="55">
        <v>-7.32</v>
      </c>
      <c r="AD49" s="55">
        <v>-4.30817243589743</v>
      </c>
      <c r="AE49" s="55"/>
      <c r="AF49" s="55">
        <v>0.27098674521354899</v>
      </c>
    </row>
    <row r="50" spans="1:32" s="57" customFormat="1" ht="15.75" customHeight="1">
      <c r="A50" s="2" t="s">
        <v>119</v>
      </c>
      <c r="B50" s="2" t="s">
        <v>999</v>
      </c>
      <c r="C50" s="51" t="str">
        <f t="shared" si="50"/>
        <v xml:space="preserve"> - </v>
      </c>
      <c r="D50" s="51">
        <v>0</v>
      </c>
      <c r="E50" s="51">
        <v>0</v>
      </c>
      <c r="F50" s="51">
        <v>0</v>
      </c>
      <c r="G50" s="51">
        <v>-0.72</v>
      </c>
      <c r="H50" s="51" t="e">
        <f t="shared" si="51"/>
        <v>#DIV/0!</v>
      </c>
      <c r="I50" s="51" t="e">
        <f t="shared" si="52"/>
        <v>#DIV/0!</v>
      </c>
      <c r="J50" s="51">
        <f t="shared" si="70"/>
        <v>-0.72</v>
      </c>
      <c r="K50" s="51" t="e">
        <f t="shared" si="54"/>
        <v>#DIV/0!</v>
      </c>
      <c r="L50" s="51">
        <v>0</v>
      </c>
      <c r="M50" s="51" t="str">
        <f t="shared" si="55"/>
        <v>-</v>
      </c>
      <c r="N50" s="51">
        <v>205</v>
      </c>
      <c r="O50" s="51">
        <f t="shared" ref="O50:P50" si="72">D50/7</f>
        <v>0</v>
      </c>
      <c r="P50" s="51">
        <f t="shared" si="72"/>
        <v>0</v>
      </c>
      <c r="Q50" s="51" t="e">
        <f t="shared" si="57"/>
        <v>#DIV/0!</v>
      </c>
      <c r="R50" s="55">
        <f ca="1">IFERROR(__xludf.DUMMYFUNCTION("IFERROR(VLOOKUP($B$2,IMPORTRANGE(""https://docs.google.com/spreadsheets/d/1iVgg6Mw12RULLujzHmfOFIY8Q_KaAD8anoZzgtVAQ74/edit#gid=1503384807"",""Second Star - Summary!A1:AD2000""),9,FALSE),"""")"),308)</f>
        <v>308</v>
      </c>
      <c r="S50" s="53">
        <f ca="1">IFERROR(__xludf.DUMMYFUNCTION("IFERROR(VLOOKUP($B$2,IMPORTRANGE(""https://docs.google.com/spreadsheets/d/1iVgg6Mw12RULLujzHmfOFIY8Q_KaAD8anoZzgtVAQ74/edit#gid=1503384807"",""Second Star - Summary!A1:AD2000""),28,FALSE),"""")"),216)</f>
        <v>216</v>
      </c>
      <c r="T50" s="54">
        <f ca="1">IFERROR(__xludf.DUMMYFUNCTION("IFERROR(VLOOKUP($B$2,IMPORTRANGE(""https://docs.google.com/spreadsheets/d/1iVgg6Mw12RULLujzHmfOFIY8Q_KaAD8anoZzgtVAQ74/edit#gid=1503384807"",""Second Star - Summary!A1:AD2000""),29,FALSE),"""")"),44324)</f>
        <v>44324</v>
      </c>
      <c r="U50" s="55">
        <v>0</v>
      </c>
      <c r="V50" s="55">
        <f t="shared" si="58"/>
        <v>0</v>
      </c>
      <c r="W50" s="55">
        <f t="shared" si="59"/>
        <v>0</v>
      </c>
      <c r="X50" s="55">
        <v>0</v>
      </c>
      <c r="Y50" s="55" t="s">
        <v>35</v>
      </c>
      <c r="Z50" s="56">
        <f t="shared" si="65"/>
        <v>-2.4</v>
      </c>
      <c r="AA50" s="55">
        <v>0.12624305555555557</v>
      </c>
      <c r="AB50" s="55">
        <f t="shared" si="61"/>
        <v>0</v>
      </c>
      <c r="AC50" s="55">
        <v>-7.32</v>
      </c>
      <c r="AD50" s="55">
        <v>-4.30817243589743</v>
      </c>
      <c r="AE50" s="55">
        <v>0</v>
      </c>
      <c r="AF50" s="55">
        <v>0.27421758569299498</v>
      </c>
    </row>
    <row r="51" spans="1:32" s="57" customFormat="1" ht="15.75" customHeight="1">
      <c r="A51" s="2" t="s">
        <v>121</v>
      </c>
      <c r="B51" s="2" t="s">
        <v>1000</v>
      </c>
      <c r="C51" s="51" t="str">
        <f t="shared" si="50"/>
        <v xml:space="preserve"> - </v>
      </c>
      <c r="D51" s="51">
        <v>0</v>
      </c>
      <c r="E51" s="51">
        <v>0</v>
      </c>
      <c r="F51" s="51">
        <v>0</v>
      </c>
      <c r="G51" s="51">
        <v>0</v>
      </c>
      <c r="H51" s="51" t="e">
        <f t="shared" si="51"/>
        <v>#DIV/0!</v>
      </c>
      <c r="I51" s="51" t="e">
        <f t="shared" si="52"/>
        <v>#DIV/0!</v>
      </c>
      <c r="J51" s="51">
        <f t="shared" si="70"/>
        <v>0</v>
      </c>
      <c r="K51" s="51" t="e">
        <f t="shared" si="54"/>
        <v>#DIV/0!</v>
      </c>
      <c r="L51" s="51">
        <v>0</v>
      </c>
      <c r="M51" s="51" t="str">
        <f t="shared" si="55"/>
        <v>-</v>
      </c>
      <c r="N51" s="51">
        <v>205</v>
      </c>
      <c r="O51" s="51">
        <f t="shared" ref="O51:P51" si="73">D51/7</f>
        <v>0</v>
      </c>
      <c r="P51" s="51">
        <f t="shared" si="73"/>
        <v>0</v>
      </c>
      <c r="Q51" s="51" t="e">
        <f t="shared" si="57"/>
        <v>#DIV/0!</v>
      </c>
      <c r="R51" s="55">
        <f ca="1">IFERROR(__xludf.DUMMYFUNCTION("IFERROR(VLOOKUP($B$2,IMPORTRANGE(""https://docs.google.com/spreadsheets/d/1iVgg6Mw12RULLujzHmfOFIY8Q_KaAD8anoZzgtVAQ74/edit#gid=1503384807"",""Second Star - Summary!A1:AD2000""),9,FALSE),"""")"),308)</f>
        <v>308</v>
      </c>
      <c r="S51" s="53">
        <f ca="1">IFERROR(__xludf.DUMMYFUNCTION("IFERROR(VLOOKUP($B$2,IMPORTRANGE(""https://docs.google.com/spreadsheets/d/1iVgg6Mw12RULLujzHmfOFIY8Q_KaAD8anoZzgtVAQ74/edit#gid=1503384807"",""Second Star - Summary!A1:AD2000""),28,FALSE),"""")"),216)</f>
        <v>216</v>
      </c>
      <c r="T51" s="54">
        <f ca="1">IFERROR(__xludf.DUMMYFUNCTION("IFERROR(VLOOKUP($B$2,IMPORTRANGE(""https://docs.google.com/spreadsheets/d/1iVgg6Mw12RULLujzHmfOFIY8Q_KaAD8anoZzgtVAQ74/edit#gid=1503384807"",""Second Star - Summary!A1:AD2000""),29,FALSE),"""")"),44324)</f>
        <v>44324</v>
      </c>
      <c r="U51" s="55">
        <v>0</v>
      </c>
      <c r="V51" s="55">
        <f t="shared" si="58"/>
        <v>0</v>
      </c>
      <c r="W51" s="55">
        <f t="shared" si="59"/>
        <v>0</v>
      </c>
      <c r="X51" s="55">
        <v>0</v>
      </c>
      <c r="Y51" s="55" t="e">
        <v>#N/A</v>
      </c>
      <c r="Z51" s="56" t="e">
        <f t="shared" si="65"/>
        <v>#N/A</v>
      </c>
      <c r="AA51" s="55" t="e">
        <v>#N/A</v>
      </c>
      <c r="AB51" s="55">
        <f t="shared" si="61"/>
        <v>0</v>
      </c>
      <c r="AC51" s="55">
        <v>0</v>
      </c>
      <c r="AD51" s="55">
        <v>-4.30817243589743</v>
      </c>
      <c r="AE51" s="55">
        <v>0</v>
      </c>
      <c r="AF51" s="55">
        <v>0.278366111951588</v>
      </c>
    </row>
    <row r="52" spans="1:32" s="57" customFormat="1" ht="15.75" customHeight="1">
      <c r="A52" s="2" t="s">
        <v>123</v>
      </c>
      <c r="B52" s="2" t="s">
        <v>1001</v>
      </c>
      <c r="C52" s="51">
        <f t="shared" si="50"/>
        <v>17.13</v>
      </c>
      <c r="D52" s="51">
        <v>3</v>
      </c>
      <c r="E52" s="51">
        <v>0</v>
      </c>
      <c r="F52" s="51">
        <v>51.39</v>
      </c>
      <c r="G52" s="51">
        <v>-30.060000000000002</v>
      </c>
      <c r="H52" s="51">
        <f t="shared" si="51"/>
        <v>0.58493870402802106</v>
      </c>
      <c r="I52" s="51">
        <f t="shared" si="52"/>
        <v>-0.46681975691170058</v>
      </c>
      <c r="J52" s="51">
        <f t="shared" si="70"/>
        <v>-23.989867307692293</v>
      </c>
      <c r="K52" s="51">
        <f t="shared" si="54"/>
        <v>-7.9966224358974314</v>
      </c>
      <c r="L52" s="51">
        <v>17</v>
      </c>
      <c r="M52" s="51">
        <f t="shared" si="55"/>
        <v>0.17647058823529413</v>
      </c>
      <c r="N52" s="51">
        <v>202</v>
      </c>
      <c r="O52" s="51">
        <f t="shared" ref="O52:P52" si="74">D52/7</f>
        <v>0.42857142857142855</v>
      </c>
      <c r="P52" s="51">
        <f t="shared" si="74"/>
        <v>0</v>
      </c>
      <c r="Q52" s="51">
        <f t="shared" si="57"/>
        <v>471</v>
      </c>
      <c r="R52" s="55">
        <f ca="1">IFERROR(__xludf.DUMMYFUNCTION("IFERROR(VLOOKUP($B$2,IMPORTRANGE(""https://docs.google.com/spreadsheets/d/1iVgg6Mw12RULLujzHmfOFIY8Q_KaAD8anoZzgtVAQ74/edit#gid=1503384807"",""Second Star - Summary!A1:AD2000""),9,FALSE),"""")"),308)</f>
        <v>308</v>
      </c>
      <c r="S52" s="53">
        <f ca="1">IFERROR(__xludf.DUMMYFUNCTION("IFERROR(VLOOKUP($B$2,IMPORTRANGE(""https://docs.google.com/spreadsheets/d/1iVgg6Mw12RULLujzHmfOFIY8Q_KaAD8anoZzgtVAQ74/edit#gid=1503384807"",""Second Star - Summary!A1:AD2000""),28,FALSE),"""")"),216)</f>
        <v>216</v>
      </c>
      <c r="T52" s="54">
        <f ca="1">IFERROR(__xludf.DUMMYFUNCTION("IFERROR(VLOOKUP($B$2,IMPORTRANGE(""https://docs.google.com/spreadsheets/d/1iVgg6Mw12RULLujzHmfOFIY8Q_KaAD8anoZzgtVAQ74/edit#gid=1503384807"",""Second Star - Summary!A1:AD2000""),29,FALSE),"""")"),44324)</f>
        <v>44324</v>
      </c>
      <c r="U52" s="55">
        <v>0</v>
      </c>
      <c r="V52" s="55">
        <f t="shared" si="58"/>
        <v>0</v>
      </c>
      <c r="W52" s="55">
        <f t="shared" si="59"/>
        <v>0</v>
      </c>
      <c r="X52" s="55">
        <v>0</v>
      </c>
      <c r="Y52" s="55" t="s">
        <v>35</v>
      </c>
      <c r="Z52" s="56">
        <f t="shared" si="65"/>
        <v>-2.4</v>
      </c>
      <c r="AA52" s="55">
        <v>0.12624305555555557</v>
      </c>
      <c r="AB52" s="55">
        <f t="shared" si="61"/>
        <v>-2.7268499999999998</v>
      </c>
      <c r="AC52" s="55">
        <v>-7.32</v>
      </c>
      <c r="AD52" s="55">
        <v>-4.30817243589743</v>
      </c>
      <c r="AE52" s="55">
        <v>0</v>
      </c>
      <c r="AF52" s="55">
        <v>0.28220858895705497</v>
      </c>
    </row>
    <row r="53" spans="1:32" s="57" customFormat="1">
      <c r="A53" s="2" t="s">
        <v>38</v>
      </c>
      <c r="B53" s="2" t="s">
        <v>1002</v>
      </c>
      <c r="C53" s="51">
        <f t="shared" si="50"/>
        <v>18.298333333333328</v>
      </c>
      <c r="D53" s="51">
        <v>6</v>
      </c>
      <c r="E53" s="51">
        <v>0</v>
      </c>
      <c r="F53" s="51">
        <v>109.78999999999998</v>
      </c>
      <c r="G53" s="51">
        <v>-67.25</v>
      </c>
      <c r="H53" s="51">
        <f t="shared" si="51"/>
        <v>0.61253301757901457</v>
      </c>
      <c r="I53" s="51">
        <f t="shared" si="52"/>
        <v>-0.44768407519250042</v>
      </c>
      <c r="J53" s="51">
        <f t="shared" si="70"/>
        <v>-49.15123461538461</v>
      </c>
      <c r="K53" s="51">
        <f t="shared" si="54"/>
        <v>-8.1918724358974355</v>
      </c>
      <c r="L53" s="51">
        <v>34</v>
      </c>
      <c r="M53" s="51">
        <f t="shared" si="55"/>
        <v>0.17647058823529413</v>
      </c>
      <c r="N53" s="51">
        <v>196</v>
      </c>
      <c r="O53" s="51">
        <f t="shared" ref="O53:P53" si="75">D53/7</f>
        <v>0.8571428571428571</v>
      </c>
      <c r="P53" s="51">
        <f t="shared" si="75"/>
        <v>0</v>
      </c>
      <c r="Q53" s="51">
        <f t="shared" si="57"/>
        <v>228</v>
      </c>
      <c r="R53" s="55">
        <f ca="1">IFERROR(__xludf.DUMMYFUNCTION("IFERROR(VLOOKUP($B$2,IMPORTRANGE(""https://docs.google.com/spreadsheets/d/1iVgg6Mw12RULLujzHmfOFIY8Q_KaAD8anoZzgtVAQ74/edit#gid=1503384807"",""Second Star - Summary!A1:AD2000""),9,FALSE),"""")"),308)</f>
        <v>308</v>
      </c>
      <c r="S53" s="53">
        <f ca="1">IFERROR(__xludf.DUMMYFUNCTION("IFERROR(VLOOKUP($B$2,IMPORTRANGE(""https://docs.google.com/spreadsheets/d/1iVgg6Mw12RULLujzHmfOFIY8Q_KaAD8anoZzgtVAQ74/edit#gid=1503384807"",""Second Star - Summary!A1:AD2000""),28,FALSE),"""")"),216)</f>
        <v>216</v>
      </c>
      <c r="T53" s="54">
        <f ca="1">IFERROR(__xludf.DUMMYFUNCTION("IFERROR(VLOOKUP($B$2,IMPORTRANGE(""https://docs.google.com/spreadsheets/d/1iVgg6Mw12RULLujzHmfOFIY8Q_KaAD8anoZzgtVAQ74/edit#gid=1503384807"",""Second Star - Summary!A1:AD2000""),29,FALSE),"""")"),44324)</f>
        <v>44324</v>
      </c>
      <c r="U53" s="55">
        <v>1</v>
      </c>
      <c r="V53" s="55">
        <f t="shared" si="58"/>
        <v>0.16666666666666666</v>
      </c>
      <c r="W53" s="55">
        <f t="shared" si="59"/>
        <v>33.625</v>
      </c>
      <c r="X53" s="55">
        <v>1</v>
      </c>
      <c r="Y53" s="55" t="s">
        <v>35</v>
      </c>
      <c r="Z53" s="56">
        <f t="shared" si="65"/>
        <v>-2.4</v>
      </c>
      <c r="AA53" s="55">
        <v>0.12624305555555557</v>
      </c>
      <c r="AB53" s="55">
        <f t="shared" si="61"/>
        <v>-5.4536999999999995</v>
      </c>
      <c r="AC53" s="55">
        <v>-7.32</v>
      </c>
      <c r="AD53" s="55">
        <v>-4.30817243589743</v>
      </c>
      <c r="AE53" s="55">
        <v>0</v>
      </c>
      <c r="AF53" s="55">
        <v>0.239819004524886</v>
      </c>
    </row>
    <row r="54" spans="1:32" s="57" customFormat="1">
      <c r="A54" s="2" t="s">
        <v>40</v>
      </c>
      <c r="B54" s="2" t="s">
        <v>983</v>
      </c>
      <c r="C54" s="51">
        <f t="shared" si="50"/>
        <v>16.426363636363636</v>
      </c>
      <c r="D54" s="51">
        <v>11</v>
      </c>
      <c r="E54" s="51">
        <v>0</v>
      </c>
      <c r="F54" s="51">
        <v>180.69</v>
      </c>
      <c r="G54" s="51">
        <v>-1.07</v>
      </c>
      <c r="H54" s="51">
        <f t="shared" si="51"/>
        <v>5.9217444241518626E-3</v>
      </c>
      <c r="I54" s="51">
        <f t="shared" si="52"/>
        <v>8.0846495130490151E-2</v>
      </c>
      <c r="J54" s="51">
        <f t="shared" si="70"/>
        <v>14.608153205128266</v>
      </c>
      <c r="K54" s="51">
        <f t="shared" si="54"/>
        <v>1.3280139277389333</v>
      </c>
      <c r="L54" s="51">
        <v>23</v>
      </c>
      <c r="M54" s="51">
        <f t="shared" si="55"/>
        <v>0.47826086956521741</v>
      </c>
      <c r="N54" s="51">
        <v>186</v>
      </c>
      <c r="O54" s="51">
        <f t="shared" ref="O54:P54" si="76">D54/7</f>
        <v>1.5714285714285714</v>
      </c>
      <c r="P54" s="51">
        <f t="shared" si="76"/>
        <v>0</v>
      </c>
      <c r="Q54" s="51">
        <f t="shared" si="57"/>
        <v>118</v>
      </c>
      <c r="R54" s="55">
        <f ca="1">IFERROR(__xludf.DUMMYFUNCTION("IFERROR(VLOOKUP($B$2,IMPORTRANGE(""https://docs.google.com/spreadsheets/d/1iVgg6Mw12RULLujzHmfOFIY8Q_KaAD8anoZzgtVAQ74/edit#gid=1503384807"",""Second Star - Summary!A1:AD2000""),9,FALSE),"""")"),308)</f>
        <v>308</v>
      </c>
      <c r="S54" s="53">
        <f ca="1">IFERROR(__xludf.DUMMYFUNCTION("IFERROR(VLOOKUP($B$2,IMPORTRANGE(""https://docs.google.com/spreadsheets/d/1iVgg6Mw12RULLujzHmfOFIY8Q_KaAD8anoZzgtVAQ74/edit#gid=1503384807"",""Second Star - Summary!A1:AD2000""),28,FALSE),"""")"),216)</f>
        <v>216</v>
      </c>
      <c r="T54" s="54">
        <f ca="1">IFERROR(__xludf.DUMMYFUNCTION("IFERROR(VLOOKUP($B$2,IMPORTRANGE(""https://docs.google.com/spreadsheets/d/1iVgg6Mw12RULLujzHmfOFIY8Q_KaAD8anoZzgtVAQ74/edit#gid=1503384807"",""Second Star - Summary!A1:AD2000""),29,FALSE),"""")"),44324)</f>
        <v>44324</v>
      </c>
      <c r="U54" s="55">
        <v>0</v>
      </c>
      <c r="V54" s="55">
        <f t="shared" si="58"/>
        <v>0</v>
      </c>
      <c r="W54" s="55">
        <f t="shared" si="59"/>
        <v>0</v>
      </c>
      <c r="X54" s="55">
        <v>0</v>
      </c>
      <c r="Y54" s="55" t="s">
        <v>35</v>
      </c>
      <c r="Z54" s="56">
        <f t="shared" si="65"/>
        <v>-2.4</v>
      </c>
      <c r="AA54" s="55">
        <v>0.12624305555555557</v>
      </c>
      <c r="AB54" s="55">
        <f t="shared" si="61"/>
        <v>-9.9984500000000001</v>
      </c>
      <c r="AC54" s="55">
        <v>-7.32</v>
      </c>
      <c r="AD54" s="55">
        <v>-4.30817243589743</v>
      </c>
      <c r="AE54" s="55">
        <v>0</v>
      </c>
      <c r="AF54" s="55">
        <v>0.27939464493597199</v>
      </c>
    </row>
    <row r="55" spans="1:32" s="57" customFormat="1" ht="15.75" customHeight="1">
      <c r="A55" s="2" t="s">
        <v>32</v>
      </c>
      <c r="B55" s="2"/>
      <c r="C55" s="51">
        <f t="shared" si="50"/>
        <v>15.103478260869565</v>
      </c>
      <c r="D55" s="51">
        <v>23</v>
      </c>
      <c r="E55" s="51">
        <v>0</v>
      </c>
      <c r="F55" s="51">
        <v>347.38</v>
      </c>
      <c r="G55" s="51">
        <v>-0.03</v>
      </c>
      <c r="H55" s="51">
        <f t="shared" si="51"/>
        <v>8.6360757671713977E-5</v>
      </c>
      <c r="I55" s="51">
        <f t="shared" si="52"/>
        <v>1.9831838258849346E-2</v>
      </c>
      <c r="J55" s="51">
        <f t="shared" si="70"/>
        <v>6.889183974359085</v>
      </c>
      <c r="K55" s="51">
        <f t="shared" si="54"/>
        <v>0.29952973801561239</v>
      </c>
      <c r="L55" s="51">
        <v>25</v>
      </c>
      <c r="M55" s="51">
        <f t="shared" si="55"/>
        <v>0.92</v>
      </c>
      <c r="N55" s="51">
        <v>169</v>
      </c>
      <c r="O55" s="51">
        <f t="shared" ref="O55:P55" si="77">D55/7</f>
        <v>3.2857142857142856</v>
      </c>
      <c r="P55" s="51">
        <f t="shared" si="77"/>
        <v>0</v>
      </c>
      <c r="Q55" s="51">
        <f t="shared" si="57"/>
        <v>51</v>
      </c>
      <c r="R55" s="55">
        <v>216</v>
      </c>
      <c r="S55" s="53" t="s">
        <v>34</v>
      </c>
      <c r="T55" s="54" t="s">
        <v>34</v>
      </c>
      <c r="U55" s="55">
        <v>0</v>
      </c>
      <c r="V55" s="55">
        <f t="shared" si="58"/>
        <v>0</v>
      </c>
      <c r="W55" s="55">
        <f t="shared" si="59"/>
        <v>0</v>
      </c>
      <c r="X55" s="55">
        <v>0</v>
      </c>
      <c r="Y55" s="55" t="s">
        <v>35</v>
      </c>
      <c r="Z55" s="56">
        <f t="shared" si="65"/>
        <v>-2.4</v>
      </c>
      <c r="AA55" s="55">
        <v>0.12624305555555557</v>
      </c>
      <c r="AB55" s="55">
        <f t="shared" si="61"/>
        <v>-20.905850000000001</v>
      </c>
      <c r="AC55" s="55">
        <v>-7.32</v>
      </c>
      <c r="AD55" s="55">
        <v>-4.30817243589743</v>
      </c>
      <c r="AE55" s="55">
        <v>0</v>
      </c>
      <c r="AF55" s="55">
        <v>0.37392373923739203</v>
      </c>
    </row>
    <row r="56" spans="1:32" s="57" customFormat="1" ht="15.75" customHeight="1">
      <c r="A56" s="2" t="s">
        <v>36</v>
      </c>
      <c r="B56" s="31" t="s">
        <v>1003</v>
      </c>
      <c r="C56" s="51">
        <f t="shared" si="50"/>
        <v>16.79</v>
      </c>
      <c r="D56" s="51">
        <v>1</v>
      </c>
      <c r="E56" s="51">
        <v>0</v>
      </c>
      <c r="F56" s="51">
        <v>16.79</v>
      </c>
      <c r="G56" s="51">
        <v>0</v>
      </c>
      <c r="H56" s="51">
        <f t="shared" si="51"/>
        <v>0</v>
      </c>
      <c r="I56" s="51">
        <f t="shared" si="52"/>
        <v>0.10329824681968852</v>
      </c>
      <c r="J56" s="51">
        <f t="shared" si="70"/>
        <v>1.7343775641025703</v>
      </c>
      <c r="K56" s="51">
        <f t="shared" si="54"/>
        <v>1.7343775641025703</v>
      </c>
      <c r="L56" s="51">
        <v>3</v>
      </c>
      <c r="M56" s="51">
        <f t="shared" si="55"/>
        <v>0.33333333333333331</v>
      </c>
      <c r="N56" s="51">
        <v>160</v>
      </c>
      <c r="O56" s="51">
        <f t="shared" ref="O56:P56" si="78">D56/7</f>
        <v>0.14285714285714285</v>
      </c>
      <c r="P56" s="51">
        <f t="shared" si="78"/>
        <v>0</v>
      </c>
      <c r="Q56" s="51">
        <f t="shared" si="57"/>
        <v>1120</v>
      </c>
      <c r="R56" s="55">
        <f ca="1">IFERROR(__xludf.DUMMYFUNCTION("IFERROR(VLOOKUP($B$2,IMPORTRANGE(""https://docs.google.com/spreadsheets/d/1iVgg6Mw12RULLujzHmfOFIY8Q_KaAD8anoZzgtVAQ74/edit#gid=1503384807"",""Second Star - Summary!A1:AD2000""),9,FALSE),"""")"),308)</f>
        <v>308</v>
      </c>
      <c r="S56" s="53">
        <f ca="1">IFERROR(__xludf.DUMMYFUNCTION("IFERROR(VLOOKUP($B$2,IMPORTRANGE(""https://docs.google.com/spreadsheets/d/1iVgg6Mw12RULLujzHmfOFIY8Q_KaAD8anoZzgtVAQ74/edit#gid=1503384807"",""Second Star - Summary!A1:AD2000""),28,FALSE),"""")"),216)</f>
        <v>216</v>
      </c>
      <c r="T56" s="54">
        <f ca="1">IFERROR(__xludf.DUMMYFUNCTION("IFERROR(VLOOKUP($B$2,IMPORTRANGE(""https://docs.google.com/spreadsheets/d/1iVgg6Mw12RULLujzHmfOFIY8Q_KaAD8anoZzgtVAQ74/edit#gid=1503384807"",""Second Star - Summary!A1:AD2000""),29,FALSE),"""")"),44324)</f>
        <v>44324</v>
      </c>
      <c r="U56" s="55">
        <v>0</v>
      </c>
      <c r="V56" s="55">
        <f t="shared" si="58"/>
        <v>0</v>
      </c>
      <c r="W56" s="55">
        <f t="shared" si="59"/>
        <v>0</v>
      </c>
      <c r="X56" s="55">
        <v>0</v>
      </c>
      <c r="Y56" s="55" t="s">
        <v>35</v>
      </c>
      <c r="Z56" s="56">
        <f t="shared" si="65"/>
        <v>-2.4</v>
      </c>
      <c r="AA56" s="55">
        <v>0.12624305555555557</v>
      </c>
      <c r="AB56" s="55">
        <f t="shared" si="61"/>
        <v>-0.90894999999999992</v>
      </c>
      <c r="AC56" s="55">
        <v>-7.32</v>
      </c>
      <c r="AD56" s="55">
        <v>-4.30817243589743</v>
      </c>
      <c r="AE56" s="55">
        <v>0</v>
      </c>
      <c r="AF56" s="55">
        <v>0.35865504358654998</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166" priority="1" operator="lessThan">
      <formula>100</formula>
    </cfRule>
  </conditionalFormatting>
  <conditionalFormatting sqref="Q1:Q3 Q57:Q1000">
    <cfRule type="cellIs" dxfId="165" priority="2" operator="lessThan">
      <formula>100</formula>
    </cfRule>
  </conditionalFormatting>
  <conditionalFormatting sqref="I1:I3 I57:I1000">
    <cfRule type="cellIs" dxfId="164" priority="3" operator="lessThan">
      <formula>0.05</formula>
    </cfRule>
  </conditionalFormatting>
  <conditionalFormatting sqref="I4:I17">
    <cfRule type="cellIs" dxfId="163" priority="4" operator="lessThan">
      <formula>0.05</formula>
    </cfRule>
  </conditionalFormatting>
  <conditionalFormatting sqref="I18:I56">
    <cfRule type="cellIs" dxfId="162" priority="5" operator="lessThan">
      <formula>0.05</formula>
    </cfRule>
  </conditionalFormatting>
  <conditionalFormatting sqref="Q4:Q56">
    <cfRule type="cellIs" dxfId="161" priority="6" operator="lessThan">
      <formula>100</formula>
    </cfRule>
  </conditionalFormatting>
  <conditionalFormatting sqref="Q4:Q56">
    <cfRule type="cellIs" dxfId="160" priority="7" operator="lessThan">
      <formula>100</formula>
    </cfRule>
  </conditionalFormatting>
  <pageMargins left="0.7" right="0.7" top="0.75" bottom="0.75" header="0" footer="0"/>
  <pageSetup orientation="portrait"/>
  <legacy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8"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Info!B1:BJ5000""),4,FALSE),"""")"),"All Weather Cornhole Bean Bags - Set of 8 American Flag Bags for Corn Hole Toss Game - Regulation Size &amp; Weight - 4 Orange &amp; 4 Black")</f>
        <v>All Weather Cornhole Bean Bags - Set of 8 American Flag Bags for Corn Hole Toss Game - Regulation Size &amp; Weight - 4 Orange &amp; 4 Black</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Info!B1:BJ5000""),3,FALSE),"""")"),"B07VPRDD67")</f>
        <v>B07VPRDD67</v>
      </c>
      <c r="B2" s="4" t="s">
        <v>1004</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12.299620512820507</v>
      </c>
      <c r="D3" s="8">
        <f>SUM(D4:D99819)</f>
        <v>427</v>
      </c>
      <c r="E3" s="8"/>
      <c r="F3" s="9">
        <f t="shared" ref="F3:G3" si="0">SUM(F4:F99819)</f>
        <v>8054.5600000000022</v>
      </c>
      <c r="G3" s="9">
        <f t="shared" si="0"/>
        <v>-416.46</v>
      </c>
      <c r="H3" s="10">
        <f t="shared" ref="H3:H39" si="1">G3/F3*-1</f>
        <v>5.1704872767724105E-2</v>
      </c>
      <c r="I3" s="11">
        <f t="shared" ref="I3:I39" si="2">J3/F3</f>
        <v>0.17038905728710463</v>
      </c>
      <c r="J3" s="9">
        <f>SUM(J4:J99819)</f>
        <v>1372.4088852624218</v>
      </c>
      <c r="K3" s="9">
        <f t="shared" ref="K3:K39" si="3">J3/D3</f>
        <v>3.2140723308253438</v>
      </c>
      <c r="L3" s="8"/>
      <c r="M3" s="12"/>
      <c r="N3" s="13"/>
      <c r="O3" s="8" t="str">
        <f ca="1">IFERROR(__xludf.DUMMYFUNCTION("IFERROR(VLOOKUP(B2,IMPORTRANGE(""https://docs.google.com/spreadsheets/d/1owCo6kL_VFQ5nPTdNogErmCBLjNiktT1m3SzTrxu3R0/edit#gid=2146806407"",""Second Star - Compiled!b1:g5000""),2,FALSE),"""")"),"2 - March
2 - April
2 - May
2 - Jun
2 - Jul
2 - Aug
2 - Sept
2 - Oct
2 - Nov
2 - Dec
2 - Jan
2 - Feb")</f>
        <v>2 - March
2 - April
2 - May
2 - Jun
2 - Jul
2 - Aug
2 - Sept
2 - Oct
2 - Nov
2 - Dec
2 - Jan
2 - Feb</v>
      </c>
      <c r="P3" s="8"/>
      <c r="Q3" s="14"/>
      <c r="R3" s="13"/>
      <c r="S3" s="13"/>
      <c r="T3" s="13"/>
      <c r="U3" s="8">
        <f>SUM(U4:U99819)</f>
        <v>40</v>
      </c>
      <c r="V3" s="10">
        <f>AVERAGE(V4:V99819)</f>
        <v>6.0979358805445756E-2</v>
      </c>
      <c r="W3" s="9">
        <f>ROUND(AVERAGE(W4:W99819),2)</f>
        <v>1.45</v>
      </c>
      <c r="X3" s="8"/>
      <c r="Y3" s="8"/>
      <c r="Z3" s="8"/>
      <c r="AA3" s="8"/>
      <c r="AB3" s="8"/>
      <c r="AC3" s="15"/>
      <c r="AD3" s="9"/>
      <c r="AE3" s="9">
        <f>SUM(AE4:AE99819)</f>
        <v>-3.9</v>
      </c>
      <c r="AF3" s="16"/>
    </row>
    <row r="4" spans="1:32" s="57" customFormat="1">
      <c r="A4" s="17" t="s">
        <v>48</v>
      </c>
      <c r="B4" s="2" t="s">
        <v>810</v>
      </c>
      <c r="C4" s="50">
        <v>14.99</v>
      </c>
      <c r="D4" s="51">
        <v>5</v>
      </c>
      <c r="E4" s="51">
        <v>0</v>
      </c>
      <c r="F4" s="51">
        <v>74.95</v>
      </c>
      <c r="G4" s="51">
        <v>0</v>
      </c>
      <c r="H4" s="51">
        <f t="shared" si="1"/>
        <v>0</v>
      </c>
      <c r="I4" s="51">
        <f t="shared" si="2"/>
        <v>9.2634437648603393E-2</v>
      </c>
      <c r="J4" s="51">
        <f t="shared" ref="J4:J38" si="4">F4*0.85+G4+AD4*D4+D4*AC4+AE4+AB4</f>
        <v>6.9429511017628247</v>
      </c>
      <c r="K4" s="51">
        <f t="shared" si="3"/>
        <v>1.3885902203525649</v>
      </c>
      <c r="L4" s="51">
        <v>34</v>
      </c>
      <c r="M4" s="51">
        <f t="shared" ref="M4:M39" si="5">IFERROR(D4/L4,"-")</f>
        <v>0.14705882352941177</v>
      </c>
      <c r="N4" s="51">
        <v>22</v>
      </c>
      <c r="O4" s="51">
        <f t="shared" ref="O4:P4" si="6">D4/7</f>
        <v>0.7142857142857143</v>
      </c>
      <c r="P4" s="51">
        <f t="shared" si="6"/>
        <v>0</v>
      </c>
      <c r="Q4" s="51">
        <f t="shared" ref="Q4:Q39" si="7">ROUNDDOWN(N4/(O4+P4),0)</f>
        <v>30</v>
      </c>
      <c r="R4" s="52">
        <v>700</v>
      </c>
      <c r="S4" s="53">
        <v>200</v>
      </c>
      <c r="T4" s="54">
        <v>43876</v>
      </c>
      <c r="U4" s="52">
        <v>0</v>
      </c>
      <c r="V4" s="55">
        <f t="shared" ref="V4:V39" si="8">IFERROR(U4/D4,0)</f>
        <v>0</v>
      </c>
      <c r="W4" s="55">
        <f t="shared" ref="W4:W39" si="9">IFERROR(G4/(U4+X4)*-1,0)</f>
        <v>0</v>
      </c>
      <c r="X4" s="52">
        <v>0</v>
      </c>
      <c r="Y4" s="56" t="s">
        <v>35</v>
      </c>
      <c r="Z4" s="56">
        <f t="shared" ref="Z4:Z10" si="10">IF(OR(Y4="UsLargeStandardSize",Y4="UsSmallStandardSize"),-0.69,-0.48)</f>
        <v>-0.69</v>
      </c>
      <c r="AA4" s="55">
        <v>0.11973958333333333</v>
      </c>
      <c r="AB4" s="55">
        <f t="shared" ref="AB4:AB17" si="11">IFERROR((Z4*AA4*N4)/4,0)</f>
        <v>-0.45441171874999992</v>
      </c>
      <c r="AC4" s="55">
        <v>-7.16</v>
      </c>
      <c r="AD4" s="55">
        <v>-4.102027435897436</v>
      </c>
      <c r="AE4" s="55">
        <v>0</v>
      </c>
      <c r="AF4" s="55"/>
    </row>
    <row r="5" spans="1:32" s="57" customFormat="1" ht="15.75" customHeight="1">
      <c r="A5" s="2" t="s">
        <v>49</v>
      </c>
      <c r="B5" s="2" t="s">
        <v>983</v>
      </c>
      <c r="C5" s="51">
        <v>14.99</v>
      </c>
      <c r="D5" s="51">
        <v>0</v>
      </c>
      <c r="E5" s="51">
        <v>0</v>
      </c>
      <c r="F5" s="51">
        <v>0</v>
      </c>
      <c r="G5" s="51">
        <v>0</v>
      </c>
      <c r="H5" s="51" t="e">
        <f t="shared" si="1"/>
        <v>#DIV/0!</v>
      </c>
      <c r="I5" s="51" t="e">
        <f t="shared" si="2"/>
        <v>#DIV/0!</v>
      </c>
      <c r="J5" s="51">
        <f t="shared" si="4"/>
        <v>-0.45441171874999992</v>
      </c>
      <c r="K5" s="51" t="e">
        <f t="shared" si="3"/>
        <v>#DIV/0!</v>
      </c>
      <c r="L5" s="51">
        <v>0</v>
      </c>
      <c r="M5" s="51" t="str">
        <f t="shared" si="5"/>
        <v>-</v>
      </c>
      <c r="N5" s="51">
        <v>22</v>
      </c>
      <c r="O5" s="51">
        <f t="shared" ref="O5:P5" si="12">D5/7</f>
        <v>0</v>
      </c>
      <c r="P5" s="51">
        <f t="shared" si="12"/>
        <v>0</v>
      </c>
      <c r="Q5" s="51" t="e">
        <f t="shared" si="7"/>
        <v>#DIV/0!</v>
      </c>
      <c r="R5" s="55">
        <v>700</v>
      </c>
      <c r="S5" s="53">
        <v>200</v>
      </c>
      <c r="T5" s="54">
        <v>43876</v>
      </c>
      <c r="U5" s="55">
        <v>0</v>
      </c>
      <c r="V5" s="55">
        <f t="shared" si="8"/>
        <v>0</v>
      </c>
      <c r="W5" s="55">
        <f t="shared" si="9"/>
        <v>0</v>
      </c>
      <c r="X5" s="55">
        <v>0</v>
      </c>
      <c r="Y5" s="55" t="s">
        <v>35</v>
      </c>
      <c r="Z5" s="56">
        <f t="shared" si="10"/>
        <v>-0.69</v>
      </c>
      <c r="AA5" s="55">
        <v>0.11973958333333333</v>
      </c>
      <c r="AB5" s="55">
        <f t="shared" si="11"/>
        <v>-0.45441171874999992</v>
      </c>
      <c r="AC5" s="55">
        <v>-7.16</v>
      </c>
      <c r="AD5" s="55">
        <v>-4.102027435897436</v>
      </c>
      <c r="AE5" s="55">
        <v>0</v>
      </c>
      <c r="AF5" s="55"/>
    </row>
    <row r="6" spans="1:32" s="57" customFormat="1" ht="15.75" customHeight="1">
      <c r="A6" s="2" t="s">
        <v>51</v>
      </c>
      <c r="B6" s="2" t="s">
        <v>983</v>
      </c>
      <c r="C6" s="51">
        <v>14.99</v>
      </c>
      <c r="D6" s="51">
        <v>2</v>
      </c>
      <c r="E6" s="51">
        <v>0</v>
      </c>
      <c r="F6" s="51">
        <v>29.98</v>
      </c>
      <c r="G6" s="51">
        <v>0</v>
      </c>
      <c r="H6" s="51">
        <f t="shared" si="1"/>
        <v>0</v>
      </c>
      <c r="I6" s="51">
        <f t="shared" si="2"/>
        <v>8.4918064232992987E-2</v>
      </c>
      <c r="J6" s="51">
        <f t="shared" si="4"/>
        <v>2.5458435657051299</v>
      </c>
      <c r="K6" s="51">
        <f t="shared" si="3"/>
        <v>1.272921782852565</v>
      </c>
      <c r="L6" s="51">
        <v>27</v>
      </c>
      <c r="M6" s="51">
        <f t="shared" si="5"/>
        <v>7.407407407407407E-2</v>
      </c>
      <c r="N6" s="51">
        <v>20</v>
      </c>
      <c r="O6" s="51">
        <f t="shared" ref="O6:P6" si="13">D6/7</f>
        <v>0.2857142857142857</v>
      </c>
      <c r="P6" s="51">
        <f t="shared" si="13"/>
        <v>0</v>
      </c>
      <c r="Q6" s="51">
        <f t="shared" si="7"/>
        <v>70</v>
      </c>
      <c r="R6" s="55">
        <v>700</v>
      </c>
      <c r="S6" s="53">
        <v>200</v>
      </c>
      <c r="T6" s="54">
        <v>43884</v>
      </c>
      <c r="U6" s="55">
        <v>0</v>
      </c>
      <c r="V6" s="55">
        <f t="shared" si="8"/>
        <v>0</v>
      </c>
      <c r="W6" s="55">
        <f t="shared" si="9"/>
        <v>0</v>
      </c>
      <c r="X6" s="55">
        <v>0</v>
      </c>
      <c r="Y6" s="55" t="s">
        <v>35</v>
      </c>
      <c r="Z6" s="56">
        <f t="shared" si="10"/>
        <v>-0.69</v>
      </c>
      <c r="AA6" s="55">
        <v>0.11973958333333333</v>
      </c>
      <c r="AB6" s="55">
        <f t="shared" si="11"/>
        <v>-0.41310156249999996</v>
      </c>
      <c r="AC6" s="55">
        <v>-7.16</v>
      </c>
      <c r="AD6" s="55">
        <v>-4.102027435897436</v>
      </c>
      <c r="AE6" s="55">
        <v>0</v>
      </c>
      <c r="AF6" s="55"/>
    </row>
    <row r="7" spans="1:32" s="57" customFormat="1" ht="15.75" customHeight="1">
      <c r="A7" s="2" t="s">
        <v>53</v>
      </c>
      <c r="B7" s="2" t="s">
        <v>983</v>
      </c>
      <c r="C7" s="51">
        <v>14.99</v>
      </c>
      <c r="D7" s="51">
        <v>0</v>
      </c>
      <c r="E7" s="51">
        <v>0</v>
      </c>
      <c r="F7" s="51">
        <v>0</v>
      </c>
      <c r="G7" s="51">
        <v>0</v>
      </c>
      <c r="H7" s="51" t="e">
        <f t="shared" si="1"/>
        <v>#DIV/0!</v>
      </c>
      <c r="I7" s="51" t="e">
        <f t="shared" si="2"/>
        <v>#DIV/0!</v>
      </c>
      <c r="J7" s="51">
        <f t="shared" si="4"/>
        <v>-0.37179140624999996</v>
      </c>
      <c r="K7" s="51" t="e">
        <f t="shared" si="3"/>
        <v>#DIV/0!</v>
      </c>
      <c r="L7" s="51">
        <v>28</v>
      </c>
      <c r="M7" s="51">
        <f t="shared" si="5"/>
        <v>0</v>
      </c>
      <c r="N7" s="51">
        <v>18</v>
      </c>
      <c r="O7" s="51">
        <f t="shared" ref="O7:P7" si="14">D7/7</f>
        <v>0</v>
      </c>
      <c r="P7" s="51">
        <f t="shared" si="14"/>
        <v>0</v>
      </c>
      <c r="Q7" s="51" t="e">
        <f t="shared" si="7"/>
        <v>#DIV/0!</v>
      </c>
      <c r="R7" s="55">
        <v>700</v>
      </c>
      <c r="S7" s="53">
        <v>200</v>
      </c>
      <c r="T7" s="54">
        <v>43884</v>
      </c>
      <c r="U7" s="55">
        <v>0</v>
      </c>
      <c r="V7" s="55">
        <f t="shared" si="8"/>
        <v>0</v>
      </c>
      <c r="W7" s="55">
        <f t="shared" si="9"/>
        <v>0</v>
      </c>
      <c r="X7" s="55">
        <v>0</v>
      </c>
      <c r="Y7" s="55" t="s">
        <v>35</v>
      </c>
      <c r="Z7" s="56">
        <f t="shared" si="10"/>
        <v>-0.69</v>
      </c>
      <c r="AA7" s="55">
        <v>0.11973958333333333</v>
      </c>
      <c r="AB7" s="55">
        <f t="shared" si="11"/>
        <v>-0.37179140624999996</v>
      </c>
      <c r="AC7" s="55">
        <v>-7.16</v>
      </c>
      <c r="AD7" s="55">
        <v>-4.102027435897436</v>
      </c>
      <c r="AE7" s="55">
        <v>0</v>
      </c>
      <c r="AF7" s="55"/>
    </row>
    <row r="8" spans="1:32" s="57" customFormat="1" ht="15.75" customHeight="1">
      <c r="A8" s="2" t="s">
        <v>54</v>
      </c>
      <c r="B8" s="2" t="s">
        <v>983</v>
      </c>
      <c r="C8" s="51">
        <v>14.99</v>
      </c>
      <c r="D8" s="51">
        <v>6</v>
      </c>
      <c r="E8" s="51">
        <v>0</v>
      </c>
      <c r="F8" s="51">
        <v>89.94</v>
      </c>
      <c r="G8" s="51">
        <v>0</v>
      </c>
      <c r="H8" s="51">
        <f t="shared" si="1"/>
        <v>0</v>
      </c>
      <c r="I8" s="51">
        <f t="shared" si="2"/>
        <v>9.571180085601938E-2</v>
      </c>
      <c r="J8" s="51">
        <f t="shared" si="4"/>
        <v>8.608319368990383</v>
      </c>
      <c r="K8" s="51">
        <f t="shared" si="3"/>
        <v>1.4347198948317306</v>
      </c>
      <c r="L8" s="51">
        <v>30</v>
      </c>
      <c r="M8" s="51">
        <f t="shared" si="5"/>
        <v>0.2</v>
      </c>
      <c r="N8" s="51">
        <v>13</v>
      </c>
      <c r="O8" s="51">
        <f t="shared" ref="O8:P8" si="15">D8/7</f>
        <v>0.8571428571428571</v>
      </c>
      <c r="P8" s="51">
        <f t="shared" si="15"/>
        <v>0</v>
      </c>
      <c r="Q8" s="51">
        <f t="shared" si="7"/>
        <v>15</v>
      </c>
      <c r="R8" s="55">
        <v>700</v>
      </c>
      <c r="S8" s="53">
        <v>200</v>
      </c>
      <c r="T8" s="54">
        <v>43884</v>
      </c>
      <c r="U8" s="55">
        <v>0</v>
      </c>
      <c r="V8" s="55">
        <f t="shared" si="8"/>
        <v>0</v>
      </c>
      <c r="W8" s="55">
        <f t="shared" si="9"/>
        <v>0</v>
      </c>
      <c r="X8" s="55">
        <v>0</v>
      </c>
      <c r="Y8" s="55" t="s">
        <v>35</v>
      </c>
      <c r="Z8" s="56">
        <f t="shared" si="10"/>
        <v>-0.69</v>
      </c>
      <c r="AA8" s="55">
        <v>0.11973958333333333</v>
      </c>
      <c r="AB8" s="55">
        <f t="shared" si="11"/>
        <v>-0.26851601562499994</v>
      </c>
      <c r="AC8" s="55">
        <v>-7.16</v>
      </c>
      <c r="AD8" s="55">
        <v>-4.102027435897436</v>
      </c>
      <c r="AE8" s="55">
        <v>0</v>
      </c>
      <c r="AF8" s="55"/>
    </row>
    <row r="9" spans="1:32" s="57" customFormat="1" ht="15.75" customHeight="1">
      <c r="A9" s="2" t="s">
        <v>56</v>
      </c>
      <c r="B9" s="2" t="s">
        <v>810</v>
      </c>
      <c r="C9" s="51">
        <v>14.99</v>
      </c>
      <c r="D9" s="51">
        <v>1</v>
      </c>
      <c r="E9" s="51">
        <v>0</v>
      </c>
      <c r="F9" s="51">
        <v>14.99</v>
      </c>
      <c r="G9" s="51">
        <v>0</v>
      </c>
      <c r="H9" s="51">
        <f t="shared" si="1"/>
        <v>0</v>
      </c>
      <c r="I9" s="51">
        <f t="shared" si="2"/>
        <v>8.0784292760344573E-2</v>
      </c>
      <c r="J9" s="51">
        <f t="shared" si="4"/>
        <v>1.2109565484775651</v>
      </c>
      <c r="K9" s="51">
        <f t="shared" si="3"/>
        <v>1.2109565484775651</v>
      </c>
      <c r="L9" s="51">
        <v>27</v>
      </c>
      <c r="M9" s="51">
        <f t="shared" si="5"/>
        <v>3.7037037037037035E-2</v>
      </c>
      <c r="N9" s="51">
        <v>13</v>
      </c>
      <c r="O9" s="51">
        <f t="shared" ref="O9:P9" si="16">D9/7</f>
        <v>0.14285714285714285</v>
      </c>
      <c r="P9" s="51">
        <f t="shared" si="16"/>
        <v>0</v>
      </c>
      <c r="Q9" s="51">
        <f t="shared" si="7"/>
        <v>91</v>
      </c>
      <c r="R9" s="55">
        <v>500</v>
      </c>
      <c r="S9" s="53">
        <v>200</v>
      </c>
      <c r="T9" s="54">
        <v>43881</v>
      </c>
      <c r="U9" s="55">
        <v>0</v>
      </c>
      <c r="V9" s="55">
        <f t="shared" si="8"/>
        <v>0</v>
      </c>
      <c r="W9" s="55">
        <f t="shared" si="9"/>
        <v>0</v>
      </c>
      <c r="X9" s="55">
        <v>0</v>
      </c>
      <c r="Y9" s="55" t="s">
        <v>35</v>
      </c>
      <c r="Z9" s="56">
        <f t="shared" si="10"/>
        <v>-0.69</v>
      </c>
      <c r="AA9" s="55">
        <v>0.11973958333333333</v>
      </c>
      <c r="AB9" s="55">
        <f t="shared" si="11"/>
        <v>-0.26851601562499994</v>
      </c>
      <c r="AC9" s="55">
        <v>-7.16</v>
      </c>
      <c r="AD9" s="55">
        <v>-4.102027435897436</v>
      </c>
      <c r="AE9" s="55">
        <v>0</v>
      </c>
      <c r="AF9" s="55"/>
    </row>
    <row r="10" spans="1:32" s="57" customFormat="1" ht="15.75" customHeight="1">
      <c r="A10" s="2" t="s">
        <v>58</v>
      </c>
      <c r="B10" s="2" t="s">
        <v>1005</v>
      </c>
      <c r="C10" s="51">
        <v>14.99</v>
      </c>
      <c r="D10" s="51">
        <v>3</v>
      </c>
      <c r="E10" s="51">
        <v>0</v>
      </c>
      <c r="F10" s="51">
        <v>44.97</v>
      </c>
      <c r="G10" s="51">
        <v>0</v>
      </c>
      <c r="H10" s="51">
        <f t="shared" si="1"/>
        <v>0</v>
      </c>
      <c r="I10" s="51">
        <f t="shared" si="2"/>
        <v>9.4104223061100556E-2</v>
      </c>
      <c r="J10" s="51">
        <f t="shared" si="4"/>
        <v>4.2318669110576916</v>
      </c>
      <c r="K10" s="51">
        <f t="shared" si="3"/>
        <v>1.4106223036858971</v>
      </c>
      <c r="L10" s="51">
        <v>23</v>
      </c>
      <c r="M10" s="51">
        <f t="shared" si="5"/>
        <v>0.13043478260869565</v>
      </c>
      <c r="N10" s="51">
        <v>10</v>
      </c>
      <c r="O10" s="51">
        <f t="shared" ref="O10:P10" si="17">D10/7</f>
        <v>0.42857142857142855</v>
      </c>
      <c r="P10" s="51">
        <f t="shared" si="17"/>
        <v>0</v>
      </c>
      <c r="Q10" s="51">
        <f t="shared" si="7"/>
        <v>23</v>
      </c>
      <c r="R10" s="55">
        <v>500</v>
      </c>
      <c r="S10" s="53">
        <v>200</v>
      </c>
      <c r="T10" s="54">
        <v>43885</v>
      </c>
      <c r="U10" s="55">
        <v>0</v>
      </c>
      <c r="V10" s="55">
        <f t="shared" si="8"/>
        <v>0</v>
      </c>
      <c r="W10" s="55">
        <f t="shared" si="9"/>
        <v>0</v>
      </c>
      <c r="X10" s="55">
        <v>0</v>
      </c>
      <c r="Y10" s="55" t="s">
        <v>35</v>
      </c>
      <c r="Z10" s="56">
        <f t="shared" si="10"/>
        <v>-0.69</v>
      </c>
      <c r="AA10" s="55">
        <v>0.11973958333333333</v>
      </c>
      <c r="AB10" s="55">
        <f t="shared" si="11"/>
        <v>-0.20655078124999998</v>
      </c>
      <c r="AC10" s="55">
        <v>-7.16</v>
      </c>
      <c r="AD10" s="55">
        <v>-4.102027435897436</v>
      </c>
      <c r="AE10" s="55">
        <v>0</v>
      </c>
      <c r="AF10" s="55"/>
    </row>
    <row r="11" spans="1:32" s="57" customFormat="1" ht="15.75" customHeight="1">
      <c r="A11" s="2" t="s">
        <v>60</v>
      </c>
      <c r="B11" s="2" t="s">
        <v>1006</v>
      </c>
      <c r="C11" s="51">
        <v>14.99</v>
      </c>
      <c r="D11" s="51">
        <v>0</v>
      </c>
      <c r="E11" s="51">
        <v>0</v>
      </c>
      <c r="F11" s="51">
        <v>0</v>
      </c>
      <c r="G11" s="51">
        <v>0</v>
      </c>
      <c r="H11" s="51" t="e">
        <f t="shared" si="1"/>
        <v>#DIV/0!</v>
      </c>
      <c r="I11" s="51" t="e">
        <f t="shared" si="2"/>
        <v>#DIV/0!</v>
      </c>
      <c r="J11" s="51">
        <f t="shared" si="4"/>
        <v>-0.22451171874999998</v>
      </c>
      <c r="K11" s="51" t="e">
        <f t="shared" si="3"/>
        <v>#DIV/0!</v>
      </c>
      <c r="L11" s="51">
        <v>0</v>
      </c>
      <c r="M11" s="51" t="str">
        <f t="shared" si="5"/>
        <v>-</v>
      </c>
      <c r="N11" s="51">
        <v>10</v>
      </c>
      <c r="O11" s="51">
        <f t="shared" ref="O11:P11" si="18">D11/7</f>
        <v>0</v>
      </c>
      <c r="P11" s="51">
        <f t="shared" si="18"/>
        <v>0</v>
      </c>
      <c r="Q11" s="51" t="e">
        <f t="shared" si="7"/>
        <v>#DIV/0!</v>
      </c>
      <c r="R11" s="55">
        <v>300</v>
      </c>
      <c r="S11" s="53" t="s">
        <v>34</v>
      </c>
      <c r="T11" s="54" t="s">
        <v>34</v>
      </c>
      <c r="U11" s="55">
        <v>0</v>
      </c>
      <c r="V11" s="55">
        <f t="shared" si="8"/>
        <v>0</v>
      </c>
      <c r="W11" s="55">
        <f t="shared" si="9"/>
        <v>0</v>
      </c>
      <c r="X11" s="55">
        <v>0</v>
      </c>
      <c r="Y11" s="55" t="s">
        <v>35</v>
      </c>
      <c r="Z11" s="56">
        <f t="shared" ref="Z11:Z39" si="19">IF(OR(Y11="UsLargeStandardSize",Y11="UsSmallStandardSize"),-0.75,-0.48)</f>
        <v>-0.75</v>
      </c>
      <c r="AA11" s="55">
        <v>0.11973958333333333</v>
      </c>
      <c r="AB11" s="55">
        <f t="shared" si="11"/>
        <v>-0.22451171874999998</v>
      </c>
      <c r="AC11" s="55">
        <v>-7.32</v>
      </c>
      <c r="AD11" s="55">
        <v>-4.102027435897436</v>
      </c>
      <c r="AE11" s="55">
        <v>0</v>
      </c>
      <c r="AF11" s="55"/>
    </row>
    <row r="12" spans="1:32" s="57" customFormat="1" ht="15.75" customHeight="1">
      <c r="A12" s="2" t="s">
        <v>62</v>
      </c>
      <c r="B12" s="2" t="s">
        <v>927</v>
      </c>
      <c r="C12" s="51">
        <v>15.99</v>
      </c>
      <c r="D12" s="51">
        <v>2</v>
      </c>
      <c r="E12" s="51">
        <v>0</v>
      </c>
      <c r="F12" s="51">
        <v>29.98</v>
      </c>
      <c r="G12" s="51">
        <v>-5.47</v>
      </c>
      <c r="H12" s="51">
        <f t="shared" si="1"/>
        <v>0.18245496997998664</v>
      </c>
      <c r="I12" s="51">
        <f t="shared" si="2"/>
        <v>-0.24869900860723385</v>
      </c>
      <c r="J12" s="51">
        <f t="shared" si="4"/>
        <v>-7.4559962780448705</v>
      </c>
      <c r="K12" s="51">
        <f t="shared" si="3"/>
        <v>-3.7279981390224353</v>
      </c>
      <c r="L12" s="51">
        <v>41</v>
      </c>
      <c r="M12" s="51">
        <f t="shared" si="5"/>
        <v>4.878048780487805E-2</v>
      </c>
      <c r="N12" s="51">
        <v>206</v>
      </c>
      <c r="O12" s="51">
        <f t="shared" ref="O12:P12" si="20">D12/7</f>
        <v>0.2857142857142857</v>
      </c>
      <c r="P12" s="51">
        <f t="shared" si="20"/>
        <v>0</v>
      </c>
      <c r="Q12" s="51">
        <f t="shared" si="7"/>
        <v>721</v>
      </c>
      <c r="R12" s="55">
        <v>300</v>
      </c>
      <c r="S12" s="53" t="s">
        <v>34</v>
      </c>
      <c r="T12" s="54" t="s">
        <v>34</v>
      </c>
      <c r="U12" s="55">
        <v>0</v>
      </c>
      <c r="V12" s="55">
        <f t="shared" si="8"/>
        <v>0</v>
      </c>
      <c r="W12" s="55">
        <f t="shared" si="9"/>
        <v>0</v>
      </c>
      <c r="X12" s="55">
        <v>0</v>
      </c>
      <c r="Y12" s="55" t="s">
        <v>35</v>
      </c>
      <c r="Z12" s="56">
        <f t="shared" si="19"/>
        <v>-0.75</v>
      </c>
      <c r="AA12" s="55">
        <v>0.11973958333333333</v>
      </c>
      <c r="AB12" s="55">
        <f t="shared" si="11"/>
        <v>-4.6249414062499996</v>
      </c>
      <c r="AC12" s="55">
        <v>-7.32</v>
      </c>
      <c r="AD12" s="55">
        <v>-4.102027435897436</v>
      </c>
      <c r="AE12" s="55">
        <v>0</v>
      </c>
      <c r="AF12" s="55"/>
    </row>
    <row r="13" spans="1:32" s="57" customFormat="1" ht="15.75" customHeight="1">
      <c r="A13" s="2" t="s">
        <v>63</v>
      </c>
      <c r="B13" s="2" t="s">
        <v>1007</v>
      </c>
      <c r="C13" s="51">
        <v>15.99</v>
      </c>
      <c r="D13" s="51">
        <v>8</v>
      </c>
      <c r="E13" s="51">
        <v>0</v>
      </c>
      <c r="F13" s="51">
        <v>127.91999999999999</v>
      </c>
      <c r="G13" s="51">
        <v>-45.469999999999992</v>
      </c>
      <c r="H13" s="51">
        <f t="shared" si="1"/>
        <v>0.3554565353345841</v>
      </c>
      <c r="I13" s="51">
        <f t="shared" si="2"/>
        <v>-0.25470608732258054</v>
      </c>
      <c r="J13" s="51">
        <f t="shared" si="4"/>
        <v>-32.582002690304499</v>
      </c>
      <c r="K13" s="51">
        <f t="shared" si="3"/>
        <v>-4.0727503362880624</v>
      </c>
      <c r="L13" s="51">
        <v>64</v>
      </c>
      <c r="M13" s="51">
        <f t="shared" si="5"/>
        <v>0.125</v>
      </c>
      <c r="N13" s="51">
        <v>199</v>
      </c>
      <c r="O13" s="51">
        <f t="shared" ref="O13:P13" si="21">D13/7</f>
        <v>1.1428571428571428</v>
      </c>
      <c r="P13" s="51">
        <f t="shared" si="21"/>
        <v>0</v>
      </c>
      <c r="Q13" s="51">
        <f t="shared" si="7"/>
        <v>174</v>
      </c>
      <c r="R13" s="55">
        <v>300</v>
      </c>
      <c r="S13" s="53" t="s">
        <v>34</v>
      </c>
      <c r="T13" s="54" t="s">
        <v>34</v>
      </c>
      <c r="U13" s="55">
        <v>5</v>
      </c>
      <c r="V13" s="55">
        <f t="shared" si="8"/>
        <v>0.625</v>
      </c>
      <c r="W13" s="55">
        <f t="shared" si="9"/>
        <v>3.031333333333333</v>
      </c>
      <c r="X13" s="55">
        <v>10</v>
      </c>
      <c r="Y13" s="55" t="s">
        <v>35</v>
      </c>
      <c r="Z13" s="56">
        <f t="shared" si="19"/>
        <v>-0.75</v>
      </c>
      <c r="AA13" s="55">
        <v>0.11973958333333333</v>
      </c>
      <c r="AB13" s="55">
        <f t="shared" si="11"/>
        <v>-4.4677832031249993</v>
      </c>
      <c r="AC13" s="55">
        <v>-7.32</v>
      </c>
      <c r="AD13" s="55">
        <v>-4.102027435897436</v>
      </c>
      <c r="AE13" s="55">
        <v>0</v>
      </c>
      <c r="AF13" s="55"/>
    </row>
    <row r="14" spans="1:32" s="57" customFormat="1" ht="15.75" customHeight="1">
      <c r="A14" s="2" t="s">
        <v>64</v>
      </c>
      <c r="B14" s="2"/>
      <c r="C14" s="51">
        <v>15.99</v>
      </c>
      <c r="D14" s="51">
        <v>9</v>
      </c>
      <c r="E14" s="51">
        <v>0</v>
      </c>
      <c r="F14" s="51">
        <v>143.91</v>
      </c>
      <c r="G14" s="51">
        <v>-51.900000000000006</v>
      </c>
      <c r="H14" s="51">
        <f t="shared" si="1"/>
        <v>0.36064206795914117</v>
      </c>
      <c r="I14" s="51">
        <f t="shared" si="2"/>
        <v>-0.2541388094204845</v>
      </c>
      <c r="J14" s="51">
        <f t="shared" si="4"/>
        <v>-36.573116063701924</v>
      </c>
      <c r="K14" s="51">
        <f t="shared" si="3"/>
        <v>-4.0636795626335473</v>
      </c>
      <c r="L14" s="51">
        <v>79</v>
      </c>
      <c r="M14" s="51">
        <f t="shared" si="5"/>
        <v>0.11392405063291139</v>
      </c>
      <c r="N14" s="51">
        <v>187</v>
      </c>
      <c r="O14" s="51">
        <f t="shared" ref="O14:P14" si="22">D14/7</f>
        <v>1.2857142857142858</v>
      </c>
      <c r="P14" s="51">
        <f t="shared" si="22"/>
        <v>0</v>
      </c>
      <c r="Q14" s="51">
        <f t="shared" si="7"/>
        <v>145</v>
      </c>
      <c r="R14" s="55">
        <v>300</v>
      </c>
      <c r="S14" s="53" t="s">
        <v>34</v>
      </c>
      <c r="T14" s="54" t="s">
        <v>34</v>
      </c>
      <c r="U14" s="55">
        <v>2</v>
      </c>
      <c r="V14" s="55">
        <f t="shared" si="8"/>
        <v>0.22222222222222221</v>
      </c>
      <c r="W14" s="55">
        <f t="shared" si="9"/>
        <v>7.4142857142857155</v>
      </c>
      <c r="X14" s="55">
        <v>5</v>
      </c>
      <c r="Y14" s="55" t="s">
        <v>35</v>
      </c>
      <c r="Z14" s="56">
        <f t="shared" si="19"/>
        <v>-0.75</v>
      </c>
      <c r="AA14" s="55">
        <v>0.11973958333333333</v>
      </c>
      <c r="AB14" s="55">
        <f t="shared" si="11"/>
        <v>-4.1983691406250001</v>
      </c>
      <c r="AC14" s="55">
        <v>-7.32</v>
      </c>
      <c r="AD14" s="55">
        <v>-4.102027435897436</v>
      </c>
      <c r="AE14" s="55">
        <v>0</v>
      </c>
      <c r="AF14" s="55"/>
    </row>
    <row r="15" spans="1:32" s="57" customFormat="1" ht="15.75" customHeight="1">
      <c r="A15" s="2" t="s">
        <v>65</v>
      </c>
      <c r="B15" s="2" t="s">
        <v>946</v>
      </c>
      <c r="C15" s="51">
        <v>15.99</v>
      </c>
      <c r="D15" s="51">
        <v>8</v>
      </c>
      <c r="E15" s="51">
        <v>0</v>
      </c>
      <c r="F15" s="51">
        <v>127.91999999999999</v>
      </c>
      <c r="G15" s="51">
        <v>-49.93</v>
      </c>
      <c r="H15" s="51">
        <f t="shared" si="1"/>
        <v>0.39032207629768612</v>
      </c>
      <c r="I15" s="51">
        <f t="shared" si="2"/>
        <v>-0.28658796723287611</v>
      </c>
      <c r="J15" s="51">
        <f t="shared" si="4"/>
        <v>-36.660332768429505</v>
      </c>
      <c r="K15" s="51">
        <f t="shared" si="3"/>
        <v>-4.5825415960536882</v>
      </c>
      <c r="L15" s="51">
        <v>75</v>
      </c>
      <c r="M15" s="51">
        <f t="shared" si="5"/>
        <v>0.10666666666666667</v>
      </c>
      <c r="N15" s="51">
        <v>182</v>
      </c>
      <c r="O15" s="51">
        <f t="shared" ref="O15:P15" si="23">D15/7</f>
        <v>1.1428571428571428</v>
      </c>
      <c r="P15" s="51">
        <f t="shared" si="23"/>
        <v>0</v>
      </c>
      <c r="Q15" s="51">
        <f t="shared" si="7"/>
        <v>159</v>
      </c>
      <c r="R15" s="55">
        <v>300</v>
      </c>
      <c r="S15" s="53" t="s">
        <v>34</v>
      </c>
      <c r="T15" s="54" t="s">
        <v>34</v>
      </c>
      <c r="U15" s="55">
        <v>1</v>
      </c>
      <c r="V15" s="55">
        <f t="shared" si="8"/>
        <v>0.125</v>
      </c>
      <c r="W15" s="55">
        <f t="shared" si="9"/>
        <v>9.9860000000000007</v>
      </c>
      <c r="X15" s="55">
        <v>4</v>
      </c>
      <c r="Y15" s="55" t="s">
        <v>35</v>
      </c>
      <c r="Z15" s="56">
        <f t="shared" si="19"/>
        <v>-0.75</v>
      </c>
      <c r="AA15" s="55">
        <v>0.11973958333333333</v>
      </c>
      <c r="AB15" s="55">
        <f t="shared" si="11"/>
        <v>-4.0861132812499994</v>
      </c>
      <c r="AC15" s="55">
        <v>-7.32</v>
      </c>
      <c r="AD15" s="55">
        <v>-4.102027435897436</v>
      </c>
      <c r="AE15" s="55">
        <v>0</v>
      </c>
      <c r="AF15" s="55"/>
    </row>
    <row r="16" spans="1:32" s="57" customFormat="1" ht="15.75" customHeight="1">
      <c r="A16" s="2" t="s">
        <v>66</v>
      </c>
      <c r="B16" s="2" t="s">
        <v>1008</v>
      </c>
      <c r="C16" s="51">
        <v>14.99</v>
      </c>
      <c r="D16" s="51">
        <v>4</v>
      </c>
      <c r="E16" s="51">
        <v>0</v>
      </c>
      <c r="F16" s="51">
        <v>62.96</v>
      </c>
      <c r="G16" s="51">
        <v>-28.09</v>
      </c>
      <c r="H16" s="51">
        <f t="shared" si="1"/>
        <v>0.44615628970775095</v>
      </c>
      <c r="I16" s="51">
        <f t="shared" si="2"/>
        <v>-0.38529889354097441</v>
      </c>
      <c r="J16" s="51">
        <f t="shared" si="4"/>
        <v>-24.258418337339748</v>
      </c>
      <c r="K16" s="51">
        <f t="shared" si="3"/>
        <v>-6.064604584334937</v>
      </c>
      <c r="L16" s="51">
        <v>65</v>
      </c>
      <c r="M16" s="51">
        <f t="shared" si="5"/>
        <v>6.1538461538461542E-2</v>
      </c>
      <c r="N16" s="51">
        <v>178</v>
      </c>
      <c r="O16" s="51">
        <f t="shared" ref="O16:P16" si="24">D16/7</f>
        <v>0.5714285714285714</v>
      </c>
      <c r="P16" s="51">
        <f t="shared" si="24"/>
        <v>0</v>
      </c>
      <c r="Q16" s="51">
        <f t="shared" si="7"/>
        <v>311</v>
      </c>
      <c r="R16" s="55">
        <v>300</v>
      </c>
      <c r="S16" s="53" t="s">
        <v>34</v>
      </c>
      <c r="T16" s="54" t="s">
        <v>34</v>
      </c>
      <c r="U16" s="55">
        <v>1</v>
      </c>
      <c r="V16" s="55">
        <f t="shared" si="8"/>
        <v>0.25</v>
      </c>
      <c r="W16" s="55">
        <f t="shared" si="9"/>
        <v>7.0225</v>
      </c>
      <c r="X16" s="55">
        <v>3</v>
      </c>
      <c r="Y16" s="55" t="s">
        <v>35</v>
      </c>
      <c r="Z16" s="56">
        <f t="shared" si="19"/>
        <v>-0.75</v>
      </c>
      <c r="AA16" s="55">
        <v>0.11973958333333333</v>
      </c>
      <c r="AB16" s="55">
        <f t="shared" si="11"/>
        <v>-3.9963085937499998</v>
      </c>
      <c r="AC16" s="55">
        <v>-7.32</v>
      </c>
      <c r="AD16" s="55">
        <v>-4.102027435897436</v>
      </c>
      <c r="AE16" s="55">
        <v>0</v>
      </c>
      <c r="AF16" s="55"/>
    </row>
    <row r="17" spans="1:32" s="57" customFormat="1" ht="15.75" customHeight="1">
      <c r="A17" s="2" t="s">
        <v>67</v>
      </c>
      <c r="B17" s="2" t="s">
        <v>981</v>
      </c>
      <c r="C17" s="51">
        <v>14.99</v>
      </c>
      <c r="D17" s="51">
        <v>3</v>
      </c>
      <c r="E17" s="51">
        <v>0</v>
      </c>
      <c r="F17" s="51">
        <v>44.97</v>
      </c>
      <c r="G17" s="51">
        <v>-23.21</v>
      </c>
      <c r="H17" s="51">
        <f t="shared" si="1"/>
        <v>0.5161218590171226</v>
      </c>
      <c r="I17" s="51">
        <f t="shared" si="2"/>
        <v>-0.51446820195835696</v>
      </c>
      <c r="J17" s="51">
        <f t="shared" si="4"/>
        <v>-23.13563504206731</v>
      </c>
      <c r="K17" s="51">
        <f t="shared" si="3"/>
        <v>-7.7118783473557704</v>
      </c>
      <c r="L17" s="51">
        <v>56</v>
      </c>
      <c r="M17" s="51">
        <f t="shared" si="5"/>
        <v>5.3571428571428568E-2</v>
      </c>
      <c r="N17" s="51">
        <v>173</v>
      </c>
      <c r="O17" s="51">
        <f t="shared" ref="O17:P17" si="25">D17/7</f>
        <v>0.42857142857142855</v>
      </c>
      <c r="P17" s="51">
        <f t="shared" si="25"/>
        <v>0</v>
      </c>
      <c r="Q17" s="51">
        <f t="shared" si="7"/>
        <v>403</v>
      </c>
      <c r="R17" s="55">
        <v>300</v>
      </c>
      <c r="S17" s="53" t="s">
        <v>34</v>
      </c>
      <c r="T17" s="54" t="s">
        <v>34</v>
      </c>
      <c r="U17" s="55">
        <v>0</v>
      </c>
      <c r="V17" s="55">
        <f t="shared" si="8"/>
        <v>0</v>
      </c>
      <c r="W17" s="55">
        <f t="shared" si="9"/>
        <v>5.8025000000000002</v>
      </c>
      <c r="X17" s="55">
        <v>4</v>
      </c>
      <c r="Y17" s="55" t="s">
        <v>35</v>
      </c>
      <c r="Z17" s="56">
        <f t="shared" si="19"/>
        <v>-0.75</v>
      </c>
      <c r="AA17" s="55">
        <v>0.11973958333333333</v>
      </c>
      <c r="AB17" s="55">
        <f t="shared" si="11"/>
        <v>-3.8840527343749995</v>
      </c>
      <c r="AC17" s="55">
        <v>-7.32</v>
      </c>
      <c r="AD17" s="55">
        <v>-4.102027435897436</v>
      </c>
      <c r="AE17" s="55">
        <v>0</v>
      </c>
      <c r="AF17" s="55"/>
    </row>
    <row r="18" spans="1:32" s="57" customFormat="1" ht="15.75" customHeight="1">
      <c r="A18" s="2" t="s">
        <v>69</v>
      </c>
      <c r="B18" s="2" t="s">
        <v>1009</v>
      </c>
      <c r="C18" s="51">
        <v>14.99</v>
      </c>
      <c r="D18" s="51">
        <v>7</v>
      </c>
      <c r="E18" s="51">
        <v>0</v>
      </c>
      <c r="F18" s="51">
        <v>104.92999999999999</v>
      </c>
      <c r="G18" s="51">
        <v>-38.58</v>
      </c>
      <c r="H18" s="51">
        <f t="shared" si="1"/>
        <v>0.36767368722005145</v>
      </c>
      <c r="I18" s="51">
        <f t="shared" si="2"/>
        <v>-0.29762308671287591</v>
      </c>
      <c r="J18" s="51">
        <f t="shared" si="4"/>
        <v>-31.229590488782065</v>
      </c>
      <c r="K18" s="51">
        <f t="shared" si="3"/>
        <v>-4.4613700698260095</v>
      </c>
      <c r="L18" s="51">
        <v>87</v>
      </c>
      <c r="M18" s="51">
        <f t="shared" si="5"/>
        <v>8.0459770114942528E-2</v>
      </c>
      <c r="N18" s="51">
        <v>156</v>
      </c>
      <c r="O18" s="51">
        <f t="shared" ref="O18:P18" si="26">D18/7</f>
        <v>1</v>
      </c>
      <c r="P18" s="51">
        <f t="shared" si="26"/>
        <v>0</v>
      </c>
      <c r="Q18" s="51">
        <f t="shared" si="7"/>
        <v>156</v>
      </c>
      <c r="R18" s="55">
        <v>300</v>
      </c>
      <c r="S18" s="53" t="s">
        <v>34</v>
      </c>
      <c r="T18" s="54" t="s">
        <v>34</v>
      </c>
      <c r="U18" s="55">
        <v>2</v>
      </c>
      <c r="V18" s="55">
        <f t="shared" si="8"/>
        <v>0.2857142857142857</v>
      </c>
      <c r="W18" s="55">
        <f t="shared" si="9"/>
        <v>9.6449999999999996</v>
      </c>
      <c r="X18" s="55">
        <v>2</v>
      </c>
      <c r="Y18" s="55" t="s">
        <v>35</v>
      </c>
      <c r="Z18" s="56">
        <f t="shared" si="19"/>
        <v>-0.75</v>
      </c>
      <c r="AA18" s="55">
        <v>0.11973958333333333</v>
      </c>
      <c r="AB18" s="58">
        <f t="shared" ref="AB18:AB39" si="27">IFERROR(Z18*AA18*D18*3,0)</f>
        <v>-1.8858984374999999</v>
      </c>
      <c r="AC18" s="55">
        <v>-7.32</v>
      </c>
      <c r="AD18" s="55">
        <v>-4.102027435897436</v>
      </c>
      <c r="AE18" s="55">
        <v>0</v>
      </c>
      <c r="AF18" s="55"/>
    </row>
    <row r="19" spans="1:32" s="57" customFormat="1" ht="15.75" customHeight="1">
      <c r="A19" s="2" t="s">
        <v>71</v>
      </c>
      <c r="B19" s="2" t="s">
        <v>1010</v>
      </c>
      <c r="C19" s="51">
        <v>14.99</v>
      </c>
      <c r="D19" s="51">
        <v>22</v>
      </c>
      <c r="E19" s="51">
        <v>0</v>
      </c>
      <c r="F19" s="51">
        <v>329.78000000000009</v>
      </c>
      <c r="G19" s="51">
        <v>-0.24</v>
      </c>
      <c r="H19" s="51">
        <f t="shared" si="1"/>
        <v>7.2775789920553077E-4</v>
      </c>
      <c r="I19" s="51">
        <f t="shared" si="2"/>
        <v>6.9322842607970267E-2</v>
      </c>
      <c r="J19" s="51">
        <f t="shared" si="4"/>
        <v>22.861287035256439</v>
      </c>
      <c r="K19" s="51">
        <f t="shared" si="3"/>
        <v>1.0391494106934744</v>
      </c>
      <c r="L19" s="51">
        <v>99</v>
      </c>
      <c r="M19" s="51">
        <f t="shared" si="5"/>
        <v>0.22222222222222221</v>
      </c>
      <c r="N19" s="51">
        <v>142</v>
      </c>
      <c r="O19" s="51">
        <f t="shared" ref="O19:P19" si="28">D19/7</f>
        <v>3.1428571428571428</v>
      </c>
      <c r="P19" s="51">
        <f t="shared" si="28"/>
        <v>0</v>
      </c>
      <c r="Q19" s="51">
        <f t="shared" si="7"/>
        <v>45</v>
      </c>
      <c r="R19" s="55">
        <v>420</v>
      </c>
      <c r="S19" s="53">
        <v>120</v>
      </c>
      <c r="T19" s="54">
        <v>43990</v>
      </c>
      <c r="U19" s="55">
        <v>0</v>
      </c>
      <c r="V19" s="55">
        <f t="shared" si="8"/>
        <v>0</v>
      </c>
      <c r="W19" s="55">
        <f t="shared" si="9"/>
        <v>0.24</v>
      </c>
      <c r="X19" s="55">
        <v>1</v>
      </c>
      <c r="Y19" s="55" t="s">
        <v>35</v>
      </c>
      <c r="Z19" s="56">
        <f t="shared" si="19"/>
        <v>-0.75</v>
      </c>
      <c r="AA19" s="55">
        <v>0.11973958333333333</v>
      </c>
      <c r="AB19" s="55">
        <f t="shared" si="27"/>
        <v>-5.9271093749999997</v>
      </c>
      <c r="AC19" s="55">
        <v>-7.32</v>
      </c>
      <c r="AD19" s="55">
        <v>-4.102027435897436</v>
      </c>
      <c r="AE19" s="55">
        <v>0</v>
      </c>
      <c r="AF19" s="55"/>
    </row>
    <row r="20" spans="1:32" s="57" customFormat="1" ht="15.75" customHeight="1">
      <c r="A20" s="2" t="s">
        <v>73</v>
      </c>
      <c r="B20" s="17" t="s">
        <v>955</v>
      </c>
      <c r="C20" s="51">
        <v>17</v>
      </c>
      <c r="D20" s="51">
        <v>19</v>
      </c>
      <c r="E20" s="51">
        <v>0</v>
      </c>
      <c r="F20" s="51">
        <v>286.81000000000006</v>
      </c>
      <c r="G20" s="51">
        <v>-0.16</v>
      </c>
      <c r="H20" s="51">
        <f t="shared" si="1"/>
        <v>5.5786060458143014E-4</v>
      </c>
      <c r="I20" s="51">
        <f t="shared" si="2"/>
        <v>7.4931527946894311E-2</v>
      </c>
      <c r="J20" s="51">
        <f t="shared" si="4"/>
        <v>21.491111530448762</v>
      </c>
      <c r="K20" s="51">
        <f t="shared" si="3"/>
        <v>1.1311111331815138</v>
      </c>
      <c r="L20" s="51">
        <v>156</v>
      </c>
      <c r="M20" s="51">
        <f t="shared" si="5"/>
        <v>0.12179487179487179</v>
      </c>
      <c r="N20" s="51">
        <v>106</v>
      </c>
      <c r="O20" s="51">
        <f t="shared" ref="O20:P20" si="29">D20/7</f>
        <v>2.7142857142857144</v>
      </c>
      <c r="P20" s="51">
        <f t="shared" si="29"/>
        <v>0</v>
      </c>
      <c r="Q20" s="51">
        <f t="shared" si="7"/>
        <v>39</v>
      </c>
      <c r="R20" s="55">
        <v>300</v>
      </c>
      <c r="S20" s="53">
        <v>120</v>
      </c>
      <c r="T20" s="54">
        <v>43990</v>
      </c>
      <c r="U20" s="55">
        <v>0</v>
      </c>
      <c r="V20" s="55">
        <f t="shared" si="8"/>
        <v>0</v>
      </c>
      <c r="W20" s="55">
        <f t="shared" si="9"/>
        <v>0</v>
      </c>
      <c r="X20" s="55">
        <v>0</v>
      </c>
      <c r="Y20" s="55" t="s">
        <v>35</v>
      </c>
      <c r="Z20" s="56">
        <f t="shared" si="19"/>
        <v>-0.75</v>
      </c>
      <c r="AA20" s="55">
        <v>0.11973958333333333</v>
      </c>
      <c r="AB20" s="55">
        <f t="shared" si="27"/>
        <v>-5.1188671874999994</v>
      </c>
      <c r="AC20" s="55">
        <v>-7.32</v>
      </c>
      <c r="AD20" s="55">
        <v>-4.102027435897436</v>
      </c>
      <c r="AE20" s="55">
        <v>0</v>
      </c>
      <c r="AF20" s="55"/>
    </row>
    <row r="21" spans="1:32" s="57" customFormat="1" ht="15.75" customHeight="1">
      <c r="A21" s="2" t="s">
        <v>75</v>
      </c>
      <c r="B21" s="2" t="s">
        <v>988</v>
      </c>
      <c r="C21" s="51">
        <v>20.99</v>
      </c>
      <c r="D21" s="51">
        <v>21</v>
      </c>
      <c r="E21" s="51">
        <v>0</v>
      </c>
      <c r="F21" s="51">
        <v>327.86000000000007</v>
      </c>
      <c r="G21" s="51">
        <v>-0.46</v>
      </c>
      <c r="H21" s="51">
        <f t="shared" si="1"/>
        <v>1.4030378820228144E-3</v>
      </c>
      <c r="I21" s="51">
        <f t="shared" si="2"/>
        <v>9.9739915005349525E-2</v>
      </c>
      <c r="J21" s="51">
        <f t="shared" si="4"/>
        <v>32.700728533653901</v>
      </c>
      <c r="K21" s="51">
        <f t="shared" si="3"/>
        <v>1.5571775492216144</v>
      </c>
      <c r="L21" s="51">
        <v>104</v>
      </c>
      <c r="M21" s="51">
        <f t="shared" si="5"/>
        <v>0.20192307692307693</v>
      </c>
      <c r="N21" s="51">
        <v>99</v>
      </c>
      <c r="O21" s="51">
        <f t="shared" ref="O21:P21" si="30">D21/7</f>
        <v>3</v>
      </c>
      <c r="P21" s="51">
        <f t="shared" si="30"/>
        <v>0</v>
      </c>
      <c r="Q21" s="51">
        <f t="shared" si="7"/>
        <v>33</v>
      </c>
      <c r="R21" s="55">
        <v>300</v>
      </c>
      <c r="S21" s="53">
        <v>120</v>
      </c>
      <c r="T21" s="54">
        <v>43990</v>
      </c>
      <c r="U21" s="55">
        <v>0</v>
      </c>
      <c r="V21" s="55">
        <f t="shared" si="8"/>
        <v>0</v>
      </c>
      <c r="W21" s="55">
        <f t="shared" si="9"/>
        <v>0</v>
      </c>
      <c r="X21" s="55">
        <v>0</v>
      </c>
      <c r="Y21" s="55" t="s">
        <v>35</v>
      </c>
      <c r="Z21" s="56">
        <f t="shared" si="19"/>
        <v>-0.75</v>
      </c>
      <c r="AA21" s="55">
        <v>0.11973958333333333</v>
      </c>
      <c r="AB21" s="55">
        <f t="shared" si="27"/>
        <v>-5.6576953124999996</v>
      </c>
      <c r="AC21" s="55">
        <v>-7.32</v>
      </c>
      <c r="AD21" s="55">
        <v>-4.102027435897436</v>
      </c>
      <c r="AE21" s="55">
        <v>0</v>
      </c>
      <c r="AF21" s="55"/>
    </row>
    <row r="22" spans="1:32" s="57" customFormat="1" ht="15.75" customHeight="1">
      <c r="A22" s="2" t="s">
        <v>77</v>
      </c>
      <c r="B22" s="2" t="s">
        <v>1011</v>
      </c>
      <c r="C22" s="51">
        <v>21</v>
      </c>
      <c r="D22" s="51">
        <v>14</v>
      </c>
      <c r="E22" s="51">
        <v>0</v>
      </c>
      <c r="F22" s="51">
        <v>243.91000000000003</v>
      </c>
      <c r="G22" s="51">
        <v>-0.32</v>
      </c>
      <c r="H22" s="51">
        <f t="shared" si="1"/>
        <v>1.3119593292607928E-3</v>
      </c>
      <c r="I22" s="51">
        <f t="shared" si="2"/>
        <v>0.17762010176883242</v>
      </c>
      <c r="J22" s="51">
        <f t="shared" si="4"/>
        <v>43.323319022435918</v>
      </c>
      <c r="K22" s="51">
        <f t="shared" si="3"/>
        <v>3.0945227873168513</v>
      </c>
      <c r="L22" s="51">
        <v>85</v>
      </c>
      <c r="M22" s="51">
        <f t="shared" si="5"/>
        <v>0.16470588235294117</v>
      </c>
      <c r="N22" s="51">
        <v>90</v>
      </c>
      <c r="O22" s="51">
        <f t="shared" ref="O22:P22" si="31">D22/7</f>
        <v>2</v>
      </c>
      <c r="P22" s="51">
        <f t="shared" si="31"/>
        <v>0</v>
      </c>
      <c r="Q22" s="51">
        <f t="shared" si="7"/>
        <v>45</v>
      </c>
      <c r="R22" s="55">
        <v>300</v>
      </c>
      <c r="S22" s="53">
        <v>120</v>
      </c>
      <c r="T22" s="54">
        <v>43992</v>
      </c>
      <c r="U22" s="55">
        <v>0</v>
      </c>
      <c r="V22" s="55">
        <f t="shared" si="8"/>
        <v>0</v>
      </c>
      <c r="W22" s="55">
        <f t="shared" si="9"/>
        <v>0.32</v>
      </c>
      <c r="X22" s="55">
        <v>1</v>
      </c>
      <c r="Y22" s="55" t="s">
        <v>35</v>
      </c>
      <c r="Z22" s="56">
        <f t="shared" si="19"/>
        <v>-0.75</v>
      </c>
      <c r="AA22" s="55">
        <v>0.11973958333333333</v>
      </c>
      <c r="AB22" s="55">
        <f t="shared" si="27"/>
        <v>-3.7717968749999997</v>
      </c>
      <c r="AC22" s="55">
        <v>-7.32</v>
      </c>
      <c r="AD22" s="55">
        <v>-4.102027435897436</v>
      </c>
      <c r="AE22" s="55">
        <v>0</v>
      </c>
      <c r="AF22" s="55"/>
    </row>
    <row r="23" spans="1:32" s="57" customFormat="1" ht="15.75" customHeight="1">
      <c r="A23" s="2" t="s">
        <v>79</v>
      </c>
      <c r="B23" s="2" t="s">
        <v>1012</v>
      </c>
      <c r="C23" s="51">
        <v>22</v>
      </c>
      <c r="D23" s="51">
        <v>7</v>
      </c>
      <c r="E23" s="51">
        <v>0</v>
      </c>
      <c r="F23" s="51">
        <v>142.99</v>
      </c>
      <c r="G23" s="51">
        <v>-0.16</v>
      </c>
      <c r="H23" s="51">
        <f t="shared" si="1"/>
        <v>1.1189593677879571E-3</v>
      </c>
      <c r="I23" s="51">
        <f t="shared" si="2"/>
        <v>0.2765326911757322</v>
      </c>
      <c r="J23" s="51">
        <f t="shared" si="4"/>
        <v>39.54140951121795</v>
      </c>
      <c r="K23" s="51">
        <f t="shared" si="3"/>
        <v>5.6487727873168501</v>
      </c>
      <c r="L23" s="51">
        <v>53</v>
      </c>
      <c r="M23" s="51">
        <f t="shared" si="5"/>
        <v>0.13207547169811321</v>
      </c>
      <c r="N23" s="51">
        <v>86</v>
      </c>
      <c r="O23" s="51">
        <f t="shared" ref="O23:P23" si="32">D23/7</f>
        <v>1</v>
      </c>
      <c r="P23" s="51">
        <f t="shared" si="32"/>
        <v>0</v>
      </c>
      <c r="Q23" s="51">
        <f t="shared" si="7"/>
        <v>86</v>
      </c>
      <c r="R23" s="55">
        <v>300</v>
      </c>
      <c r="S23" s="53">
        <v>120</v>
      </c>
      <c r="T23" s="54">
        <v>43992</v>
      </c>
      <c r="U23" s="55">
        <v>0</v>
      </c>
      <c r="V23" s="55">
        <f t="shared" si="8"/>
        <v>0</v>
      </c>
      <c r="W23" s="55">
        <f t="shared" si="9"/>
        <v>0</v>
      </c>
      <c r="X23" s="55">
        <v>0</v>
      </c>
      <c r="Y23" s="55" t="s">
        <v>35</v>
      </c>
      <c r="Z23" s="56">
        <f t="shared" si="19"/>
        <v>-0.75</v>
      </c>
      <c r="AA23" s="55">
        <v>0.11973958333333333</v>
      </c>
      <c r="AB23" s="55">
        <f t="shared" si="27"/>
        <v>-1.8858984374999999</v>
      </c>
      <c r="AC23" s="55">
        <v>-7.32</v>
      </c>
      <c r="AD23" s="55">
        <v>-4.102027435897436</v>
      </c>
      <c r="AE23" s="55">
        <v>0</v>
      </c>
      <c r="AF23" s="55"/>
    </row>
    <row r="24" spans="1:32" s="57" customFormat="1" ht="15.75" customHeight="1">
      <c r="A24" s="2" t="s">
        <v>80</v>
      </c>
      <c r="B24" s="2" t="s">
        <v>983</v>
      </c>
      <c r="C24" s="51">
        <v>22</v>
      </c>
      <c r="D24" s="51">
        <v>15</v>
      </c>
      <c r="E24" s="51">
        <v>0</v>
      </c>
      <c r="F24" s="51">
        <v>327.98</v>
      </c>
      <c r="G24" s="51">
        <v>-0.75</v>
      </c>
      <c r="H24" s="51">
        <f t="shared" si="1"/>
        <v>2.2867248002927006E-3</v>
      </c>
      <c r="I24" s="51">
        <f t="shared" si="2"/>
        <v>0.31301109068857386</v>
      </c>
      <c r="J24" s="51">
        <f t="shared" si="4"/>
        <v>102.66137752403846</v>
      </c>
      <c r="K24" s="51">
        <f t="shared" si="3"/>
        <v>6.844091834935897</v>
      </c>
      <c r="L24" s="51">
        <v>64</v>
      </c>
      <c r="M24" s="51">
        <f t="shared" si="5"/>
        <v>0.234375</v>
      </c>
      <c r="N24" s="51">
        <v>66</v>
      </c>
      <c r="O24" s="51">
        <f t="shared" ref="O24:P24" si="33">D24/7</f>
        <v>2.1428571428571428</v>
      </c>
      <c r="P24" s="51">
        <f t="shared" si="33"/>
        <v>0</v>
      </c>
      <c r="Q24" s="51">
        <f t="shared" si="7"/>
        <v>30</v>
      </c>
      <c r="R24" s="55">
        <v>300</v>
      </c>
      <c r="S24" s="53">
        <v>120</v>
      </c>
      <c r="T24" s="54">
        <v>43992</v>
      </c>
      <c r="U24" s="55">
        <v>2</v>
      </c>
      <c r="V24" s="55">
        <f t="shared" si="8"/>
        <v>0.13333333333333333</v>
      </c>
      <c r="W24" s="55">
        <f t="shared" si="9"/>
        <v>0.25</v>
      </c>
      <c r="X24" s="55">
        <v>1</v>
      </c>
      <c r="Y24" s="55" t="s">
        <v>35</v>
      </c>
      <c r="Z24" s="56">
        <f t="shared" si="19"/>
        <v>-0.75</v>
      </c>
      <c r="AA24" s="55">
        <v>0.11973958333333333</v>
      </c>
      <c r="AB24" s="55">
        <f t="shared" si="27"/>
        <v>-4.0412109374999998</v>
      </c>
      <c r="AC24" s="55">
        <v>-7.32</v>
      </c>
      <c r="AD24" s="55">
        <v>-4.102027435897436</v>
      </c>
      <c r="AE24" s="55">
        <v>0</v>
      </c>
      <c r="AF24" s="55"/>
    </row>
    <row r="25" spans="1:32" s="57" customFormat="1" ht="15.75" customHeight="1">
      <c r="A25" s="2" t="s">
        <v>81</v>
      </c>
      <c r="B25" s="2" t="s">
        <v>1013</v>
      </c>
      <c r="C25" s="51"/>
      <c r="D25" s="51">
        <v>13</v>
      </c>
      <c r="E25" s="51">
        <v>0</v>
      </c>
      <c r="F25" s="51">
        <v>273</v>
      </c>
      <c r="G25" s="51">
        <v>-0.9900000000000001</v>
      </c>
      <c r="H25" s="51">
        <f t="shared" si="1"/>
        <v>3.6263736263736266E-3</v>
      </c>
      <c r="I25" s="51">
        <f t="shared" si="2"/>
        <v>0.28963831692612935</v>
      </c>
      <c r="J25" s="51">
        <f t="shared" si="4"/>
        <v>79.071260520833306</v>
      </c>
      <c r="K25" s="51">
        <f t="shared" si="3"/>
        <v>6.0824046554487161</v>
      </c>
      <c r="L25" s="51">
        <v>74</v>
      </c>
      <c r="M25" s="51">
        <f t="shared" si="5"/>
        <v>0.17567567567567569</v>
      </c>
      <c r="N25" s="51">
        <v>60</v>
      </c>
      <c r="O25" s="51">
        <f t="shared" ref="O25:P25" si="34">D25/7</f>
        <v>1.8571428571428572</v>
      </c>
      <c r="P25" s="51">
        <f t="shared" si="34"/>
        <v>0</v>
      </c>
      <c r="Q25" s="51">
        <f t="shared" si="7"/>
        <v>32</v>
      </c>
      <c r="R25" s="55">
        <v>300</v>
      </c>
      <c r="S25" s="53">
        <v>120</v>
      </c>
      <c r="T25" s="54">
        <v>43990</v>
      </c>
      <c r="U25" s="55">
        <v>0</v>
      </c>
      <c r="V25" s="55">
        <f t="shared" si="8"/>
        <v>0</v>
      </c>
      <c r="W25" s="55">
        <f t="shared" si="9"/>
        <v>0</v>
      </c>
      <c r="X25" s="55">
        <v>0</v>
      </c>
      <c r="Y25" s="55" t="s">
        <v>35</v>
      </c>
      <c r="Z25" s="56">
        <f t="shared" si="19"/>
        <v>-0.75</v>
      </c>
      <c r="AA25" s="55">
        <v>0.11973958333333333</v>
      </c>
      <c r="AB25" s="55">
        <f t="shared" si="27"/>
        <v>-3.5023828125000001</v>
      </c>
      <c r="AC25" s="55">
        <v>-7.32</v>
      </c>
      <c r="AD25" s="55">
        <v>-4.102027435897436</v>
      </c>
      <c r="AE25" s="55">
        <v>0</v>
      </c>
      <c r="AF25" s="55"/>
    </row>
    <row r="26" spans="1:32" s="57" customFormat="1" ht="15.75" customHeight="1">
      <c r="A26" s="2" t="s">
        <v>83</v>
      </c>
      <c r="B26" s="2" t="s">
        <v>1014</v>
      </c>
      <c r="C26" s="51">
        <f t="shared" ref="C26:C39" si="35">IFERROR(F26/D26," - ")</f>
        <v>21.346</v>
      </c>
      <c r="D26" s="51">
        <v>20</v>
      </c>
      <c r="E26" s="51">
        <v>0</v>
      </c>
      <c r="F26" s="51">
        <v>426.92</v>
      </c>
      <c r="G26" s="51">
        <v>-0.7200000000000002</v>
      </c>
      <c r="H26" s="51">
        <f t="shared" si="1"/>
        <v>1.6864986414316504E-3</v>
      </c>
      <c r="I26" s="51">
        <f t="shared" si="2"/>
        <v>0.30060238459676569</v>
      </c>
      <c r="J26" s="51">
        <f t="shared" si="4"/>
        <v>128.33317003205121</v>
      </c>
      <c r="K26" s="51">
        <f t="shared" si="3"/>
        <v>6.4166585016025603</v>
      </c>
      <c r="L26" s="51">
        <v>127</v>
      </c>
      <c r="M26" s="51">
        <f t="shared" si="5"/>
        <v>0.15748031496062992</v>
      </c>
      <c r="N26" s="51">
        <v>24</v>
      </c>
      <c r="O26" s="51">
        <f t="shared" ref="O26:P26" si="36">D26/7</f>
        <v>2.8571428571428572</v>
      </c>
      <c r="P26" s="51">
        <f t="shared" si="36"/>
        <v>0</v>
      </c>
      <c r="Q26" s="51">
        <f t="shared" si="7"/>
        <v>8</v>
      </c>
      <c r="R26" s="55">
        <v>300</v>
      </c>
      <c r="S26" s="53">
        <v>120</v>
      </c>
      <c r="T26" s="54">
        <v>43990</v>
      </c>
      <c r="U26" s="55">
        <v>2</v>
      </c>
      <c r="V26" s="55">
        <f t="shared" si="8"/>
        <v>0.1</v>
      </c>
      <c r="W26" s="55">
        <f t="shared" si="9"/>
        <v>0.3600000000000001</v>
      </c>
      <c r="X26" s="55">
        <v>0</v>
      </c>
      <c r="Y26" s="55" t="s">
        <v>35</v>
      </c>
      <c r="Z26" s="56">
        <f t="shared" si="19"/>
        <v>-0.75</v>
      </c>
      <c r="AA26" s="55">
        <v>0.11973958333333333</v>
      </c>
      <c r="AB26" s="55">
        <f t="shared" si="27"/>
        <v>-5.3882812499999995</v>
      </c>
      <c r="AC26" s="55">
        <v>-7.32</v>
      </c>
      <c r="AD26" s="55">
        <v>-4.102027435897436</v>
      </c>
      <c r="AE26" s="55">
        <v>0</v>
      </c>
      <c r="AF26" s="55"/>
    </row>
    <row r="27" spans="1:32" s="57" customFormat="1" ht="15.75" customHeight="1">
      <c r="A27" s="2" t="s">
        <v>84</v>
      </c>
      <c r="B27" s="2" t="s">
        <v>810</v>
      </c>
      <c r="C27" s="51">
        <f t="shared" si="35"/>
        <v>19.924666666666671</v>
      </c>
      <c r="D27" s="51">
        <v>30</v>
      </c>
      <c r="E27" s="51">
        <v>0</v>
      </c>
      <c r="F27" s="51">
        <v>597.74000000000012</v>
      </c>
      <c r="G27" s="51">
        <v>-1.6199999999999999</v>
      </c>
      <c r="H27" s="51">
        <f t="shared" si="1"/>
        <v>2.7102084518352454E-3</v>
      </c>
      <c r="I27" s="51">
        <f t="shared" si="2"/>
        <v>0.2605075033427191</v>
      </c>
      <c r="J27" s="51">
        <f t="shared" si="4"/>
        <v>155.71575504807694</v>
      </c>
      <c r="K27" s="51">
        <f t="shared" si="3"/>
        <v>5.1905251682692315</v>
      </c>
      <c r="L27" s="51">
        <v>214</v>
      </c>
      <c r="M27" s="51">
        <f t="shared" si="5"/>
        <v>0.14018691588785046</v>
      </c>
      <c r="N27" s="51">
        <v>126</v>
      </c>
      <c r="O27" s="51">
        <f t="shared" ref="O27:P27" si="37">D27/7</f>
        <v>4.2857142857142856</v>
      </c>
      <c r="P27" s="51">
        <f t="shared" si="37"/>
        <v>0</v>
      </c>
      <c r="Q27" s="51">
        <f t="shared" si="7"/>
        <v>29</v>
      </c>
      <c r="R27" s="55">
        <v>180</v>
      </c>
      <c r="S27" s="53" t="s">
        <v>34</v>
      </c>
      <c r="T27" s="54" t="s">
        <v>34</v>
      </c>
      <c r="U27" s="55">
        <v>1</v>
      </c>
      <c r="V27" s="55">
        <f t="shared" si="8"/>
        <v>3.3333333333333333E-2</v>
      </c>
      <c r="W27" s="55">
        <f t="shared" si="9"/>
        <v>0.32399999999999995</v>
      </c>
      <c r="X27" s="55">
        <v>4</v>
      </c>
      <c r="Y27" s="55" t="s">
        <v>35</v>
      </c>
      <c r="Z27" s="56">
        <f t="shared" si="19"/>
        <v>-0.75</v>
      </c>
      <c r="AA27" s="55">
        <v>0.11973958333333333</v>
      </c>
      <c r="AB27" s="55">
        <f t="shared" si="27"/>
        <v>-8.0824218749999996</v>
      </c>
      <c r="AC27" s="55">
        <v>-7.32</v>
      </c>
      <c r="AD27" s="55">
        <v>-4.102027435897436</v>
      </c>
      <c r="AE27" s="55">
        <v>0</v>
      </c>
      <c r="AF27" s="55"/>
    </row>
    <row r="28" spans="1:32" s="57" customFormat="1" ht="15.75" customHeight="1">
      <c r="A28" s="2" t="s">
        <v>86</v>
      </c>
      <c r="B28" s="2" t="s">
        <v>1015</v>
      </c>
      <c r="C28" s="51">
        <f t="shared" si="35"/>
        <v>22.090444444444447</v>
      </c>
      <c r="D28" s="51">
        <v>45</v>
      </c>
      <c r="E28" s="51">
        <v>0</v>
      </c>
      <c r="F28" s="51">
        <v>994.07</v>
      </c>
      <c r="G28" s="51">
        <v>-7.23</v>
      </c>
      <c r="H28" s="51">
        <f t="shared" si="1"/>
        <v>7.2731296588771418E-3</v>
      </c>
      <c r="I28" s="51">
        <f t="shared" si="2"/>
        <v>0.31347353060862448</v>
      </c>
      <c r="J28" s="51">
        <f t="shared" si="4"/>
        <v>311.61463257211534</v>
      </c>
      <c r="K28" s="51">
        <f t="shared" si="3"/>
        <v>6.924769612713674</v>
      </c>
      <c r="L28" s="51">
        <v>405</v>
      </c>
      <c r="M28" s="51">
        <f t="shared" si="5"/>
        <v>0.1111111111111111</v>
      </c>
      <c r="N28" s="51">
        <v>54</v>
      </c>
      <c r="O28" s="51">
        <f t="shared" ref="O28:P28" si="38">D28/7</f>
        <v>6.4285714285714288</v>
      </c>
      <c r="P28" s="51">
        <f t="shared" si="38"/>
        <v>0</v>
      </c>
      <c r="Q28" s="51">
        <f t="shared" si="7"/>
        <v>8</v>
      </c>
      <c r="R28" s="55">
        <v>309</v>
      </c>
      <c r="S28" s="53">
        <v>129</v>
      </c>
      <c r="T28" s="54">
        <v>44042</v>
      </c>
      <c r="U28" s="55">
        <v>6</v>
      </c>
      <c r="V28" s="55">
        <f t="shared" si="8"/>
        <v>0.13333333333333333</v>
      </c>
      <c r="W28" s="55">
        <f t="shared" si="9"/>
        <v>0.48200000000000004</v>
      </c>
      <c r="X28" s="55">
        <v>9</v>
      </c>
      <c r="Y28" s="55" t="s">
        <v>35</v>
      </c>
      <c r="Z28" s="56">
        <f t="shared" si="19"/>
        <v>-0.75</v>
      </c>
      <c r="AA28" s="55">
        <v>0.11973958333333333</v>
      </c>
      <c r="AB28" s="55">
        <f t="shared" si="27"/>
        <v>-12.123632812499999</v>
      </c>
      <c r="AC28" s="55">
        <v>-7.32</v>
      </c>
      <c r="AD28" s="55">
        <v>-4.102027435897436</v>
      </c>
      <c r="AE28" s="55">
        <v>0</v>
      </c>
      <c r="AF28" s="55"/>
    </row>
    <row r="29" spans="1:32" s="57" customFormat="1" ht="15.75" customHeight="1">
      <c r="A29" s="2" t="s">
        <v>87</v>
      </c>
      <c r="B29" s="2" t="s">
        <v>921</v>
      </c>
      <c r="C29" s="51">
        <f t="shared" si="35"/>
        <v>22.11492753623191</v>
      </c>
      <c r="D29" s="51">
        <v>69</v>
      </c>
      <c r="E29" s="51">
        <v>1</v>
      </c>
      <c r="F29" s="51">
        <v>1525.9300000000019</v>
      </c>
      <c r="G29" s="51">
        <v>-14.61</v>
      </c>
      <c r="H29" s="51">
        <f t="shared" si="1"/>
        <v>9.5744890001507148E-3</v>
      </c>
      <c r="I29" s="51">
        <f t="shared" si="2"/>
        <v>0.31175809939550175</v>
      </c>
      <c r="J29" s="51">
        <f t="shared" si="4"/>
        <v>475.72103661057861</v>
      </c>
      <c r="K29" s="51">
        <f t="shared" si="3"/>
        <v>6.8945077769649075</v>
      </c>
      <c r="L29" s="51">
        <v>627</v>
      </c>
      <c r="M29" s="51">
        <f t="shared" si="5"/>
        <v>0.11004784688995216</v>
      </c>
      <c r="N29" s="51">
        <v>4</v>
      </c>
      <c r="O29" s="51">
        <f t="shared" ref="O29:P29" si="39">D29/7</f>
        <v>9.8571428571428577</v>
      </c>
      <c r="P29" s="51">
        <f t="shared" si="39"/>
        <v>0.14285714285714285</v>
      </c>
      <c r="Q29" s="51">
        <f t="shared" si="7"/>
        <v>0</v>
      </c>
      <c r="R29" s="55">
        <v>309</v>
      </c>
      <c r="S29" s="53">
        <v>129</v>
      </c>
      <c r="T29" s="54">
        <v>44042</v>
      </c>
      <c r="U29" s="55">
        <v>6</v>
      </c>
      <c r="V29" s="55">
        <f t="shared" si="8"/>
        <v>8.6956521739130432E-2</v>
      </c>
      <c r="W29" s="55">
        <f t="shared" si="9"/>
        <v>0.81166666666666665</v>
      </c>
      <c r="X29" s="55">
        <v>12</v>
      </c>
      <c r="Y29" s="55" t="s">
        <v>35</v>
      </c>
      <c r="Z29" s="56">
        <f t="shared" si="19"/>
        <v>-0.75</v>
      </c>
      <c r="AA29" s="55">
        <v>0.11973958333333333</v>
      </c>
      <c r="AB29" s="55">
        <f t="shared" si="27"/>
        <v>-18.589570312500001</v>
      </c>
      <c r="AC29" s="55">
        <v>-7.32</v>
      </c>
      <c r="AD29" s="55">
        <v>-4.102027435897436</v>
      </c>
      <c r="AE29" s="55">
        <v>0</v>
      </c>
      <c r="AF29" s="55"/>
    </row>
    <row r="30" spans="1:32" s="57" customFormat="1" ht="15.75" customHeight="1">
      <c r="A30" s="2" t="s">
        <v>89</v>
      </c>
      <c r="B30" s="2"/>
      <c r="C30" s="51">
        <f t="shared" si="35"/>
        <v>21.216363636363635</v>
      </c>
      <c r="D30" s="51">
        <v>11</v>
      </c>
      <c r="E30" s="51">
        <v>0</v>
      </c>
      <c r="F30" s="51">
        <v>233.38</v>
      </c>
      <c r="G30" s="51">
        <v>-1.63</v>
      </c>
      <c r="H30" s="51">
        <f t="shared" si="1"/>
        <v>6.9843174222298391E-3</v>
      </c>
      <c r="I30" s="51">
        <f t="shared" si="2"/>
        <v>0.29195793777370899</v>
      </c>
      <c r="J30" s="51">
        <f t="shared" si="4"/>
        <v>68.137143517628203</v>
      </c>
      <c r="K30" s="51">
        <f t="shared" si="3"/>
        <v>6.1942857743298365</v>
      </c>
      <c r="L30" s="51">
        <v>46</v>
      </c>
      <c r="M30" s="51">
        <f t="shared" si="5"/>
        <v>0.2391304347826087</v>
      </c>
      <c r="N30" s="51">
        <v>0</v>
      </c>
      <c r="O30" s="51">
        <f t="shared" ref="O30:P30" si="40">D30/7</f>
        <v>1.5714285714285714</v>
      </c>
      <c r="P30" s="51">
        <f t="shared" si="40"/>
        <v>0</v>
      </c>
      <c r="Q30" s="51">
        <f t="shared" si="7"/>
        <v>0</v>
      </c>
      <c r="R30" s="55">
        <v>369</v>
      </c>
      <c r="S30" s="53">
        <v>129</v>
      </c>
      <c r="T30" s="54">
        <v>44042</v>
      </c>
      <c r="U30" s="55">
        <v>0</v>
      </c>
      <c r="V30" s="55">
        <f t="shared" si="8"/>
        <v>0</v>
      </c>
      <c r="W30" s="55">
        <f t="shared" si="9"/>
        <v>0</v>
      </c>
      <c r="X30" s="55">
        <v>0</v>
      </c>
      <c r="Y30" s="55" t="s">
        <v>35</v>
      </c>
      <c r="Z30" s="56">
        <f t="shared" si="19"/>
        <v>-0.75</v>
      </c>
      <c r="AA30" s="55">
        <v>0.11973958333333333</v>
      </c>
      <c r="AB30" s="55">
        <f t="shared" si="27"/>
        <v>-2.9635546874999998</v>
      </c>
      <c r="AC30" s="55">
        <v>-7.32</v>
      </c>
      <c r="AD30" s="55">
        <v>-4.102027435897436</v>
      </c>
      <c r="AE30" s="55">
        <v>0</v>
      </c>
      <c r="AF30" s="55"/>
    </row>
    <row r="31" spans="1:32" s="57" customFormat="1" ht="15.75" customHeight="1">
      <c r="A31" s="2" t="s">
        <v>90</v>
      </c>
      <c r="B31" s="2"/>
      <c r="C31" s="51" t="str">
        <f t="shared" si="35"/>
        <v xml:space="preserve"> - </v>
      </c>
      <c r="D31" s="51">
        <v>0</v>
      </c>
      <c r="E31" s="51">
        <v>0</v>
      </c>
      <c r="F31" s="51">
        <v>0</v>
      </c>
      <c r="G31" s="51">
        <v>0</v>
      </c>
      <c r="H31" s="51" t="e">
        <f t="shared" si="1"/>
        <v>#DIV/0!</v>
      </c>
      <c r="I31" s="51" t="e">
        <f t="shared" si="2"/>
        <v>#DIV/0!</v>
      </c>
      <c r="J31" s="51">
        <f t="shared" si="4"/>
        <v>0</v>
      </c>
      <c r="K31" s="51" t="e">
        <f t="shared" si="3"/>
        <v>#DIV/0!</v>
      </c>
      <c r="L31" s="51">
        <v>0</v>
      </c>
      <c r="M31" s="51" t="str">
        <f t="shared" si="5"/>
        <v>-</v>
      </c>
      <c r="N31" s="51">
        <v>1</v>
      </c>
      <c r="O31" s="51">
        <f t="shared" ref="O31:P31" si="41">D31/7</f>
        <v>0</v>
      </c>
      <c r="P31" s="51">
        <f t="shared" si="41"/>
        <v>0</v>
      </c>
      <c r="Q31" s="51" t="e">
        <f t="shared" si="7"/>
        <v>#DIV/0!</v>
      </c>
      <c r="R31" s="55">
        <v>60</v>
      </c>
      <c r="S31" s="53">
        <v>60</v>
      </c>
      <c r="T31" s="54">
        <v>44058</v>
      </c>
      <c r="U31" s="55">
        <v>0</v>
      </c>
      <c r="V31" s="55">
        <f t="shared" si="8"/>
        <v>0</v>
      </c>
      <c r="W31" s="55">
        <f t="shared" si="9"/>
        <v>0</v>
      </c>
      <c r="X31" s="55">
        <v>0</v>
      </c>
      <c r="Y31" s="55" t="s">
        <v>35</v>
      </c>
      <c r="Z31" s="56">
        <f t="shared" si="19"/>
        <v>-0.75</v>
      </c>
      <c r="AA31" s="55">
        <v>0.11973958333333333</v>
      </c>
      <c r="AB31" s="55">
        <f t="shared" si="27"/>
        <v>0</v>
      </c>
      <c r="AC31" s="55">
        <v>-7.32</v>
      </c>
      <c r="AD31" s="55">
        <v>-4.102027435897436</v>
      </c>
      <c r="AE31" s="55">
        <v>0</v>
      </c>
      <c r="AF31" s="55"/>
    </row>
    <row r="32" spans="1:32" s="57" customFormat="1" ht="15.75" customHeight="1">
      <c r="A32" s="2" t="s">
        <v>92</v>
      </c>
      <c r="B32" s="2"/>
      <c r="C32" s="51">
        <f t="shared" si="35"/>
        <v>23</v>
      </c>
      <c r="D32" s="51">
        <v>5</v>
      </c>
      <c r="E32" s="51">
        <v>0</v>
      </c>
      <c r="F32" s="51">
        <v>115</v>
      </c>
      <c r="G32" s="51">
        <v>-0.24</v>
      </c>
      <c r="H32" s="51">
        <f t="shared" si="1"/>
        <v>2.0869565217391303E-3</v>
      </c>
      <c r="I32" s="51">
        <f t="shared" si="2"/>
        <v>0.33958950006967664</v>
      </c>
      <c r="J32" s="51">
        <f t="shared" si="4"/>
        <v>39.052792508012814</v>
      </c>
      <c r="K32" s="51">
        <f t="shared" si="3"/>
        <v>7.8105585016025625</v>
      </c>
      <c r="L32" s="51">
        <v>42</v>
      </c>
      <c r="M32" s="51">
        <f t="shared" si="5"/>
        <v>0.11904761904761904</v>
      </c>
      <c r="N32" s="51">
        <v>0</v>
      </c>
      <c r="O32" s="51">
        <f t="shared" ref="O32:P32" si="42">D32/7</f>
        <v>0.7142857142857143</v>
      </c>
      <c r="P32" s="51">
        <f t="shared" si="42"/>
        <v>0</v>
      </c>
      <c r="Q32" s="51">
        <f t="shared" si="7"/>
        <v>0</v>
      </c>
      <c r="R32" s="55">
        <v>60</v>
      </c>
      <c r="S32" s="53" t="s">
        <v>34</v>
      </c>
      <c r="T32" s="54" t="s">
        <v>34</v>
      </c>
      <c r="U32" s="55">
        <v>0</v>
      </c>
      <c r="V32" s="55">
        <f t="shared" si="8"/>
        <v>0</v>
      </c>
      <c r="W32" s="55">
        <f t="shared" si="9"/>
        <v>0</v>
      </c>
      <c r="X32" s="55">
        <v>0</v>
      </c>
      <c r="Y32" s="55" t="s">
        <v>35</v>
      </c>
      <c r="Z32" s="56">
        <f t="shared" si="19"/>
        <v>-0.75</v>
      </c>
      <c r="AA32" s="55">
        <v>0.11973958333333333</v>
      </c>
      <c r="AB32" s="55">
        <f t="shared" si="27"/>
        <v>-1.3470703124999999</v>
      </c>
      <c r="AC32" s="55">
        <v>-7.32</v>
      </c>
      <c r="AD32" s="55">
        <v>-4.102027435897436</v>
      </c>
      <c r="AE32" s="55">
        <v>0</v>
      </c>
      <c r="AF32" s="52" t="e">
        <v>#N/A</v>
      </c>
    </row>
    <row r="33" spans="1:32" s="57" customFormat="1" ht="15.75" customHeight="1">
      <c r="A33" s="2" t="s">
        <v>94</v>
      </c>
      <c r="B33" s="2"/>
      <c r="C33" s="51" t="str">
        <f t="shared" si="35"/>
        <v xml:space="preserve"> - </v>
      </c>
      <c r="D33" s="51">
        <v>0</v>
      </c>
      <c r="E33" s="51">
        <v>0</v>
      </c>
      <c r="F33" s="51">
        <v>0</v>
      </c>
      <c r="G33" s="51">
        <v>0</v>
      </c>
      <c r="H33" s="51" t="e">
        <f t="shared" si="1"/>
        <v>#DIV/0!</v>
      </c>
      <c r="I33" s="51" t="e">
        <f t="shared" si="2"/>
        <v>#DIV/0!</v>
      </c>
      <c r="J33" s="51">
        <f t="shared" si="4"/>
        <v>0</v>
      </c>
      <c r="K33" s="51" t="e">
        <f t="shared" si="3"/>
        <v>#DIV/0!</v>
      </c>
      <c r="L33" s="51">
        <v>0</v>
      </c>
      <c r="M33" s="51" t="str">
        <f t="shared" si="5"/>
        <v>-</v>
      </c>
      <c r="N33" s="51">
        <v>0</v>
      </c>
      <c r="O33" s="51">
        <f t="shared" ref="O33:P33" si="43">D33/7</f>
        <v>0</v>
      </c>
      <c r="P33" s="51">
        <f t="shared" si="43"/>
        <v>0</v>
      </c>
      <c r="Q33" s="51" t="e">
        <f t="shared" si="7"/>
        <v>#DIV/0!</v>
      </c>
      <c r="R33" s="55">
        <v>60</v>
      </c>
      <c r="S33" s="53" t="s">
        <v>34</v>
      </c>
      <c r="T33" s="54">
        <v>44058</v>
      </c>
      <c r="U33" s="55">
        <v>0</v>
      </c>
      <c r="V33" s="55">
        <f t="shared" si="8"/>
        <v>0</v>
      </c>
      <c r="W33" s="55">
        <f t="shared" si="9"/>
        <v>0</v>
      </c>
      <c r="X33" s="55">
        <v>0</v>
      </c>
      <c r="Y33" s="55" t="e">
        <v>#N/A</v>
      </c>
      <c r="Z33" s="56" t="e">
        <f t="shared" si="19"/>
        <v>#N/A</v>
      </c>
      <c r="AA33" s="55" t="e">
        <v>#N/A</v>
      </c>
      <c r="AB33" s="55">
        <f t="shared" si="27"/>
        <v>0</v>
      </c>
      <c r="AC33" s="55">
        <v>0</v>
      </c>
      <c r="AD33" s="55">
        <v>-4.102027435897436</v>
      </c>
      <c r="AE33" s="55">
        <v>0</v>
      </c>
      <c r="AF33" s="55" t="e">
        <v>#N/A</v>
      </c>
    </row>
    <row r="34" spans="1:32" s="57" customFormat="1" ht="15.75" customHeight="1">
      <c r="A34" s="2" t="s">
        <v>95</v>
      </c>
      <c r="B34" s="2"/>
      <c r="C34" s="51" t="str">
        <f t="shared" si="35"/>
        <v xml:space="preserve"> - </v>
      </c>
      <c r="D34" s="51">
        <v>0</v>
      </c>
      <c r="E34" s="51">
        <v>0</v>
      </c>
      <c r="F34" s="51">
        <v>0</v>
      </c>
      <c r="G34" s="51">
        <v>0</v>
      </c>
      <c r="H34" s="51" t="e">
        <f t="shared" si="1"/>
        <v>#DIV/0!</v>
      </c>
      <c r="I34" s="51" t="e">
        <f t="shared" si="2"/>
        <v>#DIV/0!</v>
      </c>
      <c r="J34" s="51">
        <f t="shared" si="4"/>
        <v>0</v>
      </c>
      <c r="K34" s="51" t="e">
        <f t="shared" si="3"/>
        <v>#DIV/0!</v>
      </c>
      <c r="L34" s="51">
        <v>0</v>
      </c>
      <c r="M34" s="51" t="str">
        <f t="shared" si="5"/>
        <v>-</v>
      </c>
      <c r="N34" s="51">
        <v>0</v>
      </c>
      <c r="O34" s="51">
        <f t="shared" ref="O34:P34" si="44">D34/7</f>
        <v>0</v>
      </c>
      <c r="P34" s="51">
        <f t="shared" si="44"/>
        <v>0</v>
      </c>
      <c r="Q34" s="51" t="e">
        <f t="shared" si="7"/>
        <v>#DIV/0!</v>
      </c>
      <c r="R34" s="55">
        <v>240</v>
      </c>
      <c r="S34" s="53">
        <v>60</v>
      </c>
      <c r="T34" s="54">
        <v>44058</v>
      </c>
      <c r="U34" s="55">
        <v>0</v>
      </c>
      <c r="V34" s="55">
        <f t="shared" si="8"/>
        <v>0</v>
      </c>
      <c r="W34" s="55">
        <f t="shared" si="9"/>
        <v>0</v>
      </c>
      <c r="X34" s="55">
        <v>0</v>
      </c>
      <c r="Y34" s="55" t="e">
        <v>#N/A</v>
      </c>
      <c r="Z34" s="56" t="e">
        <f t="shared" si="19"/>
        <v>#N/A</v>
      </c>
      <c r="AA34" s="55" t="e">
        <v>#N/A</v>
      </c>
      <c r="AB34" s="55">
        <f t="shared" si="27"/>
        <v>0</v>
      </c>
      <c r="AC34" s="55">
        <v>0</v>
      </c>
      <c r="AD34" s="55">
        <v>-4.102027435897436</v>
      </c>
      <c r="AE34" s="55">
        <v>0</v>
      </c>
      <c r="AF34" s="55" t="e">
        <v>#N/A</v>
      </c>
    </row>
    <row r="35" spans="1:32" s="57" customFormat="1" ht="15.75" customHeight="1">
      <c r="A35" s="2" t="s">
        <v>96</v>
      </c>
      <c r="B35" s="2"/>
      <c r="C35" s="51" t="str">
        <f t="shared" si="35"/>
        <v xml:space="preserve"> - </v>
      </c>
      <c r="D35" s="51">
        <v>0</v>
      </c>
      <c r="E35" s="51">
        <v>0</v>
      </c>
      <c r="F35" s="51">
        <v>0</v>
      </c>
      <c r="G35" s="51">
        <v>-0.72</v>
      </c>
      <c r="H35" s="51" t="e">
        <f t="shared" si="1"/>
        <v>#DIV/0!</v>
      </c>
      <c r="I35" s="51" t="e">
        <f t="shared" si="2"/>
        <v>#DIV/0!</v>
      </c>
      <c r="J35" s="51">
        <f t="shared" si="4"/>
        <v>-0.72</v>
      </c>
      <c r="K35" s="51" t="e">
        <f t="shared" si="3"/>
        <v>#DIV/0!</v>
      </c>
      <c r="L35" s="51">
        <v>0</v>
      </c>
      <c r="M35" s="51" t="str">
        <f t="shared" si="5"/>
        <v>-</v>
      </c>
      <c r="N35" s="51">
        <v>0</v>
      </c>
      <c r="O35" s="51">
        <f t="shared" ref="O35:P35" si="45">D35/7</f>
        <v>0</v>
      </c>
      <c r="P35" s="51">
        <f t="shared" si="45"/>
        <v>0</v>
      </c>
      <c r="Q35" s="51" t="e">
        <f t="shared" si="7"/>
        <v>#DIV/0!</v>
      </c>
      <c r="R35" s="55">
        <v>180</v>
      </c>
      <c r="S35" s="53">
        <v>180</v>
      </c>
      <c r="T35" s="54">
        <v>44070</v>
      </c>
      <c r="U35" s="55">
        <v>0</v>
      </c>
      <c r="V35" s="55">
        <f t="shared" si="8"/>
        <v>0</v>
      </c>
      <c r="W35" s="55">
        <f t="shared" si="9"/>
        <v>0</v>
      </c>
      <c r="X35" s="55">
        <v>0</v>
      </c>
      <c r="Y35" s="55" t="s">
        <v>35</v>
      </c>
      <c r="Z35" s="56">
        <f t="shared" si="19"/>
        <v>-0.75</v>
      </c>
      <c r="AA35" s="55">
        <v>0.11973958333333333</v>
      </c>
      <c r="AB35" s="55">
        <f t="shared" si="27"/>
        <v>0</v>
      </c>
      <c r="AC35" s="55">
        <v>-7.32</v>
      </c>
      <c r="AD35" s="55">
        <v>-4.102027435897436</v>
      </c>
      <c r="AE35" s="55">
        <v>0</v>
      </c>
      <c r="AF35" s="55">
        <v>6.0689655172413701</v>
      </c>
    </row>
    <row r="36" spans="1:32" s="57" customFormat="1" ht="15.75" customHeight="1">
      <c r="A36" s="2" t="s">
        <v>98</v>
      </c>
      <c r="B36" s="2"/>
      <c r="C36" s="51">
        <f t="shared" si="35"/>
        <v>23</v>
      </c>
      <c r="D36" s="51">
        <v>1</v>
      </c>
      <c r="E36" s="51">
        <v>0</v>
      </c>
      <c r="F36" s="51">
        <v>23</v>
      </c>
      <c r="G36" s="51">
        <v>-0.05</v>
      </c>
      <c r="H36" s="51">
        <f t="shared" si="1"/>
        <v>2.1739130434782609E-3</v>
      </c>
      <c r="I36" s="51">
        <f t="shared" si="2"/>
        <v>0.33382210876532886</v>
      </c>
      <c r="J36" s="51">
        <f t="shared" si="4"/>
        <v>7.6779085016025634</v>
      </c>
      <c r="K36" s="51">
        <f t="shared" si="3"/>
        <v>7.6779085016025634</v>
      </c>
      <c r="L36" s="51">
        <v>6</v>
      </c>
      <c r="M36" s="51">
        <f t="shared" si="5"/>
        <v>0.16666666666666666</v>
      </c>
      <c r="N36" s="51">
        <v>0</v>
      </c>
      <c r="O36" s="51">
        <f t="shared" ref="O36:P36" si="46">D36/7</f>
        <v>0.14285714285714285</v>
      </c>
      <c r="P36" s="51">
        <f t="shared" si="46"/>
        <v>0</v>
      </c>
      <c r="Q36" s="51">
        <f t="shared" si="7"/>
        <v>0</v>
      </c>
      <c r="R36" s="55">
        <v>180</v>
      </c>
      <c r="S36" s="53"/>
      <c r="T36" s="54">
        <v>44070</v>
      </c>
      <c r="U36" s="55"/>
      <c r="V36" s="55">
        <f t="shared" si="8"/>
        <v>0</v>
      </c>
      <c r="W36" s="55">
        <f t="shared" si="9"/>
        <v>0</v>
      </c>
      <c r="X36" s="55"/>
      <c r="Y36" s="55" t="s">
        <v>35</v>
      </c>
      <c r="Z36" s="56">
        <f t="shared" si="19"/>
        <v>-0.75</v>
      </c>
      <c r="AA36" s="55">
        <v>0.11973958333333333</v>
      </c>
      <c r="AB36" s="55">
        <f t="shared" si="27"/>
        <v>-0.2694140625</v>
      </c>
      <c r="AC36" s="55">
        <v>-7.32</v>
      </c>
      <c r="AD36" s="55">
        <v>-4.2326774358974362</v>
      </c>
      <c r="AE36" s="55">
        <v>0</v>
      </c>
      <c r="AF36" s="55" t="e">
        <v>#N/A</v>
      </c>
    </row>
    <row r="37" spans="1:32" s="57" customFormat="1" ht="15.75" customHeight="1">
      <c r="A37" s="2" t="s">
        <v>99</v>
      </c>
      <c r="B37" s="2"/>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v>180</v>
      </c>
      <c r="S37" s="53">
        <v>180</v>
      </c>
      <c r="T37" s="54">
        <v>44070</v>
      </c>
      <c r="U37" s="55">
        <v>0</v>
      </c>
      <c r="V37" s="55">
        <f t="shared" si="8"/>
        <v>0</v>
      </c>
      <c r="W37" s="55">
        <f t="shared" si="9"/>
        <v>0</v>
      </c>
      <c r="X37" s="55">
        <v>0</v>
      </c>
      <c r="Y37" s="55" t="e">
        <v>#N/A</v>
      </c>
      <c r="Z37" s="56" t="e">
        <f t="shared" si="19"/>
        <v>#N/A</v>
      </c>
      <c r="AA37" s="55" t="e">
        <v>#N/A</v>
      </c>
      <c r="AB37" s="55">
        <f t="shared" si="27"/>
        <v>0</v>
      </c>
      <c r="AC37" s="55">
        <v>0</v>
      </c>
      <c r="AD37" s="55">
        <v>-4.2326774358974362</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5">
        <v>0</v>
      </c>
      <c r="S38" s="53"/>
      <c r="T38" s="54" t="s">
        <v>34</v>
      </c>
      <c r="U38" s="55">
        <v>0</v>
      </c>
      <c r="V38" s="55">
        <f t="shared" si="8"/>
        <v>0</v>
      </c>
      <c r="W38" s="55">
        <f t="shared" si="9"/>
        <v>0</v>
      </c>
      <c r="X38" s="55">
        <v>0</v>
      </c>
      <c r="Y38" s="55" t="e">
        <v>#N/A</v>
      </c>
      <c r="Z38" s="56" t="e">
        <f t="shared" si="19"/>
        <v>#N/A</v>
      </c>
      <c r="AA38" s="55" t="e">
        <v>#N/A</v>
      </c>
      <c r="AB38" s="55">
        <f t="shared" si="27"/>
        <v>0</v>
      </c>
      <c r="AC38" s="55">
        <v>0</v>
      </c>
      <c r="AD38" s="55">
        <v>-4.2326774358974362</v>
      </c>
      <c r="AE38" s="55">
        <v>0</v>
      </c>
      <c r="AF38" s="55" t="e">
        <v>#N/A</v>
      </c>
    </row>
    <row r="39" spans="1:32" s="57" customFormat="1" ht="15.75" customHeight="1">
      <c r="A39" s="2" t="s">
        <v>101</v>
      </c>
      <c r="B39" s="2" t="s">
        <v>1016</v>
      </c>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180</v>
      </c>
      <c r="O39" s="51">
        <f t="shared" ref="O39:P39" si="49">D39/7</f>
        <v>0</v>
      </c>
      <c r="P39" s="51">
        <f t="shared" si="49"/>
        <v>0</v>
      </c>
      <c r="Q39" s="51" t="e">
        <f t="shared" si="7"/>
        <v>#DIV/0!</v>
      </c>
      <c r="R39" s="55">
        <v>0</v>
      </c>
      <c r="S39" s="53" t="s">
        <v>34</v>
      </c>
      <c r="T39" s="54" t="s">
        <v>34</v>
      </c>
      <c r="U39" s="55">
        <v>0</v>
      </c>
      <c r="V39" s="55">
        <f t="shared" si="8"/>
        <v>0</v>
      </c>
      <c r="W39" s="55">
        <f t="shared" si="9"/>
        <v>0</v>
      </c>
      <c r="X39" s="55">
        <v>0</v>
      </c>
      <c r="Y39" s="55" t="s">
        <v>35</v>
      </c>
      <c r="Z39" s="56">
        <f t="shared" si="19"/>
        <v>-0.75</v>
      </c>
      <c r="AA39" s="55">
        <v>0.11973958333333333</v>
      </c>
      <c r="AB39" s="55">
        <f t="shared" si="27"/>
        <v>0</v>
      </c>
      <c r="AC39" s="55">
        <v>-7.32</v>
      </c>
      <c r="AD39" s="55">
        <v>-4.23267743589743</v>
      </c>
      <c r="AE39" s="55">
        <v>0</v>
      </c>
      <c r="AF39" s="55">
        <v>2.7298578199052099</v>
      </c>
    </row>
    <row r="40" spans="1:32" s="57" customFormat="1" ht="15.75" customHeight="1">
      <c r="A40" s="2" t="s">
        <v>102</v>
      </c>
      <c r="B40" s="2" t="s">
        <v>1017</v>
      </c>
      <c r="C40" s="51" t="s">
        <v>103</v>
      </c>
      <c r="D40" s="51">
        <v>0</v>
      </c>
      <c r="E40" s="51">
        <v>0</v>
      </c>
      <c r="F40" s="51">
        <v>0</v>
      </c>
      <c r="G40" s="51">
        <v>0</v>
      </c>
      <c r="H40" s="51" t="e">
        <v>#DIV/0!</v>
      </c>
      <c r="I40" s="51" t="e">
        <v>#DIV/0!</v>
      </c>
      <c r="J40" s="51">
        <v>0</v>
      </c>
      <c r="K40" s="51" t="e">
        <v>#DIV/0!</v>
      </c>
      <c r="L40" s="51">
        <v>0</v>
      </c>
      <c r="M40" s="51" t="s">
        <v>104</v>
      </c>
      <c r="N40" s="51">
        <v>179</v>
      </c>
      <c r="O40" s="51">
        <v>0</v>
      </c>
      <c r="P40" s="51">
        <v>0</v>
      </c>
      <c r="Q40" s="51" t="e">
        <v>#DIV/0!</v>
      </c>
      <c r="R40" s="55">
        <v>0</v>
      </c>
      <c r="S40" s="53" t="s">
        <v>34</v>
      </c>
      <c r="T40" s="54" t="s">
        <v>34</v>
      </c>
      <c r="U40" s="55">
        <v>0</v>
      </c>
      <c r="V40" s="55">
        <v>0</v>
      </c>
      <c r="W40" s="55">
        <v>0</v>
      </c>
      <c r="X40" s="55">
        <v>0</v>
      </c>
      <c r="Y40" s="55" t="s">
        <v>35</v>
      </c>
      <c r="Z40" s="56">
        <v>-0.75</v>
      </c>
      <c r="AA40" s="55">
        <v>0.11973958333333333</v>
      </c>
      <c r="AB40" s="55">
        <v>0</v>
      </c>
      <c r="AC40" s="55">
        <v>-7.32</v>
      </c>
      <c r="AD40" s="55">
        <v>-4.23267743589743</v>
      </c>
      <c r="AE40" s="55">
        <v>0</v>
      </c>
      <c r="AF40" s="55">
        <v>1.62820512820512</v>
      </c>
    </row>
    <row r="41" spans="1:32" s="57" customFormat="1" ht="15.75" customHeight="1">
      <c r="A41" s="2" t="s">
        <v>105</v>
      </c>
      <c r="B41" s="2" t="s">
        <v>1018</v>
      </c>
      <c r="C41" s="51" t="str">
        <f t="shared" ref="C41:C56" si="50">IFERROR(F41/D41," - ")</f>
        <v xml:space="preserve"> - </v>
      </c>
      <c r="D41" s="51">
        <v>0</v>
      </c>
      <c r="E41" s="51">
        <v>0</v>
      </c>
      <c r="F41" s="51">
        <v>0</v>
      </c>
      <c r="G41" s="51">
        <v>0</v>
      </c>
      <c r="H41" s="51" t="e">
        <f t="shared" ref="H41:H56" si="51">G41/F41*-1</f>
        <v>#DIV/0!</v>
      </c>
      <c r="I41" s="51" t="e">
        <f t="shared" ref="I41:I56" si="52">J41/F41</f>
        <v>#DIV/0!</v>
      </c>
      <c r="J41" s="51">
        <f t="shared" ref="J41:J48" si="53">F41*0.85+G41+AD41*D41+D41*AC41+AE42+AB41</f>
        <v>0</v>
      </c>
      <c r="K41" s="51" t="e">
        <f t="shared" ref="K41:K56" si="54">J41/D41</f>
        <v>#DIV/0!</v>
      </c>
      <c r="L41" s="51">
        <v>0</v>
      </c>
      <c r="M41" s="51" t="str">
        <f t="shared" ref="M41:M56" si="55">IFERROR(D41/L41,"-")</f>
        <v>-</v>
      </c>
      <c r="N41" s="51">
        <v>175</v>
      </c>
      <c r="O41" s="51">
        <f t="shared" ref="O41:P41" si="56">D41/7</f>
        <v>0</v>
      </c>
      <c r="P41" s="51">
        <f t="shared" si="56"/>
        <v>0</v>
      </c>
      <c r="Q41" s="51" t="e">
        <f t="shared" ref="Q41:Q56" si="57">ROUNDDOWN(N41/(O41+P41),0)</f>
        <v>#DIV/0!</v>
      </c>
      <c r="R41" s="55">
        <v>0</v>
      </c>
      <c r="S41" s="53" t="s">
        <v>34</v>
      </c>
      <c r="T41" s="54" t="s">
        <v>34</v>
      </c>
      <c r="U41" s="55">
        <v>0</v>
      </c>
      <c r="V41" s="55">
        <f t="shared" ref="V41:V56" si="58">IFERROR(U41/D41,0)</f>
        <v>0</v>
      </c>
      <c r="W41" s="55">
        <f t="shared" ref="W41:W56" si="59">IFERROR(G41/(U41+X41)*-1,0)</f>
        <v>0</v>
      </c>
      <c r="X41" s="55">
        <v>0</v>
      </c>
      <c r="Y41" s="52" t="s">
        <v>35</v>
      </c>
      <c r="Z41" s="56">
        <f t="shared" ref="Z41:Z43" si="60">IF(OR(Y41="UsLargeStandardSize",Y41="UsSmallStandardSize"),-0.75,-0.48)</f>
        <v>-0.75</v>
      </c>
      <c r="AA41" s="55">
        <v>0.11973958333333333</v>
      </c>
      <c r="AB41" s="55">
        <f t="shared" ref="AB41:AB56" si="61">IFERROR(Z41*AA41*D41*3,0)</f>
        <v>0</v>
      </c>
      <c r="AC41" s="55">
        <v>-7.32</v>
      </c>
      <c r="AD41" s="55">
        <v>-4.23267743589743</v>
      </c>
      <c r="AE41" s="55">
        <v>0</v>
      </c>
      <c r="AF41" s="55">
        <v>1.1200000000000001</v>
      </c>
    </row>
    <row r="42" spans="1:32" s="57" customFormat="1" ht="15.75" customHeight="1">
      <c r="A42" s="2" t="s">
        <v>106</v>
      </c>
      <c r="B42" s="2"/>
      <c r="C42" s="51">
        <f t="shared" si="50"/>
        <v>22</v>
      </c>
      <c r="D42" s="51">
        <v>2</v>
      </c>
      <c r="E42" s="51">
        <v>0</v>
      </c>
      <c r="F42" s="51">
        <v>44</v>
      </c>
      <c r="G42" s="51">
        <v>-10.620000000000001</v>
      </c>
      <c r="H42" s="51">
        <f t="shared" si="51"/>
        <v>0.24136363636363639</v>
      </c>
      <c r="I42" s="51">
        <f t="shared" si="52"/>
        <v>-1.7367795381701467E-2</v>
      </c>
      <c r="J42" s="51">
        <f t="shared" si="53"/>
        <v>-0.76418299679486457</v>
      </c>
      <c r="K42" s="51">
        <f t="shared" si="54"/>
        <v>-0.38209149839743228</v>
      </c>
      <c r="L42" s="51">
        <v>35</v>
      </c>
      <c r="M42" s="51">
        <f t="shared" si="55"/>
        <v>5.7142857142857141E-2</v>
      </c>
      <c r="N42" s="51">
        <v>174</v>
      </c>
      <c r="O42" s="51">
        <f t="shared" ref="O42:P42" si="62">D42/7</f>
        <v>0.2857142857142857</v>
      </c>
      <c r="P42" s="51">
        <f t="shared" si="62"/>
        <v>0</v>
      </c>
      <c r="Q42" s="51">
        <f t="shared" si="57"/>
        <v>609</v>
      </c>
      <c r="R42" s="55">
        <f ca="1">IFERROR(__xludf.DUMMYFUNCTION("IFERROR(VLOOKUP($B$2,IMPORTRANGE(""https://docs.google.com/spreadsheets/d/1iVgg6Mw12RULLujzHmfOFIY8Q_KaAD8anoZzgtVAQ74/edit#gid=1503384807"",""Second Star - Summary!A1:AD2000""),9,FALSE),"""")"),132)</f>
        <v>132</v>
      </c>
      <c r="S42" s="53">
        <f ca="1">IFERROR(__xludf.DUMMYFUNCTION("IFERROR(VLOOKUP($B$2,IMPORTRANGE(""https://docs.google.com/spreadsheets/d/1iVgg6Mw12RULLujzHmfOFIY8Q_KaAD8anoZzgtVAQ74/edit#gid=1503384807"",""Second Star - Summary!A1:AD2000""),28,FALSE),"""")"),96)</f>
        <v>96</v>
      </c>
      <c r="T42" s="54">
        <f ca="1">IFERROR(__xludf.DUMMYFUNCTION("IFERROR(VLOOKUP($B$2,IMPORTRANGE(""https://docs.google.com/spreadsheets/d/1iVgg6Mw12RULLujzHmfOFIY8Q_KaAD8anoZzgtVAQ74/edit#gid=1503384807"",""Second Star - Summary!A1:AD2000""),29,FALSE),"""")"),44324)</f>
        <v>44324</v>
      </c>
      <c r="U42" s="55">
        <v>0</v>
      </c>
      <c r="V42" s="55">
        <f t="shared" si="58"/>
        <v>0</v>
      </c>
      <c r="W42" s="55">
        <f t="shared" si="59"/>
        <v>0</v>
      </c>
      <c r="X42" s="55">
        <v>0</v>
      </c>
      <c r="Y42" s="55" t="s">
        <v>35</v>
      </c>
      <c r="Z42" s="56">
        <f t="shared" si="60"/>
        <v>-0.75</v>
      </c>
      <c r="AA42" s="55">
        <v>0.11973958333333333</v>
      </c>
      <c r="AB42" s="55">
        <f t="shared" si="61"/>
        <v>-0.53882812499999999</v>
      </c>
      <c r="AC42" s="55">
        <v>-7.32</v>
      </c>
      <c r="AD42" s="55">
        <v>-4.23267743589743</v>
      </c>
      <c r="AE42" s="55">
        <v>0</v>
      </c>
      <c r="AF42" s="55">
        <v>0.26086956521739102</v>
      </c>
    </row>
    <row r="43" spans="1:32" s="57" customFormat="1" ht="15.75" customHeight="1">
      <c r="A43" s="2" t="s">
        <v>107</v>
      </c>
      <c r="B43" s="2" t="s">
        <v>1019</v>
      </c>
      <c r="C43" s="51">
        <f t="shared" si="50"/>
        <v>16.552499999999998</v>
      </c>
      <c r="D43" s="51">
        <v>8</v>
      </c>
      <c r="E43" s="51">
        <v>0</v>
      </c>
      <c r="F43" s="51">
        <v>132.41999999999999</v>
      </c>
      <c r="G43" s="51">
        <v>-37.089999999999996</v>
      </c>
      <c r="H43" s="51">
        <f t="shared" si="51"/>
        <v>0.28009364144389065</v>
      </c>
      <c r="I43" s="51">
        <f t="shared" si="52"/>
        <v>-0.14431152384216478</v>
      </c>
      <c r="J43" s="51">
        <f t="shared" si="53"/>
        <v>-19.109731987179458</v>
      </c>
      <c r="K43" s="51">
        <f t="shared" si="54"/>
        <v>-2.3887164983974323</v>
      </c>
      <c r="L43" s="51">
        <v>65</v>
      </c>
      <c r="M43" s="51">
        <f t="shared" si="55"/>
        <v>0.12307692307692308</v>
      </c>
      <c r="N43" s="51">
        <v>163</v>
      </c>
      <c r="O43" s="51">
        <f t="shared" ref="O43:P43" si="63">D43/7</f>
        <v>1.1428571428571428</v>
      </c>
      <c r="P43" s="51">
        <f t="shared" si="63"/>
        <v>0</v>
      </c>
      <c r="Q43" s="51">
        <f t="shared" si="57"/>
        <v>142</v>
      </c>
      <c r="R43" s="55">
        <v>0</v>
      </c>
      <c r="S43" s="53" t="s">
        <v>34</v>
      </c>
      <c r="T43" s="54" t="s">
        <v>34</v>
      </c>
      <c r="U43" s="55">
        <v>6</v>
      </c>
      <c r="V43" s="55">
        <f t="shared" si="58"/>
        <v>0.75</v>
      </c>
      <c r="W43" s="55">
        <f t="shared" si="59"/>
        <v>4.6362499999999995</v>
      </c>
      <c r="X43" s="55">
        <v>2</v>
      </c>
      <c r="Y43" s="55" t="s">
        <v>35</v>
      </c>
      <c r="Z43" s="56">
        <f t="shared" si="60"/>
        <v>-0.75</v>
      </c>
      <c r="AA43" s="55">
        <v>0.11973958333333333</v>
      </c>
      <c r="AB43" s="55">
        <f t="shared" si="61"/>
        <v>-2.1553125</v>
      </c>
      <c r="AC43" s="55">
        <v>-7.32</v>
      </c>
      <c r="AD43" s="55">
        <v>-4.23267743589743</v>
      </c>
      <c r="AE43" s="55">
        <v>-3.9</v>
      </c>
      <c r="AF43" s="55">
        <v>0.225988700564971</v>
      </c>
    </row>
    <row r="44" spans="1:32" s="57" customFormat="1" ht="15.75" customHeight="1">
      <c r="A44" s="2" t="s">
        <v>108</v>
      </c>
      <c r="B44" s="2" t="s">
        <v>1020</v>
      </c>
      <c r="C44" s="51">
        <f t="shared" si="50"/>
        <v>16.78142857142857</v>
      </c>
      <c r="D44" s="51">
        <v>14</v>
      </c>
      <c r="E44" s="51">
        <v>0</v>
      </c>
      <c r="F44" s="51">
        <v>234.94</v>
      </c>
      <c r="G44" s="51">
        <v>-28.96</v>
      </c>
      <c r="H44" s="51">
        <f t="shared" si="51"/>
        <v>0.12326551459947221</v>
      </c>
      <c r="I44" s="51">
        <f t="shared" si="52"/>
        <v>-1.3059649708708812E-2</v>
      </c>
      <c r="J44" s="51">
        <f t="shared" si="53"/>
        <v>-3.0682341025640483</v>
      </c>
      <c r="K44" s="51">
        <f t="shared" si="54"/>
        <v>-0.21915957875457487</v>
      </c>
      <c r="L44" s="51">
        <v>73</v>
      </c>
      <c r="M44" s="51">
        <f t="shared" si="55"/>
        <v>0.19178082191780821</v>
      </c>
      <c r="N44" s="51">
        <v>153</v>
      </c>
      <c r="O44" s="51">
        <f t="shared" ref="O44:P44" si="64">D44/7</f>
        <v>2</v>
      </c>
      <c r="P44" s="51">
        <f t="shared" si="64"/>
        <v>0</v>
      </c>
      <c r="Q44" s="51">
        <f t="shared" si="57"/>
        <v>76</v>
      </c>
      <c r="R44" s="55">
        <v>0</v>
      </c>
      <c r="S44" s="53" t="s">
        <v>34</v>
      </c>
      <c r="T44" s="54" t="s">
        <v>34</v>
      </c>
      <c r="U44" s="55">
        <v>3</v>
      </c>
      <c r="V44" s="55">
        <f t="shared" si="58"/>
        <v>0.21428571428571427</v>
      </c>
      <c r="W44" s="55">
        <f t="shared" si="59"/>
        <v>4.8266666666666671</v>
      </c>
      <c r="X44" s="55">
        <v>3</v>
      </c>
      <c r="Y44" s="55" t="s">
        <v>35</v>
      </c>
      <c r="Z44" s="56">
        <f t="shared" ref="Z44:Z56" si="65">IF(OR(Y44="UsLargeStandardSize",Y44="UsSmallStandardSize"),-2.4,-1.2)</f>
        <v>-2.4</v>
      </c>
      <c r="AA44" s="55">
        <v>0.11973958333333333</v>
      </c>
      <c r="AB44" s="55">
        <f t="shared" si="61"/>
        <v>-12.069749999999999</v>
      </c>
      <c r="AC44" s="55">
        <v>-7.32</v>
      </c>
      <c r="AD44" s="55">
        <v>-4.23267743589743</v>
      </c>
      <c r="AE44" s="55">
        <v>0</v>
      </c>
      <c r="AF44" s="55">
        <v>0.32941176470588202</v>
      </c>
    </row>
    <row r="45" spans="1:32" s="57" customFormat="1" ht="15.75" customHeight="1">
      <c r="A45" s="2" t="s">
        <v>109</v>
      </c>
      <c r="B45" s="2" t="s">
        <v>1020</v>
      </c>
      <c r="C45" s="51">
        <f t="shared" si="50"/>
        <v>16.677142857142858</v>
      </c>
      <c r="D45" s="51">
        <v>7</v>
      </c>
      <c r="E45" s="51">
        <v>0</v>
      </c>
      <c r="F45" s="51">
        <v>116.74</v>
      </c>
      <c r="G45" s="51">
        <v>0</v>
      </c>
      <c r="H45" s="51">
        <f t="shared" si="51"/>
        <v>0</v>
      </c>
      <c r="I45" s="51">
        <f t="shared" si="52"/>
        <v>0.10557977513035802</v>
      </c>
      <c r="J45" s="51">
        <f t="shared" si="53"/>
        <v>12.325382948717994</v>
      </c>
      <c r="K45" s="51">
        <f t="shared" si="54"/>
        <v>1.7607689926739991</v>
      </c>
      <c r="L45" s="51">
        <v>51</v>
      </c>
      <c r="M45" s="51">
        <f t="shared" si="55"/>
        <v>0.13725490196078433</v>
      </c>
      <c r="N45" s="51">
        <v>148</v>
      </c>
      <c r="O45" s="51">
        <f t="shared" ref="O45:P45" si="66">D45/7</f>
        <v>1</v>
      </c>
      <c r="P45" s="51">
        <f t="shared" si="66"/>
        <v>0</v>
      </c>
      <c r="Q45" s="51">
        <f t="shared" si="57"/>
        <v>148</v>
      </c>
      <c r="R45" s="55">
        <v>0</v>
      </c>
      <c r="S45" s="53" t="s">
        <v>34</v>
      </c>
      <c r="T45" s="54" t="s">
        <v>34</v>
      </c>
      <c r="U45" s="55">
        <v>0</v>
      </c>
      <c r="V45" s="55">
        <f t="shared" si="58"/>
        <v>0</v>
      </c>
      <c r="W45" s="55">
        <f t="shared" si="59"/>
        <v>0</v>
      </c>
      <c r="X45" s="55">
        <v>0</v>
      </c>
      <c r="Y45" s="55" t="s">
        <v>35</v>
      </c>
      <c r="Z45" s="56">
        <f t="shared" si="65"/>
        <v>-2.4</v>
      </c>
      <c r="AA45" s="55">
        <v>0.11973958333333333</v>
      </c>
      <c r="AB45" s="55">
        <f t="shared" si="61"/>
        <v>-6.0348749999999995</v>
      </c>
      <c r="AC45" s="55">
        <v>-7.32</v>
      </c>
      <c r="AD45" s="55">
        <v>-4.23267743589743</v>
      </c>
      <c r="AE45" s="55">
        <v>0</v>
      </c>
      <c r="AF45" s="55">
        <v>0.40490797546012203</v>
      </c>
    </row>
    <row r="46" spans="1:32" s="57" customFormat="1" ht="15.75" customHeight="1">
      <c r="A46" s="2" t="s">
        <v>111</v>
      </c>
      <c r="B46" s="2" t="s">
        <v>983</v>
      </c>
      <c r="C46" s="51">
        <f t="shared" si="50"/>
        <v>17.107142857142858</v>
      </c>
      <c r="D46" s="51">
        <v>7</v>
      </c>
      <c r="E46" s="51">
        <v>0</v>
      </c>
      <c r="F46" s="51">
        <v>119.75000000000001</v>
      </c>
      <c r="G46" s="51">
        <v>0</v>
      </c>
      <c r="H46" s="51">
        <f t="shared" si="51"/>
        <v>0</v>
      </c>
      <c r="I46" s="51">
        <f t="shared" si="52"/>
        <v>0.12429129811037998</v>
      </c>
      <c r="J46" s="51">
        <f t="shared" si="53"/>
        <v>14.883882948718004</v>
      </c>
      <c r="K46" s="51">
        <f t="shared" si="54"/>
        <v>2.1262689926740004</v>
      </c>
      <c r="L46" s="51">
        <v>39</v>
      </c>
      <c r="M46" s="51">
        <f t="shared" si="55"/>
        <v>0.17948717948717949</v>
      </c>
      <c r="N46" s="51">
        <v>136</v>
      </c>
      <c r="O46" s="51">
        <f t="shared" ref="O46:P46" si="67">D46/7</f>
        <v>1</v>
      </c>
      <c r="P46" s="51">
        <f t="shared" si="67"/>
        <v>0</v>
      </c>
      <c r="Q46" s="51">
        <f t="shared" si="57"/>
        <v>136</v>
      </c>
      <c r="R46" s="55">
        <v>0</v>
      </c>
      <c r="S46" s="53" t="s">
        <v>34</v>
      </c>
      <c r="T46" s="54" t="s">
        <v>34</v>
      </c>
      <c r="U46" s="55">
        <v>0</v>
      </c>
      <c r="V46" s="55">
        <f t="shared" si="58"/>
        <v>0</v>
      </c>
      <c r="W46" s="55">
        <f t="shared" si="59"/>
        <v>0</v>
      </c>
      <c r="X46" s="55">
        <v>0</v>
      </c>
      <c r="Y46" s="55" t="s">
        <v>35</v>
      </c>
      <c r="Z46" s="56">
        <f t="shared" si="65"/>
        <v>-2.4</v>
      </c>
      <c r="AA46" s="55">
        <v>0.11973958333333333</v>
      </c>
      <c r="AB46" s="55">
        <f t="shared" si="61"/>
        <v>-6.0348749999999995</v>
      </c>
      <c r="AC46" s="55">
        <v>-7.32</v>
      </c>
      <c r="AD46" s="55">
        <v>-4.23267743589743</v>
      </c>
      <c r="AE46" s="55">
        <v>0</v>
      </c>
      <c r="AF46" s="55">
        <v>0.49079754601226899</v>
      </c>
    </row>
    <row r="47" spans="1:32" s="57" customFormat="1" ht="15.75" customHeight="1">
      <c r="A47" s="2" t="s">
        <v>113</v>
      </c>
      <c r="B47" s="2" t="s">
        <v>1021</v>
      </c>
      <c r="C47" s="51">
        <f t="shared" si="50"/>
        <v>18.02375</v>
      </c>
      <c r="D47" s="51">
        <v>8</v>
      </c>
      <c r="E47" s="51">
        <v>0</v>
      </c>
      <c r="F47" s="51">
        <v>144.19</v>
      </c>
      <c r="G47" s="51">
        <v>0</v>
      </c>
      <c r="H47" s="51">
        <f t="shared" si="51"/>
        <v>0</v>
      </c>
      <c r="I47" s="51">
        <f t="shared" si="52"/>
        <v>0.16119759007435025</v>
      </c>
      <c r="J47" s="51">
        <f t="shared" si="53"/>
        <v>23.243080512820562</v>
      </c>
      <c r="K47" s="51">
        <f t="shared" si="54"/>
        <v>2.9053850641025702</v>
      </c>
      <c r="L47" s="51">
        <v>45</v>
      </c>
      <c r="M47" s="51">
        <f t="shared" si="55"/>
        <v>0.17777777777777778</v>
      </c>
      <c r="N47" s="51">
        <v>134</v>
      </c>
      <c r="O47" s="51">
        <f t="shared" ref="O47:P47" si="68">D47/7</f>
        <v>1.1428571428571428</v>
      </c>
      <c r="P47" s="51">
        <f t="shared" si="68"/>
        <v>0</v>
      </c>
      <c r="Q47" s="51">
        <f t="shared" si="57"/>
        <v>117</v>
      </c>
      <c r="R47" s="55">
        <v>0</v>
      </c>
      <c r="S47" s="53" t="s">
        <v>34</v>
      </c>
      <c r="T47" s="54" t="s">
        <v>34</v>
      </c>
      <c r="U47" s="55">
        <v>0</v>
      </c>
      <c r="V47" s="55">
        <f t="shared" si="58"/>
        <v>0</v>
      </c>
      <c r="W47" s="55">
        <f t="shared" si="59"/>
        <v>0</v>
      </c>
      <c r="X47" s="55">
        <v>0</v>
      </c>
      <c r="Y47" s="55" t="s">
        <v>35</v>
      </c>
      <c r="Z47" s="56">
        <f t="shared" si="65"/>
        <v>-2.4</v>
      </c>
      <c r="AA47" s="55">
        <v>0.11973958333333333</v>
      </c>
      <c r="AB47" s="55">
        <f t="shared" si="61"/>
        <v>-6.8970000000000002</v>
      </c>
      <c r="AC47" s="55">
        <v>-7.32</v>
      </c>
      <c r="AD47" s="55">
        <v>-4.23267743589743</v>
      </c>
      <c r="AE47" s="55">
        <v>0</v>
      </c>
      <c r="AF47" s="55">
        <v>0.39183673469387698</v>
      </c>
    </row>
    <row r="48" spans="1:32" s="57" customFormat="1" ht="15.75" customHeight="1">
      <c r="A48" s="2" t="s">
        <v>115</v>
      </c>
      <c r="B48" s="2" t="s">
        <v>964</v>
      </c>
      <c r="C48" s="51">
        <f t="shared" si="50"/>
        <v>19.600000000000001</v>
      </c>
      <c r="D48" s="51">
        <v>2</v>
      </c>
      <c r="E48" s="51">
        <v>0</v>
      </c>
      <c r="F48" s="51">
        <v>39.200000000000003</v>
      </c>
      <c r="G48" s="51">
        <v>-0.08</v>
      </c>
      <c r="H48" s="51">
        <f t="shared" si="51"/>
        <v>2.040816326530612E-3</v>
      </c>
      <c r="I48" s="51">
        <f t="shared" si="52"/>
        <v>0.21455089612768222</v>
      </c>
      <c r="J48" s="51">
        <f t="shared" si="53"/>
        <v>8.4103951282051437</v>
      </c>
      <c r="K48" s="51">
        <f t="shared" si="54"/>
        <v>4.2051975641025718</v>
      </c>
      <c r="L48" s="51">
        <v>23</v>
      </c>
      <c r="M48" s="51">
        <f t="shared" si="55"/>
        <v>8.6956521739130432E-2</v>
      </c>
      <c r="N48" s="51">
        <v>132</v>
      </c>
      <c r="O48" s="51">
        <f t="shared" ref="O48:P48" si="69">D48/7</f>
        <v>0.2857142857142857</v>
      </c>
      <c r="P48" s="51">
        <f t="shared" si="69"/>
        <v>0</v>
      </c>
      <c r="Q48" s="51">
        <f t="shared" si="57"/>
        <v>462</v>
      </c>
      <c r="R48" s="55">
        <f ca="1">IFERROR(__xludf.DUMMYFUNCTION("IFERROR(VLOOKUP($B$2,IMPORTRANGE(""https://docs.google.com/spreadsheets/d/1iVgg6Mw12RULLujzHmfOFIY8Q_KaAD8anoZzgtVAQ74/edit#gid=1503384807"",""Second Star - Summary!A1:AD2000""),9,FALSE),"""")"),132)</f>
        <v>132</v>
      </c>
      <c r="S48" s="53">
        <f ca="1">IFERROR(__xludf.DUMMYFUNCTION("IFERROR(VLOOKUP($B$2,IMPORTRANGE(""https://docs.google.com/spreadsheets/d/1iVgg6Mw12RULLujzHmfOFIY8Q_KaAD8anoZzgtVAQ74/edit#gid=1503384807"",""Second Star - Summary!A1:AD2000""),28,FALSE),"""")"),96)</f>
        <v>96</v>
      </c>
      <c r="T48" s="54">
        <f ca="1">IFERROR(__xludf.DUMMYFUNCTION("IFERROR(VLOOKUP($B$2,IMPORTRANGE(""https://docs.google.com/spreadsheets/d/1iVgg6Mw12RULLujzHmfOFIY8Q_KaAD8anoZzgtVAQ74/edit#gid=1503384807"",""Second Star - Summary!A1:AD2000""),29,FALSE),"""")"),44324)</f>
        <v>44324</v>
      </c>
      <c r="U48" s="55">
        <v>0</v>
      </c>
      <c r="V48" s="55">
        <f t="shared" si="58"/>
        <v>0</v>
      </c>
      <c r="W48" s="55">
        <f t="shared" si="59"/>
        <v>0</v>
      </c>
      <c r="X48" s="55">
        <v>0</v>
      </c>
      <c r="Y48" s="55" t="s">
        <v>35</v>
      </c>
      <c r="Z48" s="56">
        <f t="shared" si="65"/>
        <v>-2.4</v>
      </c>
      <c r="AA48" s="55">
        <v>0.11973958333333333</v>
      </c>
      <c r="AB48" s="55">
        <f t="shared" si="61"/>
        <v>-1.7242500000000001</v>
      </c>
      <c r="AC48" s="55">
        <v>-7.32</v>
      </c>
      <c r="AD48" s="55">
        <v>-4.23267743589743</v>
      </c>
      <c r="AE48" s="55">
        <v>0</v>
      </c>
      <c r="AF48" s="55">
        <v>0.40663900414937698</v>
      </c>
    </row>
    <row r="49" spans="1:32" s="57" customFormat="1" ht="15.75" customHeight="1">
      <c r="A49" s="2" t="s">
        <v>117</v>
      </c>
      <c r="B49" s="2" t="s">
        <v>810</v>
      </c>
      <c r="C49" s="51">
        <f t="shared" si="50"/>
        <v>16.587500000000002</v>
      </c>
      <c r="D49" s="51">
        <v>4</v>
      </c>
      <c r="E49" s="51">
        <v>0</v>
      </c>
      <c r="F49" s="51">
        <v>66.350000000000009</v>
      </c>
      <c r="G49" s="51">
        <v>0</v>
      </c>
      <c r="H49" s="51">
        <f t="shared" si="51"/>
        <v>0</v>
      </c>
      <c r="I49" s="51">
        <f t="shared" si="52"/>
        <v>0.10155674840105938</v>
      </c>
      <c r="J49" s="51">
        <f t="shared" ref="J49:J56" si="70">F49*0.85+G49+AD49*D49+D49*AC49+AE49+AB49</f>
        <v>6.7382902564102904</v>
      </c>
      <c r="K49" s="51">
        <f t="shared" si="54"/>
        <v>1.6845725641025726</v>
      </c>
      <c r="L49" s="51">
        <v>38</v>
      </c>
      <c r="M49" s="51">
        <f t="shared" si="55"/>
        <v>0.10526315789473684</v>
      </c>
      <c r="N49" s="51">
        <v>123</v>
      </c>
      <c r="O49" s="51">
        <f t="shared" ref="O49:P49" si="71">D49/7</f>
        <v>0.5714285714285714</v>
      </c>
      <c r="P49" s="51">
        <f t="shared" si="71"/>
        <v>0</v>
      </c>
      <c r="Q49" s="51">
        <f t="shared" si="57"/>
        <v>215</v>
      </c>
      <c r="R49" s="55">
        <f ca="1">IFERROR(__xludf.DUMMYFUNCTION("IFERROR(VLOOKUP($B$2,IMPORTRANGE(""https://docs.google.com/spreadsheets/d/1iVgg6Mw12RULLujzHmfOFIY8Q_KaAD8anoZzgtVAQ74/edit#gid=1503384807"",""Second Star - Summary!A1:AD2000""),9,FALSE),"""")"),132)</f>
        <v>132</v>
      </c>
      <c r="S49" s="53">
        <f ca="1">IFERROR(__xludf.DUMMYFUNCTION("IFERROR(VLOOKUP($B$2,IMPORTRANGE(""https://docs.google.com/spreadsheets/d/1iVgg6Mw12RULLujzHmfOFIY8Q_KaAD8anoZzgtVAQ74/edit#gid=1503384807"",""Second Star - Summary!A1:AD2000""),28,FALSE),"""")"),96)</f>
        <v>96</v>
      </c>
      <c r="T49" s="54">
        <f ca="1">IFERROR(__xludf.DUMMYFUNCTION("IFERROR(VLOOKUP($B$2,IMPORTRANGE(""https://docs.google.com/spreadsheets/d/1iVgg6Mw12RULLujzHmfOFIY8Q_KaAD8anoZzgtVAQ74/edit#gid=1503384807"",""Second Star - Summary!A1:AD2000""),29,FALSE),"""")"),44324)</f>
        <v>44324</v>
      </c>
      <c r="U49" s="55">
        <v>0</v>
      </c>
      <c r="V49" s="55">
        <f t="shared" si="58"/>
        <v>0</v>
      </c>
      <c r="W49" s="55">
        <f t="shared" si="59"/>
        <v>0</v>
      </c>
      <c r="X49" s="55">
        <v>0</v>
      </c>
      <c r="Y49" s="55" t="s">
        <v>35</v>
      </c>
      <c r="Z49" s="56">
        <f t="shared" si="65"/>
        <v>-2.4</v>
      </c>
      <c r="AA49" s="55">
        <v>0.11973958333333333</v>
      </c>
      <c r="AB49" s="55">
        <f t="shared" si="61"/>
        <v>-3.4485000000000001</v>
      </c>
      <c r="AC49" s="55">
        <v>-7.32</v>
      </c>
      <c r="AD49" s="55">
        <v>-4.23267743589743</v>
      </c>
      <c r="AE49" s="55"/>
      <c r="AF49" s="55">
        <v>0.44444444444444398</v>
      </c>
    </row>
    <row r="50" spans="1:32" s="57" customFormat="1" ht="15.75" customHeight="1">
      <c r="A50" s="2" t="s">
        <v>119</v>
      </c>
      <c r="B50" s="2" t="s">
        <v>1022</v>
      </c>
      <c r="C50" s="51" t="str">
        <f t="shared" si="50"/>
        <v xml:space="preserve"> - </v>
      </c>
      <c r="D50" s="51">
        <v>0</v>
      </c>
      <c r="E50" s="51">
        <v>0</v>
      </c>
      <c r="F50" s="51">
        <v>0</v>
      </c>
      <c r="G50" s="51">
        <v>0</v>
      </c>
      <c r="H50" s="51" t="e">
        <f t="shared" si="51"/>
        <v>#DIV/0!</v>
      </c>
      <c r="I50" s="51" t="e">
        <f t="shared" si="52"/>
        <v>#DIV/0!</v>
      </c>
      <c r="J50" s="51">
        <f t="shared" si="70"/>
        <v>0</v>
      </c>
      <c r="K50" s="51" t="e">
        <f t="shared" si="54"/>
        <v>#DIV/0!</v>
      </c>
      <c r="L50" s="51">
        <v>0</v>
      </c>
      <c r="M50" s="51" t="str">
        <f t="shared" si="55"/>
        <v>-</v>
      </c>
      <c r="N50" s="51">
        <v>119</v>
      </c>
      <c r="O50" s="51">
        <f t="shared" ref="O50:P50" si="72">D50/7</f>
        <v>0</v>
      </c>
      <c r="P50" s="51">
        <f t="shared" si="72"/>
        <v>0</v>
      </c>
      <c r="Q50" s="51" t="e">
        <f t="shared" si="57"/>
        <v>#DIV/0!</v>
      </c>
      <c r="R50" s="55">
        <f ca="1">IFERROR(__xludf.DUMMYFUNCTION("IFERROR(VLOOKUP($B$2,IMPORTRANGE(""https://docs.google.com/spreadsheets/d/1iVgg6Mw12RULLujzHmfOFIY8Q_KaAD8anoZzgtVAQ74/edit#gid=1503384807"",""Second Star - Summary!A1:AD2000""),9,FALSE),"""")"),132)</f>
        <v>132</v>
      </c>
      <c r="S50" s="53">
        <f ca="1">IFERROR(__xludf.DUMMYFUNCTION("IFERROR(VLOOKUP($B$2,IMPORTRANGE(""https://docs.google.com/spreadsheets/d/1iVgg6Mw12RULLujzHmfOFIY8Q_KaAD8anoZzgtVAQ74/edit#gid=1503384807"",""Second Star - Summary!A1:AD2000""),28,FALSE),"""")"),96)</f>
        <v>96</v>
      </c>
      <c r="T50" s="54">
        <f ca="1">IFERROR(__xludf.DUMMYFUNCTION("IFERROR(VLOOKUP($B$2,IMPORTRANGE(""https://docs.google.com/spreadsheets/d/1iVgg6Mw12RULLujzHmfOFIY8Q_KaAD8anoZzgtVAQ74/edit#gid=1503384807"",""Second Star - Summary!A1:AD2000""),29,FALSE),"""")"),44324)</f>
        <v>44324</v>
      </c>
      <c r="U50" s="55">
        <v>0</v>
      </c>
      <c r="V50" s="55">
        <f t="shared" si="58"/>
        <v>0</v>
      </c>
      <c r="W50" s="55">
        <f t="shared" si="59"/>
        <v>0</v>
      </c>
      <c r="X50" s="55">
        <v>0</v>
      </c>
      <c r="Y50" s="55" t="e">
        <v>#N/A</v>
      </c>
      <c r="Z50" s="56" t="e">
        <f t="shared" si="65"/>
        <v>#N/A</v>
      </c>
      <c r="AA50" s="55" t="e">
        <v>#N/A</v>
      </c>
      <c r="AB50" s="55">
        <f t="shared" si="61"/>
        <v>0</v>
      </c>
      <c r="AC50" s="55">
        <v>0</v>
      </c>
      <c r="AD50" s="55">
        <v>-4.23267743589743</v>
      </c>
      <c r="AE50" s="55">
        <v>0</v>
      </c>
      <c r="AF50" s="55">
        <v>0.57787810383747096</v>
      </c>
    </row>
    <row r="51" spans="1:32" s="57" customFormat="1" ht="15.75" customHeight="1">
      <c r="A51" s="2" t="s">
        <v>121</v>
      </c>
      <c r="B51" s="2" t="s">
        <v>1023</v>
      </c>
      <c r="C51" s="51">
        <f t="shared" si="50"/>
        <v>14.48</v>
      </c>
      <c r="D51" s="51">
        <v>2</v>
      </c>
      <c r="E51" s="51">
        <v>0</v>
      </c>
      <c r="F51" s="51">
        <v>28.96</v>
      </c>
      <c r="G51" s="51">
        <v>0</v>
      </c>
      <c r="H51" s="51">
        <f t="shared" si="51"/>
        <v>0</v>
      </c>
      <c r="I51" s="51">
        <f t="shared" si="52"/>
        <v>-7.3758588326954108E-3</v>
      </c>
      <c r="J51" s="51">
        <f t="shared" si="70"/>
        <v>-0.2136048717948591</v>
      </c>
      <c r="K51" s="51">
        <f t="shared" si="54"/>
        <v>-0.10680243589742955</v>
      </c>
      <c r="L51" s="51">
        <v>19</v>
      </c>
      <c r="M51" s="51">
        <f t="shared" si="55"/>
        <v>0.10526315789473684</v>
      </c>
      <c r="N51" s="51">
        <v>116</v>
      </c>
      <c r="O51" s="51">
        <f t="shared" ref="O51:P51" si="73">D51/7</f>
        <v>0.2857142857142857</v>
      </c>
      <c r="P51" s="51">
        <f t="shared" si="73"/>
        <v>0</v>
      </c>
      <c r="Q51" s="51">
        <f t="shared" si="57"/>
        <v>406</v>
      </c>
      <c r="R51" s="55">
        <f ca="1">IFERROR(__xludf.DUMMYFUNCTION("IFERROR(VLOOKUP($B$2,IMPORTRANGE(""https://docs.google.com/spreadsheets/d/1iVgg6Mw12RULLujzHmfOFIY8Q_KaAD8anoZzgtVAQ74/edit#gid=1503384807"",""Second Star - Summary!A1:AD2000""),9,FALSE),"""")"),132)</f>
        <v>132</v>
      </c>
      <c r="S51" s="53">
        <f ca="1">IFERROR(__xludf.DUMMYFUNCTION("IFERROR(VLOOKUP($B$2,IMPORTRANGE(""https://docs.google.com/spreadsheets/d/1iVgg6Mw12RULLujzHmfOFIY8Q_KaAD8anoZzgtVAQ74/edit#gid=1503384807"",""Second Star - Summary!A1:AD2000""),28,FALSE),"""")"),96)</f>
        <v>96</v>
      </c>
      <c r="T51" s="54">
        <f ca="1">IFERROR(__xludf.DUMMYFUNCTION("IFERROR(VLOOKUP($B$2,IMPORTRANGE(""https://docs.google.com/spreadsheets/d/1iVgg6Mw12RULLujzHmfOFIY8Q_KaAD8anoZzgtVAQ74/edit#gid=1503384807"",""Second Star - Summary!A1:AD2000""),29,FALSE),"""")"),44324)</f>
        <v>44324</v>
      </c>
      <c r="U51" s="55">
        <v>0</v>
      </c>
      <c r="V51" s="55">
        <f t="shared" si="58"/>
        <v>0</v>
      </c>
      <c r="W51" s="55">
        <f t="shared" si="59"/>
        <v>0</v>
      </c>
      <c r="X51" s="55">
        <v>0</v>
      </c>
      <c r="Y51" s="55" t="s">
        <v>35</v>
      </c>
      <c r="Z51" s="56">
        <f t="shared" si="65"/>
        <v>-2.4</v>
      </c>
      <c r="AA51" s="55">
        <v>0.11973958333333333</v>
      </c>
      <c r="AB51" s="55">
        <f t="shared" si="61"/>
        <v>-1.7242500000000001</v>
      </c>
      <c r="AC51" s="55">
        <v>-7.32</v>
      </c>
      <c r="AD51" s="55">
        <v>-4.23267743589743</v>
      </c>
      <c r="AE51" s="55">
        <v>0</v>
      </c>
      <c r="AF51" s="55">
        <v>0.57787810383747096</v>
      </c>
    </row>
    <row r="52" spans="1:32" s="57" customFormat="1" ht="15.75" customHeight="1">
      <c r="A52" s="2" t="s">
        <v>123</v>
      </c>
      <c r="B52" s="2" t="s">
        <v>1024</v>
      </c>
      <c r="C52" s="51">
        <f t="shared" si="50"/>
        <v>14.48</v>
      </c>
      <c r="D52" s="51">
        <v>2</v>
      </c>
      <c r="E52" s="51">
        <v>0</v>
      </c>
      <c r="F52" s="51">
        <v>28.96</v>
      </c>
      <c r="G52" s="51">
        <v>-36.4</v>
      </c>
      <c r="H52" s="51">
        <f t="shared" si="51"/>
        <v>1.2569060773480663</v>
      </c>
      <c r="I52" s="51">
        <f t="shared" si="52"/>
        <v>-1.2642819361807616</v>
      </c>
      <c r="J52" s="51">
        <f t="shared" si="70"/>
        <v>-36.613604871794855</v>
      </c>
      <c r="K52" s="51">
        <f t="shared" si="54"/>
        <v>-18.306802435897428</v>
      </c>
      <c r="L52" s="51">
        <v>52</v>
      </c>
      <c r="M52" s="51">
        <f t="shared" si="55"/>
        <v>3.8461538461538464E-2</v>
      </c>
      <c r="N52" s="51">
        <v>112</v>
      </c>
      <c r="O52" s="51">
        <f t="shared" ref="O52:P52" si="74">D52/7</f>
        <v>0.2857142857142857</v>
      </c>
      <c r="P52" s="51">
        <f t="shared" si="74"/>
        <v>0</v>
      </c>
      <c r="Q52" s="51">
        <f t="shared" si="57"/>
        <v>392</v>
      </c>
      <c r="R52" s="55">
        <f ca="1">IFERROR(__xludf.DUMMYFUNCTION("IFERROR(VLOOKUP($B$2,IMPORTRANGE(""https://docs.google.com/spreadsheets/d/1iVgg6Mw12RULLujzHmfOFIY8Q_KaAD8anoZzgtVAQ74/edit#gid=1503384807"",""Second Star - Summary!A1:AD2000""),9,FALSE),"""")"),132)</f>
        <v>132</v>
      </c>
      <c r="S52" s="53">
        <f ca="1">IFERROR(__xludf.DUMMYFUNCTION("IFERROR(VLOOKUP($B$2,IMPORTRANGE(""https://docs.google.com/spreadsheets/d/1iVgg6Mw12RULLujzHmfOFIY8Q_KaAD8anoZzgtVAQ74/edit#gid=1503384807"",""Second Star - Summary!A1:AD2000""),28,FALSE),"""")"),96)</f>
        <v>96</v>
      </c>
      <c r="T52" s="54">
        <f ca="1">IFERROR(__xludf.DUMMYFUNCTION("IFERROR(VLOOKUP($B$2,IMPORTRANGE(""https://docs.google.com/spreadsheets/d/1iVgg6Mw12RULLujzHmfOFIY8Q_KaAD8anoZzgtVAQ74/edit#gid=1503384807"",""Second Star - Summary!A1:AD2000""),29,FALSE),"""")"),44324)</f>
        <v>44324</v>
      </c>
      <c r="U52" s="55">
        <v>0</v>
      </c>
      <c r="V52" s="55">
        <f t="shared" si="58"/>
        <v>0</v>
      </c>
      <c r="W52" s="55">
        <f t="shared" si="59"/>
        <v>18.2</v>
      </c>
      <c r="X52" s="55">
        <v>2</v>
      </c>
      <c r="Y52" s="55" t="s">
        <v>35</v>
      </c>
      <c r="Z52" s="56">
        <f t="shared" si="65"/>
        <v>-2.4</v>
      </c>
      <c r="AA52" s="55">
        <v>0.11973958333333333</v>
      </c>
      <c r="AB52" s="55">
        <f t="shared" si="61"/>
        <v>-1.7242500000000001</v>
      </c>
      <c r="AC52" s="55">
        <v>-7.32</v>
      </c>
      <c r="AD52" s="55">
        <v>-4.23267743589743</v>
      </c>
      <c r="AE52" s="55">
        <v>0</v>
      </c>
      <c r="AF52" s="55">
        <v>0.64941176470588202</v>
      </c>
    </row>
    <row r="53" spans="1:32" s="57" customFormat="1">
      <c r="A53" s="2" t="s">
        <v>1025</v>
      </c>
      <c r="B53" s="2" t="s">
        <v>1026</v>
      </c>
      <c r="C53" s="51">
        <f t="shared" si="50"/>
        <v>16.591818181818184</v>
      </c>
      <c r="D53" s="51">
        <v>11</v>
      </c>
      <c r="E53" s="51">
        <v>0</v>
      </c>
      <c r="F53" s="51">
        <v>182.51000000000002</v>
      </c>
      <c r="G53" s="51">
        <v>-30.76</v>
      </c>
      <c r="H53" s="51">
        <f t="shared" si="51"/>
        <v>0.16853871020765984</v>
      </c>
      <c r="I53" s="51">
        <f t="shared" si="52"/>
        <v>-6.6787172181643234E-2</v>
      </c>
      <c r="J53" s="51">
        <f t="shared" si="70"/>
        <v>-12.189326794871707</v>
      </c>
      <c r="K53" s="51">
        <f t="shared" si="54"/>
        <v>-1.1081206177156098</v>
      </c>
      <c r="L53" s="51">
        <v>79</v>
      </c>
      <c r="M53" s="51">
        <f t="shared" si="55"/>
        <v>0.13924050632911392</v>
      </c>
      <c r="N53" s="51">
        <v>97</v>
      </c>
      <c r="O53" s="51">
        <f t="shared" ref="O53:P53" si="75">D53/7</f>
        <v>1.5714285714285714</v>
      </c>
      <c r="P53" s="51">
        <f t="shared" si="75"/>
        <v>0</v>
      </c>
      <c r="Q53" s="51">
        <f t="shared" si="57"/>
        <v>61</v>
      </c>
      <c r="R53" s="55">
        <f ca="1">IFERROR(__xludf.DUMMYFUNCTION("IFERROR(VLOOKUP($B$2,IMPORTRANGE(""https://docs.google.com/spreadsheets/d/1iVgg6Mw12RULLujzHmfOFIY8Q_KaAD8anoZzgtVAQ74/edit#gid=1503384807"",""Second Star - Summary!A1:AD2000""),9,FALSE),"""")"),132)</f>
        <v>132</v>
      </c>
      <c r="S53" s="53">
        <f ca="1">IFERROR(__xludf.DUMMYFUNCTION("IFERROR(VLOOKUP($B$2,IMPORTRANGE(""https://docs.google.com/spreadsheets/d/1iVgg6Mw12RULLujzHmfOFIY8Q_KaAD8anoZzgtVAQ74/edit#gid=1503384807"",""Second Star - Summary!A1:AD2000""),28,FALSE),"""")"),96)</f>
        <v>96</v>
      </c>
      <c r="T53" s="54">
        <f ca="1">IFERROR(__xludf.DUMMYFUNCTION("IFERROR(VLOOKUP($B$2,IMPORTRANGE(""https://docs.google.com/spreadsheets/d/1iVgg6Mw12RULLujzHmfOFIY8Q_KaAD8anoZzgtVAQ74/edit#gid=1503384807"",""Second Star - Summary!A1:AD2000""),29,FALSE),"""")"),44324)</f>
        <v>44324</v>
      </c>
      <c r="U53" s="55">
        <v>3</v>
      </c>
      <c r="V53" s="55">
        <f t="shared" si="58"/>
        <v>0.27272727272727271</v>
      </c>
      <c r="W53" s="55">
        <f t="shared" si="59"/>
        <v>3.4177777777777778</v>
      </c>
      <c r="X53" s="55">
        <v>6</v>
      </c>
      <c r="Y53" s="55" t="s">
        <v>35</v>
      </c>
      <c r="Z53" s="56">
        <f t="shared" si="65"/>
        <v>-2.4</v>
      </c>
      <c r="AA53" s="55">
        <v>0.11973958333333333</v>
      </c>
      <c r="AB53" s="55">
        <f t="shared" si="61"/>
        <v>-9.4833749999999988</v>
      </c>
      <c r="AC53" s="55">
        <v>-7.32</v>
      </c>
      <c r="AD53" s="55">
        <v>-4.23267743589743</v>
      </c>
      <c r="AE53" s="55">
        <v>0</v>
      </c>
      <c r="AF53" s="55">
        <v>0.56742556917688203</v>
      </c>
    </row>
    <row r="54" spans="1:32" s="57" customFormat="1">
      <c r="A54" s="2" t="s">
        <v>40</v>
      </c>
      <c r="B54" s="2" t="s">
        <v>810</v>
      </c>
      <c r="C54" s="51">
        <f t="shared" si="50"/>
        <v>16.082000000000001</v>
      </c>
      <c r="D54" s="51">
        <v>5</v>
      </c>
      <c r="E54" s="51">
        <v>0</v>
      </c>
      <c r="F54" s="51">
        <v>80.410000000000011</v>
      </c>
      <c r="G54" s="51">
        <v>0</v>
      </c>
      <c r="H54" s="51">
        <f t="shared" si="51"/>
        <v>0</v>
      </c>
      <c r="I54" s="51">
        <f t="shared" si="52"/>
        <v>7.8031187918329234E-2</v>
      </c>
      <c r="J54" s="51">
        <f t="shared" si="70"/>
        <v>6.2744878205128547</v>
      </c>
      <c r="K54" s="51">
        <f t="shared" si="54"/>
        <v>1.254897564102571</v>
      </c>
      <c r="L54" s="51">
        <v>40</v>
      </c>
      <c r="M54" s="51">
        <f t="shared" si="55"/>
        <v>0.125</v>
      </c>
      <c r="N54" s="51">
        <v>92</v>
      </c>
      <c r="O54" s="51">
        <f t="shared" ref="O54:P54" si="76">D54/7</f>
        <v>0.7142857142857143</v>
      </c>
      <c r="P54" s="51">
        <f t="shared" si="76"/>
        <v>0</v>
      </c>
      <c r="Q54" s="51">
        <f t="shared" si="57"/>
        <v>128</v>
      </c>
      <c r="R54" s="55">
        <f ca="1">IFERROR(__xludf.DUMMYFUNCTION("IFERROR(VLOOKUP($B$2,IMPORTRANGE(""https://docs.google.com/spreadsheets/d/1iVgg6Mw12RULLujzHmfOFIY8Q_KaAD8anoZzgtVAQ74/edit#gid=1503384807"",""Second Star - Summary!A1:AD2000""),9,FALSE),"""")"),132)</f>
        <v>132</v>
      </c>
      <c r="S54" s="53">
        <f ca="1">IFERROR(__xludf.DUMMYFUNCTION("IFERROR(VLOOKUP($B$2,IMPORTRANGE(""https://docs.google.com/spreadsheets/d/1iVgg6Mw12RULLujzHmfOFIY8Q_KaAD8anoZzgtVAQ74/edit#gid=1503384807"",""Second Star - Summary!A1:AD2000""),28,FALSE),"""")"),96)</f>
        <v>96</v>
      </c>
      <c r="T54" s="54">
        <f ca="1">IFERROR(__xludf.DUMMYFUNCTION("IFERROR(VLOOKUP($B$2,IMPORTRANGE(""https://docs.google.com/spreadsheets/d/1iVgg6Mw12RULLujzHmfOFIY8Q_KaAD8anoZzgtVAQ74/edit#gid=1503384807"",""Second Star - Summary!A1:AD2000""),29,FALSE),"""")"),44324)</f>
        <v>44324</v>
      </c>
      <c r="U54" s="55">
        <v>0</v>
      </c>
      <c r="V54" s="55">
        <f t="shared" si="58"/>
        <v>0</v>
      </c>
      <c r="W54" s="55">
        <f t="shared" si="59"/>
        <v>0</v>
      </c>
      <c r="X54" s="55">
        <v>0</v>
      </c>
      <c r="Y54" s="55" t="s">
        <v>35</v>
      </c>
      <c r="Z54" s="56">
        <f t="shared" si="65"/>
        <v>-2.4</v>
      </c>
      <c r="AA54" s="55">
        <v>0.11973958333333333</v>
      </c>
      <c r="AB54" s="55">
        <f t="shared" si="61"/>
        <v>-4.3106249999999999</v>
      </c>
      <c r="AC54" s="55">
        <v>-7.32</v>
      </c>
      <c r="AD54" s="55">
        <v>-4.23267743589743</v>
      </c>
      <c r="AE54" s="55">
        <v>0</v>
      </c>
      <c r="AF54" s="55">
        <v>0.64925373134328301</v>
      </c>
    </row>
    <row r="55" spans="1:32" s="57" customFormat="1" ht="15.75" customHeight="1">
      <c r="A55" s="2" t="s">
        <v>32</v>
      </c>
      <c r="B55" s="2"/>
      <c r="C55" s="51">
        <f t="shared" si="50"/>
        <v>18.067999999999998</v>
      </c>
      <c r="D55" s="51">
        <v>5</v>
      </c>
      <c r="E55" s="51">
        <v>0</v>
      </c>
      <c r="F55" s="51">
        <v>90.339999999999989</v>
      </c>
      <c r="G55" s="51">
        <v>0</v>
      </c>
      <c r="H55" s="51">
        <f t="shared" si="51"/>
        <v>0</v>
      </c>
      <c r="I55" s="51">
        <f t="shared" si="52"/>
        <v>0.16288452314050081</v>
      </c>
      <c r="J55" s="51">
        <f t="shared" si="70"/>
        <v>14.714987820512841</v>
      </c>
      <c r="K55" s="51">
        <f t="shared" si="54"/>
        <v>2.9429975641025683</v>
      </c>
      <c r="L55" s="51">
        <v>17</v>
      </c>
      <c r="M55" s="51">
        <f t="shared" si="55"/>
        <v>0.29411764705882354</v>
      </c>
      <c r="N55" s="51">
        <v>88</v>
      </c>
      <c r="O55" s="51">
        <f t="shared" ref="O55:P55" si="77">D55/7</f>
        <v>0.7142857142857143</v>
      </c>
      <c r="P55" s="51">
        <f t="shared" si="77"/>
        <v>0</v>
      </c>
      <c r="Q55" s="51">
        <f t="shared" si="57"/>
        <v>123</v>
      </c>
      <c r="R55" s="55">
        <v>96</v>
      </c>
      <c r="S55" s="53" t="s">
        <v>34</v>
      </c>
      <c r="T55" s="54" t="s">
        <v>34</v>
      </c>
      <c r="U55" s="55">
        <v>0</v>
      </c>
      <c r="V55" s="55">
        <f t="shared" si="58"/>
        <v>0</v>
      </c>
      <c r="W55" s="55">
        <f t="shared" si="59"/>
        <v>0</v>
      </c>
      <c r="X55" s="55">
        <v>0</v>
      </c>
      <c r="Y55" s="55" t="s">
        <v>35</v>
      </c>
      <c r="Z55" s="56">
        <f t="shared" si="65"/>
        <v>-2.4</v>
      </c>
      <c r="AA55" s="55">
        <v>0.11973958333333333</v>
      </c>
      <c r="AB55" s="55">
        <f t="shared" si="61"/>
        <v>-4.3106249999999999</v>
      </c>
      <c r="AC55" s="55">
        <v>-7.32</v>
      </c>
      <c r="AD55" s="55">
        <v>-4.23267743589743</v>
      </c>
      <c r="AE55" s="55">
        <v>0</v>
      </c>
      <c r="AF55" s="55">
        <v>0.69767441860465096</v>
      </c>
    </row>
    <row r="56" spans="1:32" s="57" customFormat="1" ht="15.75" customHeight="1">
      <c r="A56" s="2" t="s">
        <v>36</v>
      </c>
      <c r="B56" s="31" t="s">
        <v>1027</v>
      </c>
      <c r="C56" s="51" t="str">
        <f t="shared" si="50"/>
        <v xml:space="preserve"> - </v>
      </c>
      <c r="D56" s="51">
        <v>0</v>
      </c>
      <c r="E56" s="51">
        <v>0</v>
      </c>
      <c r="F56" s="51">
        <v>0</v>
      </c>
      <c r="G56" s="51">
        <v>0</v>
      </c>
      <c r="H56" s="51" t="e">
        <f t="shared" si="51"/>
        <v>#DIV/0!</v>
      </c>
      <c r="I56" s="51" t="e">
        <f t="shared" si="52"/>
        <v>#DIV/0!</v>
      </c>
      <c r="J56" s="51">
        <f t="shared" si="70"/>
        <v>0</v>
      </c>
      <c r="K56" s="51" t="e">
        <f t="shared" si="54"/>
        <v>#DIV/0!</v>
      </c>
      <c r="L56" s="51">
        <v>0</v>
      </c>
      <c r="M56" s="51" t="str">
        <f t="shared" si="55"/>
        <v>-</v>
      </c>
      <c r="N56" s="51">
        <v>87</v>
      </c>
      <c r="O56" s="51">
        <f t="shared" ref="O56:P56" si="78">D56/7</f>
        <v>0</v>
      </c>
      <c r="P56" s="51">
        <f t="shared" si="78"/>
        <v>0</v>
      </c>
      <c r="Q56" s="51" t="e">
        <f t="shared" si="57"/>
        <v>#DIV/0!</v>
      </c>
      <c r="R56" s="55">
        <f ca="1">IFERROR(__xludf.DUMMYFUNCTION("IFERROR(VLOOKUP($B$2,IMPORTRANGE(""https://docs.google.com/spreadsheets/d/1iVgg6Mw12RULLujzHmfOFIY8Q_KaAD8anoZzgtVAQ74/edit#gid=1503384807"",""Second Star - Summary!A1:AD2000""),9,FALSE),"""")"),132)</f>
        <v>132</v>
      </c>
      <c r="S56" s="53">
        <f ca="1">IFERROR(__xludf.DUMMYFUNCTION("IFERROR(VLOOKUP($B$2,IMPORTRANGE(""https://docs.google.com/spreadsheets/d/1iVgg6Mw12RULLujzHmfOFIY8Q_KaAD8anoZzgtVAQ74/edit#gid=1503384807"",""Second Star - Summary!A1:AD2000""),28,FALSE),"""")"),96)</f>
        <v>96</v>
      </c>
      <c r="T56" s="54">
        <f ca="1">IFERROR(__xludf.DUMMYFUNCTION("IFERROR(VLOOKUP($B$2,IMPORTRANGE(""https://docs.google.com/spreadsheets/d/1iVgg6Mw12RULLujzHmfOFIY8Q_KaAD8anoZzgtVAQ74/edit#gid=1503384807"",""Second Star - Summary!A1:AD2000""),29,FALSE),"""")"),44324)</f>
        <v>44324</v>
      </c>
      <c r="U56" s="55">
        <v>0</v>
      </c>
      <c r="V56" s="55">
        <f t="shared" si="58"/>
        <v>0</v>
      </c>
      <c r="W56" s="55">
        <f t="shared" si="59"/>
        <v>0</v>
      </c>
      <c r="X56" s="55">
        <v>0</v>
      </c>
      <c r="Y56" s="55" t="s">
        <v>35</v>
      </c>
      <c r="Z56" s="56">
        <f t="shared" si="65"/>
        <v>-2.4</v>
      </c>
      <c r="AA56" s="55">
        <v>0.11973958333333333</v>
      </c>
      <c r="AB56" s="55">
        <f t="shared" si="61"/>
        <v>0</v>
      </c>
      <c r="AC56" s="55">
        <v>-7.32</v>
      </c>
      <c r="AD56" s="55">
        <v>-4.23267743589743</v>
      </c>
      <c r="AE56" s="55">
        <v>0</v>
      </c>
      <c r="AF56" s="55">
        <v>0.64097363083164305</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159" priority="1" operator="lessThan">
      <formula>100</formula>
    </cfRule>
  </conditionalFormatting>
  <conditionalFormatting sqref="Q1:Q3 Q57:Q1000">
    <cfRule type="cellIs" dxfId="158" priority="2" operator="lessThan">
      <formula>100</formula>
    </cfRule>
  </conditionalFormatting>
  <conditionalFormatting sqref="I1:I3 I57:I1000">
    <cfRule type="cellIs" dxfId="157" priority="3" operator="lessThan">
      <formula>0.05</formula>
    </cfRule>
  </conditionalFormatting>
  <conditionalFormatting sqref="I4:I17">
    <cfRule type="cellIs" dxfId="156" priority="4" operator="lessThan">
      <formula>0.05</formula>
    </cfRule>
  </conditionalFormatting>
  <conditionalFormatting sqref="I18:I56">
    <cfRule type="cellIs" dxfId="155" priority="5" operator="lessThan">
      <formula>0.05</formula>
    </cfRule>
  </conditionalFormatting>
  <conditionalFormatting sqref="Q4:Q56">
    <cfRule type="cellIs" dxfId="154" priority="6" operator="lessThan">
      <formula>100</formula>
    </cfRule>
  </conditionalFormatting>
  <conditionalFormatting sqref="Q4:Q56">
    <cfRule type="cellIs" dxfId="153" priority="7" operator="lessThan">
      <formula>100</formula>
    </cfRule>
  </conditionalFormatting>
  <pageMargins left="0.7" right="0.7" top="0.75" bottom="0.75" header="0" footer="0"/>
  <pageSetup orientation="portrait"/>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7.6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Info!B1:BJ5000""),4,FALSE),"""")"),"All Weather Cornhole Bean Bags - Set of 8 American Flag Bags for Corn Hole Toss Game - Regulation Size &amp; Weight - 4 Orange &amp; 4 Royal Blue")</f>
        <v>All Weather Cornhole Bean Bags - Set of 8 American Flag Bags for Corn Hole Toss Game - Regulation Size &amp; Weight - 4 Orange &amp; 4 Royal Blue</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Info!B1:BJ5000""),3,FALSE),"""")"),"B07VQWGL3N")</f>
        <v>B07VQWGL3N</v>
      </c>
      <c r="B2" s="4" t="s">
        <v>1028</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12.299620512820507</v>
      </c>
      <c r="D3" s="8">
        <f>SUM(D4:D99819)</f>
        <v>396</v>
      </c>
      <c r="E3" s="8"/>
      <c r="F3" s="9">
        <f t="shared" ref="F3:G3" si="0">SUM(F4:F99819)</f>
        <v>7650.1900000000005</v>
      </c>
      <c r="G3" s="9">
        <f t="shared" si="0"/>
        <v>-159.27999999999997</v>
      </c>
      <c r="H3" s="10">
        <f t="shared" ref="H3:H39" si="1">G3/F3*-1</f>
        <v>2.0820397924757421E-2</v>
      </c>
      <c r="I3" s="11">
        <f t="shared" ref="I3:I39" si="2">J3/F3</f>
        <v>0.21218469470056053</v>
      </c>
      <c r="J3" s="9">
        <f>SUM(J4:J99819)</f>
        <v>1623.2532295512813</v>
      </c>
      <c r="K3" s="9">
        <f t="shared" ref="K3:K39" si="3">J3/D3</f>
        <v>4.0991243170486902</v>
      </c>
      <c r="L3" s="8"/>
      <c r="M3" s="12"/>
      <c r="N3" s="13"/>
      <c r="O3" s="8" t="str">
        <f ca="1">IFERROR(__xludf.DUMMYFUNCTION("IFERROR(VLOOKUP(B2,IMPORTRANGE(""https://docs.google.com/spreadsheets/d/1owCo6kL_VFQ5nPTdNogErmCBLjNiktT1m3SzTrxu3R0/edit#gid=2146806407"",""Second Star - Compiled!b1:g5000""),2,FALSE),"""")"),"1 - March
1 - April
1 - May
1 - Jun
1 - Jul
1 - Aug
1 - Sept
1 - Oct
1 - Nov
1 - Dec
1 - Jan
1 - Feb")</f>
        <v>1 - March
1 - April
1 - May
1 - Jun
1 - Jul
1 - Aug
1 - Sept
1 - Oct
1 - Nov
1 - Dec
1 - Jan
1 - Feb</v>
      </c>
      <c r="P3" s="8"/>
      <c r="Q3" s="14"/>
      <c r="R3" s="13"/>
      <c r="S3" s="13"/>
      <c r="T3" s="13"/>
      <c r="U3" s="8">
        <f>SUM(U4:U99819)</f>
        <v>22</v>
      </c>
      <c r="V3" s="10">
        <f>AVERAGE(V4:V99819)</f>
        <v>4.873788883222846E-2</v>
      </c>
      <c r="W3" s="9">
        <f>ROUND(AVERAGE(W4:W99819),2)</f>
        <v>0.62</v>
      </c>
      <c r="X3" s="8"/>
      <c r="Y3" s="8"/>
      <c r="Z3" s="8"/>
      <c r="AA3" s="8"/>
      <c r="AB3" s="8"/>
      <c r="AC3" s="15"/>
      <c r="AD3" s="9"/>
      <c r="AE3" s="9">
        <f>SUM(AE4:AE99819)</f>
        <v>-1</v>
      </c>
      <c r="AF3" s="16"/>
    </row>
    <row r="4" spans="1:32" s="57" customFormat="1">
      <c r="A4" s="17" t="s">
        <v>48</v>
      </c>
      <c r="B4" s="2" t="s">
        <v>983</v>
      </c>
      <c r="C4" s="50">
        <v>15.99</v>
      </c>
      <c r="D4" s="51">
        <v>4</v>
      </c>
      <c r="E4" s="51">
        <v>0</v>
      </c>
      <c r="F4" s="51">
        <v>63.96</v>
      </c>
      <c r="G4" s="51">
        <v>0</v>
      </c>
      <c r="H4" s="51">
        <f t="shared" si="1"/>
        <v>0</v>
      </c>
      <c r="I4" s="51">
        <f t="shared" si="2"/>
        <v>0.13655308327720844</v>
      </c>
      <c r="J4" s="51">
        <f t="shared" ref="J4:J38" si="4">F4*0.85+G4+AD4*D4+D4*AC4+AE4+AB4</f>
        <v>8.7339352064102513</v>
      </c>
      <c r="K4" s="51">
        <f t="shared" si="3"/>
        <v>2.1834838016025628</v>
      </c>
      <c r="L4" s="51">
        <v>16</v>
      </c>
      <c r="M4" s="51">
        <f t="shared" ref="M4:M39" si="5">IFERROR(D4/L4,"-")</f>
        <v>0.25</v>
      </c>
      <c r="N4" s="51">
        <v>21</v>
      </c>
      <c r="O4" s="51">
        <f t="shared" ref="O4:P4" si="6">D4/7</f>
        <v>0.5714285714285714</v>
      </c>
      <c r="P4" s="51">
        <f t="shared" si="6"/>
        <v>0</v>
      </c>
      <c r="Q4" s="51">
        <f t="shared" ref="Q4:Q39" si="7">ROUNDDOWN(N4/(O4+P4),0)</f>
        <v>36</v>
      </c>
      <c r="R4" s="52">
        <v>700</v>
      </c>
      <c r="S4" s="53">
        <v>200</v>
      </c>
      <c r="T4" s="54">
        <v>43876</v>
      </c>
      <c r="U4" s="52">
        <v>0</v>
      </c>
      <c r="V4" s="55">
        <f t="shared" ref="V4:V39" si="8">IFERROR(U4/D4,0)</f>
        <v>0</v>
      </c>
      <c r="W4" s="55">
        <f t="shared" ref="W4:W39" si="9">IFERROR(G4/(U4+X4)*-1,0)</f>
        <v>0</v>
      </c>
      <c r="X4" s="52">
        <v>0</v>
      </c>
      <c r="Y4" s="56" t="s">
        <v>35</v>
      </c>
      <c r="Z4" s="56">
        <f t="shared" ref="Z4:Z10" si="10">IF(OR(Y4="UsLargeStandardSize",Y4="UsSmallStandardSize"),-0.69,-0.48)</f>
        <v>-0.69</v>
      </c>
      <c r="AA4" s="55">
        <v>0.16120222222222225</v>
      </c>
      <c r="AB4" s="55">
        <f t="shared" ref="AB4:AB17" si="11">IFERROR((Z4*AA4*N4)/4,0)</f>
        <v>-0.58395505000000003</v>
      </c>
      <c r="AC4" s="55">
        <v>-7.16</v>
      </c>
      <c r="AD4" s="55">
        <v>-4.102027435897436</v>
      </c>
      <c r="AE4" s="55">
        <v>0</v>
      </c>
      <c r="AF4" s="55"/>
    </row>
    <row r="5" spans="1:32" s="57" customFormat="1" ht="15.75" customHeight="1">
      <c r="A5" s="2" t="s">
        <v>49</v>
      </c>
      <c r="B5" s="2" t="s">
        <v>810</v>
      </c>
      <c r="C5" s="51">
        <v>15.99</v>
      </c>
      <c r="D5" s="51">
        <v>3</v>
      </c>
      <c r="E5" s="51">
        <v>0</v>
      </c>
      <c r="F5" s="51">
        <v>47.97</v>
      </c>
      <c r="G5" s="51">
        <v>0</v>
      </c>
      <c r="H5" s="51">
        <f t="shared" si="1"/>
        <v>0</v>
      </c>
      <c r="I5" s="51">
        <f t="shared" si="2"/>
        <v>0.13408943142883098</v>
      </c>
      <c r="J5" s="51">
        <f t="shared" si="4"/>
        <v>6.4322700256410217</v>
      </c>
      <c r="K5" s="51">
        <f t="shared" si="3"/>
        <v>2.1440900085470074</v>
      </c>
      <c r="L5" s="51">
        <v>9</v>
      </c>
      <c r="M5" s="51">
        <f t="shared" si="5"/>
        <v>0.33333333333333331</v>
      </c>
      <c r="N5" s="51">
        <v>20</v>
      </c>
      <c r="O5" s="51">
        <f t="shared" ref="O5:P5" si="12">D5/7</f>
        <v>0.42857142857142855</v>
      </c>
      <c r="P5" s="51">
        <f t="shared" si="12"/>
        <v>0</v>
      </c>
      <c r="Q5" s="51">
        <f t="shared" si="7"/>
        <v>46</v>
      </c>
      <c r="R5" s="55">
        <v>700</v>
      </c>
      <c r="S5" s="53">
        <v>200</v>
      </c>
      <c r="T5" s="54">
        <v>43876</v>
      </c>
      <c r="U5" s="55">
        <v>0</v>
      </c>
      <c r="V5" s="55">
        <f t="shared" si="8"/>
        <v>0</v>
      </c>
      <c r="W5" s="55">
        <f t="shared" si="9"/>
        <v>0</v>
      </c>
      <c r="X5" s="55">
        <v>0</v>
      </c>
      <c r="Y5" s="55" t="s">
        <v>35</v>
      </c>
      <c r="Z5" s="56">
        <f t="shared" si="10"/>
        <v>-0.69</v>
      </c>
      <c r="AA5" s="55">
        <v>0.16120222222222225</v>
      </c>
      <c r="AB5" s="55">
        <f t="shared" si="11"/>
        <v>-0.55614766666666671</v>
      </c>
      <c r="AC5" s="55">
        <v>-7.16</v>
      </c>
      <c r="AD5" s="55">
        <v>-4.102027435897436</v>
      </c>
      <c r="AE5" s="55">
        <v>0</v>
      </c>
      <c r="AF5" s="55"/>
    </row>
    <row r="6" spans="1:32" s="57" customFormat="1" ht="15.75" customHeight="1">
      <c r="A6" s="2" t="s">
        <v>51</v>
      </c>
      <c r="B6" s="2" t="s">
        <v>810</v>
      </c>
      <c r="C6" s="51">
        <v>15.99</v>
      </c>
      <c r="D6" s="51">
        <v>2</v>
      </c>
      <c r="E6" s="51">
        <v>0</v>
      </c>
      <c r="F6" s="51">
        <v>31.98</v>
      </c>
      <c r="G6" s="51">
        <v>0</v>
      </c>
      <c r="H6" s="51">
        <f t="shared" si="1"/>
        <v>0</v>
      </c>
      <c r="I6" s="51">
        <f t="shared" si="2"/>
        <v>0.13177070027741691</v>
      </c>
      <c r="J6" s="51">
        <f t="shared" si="4"/>
        <v>4.2140269948717926</v>
      </c>
      <c r="K6" s="51">
        <f t="shared" si="3"/>
        <v>2.1070134974358963</v>
      </c>
      <c r="L6" s="51">
        <v>11</v>
      </c>
      <c r="M6" s="51">
        <f t="shared" si="5"/>
        <v>0.18181818181818182</v>
      </c>
      <c r="N6" s="51">
        <v>16</v>
      </c>
      <c r="O6" s="51">
        <f t="shared" ref="O6:P6" si="13">D6/7</f>
        <v>0.2857142857142857</v>
      </c>
      <c r="P6" s="51">
        <f t="shared" si="13"/>
        <v>0</v>
      </c>
      <c r="Q6" s="51">
        <f t="shared" si="7"/>
        <v>56</v>
      </c>
      <c r="R6" s="55">
        <v>700</v>
      </c>
      <c r="S6" s="53">
        <v>200</v>
      </c>
      <c r="T6" s="54">
        <v>43884</v>
      </c>
      <c r="U6" s="55">
        <v>0</v>
      </c>
      <c r="V6" s="55">
        <f t="shared" si="8"/>
        <v>0</v>
      </c>
      <c r="W6" s="55">
        <f t="shared" si="9"/>
        <v>0</v>
      </c>
      <c r="X6" s="55">
        <v>0</v>
      </c>
      <c r="Y6" s="55" t="s">
        <v>35</v>
      </c>
      <c r="Z6" s="56">
        <f t="shared" si="10"/>
        <v>-0.69</v>
      </c>
      <c r="AA6" s="55">
        <v>0.16120222222222225</v>
      </c>
      <c r="AB6" s="55">
        <f t="shared" si="11"/>
        <v>-0.44491813333333335</v>
      </c>
      <c r="AC6" s="55">
        <v>-7.16</v>
      </c>
      <c r="AD6" s="55">
        <v>-4.102027435897436</v>
      </c>
      <c r="AE6" s="55">
        <v>0</v>
      </c>
      <c r="AF6" s="55"/>
    </row>
    <row r="7" spans="1:32" s="57" customFormat="1" ht="15.75" customHeight="1">
      <c r="A7" s="2" t="s">
        <v>53</v>
      </c>
      <c r="B7" s="2" t="s">
        <v>810</v>
      </c>
      <c r="C7" s="51">
        <v>15.99</v>
      </c>
      <c r="D7" s="51">
        <v>3</v>
      </c>
      <c r="E7" s="51">
        <v>0</v>
      </c>
      <c r="F7" s="51">
        <v>47.97</v>
      </c>
      <c r="G7" s="51">
        <v>0</v>
      </c>
      <c r="H7" s="51">
        <f t="shared" si="1"/>
        <v>0</v>
      </c>
      <c r="I7" s="51">
        <f t="shared" si="2"/>
        <v>0.13640816258024507</v>
      </c>
      <c r="J7" s="51">
        <f t="shared" si="4"/>
        <v>6.5434995589743554</v>
      </c>
      <c r="K7" s="51">
        <f t="shared" si="3"/>
        <v>2.1811665196581185</v>
      </c>
      <c r="L7" s="51">
        <v>12</v>
      </c>
      <c r="M7" s="51">
        <f t="shared" si="5"/>
        <v>0.25</v>
      </c>
      <c r="N7" s="51">
        <v>16</v>
      </c>
      <c r="O7" s="51">
        <f t="shared" ref="O7:P7" si="14">D7/7</f>
        <v>0.42857142857142855</v>
      </c>
      <c r="P7" s="51">
        <f t="shared" si="14"/>
        <v>0</v>
      </c>
      <c r="Q7" s="51">
        <f t="shared" si="7"/>
        <v>37</v>
      </c>
      <c r="R7" s="55">
        <v>700</v>
      </c>
      <c r="S7" s="53">
        <v>200</v>
      </c>
      <c r="T7" s="54">
        <v>43884</v>
      </c>
      <c r="U7" s="55">
        <v>0</v>
      </c>
      <c r="V7" s="55">
        <f t="shared" si="8"/>
        <v>0</v>
      </c>
      <c r="W7" s="55">
        <f t="shared" si="9"/>
        <v>0</v>
      </c>
      <c r="X7" s="55">
        <v>0</v>
      </c>
      <c r="Y7" s="55" t="s">
        <v>35</v>
      </c>
      <c r="Z7" s="56">
        <f t="shared" si="10"/>
        <v>-0.69</v>
      </c>
      <c r="AA7" s="55">
        <v>0.16120222222222225</v>
      </c>
      <c r="AB7" s="55">
        <f t="shared" si="11"/>
        <v>-0.44491813333333335</v>
      </c>
      <c r="AC7" s="55">
        <v>-7.16</v>
      </c>
      <c r="AD7" s="55">
        <v>-4.102027435897436</v>
      </c>
      <c r="AE7" s="55">
        <v>0</v>
      </c>
      <c r="AF7" s="55"/>
    </row>
    <row r="8" spans="1:32" s="57" customFormat="1" ht="15.75" customHeight="1">
      <c r="A8" s="2" t="s">
        <v>54</v>
      </c>
      <c r="B8" s="2" t="s">
        <v>810</v>
      </c>
      <c r="C8" s="51">
        <v>15.99</v>
      </c>
      <c r="D8" s="51">
        <v>1</v>
      </c>
      <c r="E8" s="51">
        <v>0</v>
      </c>
      <c r="F8" s="51">
        <v>15.99</v>
      </c>
      <c r="G8" s="51">
        <v>0</v>
      </c>
      <c r="H8" s="51">
        <f t="shared" si="1"/>
        <v>0</v>
      </c>
      <c r="I8" s="51">
        <f t="shared" si="2"/>
        <v>0.11959736173249298</v>
      </c>
      <c r="J8" s="51">
        <f t="shared" si="4"/>
        <v>1.9123618141025629</v>
      </c>
      <c r="K8" s="51">
        <f t="shared" si="3"/>
        <v>1.9123618141025629</v>
      </c>
      <c r="L8" s="51">
        <v>9</v>
      </c>
      <c r="M8" s="51">
        <f t="shared" si="5"/>
        <v>0.1111111111111111</v>
      </c>
      <c r="N8" s="51">
        <v>15</v>
      </c>
      <c r="O8" s="51">
        <f t="shared" ref="O8:P8" si="15">D8/7</f>
        <v>0.14285714285714285</v>
      </c>
      <c r="P8" s="51">
        <f t="shared" si="15"/>
        <v>0</v>
      </c>
      <c r="Q8" s="51">
        <f t="shared" si="7"/>
        <v>105</v>
      </c>
      <c r="R8" s="55">
        <v>700</v>
      </c>
      <c r="S8" s="53">
        <v>200</v>
      </c>
      <c r="T8" s="54">
        <v>43884</v>
      </c>
      <c r="U8" s="55">
        <v>0</v>
      </c>
      <c r="V8" s="55">
        <f t="shared" si="8"/>
        <v>0</v>
      </c>
      <c r="W8" s="55">
        <f t="shared" si="9"/>
        <v>0</v>
      </c>
      <c r="X8" s="55">
        <v>0</v>
      </c>
      <c r="Y8" s="55" t="s">
        <v>35</v>
      </c>
      <c r="Z8" s="56">
        <f t="shared" si="10"/>
        <v>-0.69</v>
      </c>
      <c r="AA8" s="55">
        <v>0.16120222222222225</v>
      </c>
      <c r="AB8" s="55">
        <f t="shared" si="11"/>
        <v>-0.41711075000000003</v>
      </c>
      <c r="AC8" s="55">
        <v>-7.16</v>
      </c>
      <c r="AD8" s="55">
        <v>-4.102027435897436</v>
      </c>
      <c r="AE8" s="55">
        <v>0</v>
      </c>
      <c r="AF8" s="55"/>
    </row>
    <row r="9" spans="1:32" s="57" customFormat="1" ht="15.75" customHeight="1">
      <c r="A9" s="2" t="s">
        <v>56</v>
      </c>
      <c r="B9" s="2" t="s">
        <v>810</v>
      </c>
      <c r="C9" s="51">
        <v>15.99</v>
      </c>
      <c r="D9" s="51">
        <v>0</v>
      </c>
      <c r="E9" s="51">
        <v>0</v>
      </c>
      <c r="F9" s="51">
        <v>0</v>
      </c>
      <c r="G9" s="51">
        <v>0</v>
      </c>
      <c r="H9" s="51" t="e">
        <f t="shared" si="1"/>
        <v>#DIV/0!</v>
      </c>
      <c r="I9" s="51" t="e">
        <f t="shared" si="2"/>
        <v>#DIV/0!</v>
      </c>
      <c r="J9" s="51">
        <f t="shared" si="4"/>
        <v>-0.41711075000000003</v>
      </c>
      <c r="K9" s="51" t="e">
        <f t="shared" si="3"/>
        <v>#DIV/0!</v>
      </c>
      <c r="L9" s="51">
        <v>0</v>
      </c>
      <c r="M9" s="51" t="str">
        <f t="shared" si="5"/>
        <v>-</v>
      </c>
      <c r="N9" s="51">
        <v>15</v>
      </c>
      <c r="O9" s="51">
        <f t="shared" ref="O9:P9" si="16">D9/7</f>
        <v>0</v>
      </c>
      <c r="P9" s="51">
        <f t="shared" si="16"/>
        <v>0</v>
      </c>
      <c r="Q9" s="51" t="e">
        <f t="shared" si="7"/>
        <v>#DIV/0!</v>
      </c>
      <c r="R9" s="55">
        <v>500</v>
      </c>
      <c r="S9" s="53">
        <v>200</v>
      </c>
      <c r="T9" s="54">
        <v>43881</v>
      </c>
      <c r="U9" s="55">
        <v>0</v>
      </c>
      <c r="V9" s="55">
        <f t="shared" si="8"/>
        <v>0</v>
      </c>
      <c r="W9" s="55">
        <f t="shared" si="9"/>
        <v>0</v>
      </c>
      <c r="X9" s="55">
        <v>0</v>
      </c>
      <c r="Y9" s="55" t="s">
        <v>35</v>
      </c>
      <c r="Z9" s="56">
        <f t="shared" si="10"/>
        <v>-0.69</v>
      </c>
      <c r="AA9" s="55">
        <v>0.16120222222222225</v>
      </c>
      <c r="AB9" s="55">
        <f t="shared" si="11"/>
        <v>-0.41711075000000003</v>
      </c>
      <c r="AC9" s="55">
        <v>-7.16</v>
      </c>
      <c r="AD9" s="55">
        <v>-4.102027435897436</v>
      </c>
      <c r="AE9" s="55">
        <v>0</v>
      </c>
      <c r="AF9" s="55"/>
    </row>
    <row r="10" spans="1:32" s="57" customFormat="1" ht="15.75" customHeight="1">
      <c r="A10" s="2" t="s">
        <v>58</v>
      </c>
      <c r="B10" s="2" t="s">
        <v>810</v>
      </c>
      <c r="C10" s="51">
        <v>15.99</v>
      </c>
      <c r="D10" s="51">
        <v>2</v>
      </c>
      <c r="E10" s="51">
        <v>0</v>
      </c>
      <c r="F10" s="51">
        <v>31.98</v>
      </c>
      <c r="G10" s="51">
        <v>0</v>
      </c>
      <c r="H10" s="51">
        <f t="shared" si="1"/>
        <v>0</v>
      </c>
      <c r="I10" s="51">
        <f t="shared" si="2"/>
        <v>0.13524879700453801</v>
      </c>
      <c r="J10" s="51">
        <f t="shared" si="4"/>
        <v>4.3252565282051254</v>
      </c>
      <c r="K10" s="51">
        <f t="shared" si="3"/>
        <v>2.1626282641025627</v>
      </c>
      <c r="L10" s="51">
        <v>11</v>
      </c>
      <c r="M10" s="51">
        <f t="shared" si="5"/>
        <v>0.18181818181818182</v>
      </c>
      <c r="N10" s="51">
        <v>12</v>
      </c>
      <c r="O10" s="51">
        <f t="shared" ref="O10:P10" si="17">D10/7</f>
        <v>0.2857142857142857</v>
      </c>
      <c r="P10" s="51">
        <f t="shared" si="17"/>
        <v>0</v>
      </c>
      <c r="Q10" s="51">
        <f t="shared" si="7"/>
        <v>42</v>
      </c>
      <c r="R10" s="55">
        <v>500</v>
      </c>
      <c r="S10" s="53">
        <v>200</v>
      </c>
      <c r="T10" s="54">
        <v>43885</v>
      </c>
      <c r="U10" s="55">
        <v>0</v>
      </c>
      <c r="V10" s="55">
        <f t="shared" si="8"/>
        <v>0</v>
      </c>
      <c r="W10" s="55">
        <f t="shared" si="9"/>
        <v>0</v>
      </c>
      <c r="X10" s="55">
        <v>0</v>
      </c>
      <c r="Y10" s="55" t="s">
        <v>35</v>
      </c>
      <c r="Z10" s="56">
        <f t="shared" si="10"/>
        <v>-0.69</v>
      </c>
      <c r="AA10" s="55">
        <v>0.16120222222222225</v>
      </c>
      <c r="AB10" s="55">
        <f t="shared" si="11"/>
        <v>-0.3336886</v>
      </c>
      <c r="AC10" s="55">
        <v>-7.16</v>
      </c>
      <c r="AD10" s="55">
        <v>-4.102027435897436</v>
      </c>
      <c r="AE10" s="55">
        <v>0</v>
      </c>
      <c r="AF10" s="55"/>
    </row>
    <row r="11" spans="1:32" s="57" customFormat="1" ht="15.75" customHeight="1">
      <c r="A11" s="2" t="s">
        <v>60</v>
      </c>
      <c r="B11" s="2" t="s">
        <v>1029</v>
      </c>
      <c r="C11" s="51">
        <v>15.99</v>
      </c>
      <c r="D11" s="51">
        <v>1</v>
      </c>
      <c r="E11" s="51">
        <v>0</v>
      </c>
      <c r="F11" s="51">
        <v>15.99</v>
      </c>
      <c r="G11" s="51">
        <v>0</v>
      </c>
      <c r="H11" s="51">
        <f t="shared" si="1"/>
        <v>0</v>
      </c>
      <c r="I11" s="51">
        <f t="shared" si="2"/>
        <v>0.11299359375250548</v>
      </c>
      <c r="J11" s="51">
        <f t="shared" si="4"/>
        <v>1.8067675641025627</v>
      </c>
      <c r="K11" s="51">
        <f t="shared" si="3"/>
        <v>1.8067675641025627</v>
      </c>
      <c r="L11" s="51">
        <v>6</v>
      </c>
      <c r="M11" s="51">
        <f t="shared" si="5"/>
        <v>0.16666666666666666</v>
      </c>
      <c r="N11" s="51">
        <v>12</v>
      </c>
      <c r="O11" s="51">
        <f t="shared" ref="O11:P11" si="18">D11/7</f>
        <v>0.14285714285714285</v>
      </c>
      <c r="P11" s="51">
        <f t="shared" si="18"/>
        <v>0</v>
      </c>
      <c r="Q11" s="51">
        <f t="shared" si="7"/>
        <v>84</v>
      </c>
      <c r="R11" s="55">
        <v>300</v>
      </c>
      <c r="S11" s="53" t="s">
        <v>34</v>
      </c>
      <c r="T11" s="54" t="s">
        <v>34</v>
      </c>
      <c r="U11" s="55">
        <v>0</v>
      </c>
      <c r="V11" s="55">
        <f t="shared" si="8"/>
        <v>0</v>
      </c>
      <c r="W11" s="55">
        <f t="shared" si="9"/>
        <v>0</v>
      </c>
      <c r="X11" s="55">
        <v>0</v>
      </c>
      <c r="Y11" s="55" t="s">
        <v>35</v>
      </c>
      <c r="Z11" s="56">
        <f t="shared" ref="Z11:Z39" si="19">IF(OR(Y11="UsLargeStandardSize",Y11="UsSmallStandardSize"),-0.75,-0.48)</f>
        <v>-0.75</v>
      </c>
      <c r="AA11" s="55">
        <v>0.16120222222222225</v>
      </c>
      <c r="AB11" s="55">
        <f t="shared" si="11"/>
        <v>-0.36270500000000006</v>
      </c>
      <c r="AC11" s="55">
        <v>-7.32</v>
      </c>
      <c r="AD11" s="55">
        <v>-4.102027435897436</v>
      </c>
      <c r="AE11" s="55">
        <v>0</v>
      </c>
      <c r="AF11" s="55"/>
    </row>
    <row r="12" spans="1:32" s="57" customFormat="1" ht="15.75" customHeight="1">
      <c r="A12" s="2" t="s">
        <v>62</v>
      </c>
      <c r="B12" s="2" t="s">
        <v>1030</v>
      </c>
      <c r="C12" s="51">
        <v>15.99</v>
      </c>
      <c r="D12" s="51">
        <v>1</v>
      </c>
      <c r="E12" s="51">
        <v>0</v>
      </c>
      <c r="F12" s="51">
        <v>15.99</v>
      </c>
      <c r="G12" s="51">
        <v>0</v>
      </c>
      <c r="H12" s="51">
        <f t="shared" si="1"/>
        <v>0</v>
      </c>
      <c r="I12" s="51">
        <f t="shared" si="2"/>
        <v>-0.2556090485239173</v>
      </c>
      <c r="J12" s="51">
        <f t="shared" si="4"/>
        <v>-4.0871886858974378</v>
      </c>
      <c r="K12" s="51">
        <f t="shared" si="3"/>
        <v>-4.0871886858974378</v>
      </c>
      <c r="L12" s="51">
        <v>14</v>
      </c>
      <c r="M12" s="51">
        <f t="shared" si="5"/>
        <v>7.1428571428571425E-2</v>
      </c>
      <c r="N12" s="51">
        <v>207</v>
      </c>
      <c r="O12" s="51">
        <f t="shared" ref="O12:P12" si="20">D12/7</f>
        <v>0.14285714285714285</v>
      </c>
      <c r="P12" s="51">
        <f t="shared" si="20"/>
        <v>0</v>
      </c>
      <c r="Q12" s="51">
        <f t="shared" si="7"/>
        <v>1449</v>
      </c>
      <c r="R12" s="55">
        <v>300</v>
      </c>
      <c r="S12" s="53" t="s">
        <v>34</v>
      </c>
      <c r="T12" s="54" t="s">
        <v>34</v>
      </c>
      <c r="U12" s="55">
        <v>0</v>
      </c>
      <c r="V12" s="55">
        <f t="shared" si="8"/>
        <v>0</v>
      </c>
      <c r="W12" s="55">
        <f t="shared" si="9"/>
        <v>0</v>
      </c>
      <c r="X12" s="55">
        <v>0</v>
      </c>
      <c r="Y12" s="55" t="s">
        <v>35</v>
      </c>
      <c r="Z12" s="56">
        <f t="shared" si="19"/>
        <v>-0.75</v>
      </c>
      <c r="AA12" s="55">
        <v>0.16120222222222225</v>
      </c>
      <c r="AB12" s="55">
        <f t="shared" si="11"/>
        <v>-6.2566612500000005</v>
      </c>
      <c r="AC12" s="55">
        <v>-7.32</v>
      </c>
      <c r="AD12" s="55">
        <v>-4.102027435897436</v>
      </c>
      <c r="AE12" s="55">
        <v>0</v>
      </c>
      <c r="AF12" s="55"/>
    </row>
    <row r="13" spans="1:32" s="57" customFormat="1" ht="15.75" customHeight="1">
      <c r="A13" s="2" t="s">
        <v>63</v>
      </c>
      <c r="B13" s="2" t="s">
        <v>810</v>
      </c>
      <c r="C13" s="51">
        <v>15.99</v>
      </c>
      <c r="D13" s="51">
        <v>11</v>
      </c>
      <c r="E13" s="51">
        <v>0</v>
      </c>
      <c r="F13" s="51">
        <v>175.89000000000001</v>
      </c>
      <c r="G13" s="51">
        <v>0</v>
      </c>
      <c r="H13" s="51">
        <f t="shared" si="1"/>
        <v>0</v>
      </c>
      <c r="I13" s="51">
        <f t="shared" si="2"/>
        <v>0.10148013126648217</v>
      </c>
      <c r="J13" s="51">
        <f t="shared" si="4"/>
        <v>17.849340288461551</v>
      </c>
      <c r="K13" s="51">
        <f t="shared" si="3"/>
        <v>1.6226672989510502</v>
      </c>
      <c r="L13" s="51">
        <v>26</v>
      </c>
      <c r="M13" s="51">
        <f t="shared" si="5"/>
        <v>0.42307692307692307</v>
      </c>
      <c r="N13" s="51">
        <v>199</v>
      </c>
      <c r="O13" s="51">
        <f t="shared" ref="O13:P13" si="21">D13/7</f>
        <v>1.5714285714285714</v>
      </c>
      <c r="P13" s="51">
        <f t="shared" si="21"/>
        <v>0</v>
      </c>
      <c r="Q13" s="51">
        <f t="shared" si="7"/>
        <v>126</v>
      </c>
      <c r="R13" s="55">
        <v>300</v>
      </c>
      <c r="S13" s="53" t="s">
        <v>34</v>
      </c>
      <c r="T13" s="54" t="s">
        <v>34</v>
      </c>
      <c r="U13" s="55">
        <v>0</v>
      </c>
      <c r="V13" s="55">
        <f t="shared" si="8"/>
        <v>0</v>
      </c>
      <c r="W13" s="55">
        <f t="shared" si="9"/>
        <v>0</v>
      </c>
      <c r="X13" s="55">
        <v>0</v>
      </c>
      <c r="Y13" s="55" t="s">
        <v>35</v>
      </c>
      <c r="Z13" s="56">
        <f t="shared" si="19"/>
        <v>-0.75</v>
      </c>
      <c r="AA13" s="55">
        <v>0.16120222222222225</v>
      </c>
      <c r="AB13" s="55">
        <f t="shared" si="11"/>
        <v>-6.0148579166666671</v>
      </c>
      <c r="AC13" s="55">
        <v>-7.32</v>
      </c>
      <c r="AD13" s="55">
        <v>-4.102027435897436</v>
      </c>
      <c r="AE13" s="55">
        <v>0</v>
      </c>
      <c r="AF13" s="55"/>
    </row>
    <row r="14" spans="1:32" s="57" customFormat="1" ht="15.75" customHeight="1">
      <c r="A14" s="2" t="s">
        <v>64</v>
      </c>
      <c r="B14" s="2"/>
      <c r="C14" s="51">
        <v>15.99</v>
      </c>
      <c r="D14" s="51">
        <v>9</v>
      </c>
      <c r="E14" s="51">
        <v>0</v>
      </c>
      <c r="F14" s="51">
        <v>143.91</v>
      </c>
      <c r="G14" s="51">
        <v>0</v>
      </c>
      <c r="H14" s="51">
        <f t="shared" si="1"/>
        <v>0</v>
      </c>
      <c r="I14" s="51">
        <f t="shared" si="2"/>
        <v>9.6401224100176583E-2</v>
      </c>
      <c r="J14" s="51">
        <f t="shared" si="4"/>
        <v>13.873100160256412</v>
      </c>
      <c r="K14" s="51">
        <f t="shared" si="3"/>
        <v>1.5414555733618236</v>
      </c>
      <c r="L14" s="51">
        <v>34</v>
      </c>
      <c r="M14" s="51">
        <f t="shared" si="5"/>
        <v>0.26470588235294118</v>
      </c>
      <c r="N14" s="51">
        <v>187</v>
      </c>
      <c r="O14" s="51">
        <f t="shared" ref="O14:P14" si="22">D14/7</f>
        <v>1.2857142857142858</v>
      </c>
      <c r="P14" s="51">
        <f t="shared" si="22"/>
        <v>0</v>
      </c>
      <c r="Q14" s="51">
        <f t="shared" si="7"/>
        <v>145</v>
      </c>
      <c r="R14" s="55">
        <v>300</v>
      </c>
      <c r="S14" s="53" t="s">
        <v>34</v>
      </c>
      <c r="T14" s="54" t="s">
        <v>34</v>
      </c>
      <c r="U14" s="55">
        <v>0</v>
      </c>
      <c r="V14" s="55">
        <f t="shared" si="8"/>
        <v>0</v>
      </c>
      <c r="W14" s="55">
        <f t="shared" si="9"/>
        <v>0</v>
      </c>
      <c r="X14" s="55">
        <v>0</v>
      </c>
      <c r="Y14" s="55" t="s">
        <v>35</v>
      </c>
      <c r="Z14" s="56">
        <f t="shared" si="19"/>
        <v>-0.75</v>
      </c>
      <c r="AA14" s="55">
        <v>0.16120222222222225</v>
      </c>
      <c r="AB14" s="55">
        <f t="shared" si="11"/>
        <v>-5.6521529166666671</v>
      </c>
      <c r="AC14" s="55">
        <v>-7.32</v>
      </c>
      <c r="AD14" s="55">
        <v>-4.102027435897436</v>
      </c>
      <c r="AE14" s="55">
        <v>0</v>
      </c>
      <c r="AF14" s="55"/>
    </row>
    <row r="15" spans="1:32" s="57" customFormat="1" ht="15.75" customHeight="1">
      <c r="A15" s="2" t="s">
        <v>65</v>
      </c>
      <c r="B15" s="2" t="s">
        <v>983</v>
      </c>
      <c r="C15" s="51">
        <v>15.99</v>
      </c>
      <c r="D15" s="51">
        <v>7</v>
      </c>
      <c r="E15" s="51">
        <v>0</v>
      </c>
      <c r="F15" s="51">
        <v>111.92999999999999</v>
      </c>
      <c r="G15" s="51">
        <v>0</v>
      </c>
      <c r="H15" s="51">
        <f t="shared" si="1"/>
        <v>0</v>
      </c>
      <c r="I15" s="51">
        <f t="shared" si="2"/>
        <v>8.6259775741248393E-2</v>
      </c>
      <c r="J15" s="51">
        <f t="shared" si="4"/>
        <v>9.6550566987179316</v>
      </c>
      <c r="K15" s="51">
        <f t="shared" si="3"/>
        <v>1.3792938141025617</v>
      </c>
      <c r="L15" s="51">
        <v>30</v>
      </c>
      <c r="M15" s="51">
        <f t="shared" si="5"/>
        <v>0.23333333333333334</v>
      </c>
      <c r="N15" s="51">
        <v>183</v>
      </c>
      <c r="O15" s="51">
        <f t="shared" ref="O15:P15" si="23">D15/7</f>
        <v>1</v>
      </c>
      <c r="P15" s="51">
        <f t="shared" si="23"/>
        <v>0</v>
      </c>
      <c r="Q15" s="51">
        <f t="shared" si="7"/>
        <v>183</v>
      </c>
      <c r="R15" s="55">
        <v>300</v>
      </c>
      <c r="S15" s="53" t="s">
        <v>34</v>
      </c>
      <c r="T15" s="54" t="s">
        <v>34</v>
      </c>
      <c r="U15" s="55">
        <v>0</v>
      </c>
      <c r="V15" s="55">
        <f t="shared" si="8"/>
        <v>0</v>
      </c>
      <c r="W15" s="55">
        <f t="shared" si="9"/>
        <v>0</v>
      </c>
      <c r="X15" s="55">
        <v>0</v>
      </c>
      <c r="Y15" s="55" t="s">
        <v>35</v>
      </c>
      <c r="Z15" s="56">
        <f t="shared" si="19"/>
        <v>-0.75</v>
      </c>
      <c r="AA15" s="55">
        <v>0.16120222222222225</v>
      </c>
      <c r="AB15" s="55">
        <f t="shared" si="11"/>
        <v>-5.5312512500000004</v>
      </c>
      <c r="AC15" s="55">
        <v>-7.32</v>
      </c>
      <c r="AD15" s="55">
        <v>-4.102027435897436</v>
      </c>
      <c r="AE15" s="55">
        <v>0</v>
      </c>
      <c r="AF15" s="55"/>
    </row>
    <row r="16" spans="1:32" s="57" customFormat="1" ht="15.75" customHeight="1">
      <c r="A16" s="2" t="s">
        <v>66</v>
      </c>
      <c r="B16" s="2" t="s">
        <v>983</v>
      </c>
      <c r="C16" s="51">
        <v>15.99</v>
      </c>
      <c r="D16" s="51">
        <v>7</v>
      </c>
      <c r="E16" s="51">
        <v>0</v>
      </c>
      <c r="F16" s="51">
        <v>111.92999999999999</v>
      </c>
      <c r="G16" s="51">
        <v>0</v>
      </c>
      <c r="H16" s="51">
        <f t="shared" si="1"/>
        <v>0</v>
      </c>
      <c r="I16" s="51">
        <f t="shared" si="2"/>
        <v>8.8150045701640298E-2</v>
      </c>
      <c r="J16" s="51">
        <f t="shared" si="4"/>
        <v>9.8666346153845979</v>
      </c>
      <c r="K16" s="51">
        <f t="shared" si="3"/>
        <v>1.4095192307692284</v>
      </c>
      <c r="L16" s="51">
        <v>32</v>
      </c>
      <c r="M16" s="51">
        <f t="shared" si="5"/>
        <v>0.21875</v>
      </c>
      <c r="N16" s="51">
        <v>176</v>
      </c>
      <c r="O16" s="51">
        <f t="shared" ref="O16:P16" si="24">D16/7</f>
        <v>1</v>
      </c>
      <c r="P16" s="51">
        <f t="shared" si="24"/>
        <v>0</v>
      </c>
      <c r="Q16" s="51">
        <f t="shared" si="7"/>
        <v>176</v>
      </c>
      <c r="R16" s="55">
        <v>300</v>
      </c>
      <c r="S16" s="53" t="s">
        <v>34</v>
      </c>
      <c r="T16" s="54" t="s">
        <v>34</v>
      </c>
      <c r="U16" s="55">
        <v>0</v>
      </c>
      <c r="V16" s="55">
        <f t="shared" si="8"/>
        <v>0</v>
      </c>
      <c r="W16" s="55">
        <f t="shared" si="9"/>
        <v>0</v>
      </c>
      <c r="X16" s="55">
        <v>0</v>
      </c>
      <c r="Y16" s="55" t="s">
        <v>35</v>
      </c>
      <c r="Z16" s="56">
        <f t="shared" si="19"/>
        <v>-0.75</v>
      </c>
      <c r="AA16" s="55">
        <v>0.16120222222222225</v>
      </c>
      <c r="AB16" s="55">
        <f t="shared" si="11"/>
        <v>-5.3196733333333341</v>
      </c>
      <c r="AC16" s="55">
        <v>-7.32</v>
      </c>
      <c r="AD16" s="55">
        <v>-4.102027435897436</v>
      </c>
      <c r="AE16" s="55">
        <v>0</v>
      </c>
      <c r="AF16" s="55"/>
    </row>
    <row r="17" spans="1:32" s="57" customFormat="1" ht="15.75" customHeight="1">
      <c r="A17" s="2" t="s">
        <v>67</v>
      </c>
      <c r="B17" s="2" t="s">
        <v>983</v>
      </c>
      <c r="C17" s="51">
        <v>15.99</v>
      </c>
      <c r="D17" s="51">
        <v>1</v>
      </c>
      <c r="E17" s="51">
        <v>0</v>
      </c>
      <c r="F17" s="51">
        <v>15.99</v>
      </c>
      <c r="G17" s="51">
        <v>0</v>
      </c>
      <c r="H17" s="51">
        <f t="shared" si="1"/>
        <v>0</v>
      </c>
      <c r="I17" s="51">
        <f t="shared" si="2"/>
        <v>-0.19133986987059237</v>
      </c>
      <c r="J17" s="51">
        <f t="shared" si="4"/>
        <v>-3.0595245192307718</v>
      </c>
      <c r="K17" s="51">
        <f t="shared" si="3"/>
        <v>-3.0595245192307718</v>
      </c>
      <c r="L17" s="51">
        <v>27</v>
      </c>
      <c r="M17" s="51">
        <f t="shared" si="5"/>
        <v>3.7037037037037035E-2</v>
      </c>
      <c r="N17" s="51">
        <v>173</v>
      </c>
      <c r="O17" s="51">
        <f t="shared" ref="O17:P17" si="25">D17/7</f>
        <v>0.14285714285714285</v>
      </c>
      <c r="P17" s="51">
        <f t="shared" si="25"/>
        <v>0</v>
      </c>
      <c r="Q17" s="51">
        <f t="shared" si="7"/>
        <v>1211</v>
      </c>
      <c r="R17" s="55">
        <v>300</v>
      </c>
      <c r="S17" s="53" t="s">
        <v>34</v>
      </c>
      <c r="T17" s="54" t="s">
        <v>34</v>
      </c>
      <c r="U17" s="55">
        <v>0</v>
      </c>
      <c r="V17" s="55">
        <f t="shared" si="8"/>
        <v>0</v>
      </c>
      <c r="W17" s="55">
        <f t="shared" si="9"/>
        <v>0</v>
      </c>
      <c r="X17" s="55">
        <v>0</v>
      </c>
      <c r="Y17" s="55" t="s">
        <v>35</v>
      </c>
      <c r="Z17" s="56">
        <f t="shared" si="19"/>
        <v>-0.75</v>
      </c>
      <c r="AA17" s="55">
        <v>0.16120222222222225</v>
      </c>
      <c r="AB17" s="55">
        <f t="shared" si="11"/>
        <v>-5.2289970833333346</v>
      </c>
      <c r="AC17" s="55">
        <v>-7.32</v>
      </c>
      <c r="AD17" s="55">
        <v>-4.102027435897436</v>
      </c>
      <c r="AE17" s="55">
        <v>0</v>
      </c>
      <c r="AF17" s="55"/>
    </row>
    <row r="18" spans="1:32" s="57" customFormat="1" ht="15.75" customHeight="1">
      <c r="A18" s="2" t="s">
        <v>69</v>
      </c>
      <c r="B18" s="2" t="s">
        <v>810</v>
      </c>
      <c r="C18" s="51">
        <v>15.99</v>
      </c>
      <c r="D18" s="51">
        <v>3</v>
      </c>
      <c r="E18" s="51">
        <v>0</v>
      </c>
      <c r="F18" s="51">
        <v>47.97</v>
      </c>
      <c r="G18" s="51">
        <v>0</v>
      </c>
      <c r="H18" s="51">
        <f t="shared" si="1"/>
        <v>0</v>
      </c>
      <c r="I18" s="51">
        <f t="shared" si="2"/>
        <v>0.11299359375250549</v>
      </c>
      <c r="J18" s="51">
        <f t="shared" si="4"/>
        <v>5.420302692307688</v>
      </c>
      <c r="K18" s="51">
        <f t="shared" si="3"/>
        <v>1.8067675641025627</v>
      </c>
      <c r="L18" s="51">
        <v>43</v>
      </c>
      <c r="M18" s="51">
        <f t="shared" si="5"/>
        <v>6.9767441860465115E-2</v>
      </c>
      <c r="N18" s="51">
        <v>165</v>
      </c>
      <c r="O18" s="51">
        <f t="shared" ref="O18:P18" si="26">D18/7</f>
        <v>0.42857142857142855</v>
      </c>
      <c r="P18" s="51">
        <f t="shared" si="26"/>
        <v>0</v>
      </c>
      <c r="Q18" s="51">
        <f t="shared" si="7"/>
        <v>385</v>
      </c>
      <c r="R18" s="55">
        <v>300</v>
      </c>
      <c r="S18" s="53" t="s">
        <v>34</v>
      </c>
      <c r="T18" s="54" t="s">
        <v>34</v>
      </c>
      <c r="U18" s="55">
        <v>0</v>
      </c>
      <c r="V18" s="55">
        <f t="shared" si="8"/>
        <v>0</v>
      </c>
      <c r="W18" s="55">
        <f t="shared" si="9"/>
        <v>0</v>
      </c>
      <c r="X18" s="55">
        <v>0</v>
      </c>
      <c r="Y18" s="55" t="s">
        <v>35</v>
      </c>
      <c r="Z18" s="56">
        <f t="shared" si="19"/>
        <v>-0.75</v>
      </c>
      <c r="AA18" s="55">
        <v>0.16120222222222225</v>
      </c>
      <c r="AB18" s="58">
        <f t="shared" ref="AB18:AB39" si="27">IFERROR(Z18*AA18*D18*3,0)</f>
        <v>-1.0881150000000002</v>
      </c>
      <c r="AC18" s="55">
        <v>-7.32</v>
      </c>
      <c r="AD18" s="55">
        <v>-4.102027435897436</v>
      </c>
      <c r="AE18" s="55">
        <v>0</v>
      </c>
      <c r="AF18" s="55"/>
    </row>
    <row r="19" spans="1:32" s="57" customFormat="1" ht="15.75" customHeight="1">
      <c r="A19" s="2" t="s">
        <v>71</v>
      </c>
      <c r="B19" s="2" t="s">
        <v>1010</v>
      </c>
      <c r="C19" s="51">
        <v>15.99</v>
      </c>
      <c r="D19" s="51">
        <v>11</v>
      </c>
      <c r="E19" s="51">
        <v>0</v>
      </c>
      <c r="F19" s="51">
        <v>175.89000000000001</v>
      </c>
      <c r="G19" s="51">
        <v>0</v>
      </c>
      <c r="H19" s="51">
        <f t="shared" si="1"/>
        <v>0</v>
      </c>
      <c r="I19" s="51">
        <f t="shared" si="2"/>
        <v>0.11299359375250563</v>
      </c>
      <c r="J19" s="51">
        <f t="shared" si="4"/>
        <v>19.874443205128216</v>
      </c>
      <c r="K19" s="51">
        <f t="shared" si="3"/>
        <v>1.8067675641025651</v>
      </c>
      <c r="L19" s="51">
        <v>38</v>
      </c>
      <c r="M19" s="51">
        <f t="shared" si="5"/>
        <v>0.28947368421052633</v>
      </c>
      <c r="N19" s="51">
        <v>161</v>
      </c>
      <c r="O19" s="51">
        <f t="shared" ref="O19:P19" si="28">D19/7</f>
        <v>1.5714285714285714</v>
      </c>
      <c r="P19" s="51">
        <f t="shared" si="28"/>
        <v>0</v>
      </c>
      <c r="Q19" s="51">
        <f t="shared" si="7"/>
        <v>102</v>
      </c>
      <c r="R19" s="55">
        <v>420</v>
      </c>
      <c r="S19" s="53">
        <v>120</v>
      </c>
      <c r="T19" s="54">
        <v>43990</v>
      </c>
      <c r="U19" s="55">
        <v>0</v>
      </c>
      <c r="V19" s="55">
        <f t="shared" si="8"/>
        <v>0</v>
      </c>
      <c r="W19" s="55">
        <f t="shared" si="9"/>
        <v>0</v>
      </c>
      <c r="X19" s="55">
        <v>0</v>
      </c>
      <c r="Y19" s="55" t="s">
        <v>35</v>
      </c>
      <c r="Z19" s="56">
        <f t="shared" si="19"/>
        <v>-0.75</v>
      </c>
      <c r="AA19" s="55">
        <v>0.16120222222222225</v>
      </c>
      <c r="AB19" s="55">
        <f t="shared" si="27"/>
        <v>-3.9897550000000006</v>
      </c>
      <c r="AC19" s="55">
        <v>-7.32</v>
      </c>
      <c r="AD19" s="55">
        <v>-4.102027435897436</v>
      </c>
      <c r="AE19" s="55">
        <v>0</v>
      </c>
      <c r="AF19" s="55"/>
    </row>
    <row r="20" spans="1:32" s="57" customFormat="1" ht="15.75" customHeight="1">
      <c r="A20" s="2" t="s">
        <v>73</v>
      </c>
      <c r="B20" s="2" t="s">
        <v>810</v>
      </c>
      <c r="C20" s="51">
        <v>22</v>
      </c>
      <c r="D20" s="51">
        <v>6</v>
      </c>
      <c r="E20" s="51">
        <v>0</v>
      </c>
      <c r="F20" s="51">
        <v>95.94</v>
      </c>
      <c r="G20" s="51">
        <v>-0.02</v>
      </c>
      <c r="H20" s="51">
        <f t="shared" si="1"/>
        <v>2.0846362309776944E-4</v>
      </c>
      <c r="I20" s="51">
        <f t="shared" si="2"/>
        <v>0.11278513012940776</v>
      </c>
      <c r="J20" s="51">
        <f t="shared" si="4"/>
        <v>10.82060538461538</v>
      </c>
      <c r="K20" s="51">
        <f t="shared" si="3"/>
        <v>1.8034342307692299</v>
      </c>
      <c r="L20" s="51">
        <v>52</v>
      </c>
      <c r="M20" s="51">
        <f t="shared" si="5"/>
        <v>0.11538461538461539</v>
      </c>
      <c r="N20" s="51">
        <v>151</v>
      </c>
      <c r="O20" s="51">
        <f t="shared" ref="O20:P20" si="29">D20/7</f>
        <v>0.8571428571428571</v>
      </c>
      <c r="P20" s="51">
        <f t="shared" si="29"/>
        <v>0</v>
      </c>
      <c r="Q20" s="51">
        <f t="shared" si="7"/>
        <v>176</v>
      </c>
      <c r="R20" s="55">
        <v>300</v>
      </c>
      <c r="S20" s="53">
        <v>120</v>
      </c>
      <c r="T20" s="54">
        <v>43990</v>
      </c>
      <c r="U20" s="55">
        <v>0</v>
      </c>
      <c r="V20" s="55">
        <f t="shared" si="8"/>
        <v>0</v>
      </c>
      <c r="W20" s="55">
        <f t="shared" si="9"/>
        <v>0</v>
      </c>
      <c r="X20" s="55">
        <v>0</v>
      </c>
      <c r="Y20" s="55" t="s">
        <v>35</v>
      </c>
      <c r="Z20" s="56">
        <f t="shared" si="19"/>
        <v>-0.75</v>
      </c>
      <c r="AA20" s="55">
        <v>0.16120222222222225</v>
      </c>
      <c r="AB20" s="55">
        <f t="shared" si="27"/>
        <v>-2.1762300000000003</v>
      </c>
      <c r="AC20" s="55">
        <v>-7.32</v>
      </c>
      <c r="AD20" s="55">
        <v>-4.102027435897436</v>
      </c>
      <c r="AE20" s="55">
        <v>0</v>
      </c>
      <c r="AF20" s="55"/>
    </row>
    <row r="21" spans="1:32" s="57" customFormat="1" ht="15.75" customHeight="1">
      <c r="A21" s="2" t="s">
        <v>75</v>
      </c>
      <c r="B21" s="2" t="s">
        <v>810</v>
      </c>
      <c r="C21" s="51">
        <v>20</v>
      </c>
      <c r="D21" s="51">
        <v>6</v>
      </c>
      <c r="E21" s="51">
        <v>0</v>
      </c>
      <c r="F21" s="51">
        <v>116.99</v>
      </c>
      <c r="G21" s="51">
        <v>0</v>
      </c>
      <c r="H21" s="51">
        <f t="shared" si="1"/>
        <v>0</v>
      </c>
      <c r="I21" s="51">
        <f t="shared" si="2"/>
        <v>0.24560308902141531</v>
      </c>
      <c r="J21" s="51">
        <f t="shared" si="4"/>
        <v>28.733105384615374</v>
      </c>
      <c r="K21" s="51">
        <f t="shared" si="3"/>
        <v>4.7888508974358954</v>
      </c>
      <c r="L21" s="51">
        <v>36</v>
      </c>
      <c r="M21" s="51">
        <f t="shared" si="5"/>
        <v>0.16666666666666666</v>
      </c>
      <c r="N21" s="51">
        <v>147</v>
      </c>
      <c r="O21" s="51">
        <f t="shared" ref="O21:P21" si="30">D21/7</f>
        <v>0.8571428571428571</v>
      </c>
      <c r="P21" s="51">
        <f t="shared" si="30"/>
        <v>0</v>
      </c>
      <c r="Q21" s="51">
        <f t="shared" si="7"/>
        <v>171</v>
      </c>
      <c r="R21" s="55">
        <v>300</v>
      </c>
      <c r="S21" s="53">
        <v>120</v>
      </c>
      <c r="T21" s="54">
        <v>43990</v>
      </c>
      <c r="U21" s="55">
        <v>0</v>
      </c>
      <c r="V21" s="55">
        <f t="shared" si="8"/>
        <v>0</v>
      </c>
      <c r="W21" s="55">
        <f t="shared" si="9"/>
        <v>0</v>
      </c>
      <c r="X21" s="55">
        <v>0</v>
      </c>
      <c r="Y21" s="55" t="s">
        <v>35</v>
      </c>
      <c r="Z21" s="56">
        <f t="shared" si="19"/>
        <v>-0.75</v>
      </c>
      <c r="AA21" s="55">
        <v>0.16120222222222225</v>
      </c>
      <c r="AB21" s="55">
        <f t="shared" si="27"/>
        <v>-2.1762300000000003</v>
      </c>
      <c r="AC21" s="55">
        <v>-7.32</v>
      </c>
      <c r="AD21" s="55">
        <v>-4.102027435897436</v>
      </c>
      <c r="AE21" s="55">
        <v>0</v>
      </c>
      <c r="AF21" s="55"/>
    </row>
    <row r="22" spans="1:32" s="57" customFormat="1" ht="15.75" customHeight="1">
      <c r="A22" s="2" t="s">
        <v>77</v>
      </c>
      <c r="B22" s="2" t="s">
        <v>810</v>
      </c>
      <c r="C22" s="51">
        <v>20</v>
      </c>
      <c r="D22" s="51">
        <v>6</v>
      </c>
      <c r="E22" s="51">
        <v>0</v>
      </c>
      <c r="F22" s="51">
        <v>118</v>
      </c>
      <c r="G22" s="51">
        <v>-0.08</v>
      </c>
      <c r="H22" s="51">
        <f t="shared" si="1"/>
        <v>6.779661016949153E-4</v>
      </c>
      <c r="I22" s="51">
        <f t="shared" si="2"/>
        <v>0.25009835071707953</v>
      </c>
      <c r="J22" s="51">
        <f t="shared" si="4"/>
        <v>29.511605384615383</v>
      </c>
      <c r="K22" s="51">
        <f t="shared" si="3"/>
        <v>4.9186008974358968</v>
      </c>
      <c r="L22" s="51">
        <v>18</v>
      </c>
      <c r="M22" s="51">
        <f t="shared" si="5"/>
        <v>0.33333333333333331</v>
      </c>
      <c r="N22" s="51">
        <v>142</v>
      </c>
      <c r="O22" s="51">
        <f t="shared" ref="O22:P22" si="31">D22/7</f>
        <v>0.8571428571428571</v>
      </c>
      <c r="P22" s="51">
        <f t="shared" si="31"/>
        <v>0</v>
      </c>
      <c r="Q22" s="51">
        <f t="shared" si="7"/>
        <v>165</v>
      </c>
      <c r="R22" s="55">
        <v>300</v>
      </c>
      <c r="S22" s="53">
        <v>120</v>
      </c>
      <c r="T22" s="54">
        <v>43992</v>
      </c>
      <c r="U22" s="55">
        <v>0</v>
      </c>
      <c r="V22" s="55">
        <f t="shared" si="8"/>
        <v>0</v>
      </c>
      <c r="W22" s="55">
        <f t="shared" si="9"/>
        <v>0</v>
      </c>
      <c r="X22" s="55">
        <v>0</v>
      </c>
      <c r="Y22" s="55" t="s">
        <v>35</v>
      </c>
      <c r="Z22" s="56">
        <f t="shared" si="19"/>
        <v>-0.75</v>
      </c>
      <c r="AA22" s="55">
        <v>0.16120222222222225</v>
      </c>
      <c r="AB22" s="55">
        <f t="shared" si="27"/>
        <v>-2.1762300000000003</v>
      </c>
      <c r="AC22" s="55">
        <v>-7.32</v>
      </c>
      <c r="AD22" s="55">
        <v>-4.102027435897436</v>
      </c>
      <c r="AE22" s="55">
        <v>0</v>
      </c>
      <c r="AF22" s="55"/>
    </row>
    <row r="23" spans="1:32" s="57" customFormat="1" ht="15.75" customHeight="1">
      <c r="A23" s="2" t="s">
        <v>79</v>
      </c>
      <c r="B23" s="2" t="s">
        <v>174</v>
      </c>
      <c r="C23" s="51">
        <v>17</v>
      </c>
      <c r="D23" s="51">
        <v>3</v>
      </c>
      <c r="E23" s="51">
        <v>0</v>
      </c>
      <c r="F23" s="51">
        <v>55</v>
      </c>
      <c r="G23" s="51">
        <v>0</v>
      </c>
      <c r="H23" s="51">
        <f t="shared" si="1"/>
        <v>0</v>
      </c>
      <c r="I23" s="51">
        <f t="shared" si="2"/>
        <v>0.20719641258741259</v>
      </c>
      <c r="J23" s="51">
        <f t="shared" si="4"/>
        <v>11.395802692307692</v>
      </c>
      <c r="K23" s="51">
        <f t="shared" si="3"/>
        <v>3.7986008974358971</v>
      </c>
      <c r="L23" s="51">
        <v>20</v>
      </c>
      <c r="M23" s="51">
        <f t="shared" si="5"/>
        <v>0.15</v>
      </c>
      <c r="N23" s="51">
        <v>141</v>
      </c>
      <c r="O23" s="51">
        <f t="shared" ref="O23:P23" si="32">D23/7</f>
        <v>0.42857142857142855</v>
      </c>
      <c r="P23" s="51">
        <f t="shared" si="32"/>
        <v>0</v>
      </c>
      <c r="Q23" s="51">
        <f t="shared" si="7"/>
        <v>329</v>
      </c>
      <c r="R23" s="55">
        <v>300</v>
      </c>
      <c r="S23" s="53">
        <v>120</v>
      </c>
      <c r="T23" s="54">
        <v>43992</v>
      </c>
      <c r="U23" s="55">
        <v>0</v>
      </c>
      <c r="V23" s="55">
        <f t="shared" si="8"/>
        <v>0</v>
      </c>
      <c r="W23" s="55">
        <f t="shared" si="9"/>
        <v>0</v>
      </c>
      <c r="X23" s="55">
        <v>0</v>
      </c>
      <c r="Y23" s="55" t="s">
        <v>35</v>
      </c>
      <c r="Z23" s="56">
        <f t="shared" si="19"/>
        <v>-0.75</v>
      </c>
      <c r="AA23" s="55">
        <v>0.16120222222222225</v>
      </c>
      <c r="AB23" s="55">
        <f t="shared" si="27"/>
        <v>-1.0881150000000002</v>
      </c>
      <c r="AC23" s="55">
        <v>-7.32</v>
      </c>
      <c r="AD23" s="55">
        <v>-4.102027435897436</v>
      </c>
      <c r="AE23" s="55">
        <v>0</v>
      </c>
      <c r="AF23" s="55"/>
    </row>
    <row r="24" spans="1:32" s="57" customFormat="1" ht="15.75" customHeight="1">
      <c r="A24" s="2" t="s">
        <v>80</v>
      </c>
      <c r="B24" s="2" t="s">
        <v>1031</v>
      </c>
      <c r="C24" s="51">
        <v>17</v>
      </c>
      <c r="D24" s="51">
        <v>11</v>
      </c>
      <c r="E24" s="51">
        <v>0</v>
      </c>
      <c r="F24" s="51">
        <v>215</v>
      </c>
      <c r="G24" s="51">
        <v>-7.0000000000000007E-2</v>
      </c>
      <c r="H24" s="51">
        <f t="shared" si="1"/>
        <v>3.2558139534883724E-4</v>
      </c>
      <c r="I24" s="51">
        <f t="shared" si="2"/>
        <v>0.24673461955873585</v>
      </c>
      <c r="J24" s="51">
        <f t="shared" si="4"/>
        <v>53.047943205128206</v>
      </c>
      <c r="K24" s="51">
        <f t="shared" si="3"/>
        <v>4.8225402913752911</v>
      </c>
      <c r="L24" s="51">
        <v>44</v>
      </c>
      <c r="M24" s="51">
        <f t="shared" si="5"/>
        <v>0.25</v>
      </c>
      <c r="N24" s="51">
        <v>123</v>
      </c>
      <c r="O24" s="51">
        <f t="shared" ref="O24:P24" si="33">D24/7</f>
        <v>1.5714285714285714</v>
      </c>
      <c r="P24" s="51">
        <f t="shared" si="33"/>
        <v>0</v>
      </c>
      <c r="Q24" s="51">
        <f t="shared" si="7"/>
        <v>78</v>
      </c>
      <c r="R24" s="55">
        <v>300</v>
      </c>
      <c r="S24" s="53">
        <v>120</v>
      </c>
      <c r="T24" s="54">
        <v>43992</v>
      </c>
      <c r="U24" s="55">
        <v>0</v>
      </c>
      <c r="V24" s="55">
        <f t="shared" si="8"/>
        <v>0</v>
      </c>
      <c r="W24" s="55">
        <f t="shared" si="9"/>
        <v>0</v>
      </c>
      <c r="X24" s="55">
        <v>0</v>
      </c>
      <c r="Y24" s="55" t="s">
        <v>35</v>
      </c>
      <c r="Z24" s="56">
        <f t="shared" si="19"/>
        <v>-0.75</v>
      </c>
      <c r="AA24" s="55">
        <v>0.16120222222222225</v>
      </c>
      <c r="AB24" s="55">
        <f t="shared" si="27"/>
        <v>-3.9897550000000006</v>
      </c>
      <c r="AC24" s="55">
        <v>-7.32</v>
      </c>
      <c r="AD24" s="55">
        <v>-4.102027435897436</v>
      </c>
      <c r="AE24" s="55">
        <v>0</v>
      </c>
      <c r="AF24" s="55"/>
    </row>
    <row r="25" spans="1:32" s="57" customFormat="1" ht="15.75" customHeight="1">
      <c r="A25" s="2" t="s">
        <v>81</v>
      </c>
      <c r="B25" s="2" t="s">
        <v>810</v>
      </c>
      <c r="C25" s="51"/>
      <c r="D25" s="51">
        <v>22</v>
      </c>
      <c r="E25" s="51">
        <v>0</v>
      </c>
      <c r="F25" s="51">
        <v>373</v>
      </c>
      <c r="G25" s="51">
        <v>-0.65</v>
      </c>
      <c r="H25" s="51">
        <f t="shared" si="1"/>
        <v>1.7426273458445041E-3</v>
      </c>
      <c r="I25" s="51">
        <f t="shared" si="2"/>
        <v>0.15317932013473573</v>
      </c>
      <c r="J25" s="51">
        <f t="shared" si="4"/>
        <v>57.135886410256433</v>
      </c>
      <c r="K25" s="51">
        <f t="shared" si="3"/>
        <v>2.5970857459207468</v>
      </c>
      <c r="L25" s="51">
        <v>47</v>
      </c>
      <c r="M25" s="51">
        <f t="shared" si="5"/>
        <v>0.46808510638297873</v>
      </c>
      <c r="N25" s="51">
        <v>106</v>
      </c>
      <c r="O25" s="51">
        <f t="shared" ref="O25:P25" si="34">D25/7</f>
        <v>3.1428571428571428</v>
      </c>
      <c r="P25" s="51">
        <f t="shared" si="34"/>
        <v>0</v>
      </c>
      <c r="Q25" s="51">
        <f t="shared" si="7"/>
        <v>33</v>
      </c>
      <c r="R25" s="55">
        <v>300</v>
      </c>
      <c r="S25" s="53">
        <v>120</v>
      </c>
      <c r="T25" s="54">
        <v>43990</v>
      </c>
      <c r="U25" s="55">
        <v>0</v>
      </c>
      <c r="V25" s="55">
        <f t="shared" si="8"/>
        <v>0</v>
      </c>
      <c r="W25" s="55">
        <f t="shared" si="9"/>
        <v>0</v>
      </c>
      <c r="X25" s="55">
        <v>0</v>
      </c>
      <c r="Y25" s="55" t="s">
        <v>35</v>
      </c>
      <c r="Z25" s="56">
        <f t="shared" si="19"/>
        <v>-0.75</v>
      </c>
      <c r="AA25" s="55">
        <v>0.16120222222222225</v>
      </c>
      <c r="AB25" s="55">
        <f t="shared" si="27"/>
        <v>-7.9795100000000012</v>
      </c>
      <c r="AC25" s="55">
        <v>-7.32</v>
      </c>
      <c r="AD25" s="55">
        <v>-4.102027435897436</v>
      </c>
      <c r="AE25" s="55">
        <v>0</v>
      </c>
      <c r="AF25" s="55"/>
    </row>
    <row r="26" spans="1:32" s="57" customFormat="1" ht="15.75" customHeight="1">
      <c r="A26" s="2" t="s">
        <v>83</v>
      </c>
      <c r="B26" s="2" t="s">
        <v>1032</v>
      </c>
      <c r="C26" s="51">
        <f t="shared" ref="C26:C39" si="35">IFERROR(F26/D26," - ")</f>
        <v>19.652173913043477</v>
      </c>
      <c r="D26" s="51">
        <v>46</v>
      </c>
      <c r="E26" s="51">
        <v>0</v>
      </c>
      <c r="F26" s="51">
        <v>904</v>
      </c>
      <c r="G26" s="51">
        <v>-7.0000000000000007E-2</v>
      </c>
      <c r="H26" s="51">
        <f t="shared" si="1"/>
        <v>7.7433628318584081E-5</v>
      </c>
      <c r="I26" s="51">
        <f t="shared" si="2"/>
        <v>0.25025697781937811</v>
      </c>
      <c r="J26" s="51">
        <f t="shared" si="4"/>
        <v>226.23230794871782</v>
      </c>
      <c r="K26" s="51">
        <f t="shared" si="3"/>
        <v>4.9180936510590829</v>
      </c>
      <c r="L26" s="51">
        <v>136</v>
      </c>
      <c r="M26" s="51">
        <f t="shared" si="5"/>
        <v>0.33823529411764708</v>
      </c>
      <c r="N26" s="51">
        <v>44</v>
      </c>
      <c r="O26" s="51">
        <f t="shared" ref="O26:P26" si="36">D26/7</f>
        <v>6.5714285714285712</v>
      </c>
      <c r="P26" s="51">
        <f t="shared" si="36"/>
        <v>0</v>
      </c>
      <c r="Q26" s="51">
        <f t="shared" si="7"/>
        <v>6</v>
      </c>
      <c r="R26" s="55">
        <v>300</v>
      </c>
      <c r="S26" s="53">
        <v>120</v>
      </c>
      <c r="T26" s="54">
        <v>43990</v>
      </c>
      <c r="U26" s="55">
        <v>0</v>
      </c>
      <c r="V26" s="55">
        <f t="shared" si="8"/>
        <v>0</v>
      </c>
      <c r="W26" s="55">
        <f t="shared" si="9"/>
        <v>0</v>
      </c>
      <c r="X26" s="55">
        <v>0</v>
      </c>
      <c r="Y26" s="55" t="s">
        <v>35</v>
      </c>
      <c r="Z26" s="56">
        <f t="shared" si="19"/>
        <v>-0.75</v>
      </c>
      <c r="AA26" s="55">
        <v>0.16120222222222225</v>
      </c>
      <c r="AB26" s="55">
        <f t="shared" si="27"/>
        <v>-16.684430000000003</v>
      </c>
      <c r="AC26" s="55">
        <v>-7.32</v>
      </c>
      <c r="AD26" s="55">
        <v>-4.102027435897436</v>
      </c>
      <c r="AE26" s="55">
        <v>0</v>
      </c>
      <c r="AF26" s="55"/>
    </row>
    <row r="27" spans="1:32" s="57" customFormat="1" ht="15.75" customHeight="1">
      <c r="A27" s="2" t="s">
        <v>84</v>
      </c>
      <c r="B27" s="2" t="s">
        <v>988</v>
      </c>
      <c r="C27" s="51">
        <f t="shared" si="35"/>
        <v>19.754716981132077</v>
      </c>
      <c r="D27" s="51">
        <v>53</v>
      </c>
      <c r="E27" s="51">
        <v>0</v>
      </c>
      <c r="F27" s="51">
        <v>1047</v>
      </c>
      <c r="G27" s="51">
        <v>-0.57999999999999996</v>
      </c>
      <c r="H27" s="51">
        <f t="shared" si="1"/>
        <v>5.5396370582616995E-4</v>
      </c>
      <c r="I27" s="51">
        <f t="shared" si="2"/>
        <v>0.25289320047510577</v>
      </c>
      <c r="J27" s="51">
        <f t="shared" si="4"/>
        <v>264.77918089743577</v>
      </c>
      <c r="K27" s="51">
        <f t="shared" si="3"/>
        <v>4.9958336018384104</v>
      </c>
      <c r="L27" s="51">
        <v>326</v>
      </c>
      <c r="M27" s="51">
        <f t="shared" si="5"/>
        <v>0.16257668711656442</v>
      </c>
      <c r="N27" s="51">
        <v>126</v>
      </c>
      <c r="O27" s="51">
        <f t="shared" ref="O27:P27" si="37">D27/7</f>
        <v>7.5714285714285712</v>
      </c>
      <c r="P27" s="51">
        <f t="shared" si="37"/>
        <v>0</v>
      </c>
      <c r="Q27" s="51">
        <f t="shared" si="7"/>
        <v>16</v>
      </c>
      <c r="R27" s="55">
        <v>180</v>
      </c>
      <c r="S27" s="53" t="s">
        <v>34</v>
      </c>
      <c r="T27" s="54" t="s">
        <v>34</v>
      </c>
      <c r="U27" s="55">
        <v>0</v>
      </c>
      <c r="V27" s="55">
        <f t="shared" si="8"/>
        <v>0</v>
      </c>
      <c r="W27" s="55">
        <f t="shared" si="9"/>
        <v>0.57999999999999996</v>
      </c>
      <c r="X27" s="55">
        <v>1</v>
      </c>
      <c r="Y27" s="55" t="s">
        <v>35</v>
      </c>
      <c r="Z27" s="56">
        <f t="shared" si="19"/>
        <v>-0.75</v>
      </c>
      <c r="AA27" s="55">
        <v>0.16120222222222225</v>
      </c>
      <c r="AB27" s="55">
        <f t="shared" si="27"/>
        <v>-19.223365000000001</v>
      </c>
      <c r="AC27" s="55">
        <v>-7.32</v>
      </c>
      <c r="AD27" s="55">
        <v>-4.102027435897436</v>
      </c>
      <c r="AE27" s="55">
        <v>0</v>
      </c>
      <c r="AF27" s="55"/>
    </row>
    <row r="28" spans="1:32" s="57" customFormat="1" ht="15.75" customHeight="1">
      <c r="A28" s="2" t="s">
        <v>86</v>
      </c>
      <c r="B28" s="2" t="s">
        <v>1015</v>
      </c>
      <c r="C28" s="51">
        <f t="shared" si="35"/>
        <v>21.354166666666668</v>
      </c>
      <c r="D28" s="51">
        <v>48</v>
      </c>
      <c r="E28" s="51">
        <v>0</v>
      </c>
      <c r="F28" s="51">
        <v>1025</v>
      </c>
      <c r="G28" s="51">
        <v>-3.5300000000000002</v>
      </c>
      <c r="H28" s="51">
        <f t="shared" si="1"/>
        <v>3.4439024390243906E-3</v>
      </c>
      <c r="I28" s="51">
        <f t="shared" si="2"/>
        <v>0.29468570056285176</v>
      </c>
      <c r="J28" s="51">
        <f t="shared" si="4"/>
        <v>302.05284307692307</v>
      </c>
      <c r="K28" s="51">
        <f t="shared" si="3"/>
        <v>6.2927675641025642</v>
      </c>
      <c r="L28" s="51">
        <v>285</v>
      </c>
      <c r="M28" s="51">
        <f t="shared" si="5"/>
        <v>0.16842105263157894</v>
      </c>
      <c r="N28" s="51">
        <v>43</v>
      </c>
      <c r="O28" s="51">
        <f t="shared" ref="O28:P28" si="38">D28/7</f>
        <v>6.8571428571428568</v>
      </c>
      <c r="P28" s="51">
        <f t="shared" si="38"/>
        <v>0</v>
      </c>
      <c r="Q28" s="51">
        <f t="shared" si="7"/>
        <v>6</v>
      </c>
      <c r="R28" s="55">
        <v>180</v>
      </c>
      <c r="S28" s="53" t="s">
        <v>34</v>
      </c>
      <c r="T28" s="54" t="s">
        <v>34</v>
      </c>
      <c r="U28" s="55">
        <v>4</v>
      </c>
      <c r="V28" s="55">
        <f t="shared" si="8"/>
        <v>8.3333333333333329E-2</v>
      </c>
      <c r="W28" s="55">
        <f t="shared" si="9"/>
        <v>0.39222222222222225</v>
      </c>
      <c r="X28" s="55">
        <v>5</v>
      </c>
      <c r="Y28" s="55" t="s">
        <v>35</v>
      </c>
      <c r="Z28" s="56">
        <f t="shared" si="19"/>
        <v>-0.75</v>
      </c>
      <c r="AA28" s="55">
        <v>0.16120222222222225</v>
      </c>
      <c r="AB28" s="55">
        <f t="shared" si="27"/>
        <v>-17.409840000000003</v>
      </c>
      <c r="AC28" s="55">
        <v>-7.32</v>
      </c>
      <c r="AD28" s="55">
        <v>-4.102027435897436</v>
      </c>
      <c r="AE28" s="55">
        <v>0</v>
      </c>
      <c r="AF28" s="55"/>
    </row>
    <row r="29" spans="1:32" s="57" customFormat="1" ht="15.75" customHeight="1">
      <c r="A29" s="2" t="s">
        <v>87</v>
      </c>
      <c r="B29" s="2" t="s">
        <v>921</v>
      </c>
      <c r="C29" s="51">
        <f t="shared" si="35"/>
        <v>22.351351351351351</v>
      </c>
      <c r="D29" s="51">
        <v>74</v>
      </c>
      <c r="E29" s="51">
        <v>0</v>
      </c>
      <c r="F29" s="51">
        <v>1654</v>
      </c>
      <c r="G29" s="51">
        <v>-8.93</v>
      </c>
      <c r="H29" s="51">
        <f t="shared" si="1"/>
        <v>5.399032648125756E-3</v>
      </c>
      <c r="I29" s="51">
        <f t="shared" si="2"/>
        <v>0.3173517531702475</v>
      </c>
      <c r="J29" s="51">
        <f t="shared" si="4"/>
        <v>524.89979974358937</v>
      </c>
      <c r="K29" s="51">
        <f t="shared" si="3"/>
        <v>7.0932405370755323</v>
      </c>
      <c r="L29" s="51">
        <v>352</v>
      </c>
      <c r="M29" s="51">
        <f t="shared" si="5"/>
        <v>0.21022727272727273</v>
      </c>
      <c r="N29" s="51">
        <v>1</v>
      </c>
      <c r="O29" s="51">
        <f t="shared" ref="O29:P29" si="39">D29/7</f>
        <v>10.571428571428571</v>
      </c>
      <c r="P29" s="51">
        <f t="shared" si="39"/>
        <v>0</v>
      </c>
      <c r="Q29" s="51">
        <f t="shared" si="7"/>
        <v>0</v>
      </c>
      <c r="R29" s="55">
        <v>180</v>
      </c>
      <c r="S29" s="53" t="s">
        <v>34</v>
      </c>
      <c r="T29" s="54" t="s">
        <v>34</v>
      </c>
      <c r="U29" s="55">
        <v>8</v>
      </c>
      <c r="V29" s="55">
        <f t="shared" si="8"/>
        <v>0.10810810810810811</v>
      </c>
      <c r="W29" s="55">
        <f t="shared" si="9"/>
        <v>0.63785714285714279</v>
      </c>
      <c r="X29" s="55">
        <v>6</v>
      </c>
      <c r="Y29" s="55" t="s">
        <v>35</v>
      </c>
      <c r="Z29" s="56">
        <f t="shared" si="19"/>
        <v>-0.75</v>
      </c>
      <c r="AA29" s="55">
        <v>0.16120222222222225</v>
      </c>
      <c r="AB29" s="55">
        <f t="shared" si="27"/>
        <v>-26.840170000000004</v>
      </c>
      <c r="AC29" s="55">
        <v>-7.32</v>
      </c>
      <c r="AD29" s="55">
        <v>-4.102027435897436</v>
      </c>
      <c r="AE29" s="55">
        <v>0</v>
      </c>
      <c r="AF29" s="55"/>
    </row>
    <row r="30" spans="1:32" s="57" customFormat="1" ht="15.75" customHeight="1">
      <c r="A30" s="2" t="s">
        <v>89</v>
      </c>
      <c r="B30" s="2"/>
      <c r="C30" s="51">
        <f t="shared" si="35"/>
        <v>23.25</v>
      </c>
      <c r="D30" s="51">
        <v>4</v>
      </c>
      <c r="E30" s="51">
        <v>0</v>
      </c>
      <c r="F30" s="51">
        <v>93</v>
      </c>
      <c r="G30" s="51">
        <v>-1.6</v>
      </c>
      <c r="H30" s="51">
        <f t="shared" si="1"/>
        <v>1.7204301075268817E-2</v>
      </c>
      <c r="I30" s="51">
        <f t="shared" si="2"/>
        <v>0.32592548662806725</v>
      </c>
      <c r="J30" s="51">
        <f t="shared" si="4"/>
        <v>30.311070256410254</v>
      </c>
      <c r="K30" s="51">
        <f t="shared" si="3"/>
        <v>7.5777675641025635</v>
      </c>
      <c r="L30" s="51">
        <v>41</v>
      </c>
      <c r="M30" s="51">
        <f t="shared" si="5"/>
        <v>9.7560975609756101E-2</v>
      </c>
      <c r="N30" s="51">
        <v>0</v>
      </c>
      <c r="O30" s="51">
        <f t="shared" ref="O30:P30" si="40">D30/7</f>
        <v>0.5714285714285714</v>
      </c>
      <c r="P30" s="51">
        <f t="shared" si="40"/>
        <v>0</v>
      </c>
      <c r="Q30" s="51">
        <f t="shared" si="7"/>
        <v>0</v>
      </c>
      <c r="R30" s="55">
        <v>320</v>
      </c>
      <c r="S30" s="53">
        <v>80</v>
      </c>
      <c r="T30" s="54">
        <v>44058</v>
      </c>
      <c r="U30" s="55">
        <v>0</v>
      </c>
      <c r="V30" s="55">
        <f t="shared" si="8"/>
        <v>0</v>
      </c>
      <c r="W30" s="55">
        <f t="shared" si="9"/>
        <v>0</v>
      </c>
      <c r="X30" s="55">
        <v>0</v>
      </c>
      <c r="Y30" s="55" t="s">
        <v>35</v>
      </c>
      <c r="Z30" s="56">
        <f t="shared" si="19"/>
        <v>-0.75</v>
      </c>
      <c r="AA30" s="55">
        <v>0.16120222222222225</v>
      </c>
      <c r="AB30" s="55">
        <f t="shared" si="27"/>
        <v>-1.4508200000000002</v>
      </c>
      <c r="AC30" s="55">
        <v>-7.32</v>
      </c>
      <c r="AD30" s="55">
        <v>-4.102027435897436</v>
      </c>
      <c r="AE30" s="55">
        <v>0</v>
      </c>
      <c r="AF30" s="55"/>
    </row>
    <row r="31" spans="1:32" s="57" customFormat="1" ht="15.75" customHeight="1">
      <c r="A31" s="2" t="s">
        <v>90</v>
      </c>
      <c r="B31" s="2"/>
      <c r="C31" s="51">
        <f t="shared" si="35"/>
        <v>25</v>
      </c>
      <c r="D31" s="51">
        <v>1</v>
      </c>
      <c r="E31" s="51">
        <v>0</v>
      </c>
      <c r="F31" s="51">
        <v>25</v>
      </c>
      <c r="G31" s="51">
        <v>0</v>
      </c>
      <c r="H31" s="51">
        <f t="shared" si="1"/>
        <v>0</v>
      </c>
      <c r="I31" s="51">
        <f t="shared" si="2"/>
        <v>0.37861070256410251</v>
      </c>
      <c r="J31" s="51">
        <f t="shared" si="4"/>
        <v>9.4652675641025628</v>
      </c>
      <c r="K31" s="51">
        <f t="shared" si="3"/>
        <v>9.4652675641025628</v>
      </c>
      <c r="L31" s="51">
        <v>0</v>
      </c>
      <c r="M31" s="51" t="str">
        <f t="shared" si="5"/>
        <v>-</v>
      </c>
      <c r="N31" s="51">
        <v>0</v>
      </c>
      <c r="O31" s="51">
        <f t="shared" ref="O31:P31" si="41">D31/7</f>
        <v>0.14285714285714285</v>
      </c>
      <c r="P31" s="51">
        <f t="shared" si="41"/>
        <v>0</v>
      </c>
      <c r="Q31" s="51">
        <f t="shared" si="7"/>
        <v>0</v>
      </c>
      <c r="R31" s="55">
        <v>240</v>
      </c>
      <c r="S31" s="53">
        <v>80</v>
      </c>
      <c r="T31" s="54">
        <v>44058</v>
      </c>
      <c r="U31" s="55">
        <v>0</v>
      </c>
      <c r="V31" s="55">
        <f t="shared" si="8"/>
        <v>0</v>
      </c>
      <c r="W31" s="55">
        <f t="shared" si="9"/>
        <v>0</v>
      </c>
      <c r="X31" s="55">
        <v>0</v>
      </c>
      <c r="Y31" s="55" t="s">
        <v>35</v>
      </c>
      <c r="Z31" s="56">
        <f t="shared" si="19"/>
        <v>-0.75</v>
      </c>
      <c r="AA31" s="55">
        <v>0.16120222222222225</v>
      </c>
      <c r="AB31" s="55">
        <f t="shared" si="27"/>
        <v>-0.36270500000000006</v>
      </c>
      <c r="AC31" s="55">
        <v>-7.32</v>
      </c>
      <c r="AD31" s="55">
        <v>-4.102027435897436</v>
      </c>
      <c r="AE31" s="55">
        <v>0</v>
      </c>
      <c r="AF31" s="55"/>
    </row>
    <row r="32" spans="1:32" s="57" customFormat="1" ht="15.75" customHeight="1">
      <c r="A32" s="2" t="s">
        <v>92</v>
      </c>
      <c r="B32" s="2"/>
      <c r="C32" s="51">
        <f t="shared" si="35"/>
        <v>24</v>
      </c>
      <c r="D32" s="51">
        <v>4</v>
      </c>
      <c r="E32" s="51">
        <v>0</v>
      </c>
      <c r="F32" s="51">
        <v>96</v>
      </c>
      <c r="G32" s="51">
        <v>-0.4</v>
      </c>
      <c r="H32" s="51">
        <f t="shared" si="1"/>
        <v>4.1666666666666666E-3</v>
      </c>
      <c r="I32" s="51">
        <f t="shared" si="2"/>
        <v>0.35480281517093998</v>
      </c>
      <c r="J32" s="51">
        <f t="shared" si="4"/>
        <v>34.06107025641024</v>
      </c>
      <c r="K32" s="51">
        <f t="shared" si="3"/>
        <v>8.5152675641025599</v>
      </c>
      <c r="L32" s="51">
        <v>24</v>
      </c>
      <c r="M32" s="51">
        <f t="shared" si="5"/>
        <v>0.16666666666666666</v>
      </c>
      <c r="N32" s="51">
        <v>0</v>
      </c>
      <c r="O32" s="51">
        <f t="shared" ref="O32:P32" si="42">D32/7</f>
        <v>0.5714285714285714</v>
      </c>
      <c r="P32" s="51">
        <f t="shared" si="42"/>
        <v>0</v>
      </c>
      <c r="Q32" s="51">
        <f t="shared" si="7"/>
        <v>0</v>
      </c>
      <c r="R32" s="55">
        <v>140</v>
      </c>
      <c r="S32" s="53" t="s">
        <v>34</v>
      </c>
      <c r="T32" s="54" t="s">
        <v>34</v>
      </c>
      <c r="U32" s="55">
        <v>0</v>
      </c>
      <c r="V32" s="55">
        <f t="shared" si="8"/>
        <v>0</v>
      </c>
      <c r="W32" s="55">
        <f t="shared" si="9"/>
        <v>0</v>
      </c>
      <c r="X32" s="55">
        <v>0</v>
      </c>
      <c r="Y32" s="55" t="s">
        <v>35</v>
      </c>
      <c r="Z32" s="56">
        <f t="shared" si="19"/>
        <v>-0.75</v>
      </c>
      <c r="AA32" s="55">
        <v>0.16120222222222225</v>
      </c>
      <c r="AB32" s="55">
        <f t="shared" si="27"/>
        <v>-1.4508200000000002</v>
      </c>
      <c r="AC32" s="55">
        <v>-7.32</v>
      </c>
      <c r="AD32" s="55">
        <v>-4.102027435897436</v>
      </c>
      <c r="AE32" s="55">
        <v>0</v>
      </c>
      <c r="AF32" s="52">
        <v>2.7112171837708798</v>
      </c>
    </row>
    <row r="33" spans="1:32" s="57" customFormat="1" ht="15.75" customHeight="1">
      <c r="A33" s="2" t="s">
        <v>94</v>
      </c>
      <c r="B33" s="2"/>
      <c r="C33" s="51">
        <f t="shared" si="35"/>
        <v>23.5</v>
      </c>
      <c r="D33" s="51">
        <v>2</v>
      </c>
      <c r="E33" s="51">
        <v>0</v>
      </c>
      <c r="F33" s="51">
        <v>47</v>
      </c>
      <c r="G33" s="51">
        <v>-0.2</v>
      </c>
      <c r="H33" s="51">
        <f t="shared" si="1"/>
        <v>4.2553191489361703E-3</v>
      </c>
      <c r="I33" s="51">
        <f t="shared" si="2"/>
        <v>0.34426670485542804</v>
      </c>
      <c r="J33" s="51">
        <f t="shared" si="4"/>
        <v>16.180535128205118</v>
      </c>
      <c r="K33" s="51">
        <f t="shared" si="3"/>
        <v>8.0902675641025592</v>
      </c>
      <c r="L33" s="51">
        <v>12</v>
      </c>
      <c r="M33" s="51">
        <f t="shared" si="5"/>
        <v>0.16666666666666666</v>
      </c>
      <c r="N33" s="51">
        <v>0</v>
      </c>
      <c r="O33" s="51">
        <f t="shared" ref="O33:P33" si="43">D33/7</f>
        <v>0.2857142857142857</v>
      </c>
      <c r="P33" s="51">
        <f t="shared" si="43"/>
        <v>0</v>
      </c>
      <c r="Q33" s="51">
        <f t="shared" si="7"/>
        <v>0</v>
      </c>
      <c r="R33" s="55">
        <v>140</v>
      </c>
      <c r="S33" s="53" t="s">
        <v>34</v>
      </c>
      <c r="T33" s="54">
        <v>44058</v>
      </c>
      <c r="U33" s="55">
        <v>0</v>
      </c>
      <c r="V33" s="55">
        <f t="shared" si="8"/>
        <v>0</v>
      </c>
      <c r="W33" s="55">
        <f t="shared" si="9"/>
        <v>0</v>
      </c>
      <c r="X33" s="55">
        <v>0</v>
      </c>
      <c r="Y33" s="55" t="s">
        <v>35</v>
      </c>
      <c r="Z33" s="56">
        <f t="shared" si="19"/>
        <v>-0.75</v>
      </c>
      <c r="AA33" s="55">
        <v>0.16120222222222225</v>
      </c>
      <c r="AB33" s="55">
        <f t="shared" si="27"/>
        <v>-0.72541000000000011</v>
      </c>
      <c r="AC33" s="55">
        <v>-7.32</v>
      </c>
      <c r="AD33" s="55">
        <v>-4.102027435897436</v>
      </c>
      <c r="AE33" s="55">
        <v>0</v>
      </c>
      <c r="AF33" s="55">
        <v>3.1549295774647801</v>
      </c>
    </row>
    <row r="34" spans="1:32" s="57" customFormat="1" ht="15.75" customHeight="1">
      <c r="A34" s="2" t="s">
        <v>95</v>
      </c>
      <c r="B34" s="2"/>
      <c r="C34" s="51" t="str">
        <f t="shared" si="35"/>
        <v xml:space="preserve"> - </v>
      </c>
      <c r="D34" s="51">
        <v>0</v>
      </c>
      <c r="E34" s="51">
        <v>0</v>
      </c>
      <c r="F34" s="51">
        <v>0</v>
      </c>
      <c r="G34" s="51">
        <v>0</v>
      </c>
      <c r="H34" s="51" t="e">
        <f t="shared" si="1"/>
        <v>#DIV/0!</v>
      </c>
      <c r="I34" s="51" t="e">
        <f t="shared" si="2"/>
        <v>#DIV/0!</v>
      </c>
      <c r="J34" s="51">
        <f t="shared" si="4"/>
        <v>0</v>
      </c>
      <c r="K34" s="51" t="e">
        <f t="shared" si="3"/>
        <v>#DIV/0!</v>
      </c>
      <c r="L34" s="51">
        <v>0</v>
      </c>
      <c r="M34" s="51" t="str">
        <f t="shared" si="5"/>
        <v>-</v>
      </c>
      <c r="N34" s="51">
        <v>0</v>
      </c>
      <c r="O34" s="51">
        <f t="shared" ref="O34:P34" si="44">D34/7</f>
        <v>0</v>
      </c>
      <c r="P34" s="51">
        <f t="shared" si="44"/>
        <v>0</v>
      </c>
      <c r="Q34" s="51" t="e">
        <f t="shared" si="7"/>
        <v>#DIV/0!</v>
      </c>
      <c r="R34" s="55">
        <v>320</v>
      </c>
      <c r="S34" s="53">
        <v>80</v>
      </c>
      <c r="T34" s="54">
        <v>44058</v>
      </c>
      <c r="U34" s="55">
        <v>0</v>
      </c>
      <c r="V34" s="55">
        <f t="shared" si="8"/>
        <v>0</v>
      </c>
      <c r="W34" s="55">
        <f t="shared" si="9"/>
        <v>0</v>
      </c>
      <c r="X34" s="55">
        <v>0</v>
      </c>
      <c r="Y34" s="55" t="e">
        <v>#N/A</v>
      </c>
      <c r="Z34" s="56" t="e">
        <f t="shared" si="19"/>
        <v>#N/A</v>
      </c>
      <c r="AA34" s="55" t="e">
        <v>#N/A</v>
      </c>
      <c r="AB34" s="55">
        <f t="shared" si="27"/>
        <v>0</v>
      </c>
      <c r="AC34" s="55">
        <v>0</v>
      </c>
      <c r="AD34" s="55">
        <v>-4.102027435897436</v>
      </c>
      <c r="AE34" s="55">
        <v>0</v>
      </c>
      <c r="AF34" s="55" t="e">
        <v>#N/A</v>
      </c>
    </row>
    <row r="35" spans="1:32" s="57" customFormat="1" ht="15.75" customHeight="1">
      <c r="A35" s="2" t="s">
        <v>96</v>
      </c>
      <c r="B35" s="2"/>
      <c r="C35" s="51" t="str">
        <f t="shared" si="35"/>
        <v xml:space="preserve"> - </v>
      </c>
      <c r="D35" s="51">
        <v>0</v>
      </c>
      <c r="E35" s="51">
        <v>0</v>
      </c>
      <c r="F35" s="51">
        <v>0</v>
      </c>
      <c r="G35" s="51">
        <v>0</v>
      </c>
      <c r="H35" s="51" t="e">
        <f t="shared" si="1"/>
        <v>#DIV/0!</v>
      </c>
      <c r="I35" s="51" t="e">
        <f t="shared" si="2"/>
        <v>#DIV/0!</v>
      </c>
      <c r="J35" s="51">
        <f t="shared" si="4"/>
        <v>0</v>
      </c>
      <c r="K35" s="51" t="e">
        <f t="shared" si="3"/>
        <v>#DIV/0!</v>
      </c>
      <c r="L35" s="51">
        <v>0</v>
      </c>
      <c r="M35" s="51" t="str">
        <f t="shared" si="5"/>
        <v>-</v>
      </c>
      <c r="N35" s="51">
        <v>0</v>
      </c>
      <c r="O35" s="51">
        <f t="shared" ref="O35:P35" si="45">D35/7</f>
        <v>0</v>
      </c>
      <c r="P35" s="51">
        <f t="shared" si="45"/>
        <v>0</v>
      </c>
      <c r="Q35" s="51" t="e">
        <f t="shared" si="7"/>
        <v>#DIV/0!</v>
      </c>
      <c r="R35" s="55">
        <v>240</v>
      </c>
      <c r="S35" s="53">
        <v>180</v>
      </c>
      <c r="T35" s="54">
        <v>44070</v>
      </c>
      <c r="U35" s="55">
        <v>0</v>
      </c>
      <c r="V35" s="55">
        <f t="shared" si="8"/>
        <v>0</v>
      </c>
      <c r="W35" s="55">
        <f t="shared" si="9"/>
        <v>0</v>
      </c>
      <c r="X35" s="55">
        <v>0</v>
      </c>
      <c r="Y35" s="55" t="e">
        <v>#N/A</v>
      </c>
      <c r="Z35" s="56" t="e">
        <f t="shared" si="19"/>
        <v>#N/A</v>
      </c>
      <c r="AA35" s="55" t="e">
        <v>#N/A</v>
      </c>
      <c r="AB35" s="55">
        <f t="shared" si="27"/>
        <v>0</v>
      </c>
      <c r="AC35" s="55">
        <v>0</v>
      </c>
      <c r="AD35" s="55">
        <v>-4.102027435897436</v>
      </c>
      <c r="AE35" s="55">
        <v>0</v>
      </c>
      <c r="AF35" s="55" t="e">
        <v>#N/A</v>
      </c>
    </row>
    <row r="36" spans="1:32" s="57" customFormat="1" ht="15.75" customHeight="1">
      <c r="A36" s="2" t="s">
        <v>98</v>
      </c>
      <c r="B36" s="2"/>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v>240</v>
      </c>
      <c r="S36" s="53"/>
      <c r="T36" s="54">
        <v>44070</v>
      </c>
      <c r="U36" s="55"/>
      <c r="V36" s="55">
        <f t="shared" si="8"/>
        <v>0</v>
      </c>
      <c r="W36" s="55">
        <f t="shared" si="9"/>
        <v>0</v>
      </c>
      <c r="X36" s="55"/>
      <c r="Y36" s="55" t="e">
        <v>#N/A</v>
      </c>
      <c r="Z36" s="56" t="e">
        <f t="shared" si="19"/>
        <v>#N/A</v>
      </c>
      <c r="AA36" s="55" t="e">
        <v>#N/A</v>
      </c>
      <c r="AB36" s="55">
        <f t="shared" si="27"/>
        <v>0</v>
      </c>
      <c r="AC36" s="55">
        <v>0</v>
      </c>
      <c r="AD36" s="55">
        <v>-4.2326774358974362</v>
      </c>
      <c r="AE36" s="55">
        <v>0</v>
      </c>
      <c r="AF36" s="55" t="e">
        <v>#N/A</v>
      </c>
    </row>
    <row r="37" spans="1:32" s="57" customFormat="1" ht="15.75" customHeight="1">
      <c r="A37" s="2" t="s">
        <v>99</v>
      </c>
      <c r="B37" s="2"/>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v>240</v>
      </c>
      <c r="S37" s="53">
        <v>180</v>
      </c>
      <c r="T37" s="54">
        <v>44070</v>
      </c>
      <c r="U37" s="55">
        <v>0</v>
      </c>
      <c r="V37" s="55">
        <f t="shared" si="8"/>
        <v>0</v>
      </c>
      <c r="W37" s="55">
        <f t="shared" si="9"/>
        <v>0</v>
      </c>
      <c r="X37" s="55">
        <v>0</v>
      </c>
      <c r="Y37" s="55" t="e">
        <v>#N/A</v>
      </c>
      <c r="Z37" s="56" t="e">
        <f t="shared" si="19"/>
        <v>#N/A</v>
      </c>
      <c r="AA37" s="55" t="e">
        <v>#N/A</v>
      </c>
      <c r="AB37" s="55">
        <f t="shared" si="27"/>
        <v>0</v>
      </c>
      <c r="AC37" s="55">
        <v>0</v>
      </c>
      <c r="AD37" s="55">
        <v>-4.2326774358974362</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5">
        <v>60</v>
      </c>
      <c r="S38" s="53"/>
      <c r="T38" s="54" t="s">
        <v>34</v>
      </c>
      <c r="U38" s="55">
        <v>0</v>
      </c>
      <c r="V38" s="55">
        <f t="shared" si="8"/>
        <v>0</v>
      </c>
      <c r="W38" s="55">
        <f t="shared" si="9"/>
        <v>0</v>
      </c>
      <c r="X38" s="55">
        <v>0</v>
      </c>
      <c r="Y38" s="55" t="e">
        <v>#N/A</v>
      </c>
      <c r="Z38" s="56" t="e">
        <f t="shared" si="19"/>
        <v>#N/A</v>
      </c>
      <c r="AA38" s="55" t="e">
        <v>#N/A</v>
      </c>
      <c r="AB38" s="55">
        <f t="shared" si="27"/>
        <v>0</v>
      </c>
      <c r="AC38" s="55">
        <v>0</v>
      </c>
      <c r="AD38" s="55">
        <v>-4.2326774358974362</v>
      </c>
      <c r="AE38" s="55">
        <v>0</v>
      </c>
      <c r="AF38" s="55" t="e">
        <v>#N/A</v>
      </c>
    </row>
    <row r="39" spans="1:32" s="57" customFormat="1" ht="15.75" customHeight="1">
      <c r="A39" s="2" t="s">
        <v>101</v>
      </c>
      <c r="B39" s="2" t="s">
        <v>1033</v>
      </c>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180</v>
      </c>
      <c r="O39" s="51">
        <f t="shared" ref="O39:P39" si="49">D39/7</f>
        <v>0</v>
      </c>
      <c r="P39" s="51">
        <f t="shared" si="49"/>
        <v>0</v>
      </c>
      <c r="Q39" s="51" t="e">
        <f t="shared" si="7"/>
        <v>#DIV/0!</v>
      </c>
      <c r="R39" s="55">
        <v>60</v>
      </c>
      <c r="S39" s="53" t="s">
        <v>34</v>
      </c>
      <c r="T39" s="54" t="s">
        <v>34</v>
      </c>
      <c r="U39" s="55">
        <v>0</v>
      </c>
      <c r="V39" s="55">
        <f t="shared" si="8"/>
        <v>0</v>
      </c>
      <c r="W39" s="55">
        <f t="shared" si="9"/>
        <v>0</v>
      </c>
      <c r="X39" s="55">
        <v>0</v>
      </c>
      <c r="Y39" s="55" t="s">
        <v>35</v>
      </c>
      <c r="Z39" s="56">
        <f t="shared" si="19"/>
        <v>-0.75</v>
      </c>
      <c r="AA39" s="55">
        <v>0.16120222222222225</v>
      </c>
      <c r="AB39" s="55">
        <f t="shared" si="27"/>
        <v>0</v>
      </c>
      <c r="AC39" s="55">
        <v>-7.32</v>
      </c>
      <c r="AD39" s="55">
        <v>-4.23267743589743</v>
      </c>
      <c r="AE39" s="55">
        <v>0</v>
      </c>
      <c r="AF39" s="55">
        <v>3.02857142857142</v>
      </c>
    </row>
    <row r="40" spans="1:32" s="57" customFormat="1" ht="15.75" customHeight="1">
      <c r="A40" s="2" t="s">
        <v>102</v>
      </c>
      <c r="B40" s="2" t="s">
        <v>1034</v>
      </c>
      <c r="C40" s="51">
        <v>23</v>
      </c>
      <c r="D40" s="51">
        <v>1</v>
      </c>
      <c r="E40" s="51">
        <v>0</v>
      </c>
      <c r="F40" s="51">
        <v>23</v>
      </c>
      <c r="G40" s="51">
        <v>-0.08</v>
      </c>
      <c r="H40" s="51">
        <v>3.4782608695652175E-3</v>
      </c>
      <c r="I40" s="51">
        <v>0.32846163322185101</v>
      </c>
      <c r="J40" s="51">
        <v>7.554617564102573</v>
      </c>
      <c r="K40" s="51">
        <v>7.554617564102573</v>
      </c>
      <c r="L40" s="51">
        <v>7</v>
      </c>
      <c r="M40" s="51">
        <v>0.14285714285714285</v>
      </c>
      <c r="N40" s="51">
        <v>174</v>
      </c>
      <c r="O40" s="51">
        <v>0.14285714285714285</v>
      </c>
      <c r="P40" s="51">
        <v>0</v>
      </c>
      <c r="Q40" s="51">
        <v>1218</v>
      </c>
      <c r="R40" s="55">
        <v>60</v>
      </c>
      <c r="S40" s="53" t="s">
        <v>34</v>
      </c>
      <c r="T40" s="54" t="s">
        <v>34</v>
      </c>
      <c r="U40" s="55">
        <v>0</v>
      </c>
      <c r="V40" s="55">
        <v>0</v>
      </c>
      <c r="W40" s="55">
        <v>0</v>
      </c>
      <c r="X40" s="55">
        <v>0</v>
      </c>
      <c r="Y40" s="55" t="s">
        <v>35</v>
      </c>
      <c r="Z40" s="56">
        <v>-0.75</v>
      </c>
      <c r="AA40" s="55">
        <v>0.16120222222222225</v>
      </c>
      <c r="AB40" s="55">
        <v>-0.36270500000000006</v>
      </c>
      <c r="AC40" s="55">
        <v>-7.32</v>
      </c>
      <c r="AD40" s="55">
        <v>-4.23267743589743</v>
      </c>
      <c r="AE40" s="55">
        <v>0</v>
      </c>
      <c r="AF40" s="55">
        <v>1.7293729372937201</v>
      </c>
    </row>
    <row r="41" spans="1:32" s="57" customFormat="1" ht="15.75" customHeight="1">
      <c r="A41" s="2" t="s">
        <v>105</v>
      </c>
      <c r="B41" s="2" t="s">
        <v>1035</v>
      </c>
      <c r="C41" s="51">
        <f t="shared" ref="C41:C56" si="50">IFERROR(F41/D41," - ")</f>
        <v>22</v>
      </c>
      <c r="D41" s="51">
        <v>2</v>
      </c>
      <c r="E41" s="51">
        <v>0</v>
      </c>
      <c r="F41" s="51">
        <v>44</v>
      </c>
      <c r="G41" s="51">
        <v>0</v>
      </c>
      <c r="H41" s="51">
        <f t="shared" ref="H41:H56" si="51">G41/F41*-1</f>
        <v>0</v>
      </c>
      <c r="I41" s="51">
        <f t="shared" ref="I41:I56" si="52">J41/F41</f>
        <v>0.30839170745920774</v>
      </c>
      <c r="J41" s="51">
        <f t="shared" ref="J41:J48" si="53">F41*0.85+G41+AD41*D41+D41*AC41+AE42+AB41</f>
        <v>13.56923512820514</v>
      </c>
      <c r="K41" s="51">
        <f t="shared" ref="K41:K56" si="54">J41/D41</f>
        <v>6.7846175641025699</v>
      </c>
      <c r="L41" s="51">
        <v>3</v>
      </c>
      <c r="M41" s="51">
        <f t="shared" ref="M41:M56" si="55">IFERROR(D41/L41,"-")</f>
        <v>0.66666666666666663</v>
      </c>
      <c r="N41" s="51">
        <v>174</v>
      </c>
      <c r="O41" s="51">
        <f t="shared" ref="O41:P41" si="56">D41/7</f>
        <v>0.2857142857142857</v>
      </c>
      <c r="P41" s="51">
        <f t="shared" si="56"/>
        <v>0</v>
      </c>
      <c r="Q41" s="51">
        <f t="shared" ref="Q41:Q56" si="57">ROUNDDOWN(N41/(O41+P41),0)</f>
        <v>609</v>
      </c>
      <c r="R41" s="55">
        <v>60</v>
      </c>
      <c r="S41" s="53" t="s">
        <v>34</v>
      </c>
      <c r="T41" s="54" t="s">
        <v>34</v>
      </c>
      <c r="U41" s="55">
        <v>0</v>
      </c>
      <c r="V41" s="55">
        <f t="shared" ref="V41:V56" si="58">IFERROR(U41/D41,0)</f>
        <v>0</v>
      </c>
      <c r="W41" s="55">
        <f t="shared" ref="W41:W56" si="59">IFERROR(G41/(U41+X41)*-1,0)</f>
        <v>0</v>
      </c>
      <c r="X41" s="55">
        <v>0</v>
      </c>
      <c r="Y41" s="52" t="s">
        <v>35</v>
      </c>
      <c r="Z41" s="56">
        <f t="shared" ref="Z41:Z43" si="60">IF(OR(Y41="UsLargeStandardSize",Y41="UsSmallStandardSize"),-0.75,-0.48)</f>
        <v>-0.75</v>
      </c>
      <c r="AA41" s="55">
        <v>0.16120222222222225</v>
      </c>
      <c r="AB41" s="55">
        <f t="shared" ref="AB41:AB56" si="61">IFERROR(Z41*AA41*D41*3,0)</f>
        <v>-0.72541000000000011</v>
      </c>
      <c r="AC41" s="55">
        <v>-7.32</v>
      </c>
      <c r="AD41" s="55">
        <v>-4.23267743589743</v>
      </c>
      <c r="AE41" s="55">
        <v>0</v>
      </c>
      <c r="AF41" s="55">
        <v>1.1950207468879599</v>
      </c>
    </row>
    <row r="42" spans="1:32" s="57" customFormat="1" ht="15.75" customHeight="1">
      <c r="A42" s="2" t="s">
        <v>106</v>
      </c>
      <c r="B42" s="2" t="s">
        <v>950</v>
      </c>
      <c r="C42" s="51" t="str">
        <f t="shared" si="50"/>
        <v xml:space="preserve"> - </v>
      </c>
      <c r="D42" s="51">
        <v>0</v>
      </c>
      <c r="E42" s="51">
        <v>0</v>
      </c>
      <c r="F42" s="51">
        <v>0</v>
      </c>
      <c r="G42" s="51">
        <v>0</v>
      </c>
      <c r="H42" s="51" t="e">
        <f t="shared" si="51"/>
        <v>#DIV/0!</v>
      </c>
      <c r="I42" s="51" t="e">
        <f t="shared" si="52"/>
        <v>#DIV/0!</v>
      </c>
      <c r="J42" s="51">
        <f t="shared" si="53"/>
        <v>-1</v>
      </c>
      <c r="K42" s="51" t="e">
        <f t="shared" si="54"/>
        <v>#DIV/0!</v>
      </c>
      <c r="L42" s="51">
        <v>0</v>
      </c>
      <c r="M42" s="51" t="str">
        <f t="shared" si="55"/>
        <v>-</v>
      </c>
      <c r="N42" s="51">
        <v>174</v>
      </c>
      <c r="O42" s="51">
        <f t="shared" ref="O42:P42" si="62">D42/7</f>
        <v>0</v>
      </c>
      <c r="P42" s="51">
        <f t="shared" si="62"/>
        <v>0</v>
      </c>
      <c r="Q42" s="51" t="e">
        <f t="shared" si="57"/>
        <v>#DIV/0!</v>
      </c>
      <c r="R42" s="55">
        <f ca="1">IFERROR(__xludf.DUMMYFUNCTION("IFERROR(VLOOKUP($B$2,IMPORTRANGE(""https://docs.google.com/spreadsheets/d/1iVgg6Mw12RULLujzHmfOFIY8Q_KaAD8anoZzgtVAQ74/edit#gid=1503384807"",""Second Star - Summary!A1:AD2000""),9,FALSE),"""")"),80)</f>
        <v>80</v>
      </c>
      <c r="S42" s="53">
        <f ca="1">IFERROR(__xludf.DUMMYFUNCTION("IFERROR(VLOOKUP($B$2,IMPORTRANGE(""https://docs.google.com/spreadsheets/d/1iVgg6Mw12RULLujzHmfOFIY8Q_KaAD8anoZzgtVAQ74/edit#gid=1503384807"",""Second Star - Summary!A1:AD2000""),28,FALSE),"""")"),12)</f>
        <v>12</v>
      </c>
      <c r="T42" s="54">
        <f ca="1">IFERROR(__xludf.DUMMYFUNCTION("IFERROR(VLOOKUP($B$2,IMPORTRANGE(""https://docs.google.com/spreadsheets/d/1iVgg6Mw12RULLujzHmfOFIY8Q_KaAD8anoZzgtVAQ74/edit#gid=1503384807"",""Second Star - Summary!A1:AD2000""),29,FALSE),"""")"),44324)</f>
        <v>44324</v>
      </c>
      <c r="U42" s="55">
        <v>0</v>
      </c>
      <c r="V42" s="55">
        <f t="shared" si="58"/>
        <v>0</v>
      </c>
      <c r="W42" s="55">
        <f t="shared" si="59"/>
        <v>0</v>
      </c>
      <c r="X42" s="55">
        <v>0</v>
      </c>
      <c r="Y42" s="55" t="e">
        <v>#N/A</v>
      </c>
      <c r="Z42" s="56" t="e">
        <f t="shared" si="60"/>
        <v>#N/A</v>
      </c>
      <c r="AA42" s="55" t="e">
        <v>#N/A</v>
      </c>
      <c r="AB42" s="55">
        <f t="shared" si="61"/>
        <v>0</v>
      </c>
      <c r="AC42" s="55">
        <v>0</v>
      </c>
      <c r="AD42" s="55">
        <v>-4.23267743589743</v>
      </c>
      <c r="AE42" s="55">
        <v>0</v>
      </c>
      <c r="AF42" s="55">
        <v>0.22727272727272699</v>
      </c>
    </row>
    <row r="43" spans="1:32" s="57" customFormat="1" ht="15.75" customHeight="1">
      <c r="A43" s="2" t="s">
        <v>107</v>
      </c>
      <c r="B43" s="2" t="s">
        <v>1036</v>
      </c>
      <c r="C43" s="51">
        <f t="shared" si="50"/>
        <v>17.989999999999998</v>
      </c>
      <c r="D43" s="51">
        <v>3</v>
      </c>
      <c r="E43" s="51">
        <v>0</v>
      </c>
      <c r="F43" s="51">
        <v>53.97</v>
      </c>
      <c r="G43" s="51">
        <v>-17.54</v>
      </c>
      <c r="H43" s="51">
        <f t="shared" si="51"/>
        <v>0.32499536779692423</v>
      </c>
      <c r="I43" s="51">
        <f t="shared" si="52"/>
        <v>-0.13732902182123946</v>
      </c>
      <c r="J43" s="51">
        <f t="shared" si="53"/>
        <v>-7.4116473076922933</v>
      </c>
      <c r="K43" s="51">
        <f t="shared" si="54"/>
        <v>-2.4705491025640978</v>
      </c>
      <c r="L43" s="51">
        <v>33</v>
      </c>
      <c r="M43" s="51">
        <f t="shared" si="55"/>
        <v>9.0909090909090912E-2</v>
      </c>
      <c r="N43" s="51">
        <v>172</v>
      </c>
      <c r="O43" s="51">
        <f t="shared" ref="O43:P43" si="63">D43/7</f>
        <v>0.42857142857142855</v>
      </c>
      <c r="P43" s="51">
        <f t="shared" si="63"/>
        <v>0</v>
      </c>
      <c r="Q43" s="51">
        <f t="shared" si="57"/>
        <v>401</v>
      </c>
      <c r="R43" s="55">
        <v>60</v>
      </c>
      <c r="S43" s="53" t="s">
        <v>34</v>
      </c>
      <c r="T43" s="54" t="s">
        <v>34</v>
      </c>
      <c r="U43" s="55">
        <v>2</v>
      </c>
      <c r="V43" s="55">
        <f t="shared" si="58"/>
        <v>0.66666666666666663</v>
      </c>
      <c r="W43" s="55">
        <f t="shared" si="59"/>
        <v>8.77</v>
      </c>
      <c r="X43" s="55">
        <v>0</v>
      </c>
      <c r="Y43" s="55" t="s">
        <v>35</v>
      </c>
      <c r="Z43" s="56">
        <f t="shared" si="60"/>
        <v>-0.75</v>
      </c>
      <c r="AA43" s="55">
        <v>0.16120222222222225</v>
      </c>
      <c r="AB43" s="55">
        <f t="shared" si="61"/>
        <v>-1.0881150000000002</v>
      </c>
      <c r="AC43" s="55">
        <v>-7.32</v>
      </c>
      <c r="AD43" s="55">
        <v>-4.23267743589743</v>
      </c>
      <c r="AE43" s="55">
        <v>-1</v>
      </c>
      <c r="AF43" s="55">
        <v>0.14647887323943601</v>
      </c>
    </row>
    <row r="44" spans="1:32" s="57" customFormat="1" ht="15.75" customHeight="1">
      <c r="A44" s="2" t="s">
        <v>108</v>
      </c>
      <c r="B44" s="2" t="s">
        <v>1037</v>
      </c>
      <c r="C44" s="51">
        <f t="shared" si="50"/>
        <v>17.992499999999996</v>
      </c>
      <c r="D44" s="51">
        <v>4</v>
      </c>
      <c r="E44" s="51">
        <v>0</v>
      </c>
      <c r="F44" s="51">
        <v>71.969999999999985</v>
      </c>
      <c r="G44" s="51">
        <v>-27.610000000000003</v>
      </c>
      <c r="H44" s="51">
        <f t="shared" si="51"/>
        <v>0.38363206891760471</v>
      </c>
      <c r="I44" s="51">
        <f t="shared" si="52"/>
        <v>-0.24022278370973663</v>
      </c>
      <c r="J44" s="51">
        <f t="shared" si="53"/>
        <v>-17.288833743589741</v>
      </c>
      <c r="K44" s="51">
        <f t="shared" si="54"/>
        <v>-4.3222084358974353</v>
      </c>
      <c r="L44" s="51">
        <v>44</v>
      </c>
      <c r="M44" s="51">
        <f t="shared" si="55"/>
        <v>9.0909090909090912E-2</v>
      </c>
      <c r="N44" s="51">
        <v>167</v>
      </c>
      <c r="O44" s="51">
        <f t="shared" ref="O44:P44" si="64">D44/7</f>
        <v>0.5714285714285714</v>
      </c>
      <c r="P44" s="51">
        <f t="shared" si="64"/>
        <v>0</v>
      </c>
      <c r="Q44" s="51">
        <f t="shared" si="57"/>
        <v>292</v>
      </c>
      <c r="R44" s="55">
        <v>60</v>
      </c>
      <c r="S44" s="53" t="s">
        <v>34</v>
      </c>
      <c r="T44" s="54" t="s">
        <v>34</v>
      </c>
      <c r="U44" s="55">
        <v>1</v>
      </c>
      <c r="V44" s="55">
        <f t="shared" si="58"/>
        <v>0.25</v>
      </c>
      <c r="W44" s="55">
        <f t="shared" si="59"/>
        <v>6.9025000000000007</v>
      </c>
      <c r="X44" s="55">
        <v>3</v>
      </c>
      <c r="Y44" s="55" t="s">
        <v>35</v>
      </c>
      <c r="Z44" s="56">
        <f t="shared" ref="Z44:Z56" si="65">IF(OR(Y44="UsLargeStandardSize",Y44="UsSmallStandardSize"),-2.4,-1.2)</f>
        <v>-2.4</v>
      </c>
      <c r="AA44" s="55">
        <v>0.16120222222222225</v>
      </c>
      <c r="AB44" s="55">
        <f t="shared" si="61"/>
        <v>-4.6426240000000005</v>
      </c>
      <c r="AC44" s="55">
        <v>-7.32</v>
      </c>
      <c r="AD44" s="55">
        <v>-4.23267743589743</v>
      </c>
      <c r="AE44" s="55">
        <v>0</v>
      </c>
      <c r="AF44" s="55">
        <v>0.16231884057970999</v>
      </c>
    </row>
    <row r="45" spans="1:32" s="57" customFormat="1" ht="15.75" customHeight="1">
      <c r="A45" s="2" t="s">
        <v>109</v>
      </c>
      <c r="B45" s="2" t="s">
        <v>810</v>
      </c>
      <c r="C45" s="51">
        <f t="shared" si="50"/>
        <v>17.329999999999998</v>
      </c>
      <c r="D45" s="51">
        <v>6</v>
      </c>
      <c r="E45" s="51">
        <v>0</v>
      </c>
      <c r="F45" s="51">
        <v>103.97999999999999</v>
      </c>
      <c r="G45" s="51">
        <v>0</v>
      </c>
      <c r="H45" s="51">
        <f t="shared" si="51"/>
        <v>0</v>
      </c>
      <c r="I45" s="51">
        <f t="shared" si="52"/>
        <v>0.11639737819403168</v>
      </c>
      <c r="J45" s="51">
        <f t="shared" si="53"/>
        <v>12.102999384615412</v>
      </c>
      <c r="K45" s="51">
        <f t="shared" si="54"/>
        <v>2.0171665641025687</v>
      </c>
      <c r="L45" s="51">
        <v>20</v>
      </c>
      <c r="M45" s="51">
        <f t="shared" si="55"/>
        <v>0.3</v>
      </c>
      <c r="N45" s="51">
        <v>165</v>
      </c>
      <c r="O45" s="51">
        <f t="shared" ref="O45:P45" si="66">D45/7</f>
        <v>0.8571428571428571</v>
      </c>
      <c r="P45" s="51">
        <f t="shared" si="66"/>
        <v>0</v>
      </c>
      <c r="Q45" s="51">
        <f t="shared" si="57"/>
        <v>192</v>
      </c>
      <c r="R45" s="55">
        <v>60</v>
      </c>
      <c r="S45" s="53" t="s">
        <v>34</v>
      </c>
      <c r="T45" s="54" t="s">
        <v>34</v>
      </c>
      <c r="U45" s="55">
        <v>0</v>
      </c>
      <c r="V45" s="55">
        <f t="shared" si="58"/>
        <v>0</v>
      </c>
      <c r="W45" s="55">
        <f t="shared" si="59"/>
        <v>0</v>
      </c>
      <c r="X45" s="55">
        <v>0</v>
      </c>
      <c r="Y45" s="55" t="s">
        <v>35</v>
      </c>
      <c r="Z45" s="56">
        <f t="shared" si="65"/>
        <v>-2.4</v>
      </c>
      <c r="AA45" s="55">
        <v>0.16120222222222225</v>
      </c>
      <c r="AB45" s="55">
        <f t="shared" si="61"/>
        <v>-6.9639360000000003</v>
      </c>
      <c r="AC45" s="55">
        <v>-7.32</v>
      </c>
      <c r="AD45" s="55">
        <v>-4.23267743589743</v>
      </c>
      <c r="AE45" s="55">
        <v>0</v>
      </c>
      <c r="AF45" s="55">
        <v>0.21176470588235199</v>
      </c>
    </row>
    <row r="46" spans="1:32" s="57" customFormat="1" ht="15.75" customHeight="1">
      <c r="A46" s="2" t="s">
        <v>111</v>
      </c>
      <c r="B46" s="2" t="s">
        <v>1038</v>
      </c>
      <c r="C46" s="51" t="str">
        <f t="shared" si="50"/>
        <v xml:space="preserve"> - </v>
      </c>
      <c r="D46" s="51">
        <v>0</v>
      </c>
      <c r="E46" s="51">
        <v>0</v>
      </c>
      <c r="F46" s="51">
        <v>0</v>
      </c>
      <c r="G46" s="51">
        <v>0</v>
      </c>
      <c r="H46" s="51" t="e">
        <f t="shared" si="51"/>
        <v>#DIV/0!</v>
      </c>
      <c r="I46" s="51" t="e">
        <f t="shared" si="52"/>
        <v>#DIV/0!</v>
      </c>
      <c r="J46" s="51">
        <f t="shared" si="53"/>
        <v>0</v>
      </c>
      <c r="K46" s="51" t="e">
        <f t="shared" si="54"/>
        <v>#DIV/0!</v>
      </c>
      <c r="L46" s="51">
        <v>0</v>
      </c>
      <c r="M46" s="51" t="str">
        <f t="shared" si="55"/>
        <v>-</v>
      </c>
      <c r="N46" s="51">
        <v>164</v>
      </c>
      <c r="O46" s="51">
        <f t="shared" ref="O46:P46" si="67">D46/7</f>
        <v>0</v>
      </c>
      <c r="P46" s="51">
        <f t="shared" si="67"/>
        <v>0</v>
      </c>
      <c r="Q46" s="51" t="e">
        <f t="shared" si="57"/>
        <v>#DIV/0!</v>
      </c>
      <c r="R46" s="55">
        <v>60</v>
      </c>
      <c r="S46" s="53" t="s">
        <v>34</v>
      </c>
      <c r="T46" s="54" t="s">
        <v>34</v>
      </c>
      <c r="U46" s="55">
        <v>0</v>
      </c>
      <c r="V46" s="55">
        <f t="shared" si="58"/>
        <v>0</v>
      </c>
      <c r="W46" s="55">
        <f t="shared" si="59"/>
        <v>0</v>
      </c>
      <c r="X46" s="55">
        <v>0</v>
      </c>
      <c r="Y46" s="55" t="s">
        <v>35</v>
      </c>
      <c r="Z46" s="56">
        <f t="shared" si="65"/>
        <v>-2.4</v>
      </c>
      <c r="AA46" s="55">
        <v>0.16120222222222225</v>
      </c>
      <c r="AB46" s="55">
        <f t="shared" si="61"/>
        <v>0</v>
      </c>
      <c r="AC46" s="55">
        <v>-7.32</v>
      </c>
      <c r="AD46" s="55">
        <v>-4.23267743589743</v>
      </c>
      <c r="AE46" s="55">
        <v>0</v>
      </c>
      <c r="AF46" s="55">
        <v>0.201183431952662</v>
      </c>
    </row>
    <row r="47" spans="1:32" s="57" customFormat="1" ht="15.75" customHeight="1">
      <c r="A47" s="2" t="s">
        <v>113</v>
      </c>
      <c r="B47" s="2" t="s">
        <v>963</v>
      </c>
      <c r="C47" s="51">
        <f t="shared" si="50"/>
        <v>19</v>
      </c>
      <c r="D47" s="51">
        <v>1</v>
      </c>
      <c r="E47" s="51">
        <v>0</v>
      </c>
      <c r="F47" s="51">
        <v>19</v>
      </c>
      <c r="G47" s="51">
        <v>0</v>
      </c>
      <c r="H47" s="51">
        <f t="shared" si="51"/>
        <v>0</v>
      </c>
      <c r="I47" s="51">
        <f t="shared" si="52"/>
        <v>0.18087718758434573</v>
      </c>
      <c r="J47" s="51">
        <f t="shared" si="53"/>
        <v>3.4366665641025689</v>
      </c>
      <c r="K47" s="51">
        <f t="shared" si="54"/>
        <v>3.4366665641025689</v>
      </c>
      <c r="L47" s="51">
        <v>12</v>
      </c>
      <c r="M47" s="51">
        <f t="shared" si="55"/>
        <v>8.3333333333333329E-2</v>
      </c>
      <c r="N47" s="51">
        <v>164</v>
      </c>
      <c r="O47" s="51">
        <f t="shared" ref="O47:P47" si="68">D47/7</f>
        <v>0.14285714285714285</v>
      </c>
      <c r="P47" s="51">
        <f t="shared" si="68"/>
        <v>0</v>
      </c>
      <c r="Q47" s="51">
        <f t="shared" si="57"/>
        <v>1148</v>
      </c>
      <c r="R47" s="55">
        <v>60</v>
      </c>
      <c r="S47" s="53" t="s">
        <v>34</v>
      </c>
      <c r="T47" s="54" t="s">
        <v>34</v>
      </c>
      <c r="U47" s="55">
        <v>0</v>
      </c>
      <c r="V47" s="55">
        <f t="shared" si="58"/>
        <v>0</v>
      </c>
      <c r="W47" s="55">
        <f t="shared" si="59"/>
        <v>0</v>
      </c>
      <c r="X47" s="55">
        <v>0</v>
      </c>
      <c r="Y47" s="55" t="s">
        <v>35</v>
      </c>
      <c r="Z47" s="56">
        <f t="shared" si="65"/>
        <v>-2.4</v>
      </c>
      <c r="AA47" s="55">
        <v>0.16120222222222225</v>
      </c>
      <c r="AB47" s="55">
        <f t="shared" si="61"/>
        <v>-1.1606560000000001</v>
      </c>
      <c r="AC47" s="55">
        <v>-7.32</v>
      </c>
      <c r="AD47" s="55">
        <v>-4.23267743589743</v>
      </c>
      <c r="AE47" s="55">
        <v>0</v>
      </c>
      <c r="AF47" s="55">
        <v>0.13102119460500899</v>
      </c>
    </row>
    <row r="48" spans="1:32" s="57" customFormat="1" ht="15.75" customHeight="1">
      <c r="A48" s="2" t="s">
        <v>115</v>
      </c>
      <c r="B48" s="2" t="s">
        <v>964</v>
      </c>
      <c r="C48" s="51">
        <f t="shared" si="50"/>
        <v>16</v>
      </c>
      <c r="D48" s="51">
        <v>3</v>
      </c>
      <c r="E48" s="51">
        <v>0</v>
      </c>
      <c r="F48" s="51">
        <v>48</v>
      </c>
      <c r="G48" s="51">
        <v>0</v>
      </c>
      <c r="H48" s="51">
        <f t="shared" si="51"/>
        <v>0</v>
      </c>
      <c r="I48" s="51">
        <f t="shared" si="52"/>
        <v>5.5416660256410531E-2</v>
      </c>
      <c r="J48" s="51">
        <f t="shared" si="53"/>
        <v>2.6599996923077054</v>
      </c>
      <c r="K48" s="51">
        <f t="shared" si="54"/>
        <v>0.8866665641025685</v>
      </c>
      <c r="L48" s="51">
        <v>16</v>
      </c>
      <c r="M48" s="51">
        <f t="shared" si="55"/>
        <v>0.1875</v>
      </c>
      <c r="N48" s="51">
        <v>161</v>
      </c>
      <c r="O48" s="51">
        <f t="shared" ref="O48:P48" si="69">D48/7</f>
        <v>0.42857142857142855</v>
      </c>
      <c r="P48" s="51">
        <f t="shared" si="69"/>
        <v>0</v>
      </c>
      <c r="Q48" s="51">
        <f t="shared" si="57"/>
        <v>375</v>
      </c>
      <c r="R48" s="55">
        <f ca="1">IFERROR(__xludf.DUMMYFUNCTION("IFERROR(VLOOKUP($B$2,IMPORTRANGE(""https://docs.google.com/spreadsheets/d/1iVgg6Mw12RULLujzHmfOFIY8Q_KaAD8anoZzgtVAQ74/edit#gid=1503384807"",""Second Star - Summary!A1:AD2000""),9,FALSE),"""")"),80)</f>
        <v>80</v>
      </c>
      <c r="S48" s="53">
        <f ca="1">IFERROR(__xludf.DUMMYFUNCTION("IFERROR(VLOOKUP($B$2,IMPORTRANGE(""https://docs.google.com/spreadsheets/d/1iVgg6Mw12RULLujzHmfOFIY8Q_KaAD8anoZzgtVAQ74/edit#gid=1503384807"",""Second Star - Summary!A1:AD2000""),28,FALSE),"""")"),12)</f>
        <v>12</v>
      </c>
      <c r="T48" s="54">
        <f ca="1">IFERROR(__xludf.DUMMYFUNCTION("IFERROR(VLOOKUP($B$2,IMPORTRANGE(""https://docs.google.com/spreadsheets/d/1iVgg6Mw12RULLujzHmfOFIY8Q_KaAD8anoZzgtVAQ74/edit#gid=1503384807"",""Second Star - Summary!A1:AD2000""),29,FALSE),"""")"),44324)</f>
        <v>44324</v>
      </c>
      <c r="U48" s="55">
        <v>0</v>
      </c>
      <c r="V48" s="55">
        <f t="shared" si="58"/>
        <v>0</v>
      </c>
      <c r="W48" s="55">
        <f t="shared" si="59"/>
        <v>0</v>
      </c>
      <c r="X48" s="55">
        <v>0</v>
      </c>
      <c r="Y48" s="55" t="s">
        <v>35</v>
      </c>
      <c r="Z48" s="56">
        <f t="shared" si="65"/>
        <v>-2.4</v>
      </c>
      <c r="AA48" s="55">
        <v>0.16120222222222225</v>
      </c>
      <c r="AB48" s="55">
        <f t="shared" si="61"/>
        <v>-3.4819680000000002</v>
      </c>
      <c r="AC48" s="55">
        <v>-7.32</v>
      </c>
      <c r="AD48" s="55">
        <v>-4.23267743589743</v>
      </c>
      <c r="AE48" s="55">
        <v>0</v>
      </c>
      <c r="AF48" s="55">
        <v>0.155642023346303</v>
      </c>
    </row>
    <row r="49" spans="1:32" s="57" customFormat="1" ht="15.75" customHeight="1">
      <c r="A49" s="2" t="s">
        <v>117</v>
      </c>
      <c r="B49" s="2" t="s">
        <v>810</v>
      </c>
      <c r="C49" s="51">
        <f t="shared" si="50"/>
        <v>16</v>
      </c>
      <c r="D49" s="51">
        <v>3</v>
      </c>
      <c r="E49" s="51">
        <v>0</v>
      </c>
      <c r="F49" s="51">
        <v>48</v>
      </c>
      <c r="G49" s="51">
        <v>0</v>
      </c>
      <c r="H49" s="51">
        <f t="shared" si="51"/>
        <v>0</v>
      </c>
      <c r="I49" s="51">
        <f t="shared" si="52"/>
        <v>5.5416660256410531E-2</v>
      </c>
      <c r="J49" s="51">
        <f t="shared" ref="J49:J56" si="70">F49*0.85+G49+AD49*D49+D49*AC49+AE49+AB49</f>
        <v>2.6599996923077054</v>
      </c>
      <c r="K49" s="51">
        <f t="shared" si="54"/>
        <v>0.8866665641025685</v>
      </c>
      <c r="L49" s="51">
        <v>9</v>
      </c>
      <c r="M49" s="51">
        <f t="shared" si="55"/>
        <v>0.33333333333333331</v>
      </c>
      <c r="N49" s="51">
        <v>158</v>
      </c>
      <c r="O49" s="51">
        <f t="shared" ref="O49:P49" si="71">D49/7</f>
        <v>0.42857142857142855</v>
      </c>
      <c r="P49" s="51">
        <f t="shared" si="71"/>
        <v>0</v>
      </c>
      <c r="Q49" s="51">
        <f t="shared" si="57"/>
        <v>368</v>
      </c>
      <c r="R49" s="55">
        <f ca="1">IFERROR(__xludf.DUMMYFUNCTION("IFERROR(VLOOKUP($B$2,IMPORTRANGE(""https://docs.google.com/spreadsheets/d/1iVgg6Mw12RULLujzHmfOFIY8Q_KaAD8anoZzgtVAQ74/edit#gid=1503384807"",""Second Star - Summary!A1:AD2000""),9,FALSE),"""")"),80)</f>
        <v>80</v>
      </c>
      <c r="S49" s="53">
        <f ca="1">IFERROR(__xludf.DUMMYFUNCTION("IFERROR(VLOOKUP($B$2,IMPORTRANGE(""https://docs.google.com/spreadsheets/d/1iVgg6Mw12RULLujzHmfOFIY8Q_KaAD8anoZzgtVAQ74/edit#gid=1503384807"",""Second Star - Summary!A1:AD2000""),28,FALSE),"""")"),12)</f>
        <v>12</v>
      </c>
      <c r="T49" s="54">
        <f ca="1">IFERROR(__xludf.DUMMYFUNCTION("IFERROR(VLOOKUP($B$2,IMPORTRANGE(""https://docs.google.com/spreadsheets/d/1iVgg6Mw12RULLujzHmfOFIY8Q_KaAD8anoZzgtVAQ74/edit#gid=1503384807"",""Second Star - Summary!A1:AD2000""),29,FALSE),"""")"),44324)</f>
        <v>44324</v>
      </c>
      <c r="U49" s="55">
        <v>0</v>
      </c>
      <c r="V49" s="55">
        <f t="shared" si="58"/>
        <v>0</v>
      </c>
      <c r="W49" s="55">
        <f t="shared" si="59"/>
        <v>0</v>
      </c>
      <c r="X49" s="55">
        <v>0</v>
      </c>
      <c r="Y49" s="55" t="s">
        <v>35</v>
      </c>
      <c r="Z49" s="56">
        <f t="shared" si="65"/>
        <v>-2.4</v>
      </c>
      <c r="AA49" s="55">
        <v>0.16120222222222225</v>
      </c>
      <c r="AB49" s="55">
        <f t="shared" si="61"/>
        <v>-3.4819680000000002</v>
      </c>
      <c r="AC49" s="55">
        <v>-7.32</v>
      </c>
      <c r="AD49" s="55">
        <v>-4.23267743589743</v>
      </c>
      <c r="AE49" s="55"/>
      <c r="AF49" s="55">
        <v>0.184368737474949</v>
      </c>
    </row>
    <row r="50" spans="1:32" s="57" customFormat="1" ht="15.75" customHeight="1">
      <c r="A50" s="2" t="s">
        <v>119</v>
      </c>
      <c r="B50" s="2" t="s">
        <v>1039</v>
      </c>
      <c r="C50" s="51">
        <f t="shared" si="50"/>
        <v>16.5</v>
      </c>
      <c r="D50" s="51">
        <v>2</v>
      </c>
      <c r="E50" s="51">
        <v>0</v>
      </c>
      <c r="F50" s="51">
        <v>33</v>
      </c>
      <c r="G50" s="51">
        <v>-0.08</v>
      </c>
      <c r="H50" s="51">
        <f t="shared" si="51"/>
        <v>2.4242424242424242E-3</v>
      </c>
      <c r="I50" s="51">
        <f t="shared" si="52"/>
        <v>7.7070700854701205E-2</v>
      </c>
      <c r="J50" s="51">
        <f t="shared" si="70"/>
        <v>2.5433331282051399</v>
      </c>
      <c r="K50" s="51">
        <f t="shared" si="54"/>
        <v>1.27166656410257</v>
      </c>
      <c r="L50" s="51">
        <v>20</v>
      </c>
      <c r="M50" s="51">
        <f t="shared" si="55"/>
        <v>0.1</v>
      </c>
      <c r="N50" s="51">
        <v>155</v>
      </c>
      <c r="O50" s="51">
        <f t="shared" ref="O50:P50" si="72">D50/7</f>
        <v>0.2857142857142857</v>
      </c>
      <c r="P50" s="51">
        <f t="shared" si="72"/>
        <v>0</v>
      </c>
      <c r="Q50" s="51">
        <f t="shared" si="57"/>
        <v>542</v>
      </c>
      <c r="R50" s="55">
        <f ca="1">IFERROR(__xludf.DUMMYFUNCTION("IFERROR(VLOOKUP($B$2,IMPORTRANGE(""https://docs.google.com/spreadsheets/d/1iVgg6Mw12RULLujzHmfOFIY8Q_KaAD8anoZzgtVAQ74/edit#gid=1503384807"",""Second Star - Summary!A1:AD2000""),9,FALSE),"""")"),80)</f>
        <v>80</v>
      </c>
      <c r="S50" s="53">
        <f ca="1">IFERROR(__xludf.DUMMYFUNCTION("IFERROR(VLOOKUP($B$2,IMPORTRANGE(""https://docs.google.com/spreadsheets/d/1iVgg6Mw12RULLujzHmfOFIY8Q_KaAD8anoZzgtVAQ74/edit#gid=1503384807"",""Second Star - Summary!A1:AD2000""),28,FALSE),"""")"),12)</f>
        <v>12</v>
      </c>
      <c r="T50" s="54">
        <f ca="1">IFERROR(__xludf.DUMMYFUNCTION("IFERROR(VLOOKUP($B$2,IMPORTRANGE(""https://docs.google.com/spreadsheets/d/1iVgg6Mw12RULLujzHmfOFIY8Q_KaAD8anoZzgtVAQ74/edit#gid=1503384807"",""Second Star - Summary!A1:AD2000""),29,FALSE),"""")"),44324)</f>
        <v>44324</v>
      </c>
      <c r="U50" s="55">
        <v>1</v>
      </c>
      <c r="V50" s="55">
        <f t="shared" si="58"/>
        <v>0.5</v>
      </c>
      <c r="W50" s="55">
        <f t="shared" si="59"/>
        <v>0.08</v>
      </c>
      <c r="X50" s="55">
        <v>0</v>
      </c>
      <c r="Y50" s="55" t="s">
        <v>35</v>
      </c>
      <c r="Z50" s="56">
        <f t="shared" si="65"/>
        <v>-2.4</v>
      </c>
      <c r="AA50" s="55">
        <v>0.16120222222222225</v>
      </c>
      <c r="AB50" s="55">
        <f t="shared" si="61"/>
        <v>-2.3213120000000003</v>
      </c>
      <c r="AC50" s="55">
        <v>-7.32</v>
      </c>
      <c r="AD50" s="55">
        <v>-4.23267743589743</v>
      </c>
      <c r="AE50" s="55">
        <v>0</v>
      </c>
      <c r="AF50" s="55">
        <v>0.19354838709677399</v>
      </c>
    </row>
    <row r="51" spans="1:32" s="57" customFormat="1" ht="15.75" customHeight="1">
      <c r="A51" s="2" t="s">
        <v>121</v>
      </c>
      <c r="B51" s="2" t="s">
        <v>978</v>
      </c>
      <c r="C51" s="51" t="str">
        <f t="shared" si="50"/>
        <v xml:space="preserve"> - </v>
      </c>
      <c r="D51" s="51">
        <v>0</v>
      </c>
      <c r="E51" s="51">
        <v>0</v>
      </c>
      <c r="F51" s="51">
        <v>0</v>
      </c>
      <c r="G51" s="51">
        <v>0</v>
      </c>
      <c r="H51" s="51" t="e">
        <f t="shared" si="51"/>
        <v>#DIV/0!</v>
      </c>
      <c r="I51" s="51" t="e">
        <f t="shared" si="52"/>
        <v>#DIV/0!</v>
      </c>
      <c r="J51" s="51">
        <f t="shared" si="70"/>
        <v>0</v>
      </c>
      <c r="K51" s="51" t="e">
        <f t="shared" si="54"/>
        <v>#DIV/0!</v>
      </c>
      <c r="L51" s="51">
        <v>0</v>
      </c>
      <c r="M51" s="51" t="str">
        <f t="shared" si="55"/>
        <v>-</v>
      </c>
      <c r="N51" s="51">
        <v>155</v>
      </c>
      <c r="O51" s="51">
        <f t="shared" ref="O51:P51" si="73">D51/7</f>
        <v>0</v>
      </c>
      <c r="P51" s="51">
        <f t="shared" si="73"/>
        <v>0</v>
      </c>
      <c r="Q51" s="51" t="e">
        <f t="shared" si="57"/>
        <v>#DIV/0!</v>
      </c>
      <c r="R51" s="55">
        <f ca="1">IFERROR(__xludf.DUMMYFUNCTION("IFERROR(VLOOKUP($B$2,IMPORTRANGE(""https://docs.google.com/spreadsheets/d/1iVgg6Mw12RULLujzHmfOFIY8Q_KaAD8anoZzgtVAQ74/edit#gid=1503384807"",""Second Star - Summary!A1:AD2000""),9,FALSE),"""")"),80)</f>
        <v>80</v>
      </c>
      <c r="S51" s="53">
        <f ca="1">IFERROR(__xludf.DUMMYFUNCTION("IFERROR(VLOOKUP($B$2,IMPORTRANGE(""https://docs.google.com/spreadsheets/d/1iVgg6Mw12RULLujzHmfOFIY8Q_KaAD8anoZzgtVAQ74/edit#gid=1503384807"",""Second Star - Summary!A1:AD2000""),28,FALSE),"""")"),12)</f>
        <v>12</v>
      </c>
      <c r="T51" s="54">
        <f ca="1">IFERROR(__xludf.DUMMYFUNCTION("IFERROR(VLOOKUP($B$2,IMPORTRANGE(""https://docs.google.com/spreadsheets/d/1iVgg6Mw12RULLujzHmfOFIY8Q_KaAD8anoZzgtVAQ74/edit#gid=1503384807"",""Second Star - Summary!A1:AD2000""),29,FALSE),"""")"),44324)</f>
        <v>44324</v>
      </c>
      <c r="U51" s="55">
        <v>0</v>
      </c>
      <c r="V51" s="55">
        <f t="shared" si="58"/>
        <v>0</v>
      </c>
      <c r="W51" s="55">
        <f t="shared" si="59"/>
        <v>0</v>
      </c>
      <c r="X51" s="55">
        <v>0</v>
      </c>
      <c r="Y51" s="55" t="s">
        <v>35</v>
      </c>
      <c r="Z51" s="56">
        <f t="shared" si="65"/>
        <v>-2.4</v>
      </c>
      <c r="AA51" s="55">
        <v>0.16120222222222225</v>
      </c>
      <c r="AB51" s="55">
        <f t="shared" si="61"/>
        <v>0</v>
      </c>
      <c r="AC51" s="55">
        <v>-7.32</v>
      </c>
      <c r="AD51" s="55">
        <v>-4.23267743589743</v>
      </c>
      <c r="AE51" s="55">
        <v>0</v>
      </c>
      <c r="AF51" s="55">
        <v>0.202839756592292</v>
      </c>
    </row>
    <row r="52" spans="1:32" s="57" customFormat="1" ht="15.75" customHeight="1">
      <c r="A52" s="2" t="s">
        <v>123</v>
      </c>
      <c r="B52" s="2" t="s">
        <v>927</v>
      </c>
      <c r="C52" s="51" t="str">
        <f t="shared" si="50"/>
        <v xml:space="preserve"> - </v>
      </c>
      <c r="D52" s="51">
        <v>0</v>
      </c>
      <c r="E52" s="51">
        <v>0</v>
      </c>
      <c r="F52" s="51">
        <v>0</v>
      </c>
      <c r="G52" s="51">
        <v>-10.32</v>
      </c>
      <c r="H52" s="51" t="e">
        <f t="shared" si="51"/>
        <v>#DIV/0!</v>
      </c>
      <c r="I52" s="51" t="e">
        <f t="shared" si="52"/>
        <v>#DIV/0!</v>
      </c>
      <c r="J52" s="51">
        <f t="shared" si="70"/>
        <v>-10.32</v>
      </c>
      <c r="K52" s="51" t="e">
        <f t="shared" si="54"/>
        <v>#DIV/0!</v>
      </c>
      <c r="L52" s="51">
        <v>6</v>
      </c>
      <c r="M52" s="51">
        <f t="shared" si="55"/>
        <v>0</v>
      </c>
      <c r="N52" s="51">
        <v>153</v>
      </c>
      <c r="O52" s="51">
        <f t="shared" ref="O52:P52" si="74">D52/7</f>
        <v>0</v>
      </c>
      <c r="P52" s="51">
        <f t="shared" si="74"/>
        <v>0</v>
      </c>
      <c r="Q52" s="51" t="e">
        <f t="shared" si="57"/>
        <v>#DIV/0!</v>
      </c>
      <c r="R52" s="55">
        <f ca="1">IFERROR(__xludf.DUMMYFUNCTION("IFERROR(VLOOKUP($B$2,IMPORTRANGE(""https://docs.google.com/spreadsheets/d/1iVgg6Mw12RULLujzHmfOFIY8Q_KaAD8anoZzgtVAQ74/edit#gid=1503384807"",""Second Star - Summary!A1:AD2000""),9,FALSE),"""")"),80)</f>
        <v>80</v>
      </c>
      <c r="S52" s="53">
        <f ca="1">IFERROR(__xludf.DUMMYFUNCTION("IFERROR(VLOOKUP($B$2,IMPORTRANGE(""https://docs.google.com/spreadsheets/d/1iVgg6Mw12RULLujzHmfOFIY8Q_KaAD8anoZzgtVAQ74/edit#gid=1503384807"",""Second Star - Summary!A1:AD2000""),28,FALSE),"""")"),12)</f>
        <v>12</v>
      </c>
      <c r="T52" s="54">
        <f ca="1">IFERROR(__xludf.DUMMYFUNCTION("IFERROR(VLOOKUP($B$2,IMPORTRANGE(""https://docs.google.com/spreadsheets/d/1iVgg6Mw12RULLujzHmfOFIY8Q_KaAD8anoZzgtVAQ74/edit#gid=1503384807"",""Second Star - Summary!A1:AD2000""),29,FALSE),"""")"),44324)</f>
        <v>44324</v>
      </c>
      <c r="U52" s="55">
        <v>0</v>
      </c>
      <c r="V52" s="55">
        <f t="shared" si="58"/>
        <v>0</v>
      </c>
      <c r="W52" s="55">
        <f t="shared" si="59"/>
        <v>0</v>
      </c>
      <c r="X52" s="55">
        <v>0</v>
      </c>
      <c r="Y52" s="55" t="s">
        <v>35</v>
      </c>
      <c r="Z52" s="56">
        <f t="shared" si="65"/>
        <v>-2.4</v>
      </c>
      <c r="AA52" s="55">
        <v>0.16120222222222225</v>
      </c>
      <c r="AB52" s="55">
        <f t="shared" si="61"/>
        <v>0</v>
      </c>
      <c r="AC52" s="55">
        <v>-7.32</v>
      </c>
      <c r="AD52" s="55">
        <v>-4.23267743589743</v>
      </c>
      <c r="AE52" s="55">
        <v>0</v>
      </c>
      <c r="AF52" s="55">
        <v>0.21010101010101001</v>
      </c>
    </row>
    <row r="53" spans="1:32" s="57" customFormat="1">
      <c r="A53" s="2" t="s">
        <v>38</v>
      </c>
      <c r="B53" s="2" t="s">
        <v>1040</v>
      </c>
      <c r="C53" s="51">
        <f t="shared" si="50"/>
        <v>15.8</v>
      </c>
      <c r="D53" s="51">
        <v>5</v>
      </c>
      <c r="E53" s="51">
        <v>0</v>
      </c>
      <c r="F53" s="51">
        <v>79</v>
      </c>
      <c r="G53" s="51">
        <v>-36.679999999999993</v>
      </c>
      <c r="H53" s="51">
        <f t="shared" si="51"/>
        <v>0.46430379746835432</v>
      </c>
      <c r="I53" s="51">
        <f t="shared" si="52"/>
        <v>-0.41894515417072342</v>
      </c>
      <c r="J53" s="51">
        <f t="shared" si="70"/>
        <v>-33.096667179487149</v>
      </c>
      <c r="K53" s="51">
        <f t="shared" si="54"/>
        <v>-6.6193334358974294</v>
      </c>
      <c r="L53" s="51">
        <v>29</v>
      </c>
      <c r="M53" s="51">
        <f t="shared" si="55"/>
        <v>0.17241379310344829</v>
      </c>
      <c r="N53" s="51">
        <v>150</v>
      </c>
      <c r="O53" s="51">
        <f t="shared" ref="O53:P53" si="75">D53/7</f>
        <v>0.7142857142857143</v>
      </c>
      <c r="P53" s="51">
        <f t="shared" si="75"/>
        <v>0</v>
      </c>
      <c r="Q53" s="51">
        <f t="shared" si="57"/>
        <v>210</v>
      </c>
      <c r="R53" s="55">
        <f ca="1">IFERROR(__xludf.DUMMYFUNCTION("IFERROR(VLOOKUP($B$2,IMPORTRANGE(""https://docs.google.com/spreadsheets/d/1iVgg6Mw12RULLujzHmfOFIY8Q_KaAD8anoZzgtVAQ74/edit#gid=1503384807"",""Second Star - Summary!A1:AD2000""),9,FALSE),"""")"),80)</f>
        <v>80</v>
      </c>
      <c r="S53" s="53">
        <f ca="1">IFERROR(__xludf.DUMMYFUNCTION("IFERROR(VLOOKUP($B$2,IMPORTRANGE(""https://docs.google.com/spreadsheets/d/1iVgg6Mw12RULLujzHmfOFIY8Q_KaAD8anoZzgtVAQ74/edit#gid=1503384807"",""Second Star - Summary!A1:AD2000""),28,FALSE),"""")"),12)</f>
        <v>12</v>
      </c>
      <c r="T53" s="54">
        <f ca="1">IFERROR(__xludf.DUMMYFUNCTION("IFERROR(VLOOKUP($B$2,IMPORTRANGE(""https://docs.google.com/spreadsheets/d/1iVgg6Mw12RULLujzHmfOFIY8Q_KaAD8anoZzgtVAQ74/edit#gid=1503384807"",""Second Star - Summary!A1:AD2000""),29,FALSE),"""")"),44324)</f>
        <v>44324</v>
      </c>
      <c r="U53" s="55">
        <v>2</v>
      </c>
      <c r="V53" s="55">
        <f t="shared" si="58"/>
        <v>0.4</v>
      </c>
      <c r="W53" s="55">
        <f t="shared" si="59"/>
        <v>7.3359999999999985</v>
      </c>
      <c r="X53" s="55">
        <v>3</v>
      </c>
      <c r="Y53" s="55" t="s">
        <v>35</v>
      </c>
      <c r="Z53" s="56">
        <f t="shared" si="65"/>
        <v>-2.4</v>
      </c>
      <c r="AA53" s="55">
        <v>0.16120222222222225</v>
      </c>
      <c r="AB53" s="55">
        <f t="shared" si="61"/>
        <v>-5.80328</v>
      </c>
      <c r="AC53" s="55">
        <v>-7.32</v>
      </c>
      <c r="AD53" s="55">
        <v>-4.23267743589743</v>
      </c>
      <c r="AE53" s="55">
        <v>0</v>
      </c>
      <c r="AF53" s="55">
        <v>0.17073170731707299</v>
      </c>
    </row>
    <row r="54" spans="1:32" s="57" customFormat="1">
      <c r="A54" s="2" t="s">
        <v>40</v>
      </c>
      <c r="B54" s="2"/>
      <c r="C54" s="51">
        <f t="shared" si="50"/>
        <v>14.75</v>
      </c>
      <c r="D54" s="51">
        <v>8</v>
      </c>
      <c r="E54" s="51">
        <v>0</v>
      </c>
      <c r="F54" s="51">
        <v>118</v>
      </c>
      <c r="G54" s="51">
        <v>-22.92</v>
      </c>
      <c r="H54" s="51">
        <f t="shared" si="51"/>
        <v>0.19423728813559324</v>
      </c>
      <c r="I54" s="51">
        <f t="shared" si="52"/>
        <v>-0.20615819904389363</v>
      </c>
      <c r="J54" s="51">
        <f t="shared" si="70"/>
        <v>-24.326667487179449</v>
      </c>
      <c r="K54" s="51">
        <f t="shared" si="54"/>
        <v>-3.0408334358974312</v>
      </c>
      <c r="L54" s="51">
        <v>33</v>
      </c>
      <c r="M54" s="51">
        <f t="shared" si="55"/>
        <v>0.24242424242424243</v>
      </c>
      <c r="N54" s="51">
        <v>141</v>
      </c>
      <c r="O54" s="51">
        <f t="shared" ref="O54:P54" si="76">D54/7</f>
        <v>1.1428571428571428</v>
      </c>
      <c r="P54" s="51">
        <f t="shared" si="76"/>
        <v>0</v>
      </c>
      <c r="Q54" s="51">
        <f t="shared" si="57"/>
        <v>123</v>
      </c>
      <c r="R54" s="55">
        <f ca="1">IFERROR(__xludf.DUMMYFUNCTION("IFERROR(VLOOKUP($B$2,IMPORTRANGE(""https://docs.google.com/spreadsheets/d/1iVgg6Mw12RULLujzHmfOFIY8Q_KaAD8anoZzgtVAQ74/edit#gid=1503384807"",""Second Star - Summary!A1:AD2000""),9,FALSE),"""")"),80)</f>
        <v>80</v>
      </c>
      <c r="S54" s="53">
        <f ca="1">IFERROR(__xludf.DUMMYFUNCTION("IFERROR(VLOOKUP($B$2,IMPORTRANGE(""https://docs.google.com/spreadsheets/d/1iVgg6Mw12RULLujzHmfOFIY8Q_KaAD8anoZzgtVAQ74/edit#gid=1503384807"",""Second Star - Summary!A1:AD2000""),28,FALSE),"""")"),12)</f>
        <v>12</v>
      </c>
      <c r="T54" s="54">
        <f ca="1">IFERROR(__xludf.DUMMYFUNCTION("IFERROR(VLOOKUP($B$2,IMPORTRANGE(""https://docs.google.com/spreadsheets/d/1iVgg6Mw12RULLujzHmfOFIY8Q_KaAD8anoZzgtVAQ74/edit#gid=1503384807"",""Second Star - Summary!A1:AD2000""),29,FALSE),"""")"),44324)</f>
        <v>44324</v>
      </c>
      <c r="U54" s="55">
        <v>3</v>
      </c>
      <c r="V54" s="55">
        <f t="shared" si="58"/>
        <v>0.375</v>
      </c>
      <c r="W54" s="55">
        <f t="shared" si="59"/>
        <v>4.5840000000000005</v>
      </c>
      <c r="X54" s="55">
        <v>2</v>
      </c>
      <c r="Y54" s="55" t="s">
        <v>35</v>
      </c>
      <c r="Z54" s="56">
        <f t="shared" si="65"/>
        <v>-2.4</v>
      </c>
      <c r="AA54" s="55">
        <v>0.16120222222222225</v>
      </c>
      <c r="AB54" s="55">
        <f t="shared" si="61"/>
        <v>-9.2852480000000011</v>
      </c>
      <c r="AC54" s="55">
        <v>-7.32</v>
      </c>
      <c r="AD54" s="55">
        <v>-4.23267743589743</v>
      </c>
      <c r="AE54" s="55">
        <v>0</v>
      </c>
      <c r="AF54" s="55">
        <v>0.225705329153605</v>
      </c>
    </row>
    <row r="55" spans="1:32" s="57" customFormat="1" ht="15.75" customHeight="1">
      <c r="A55" s="2" t="s">
        <v>32</v>
      </c>
      <c r="B55" s="2"/>
      <c r="C55" s="51">
        <f t="shared" si="50"/>
        <v>14.6</v>
      </c>
      <c r="D55" s="51">
        <v>5</v>
      </c>
      <c r="E55" s="51">
        <v>0</v>
      </c>
      <c r="F55" s="51">
        <v>73</v>
      </c>
      <c r="G55" s="51">
        <v>-27.92</v>
      </c>
      <c r="H55" s="51">
        <f t="shared" si="51"/>
        <v>0.38246575342465755</v>
      </c>
      <c r="I55" s="51">
        <f t="shared" si="52"/>
        <v>-0.40324201615735827</v>
      </c>
      <c r="J55" s="51">
        <f t="shared" si="70"/>
        <v>-29.436667179487156</v>
      </c>
      <c r="K55" s="51">
        <f t="shared" si="54"/>
        <v>-5.887333435897431</v>
      </c>
      <c r="L55" s="51">
        <v>31</v>
      </c>
      <c r="M55" s="51">
        <f t="shared" si="55"/>
        <v>0.16129032258064516</v>
      </c>
      <c r="N55" s="51">
        <v>138</v>
      </c>
      <c r="O55" s="51">
        <f t="shared" ref="O55:P55" si="77">D55/7</f>
        <v>0.7142857142857143</v>
      </c>
      <c r="P55" s="51">
        <f t="shared" si="77"/>
        <v>0</v>
      </c>
      <c r="Q55" s="51">
        <f t="shared" si="57"/>
        <v>193</v>
      </c>
      <c r="R55" s="55">
        <v>12</v>
      </c>
      <c r="S55" s="53" t="s">
        <v>34</v>
      </c>
      <c r="T55" s="54" t="s">
        <v>34</v>
      </c>
      <c r="U55" s="55">
        <v>1</v>
      </c>
      <c r="V55" s="55">
        <f t="shared" si="58"/>
        <v>0.2</v>
      </c>
      <c r="W55" s="55">
        <f t="shared" si="59"/>
        <v>3.49</v>
      </c>
      <c r="X55" s="55">
        <v>7</v>
      </c>
      <c r="Y55" s="55" t="s">
        <v>35</v>
      </c>
      <c r="Z55" s="56">
        <f t="shared" si="65"/>
        <v>-2.4</v>
      </c>
      <c r="AA55" s="55">
        <v>0.16120222222222225</v>
      </c>
      <c r="AB55" s="55">
        <f t="shared" si="61"/>
        <v>-5.80328</v>
      </c>
      <c r="AC55" s="55">
        <v>-7.32</v>
      </c>
      <c r="AD55" s="55">
        <v>-4.23267743589743</v>
      </c>
      <c r="AE55" s="55">
        <v>0</v>
      </c>
      <c r="AF55" s="55">
        <v>0.26709062003179601</v>
      </c>
    </row>
    <row r="56" spans="1:32" s="57" customFormat="1" ht="15.75" customHeight="1">
      <c r="A56" s="2" t="s">
        <v>36</v>
      </c>
      <c r="B56" s="31" t="s">
        <v>1041</v>
      </c>
      <c r="C56" s="51">
        <f t="shared" si="50"/>
        <v>15</v>
      </c>
      <c r="D56" s="51">
        <v>1</v>
      </c>
      <c r="E56" s="51">
        <v>0</v>
      </c>
      <c r="F56" s="51">
        <v>15</v>
      </c>
      <c r="G56" s="51">
        <v>0</v>
      </c>
      <c r="H56" s="51">
        <f t="shared" si="51"/>
        <v>0</v>
      </c>
      <c r="I56" s="51">
        <f t="shared" si="52"/>
        <v>2.4444376068380345E-3</v>
      </c>
      <c r="J56" s="51">
        <f t="shared" si="70"/>
        <v>3.666656410257052E-2</v>
      </c>
      <c r="K56" s="51">
        <f t="shared" si="54"/>
        <v>3.666656410257052E-2</v>
      </c>
      <c r="L56" s="51">
        <v>8</v>
      </c>
      <c r="M56" s="51">
        <f t="shared" si="55"/>
        <v>0.125</v>
      </c>
      <c r="N56" s="51">
        <v>135</v>
      </c>
      <c r="O56" s="51">
        <f t="shared" ref="O56:P56" si="78">D56/7</f>
        <v>0.14285714285714285</v>
      </c>
      <c r="P56" s="51">
        <f t="shared" si="78"/>
        <v>0</v>
      </c>
      <c r="Q56" s="51">
        <f t="shared" si="57"/>
        <v>945</v>
      </c>
      <c r="R56" s="55">
        <f ca="1">IFERROR(__xludf.DUMMYFUNCTION("IFERROR(VLOOKUP($B$2,IMPORTRANGE(""https://docs.google.com/spreadsheets/d/1iVgg6Mw12RULLujzHmfOFIY8Q_KaAD8anoZzgtVAQ74/edit#gid=1503384807"",""Second Star - Summary!A1:AD2000""),9,FALSE),"""")"),80)</f>
        <v>80</v>
      </c>
      <c r="S56" s="53">
        <f ca="1">IFERROR(__xludf.DUMMYFUNCTION("IFERROR(VLOOKUP($B$2,IMPORTRANGE(""https://docs.google.com/spreadsheets/d/1iVgg6Mw12RULLujzHmfOFIY8Q_KaAD8anoZzgtVAQ74/edit#gid=1503384807"",""Second Star - Summary!A1:AD2000""),28,FALSE),"""")"),12)</f>
        <v>12</v>
      </c>
      <c r="T56" s="54">
        <f ca="1">IFERROR(__xludf.DUMMYFUNCTION("IFERROR(VLOOKUP($B$2,IMPORTRANGE(""https://docs.google.com/spreadsheets/d/1iVgg6Mw12RULLujzHmfOFIY8Q_KaAD8anoZzgtVAQ74/edit#gid=1503384807"",""Second Star - Summary!A1:AD2000""),29,FALSE),"""")"),44324)</f>
        <v>44324</v>
      </c>
      <c r="U56" s="55">
        <v>0</v>
      </c>
      <c r="V56" s="55">
        <f t="shared" si="58"/>
        <v>0</v>
      </c>
      <c r="W56" s="55">
        <f t="shared" si="59"/>
        <v>0</v>
      </c>
      <c r="X56" s="55">
        <v>0</v>
      </c>
      <c r="Y56" s="55" t="s">
        <v>35</v>
      </c>
      <c r="Z56" s="56">
        <f t="shared" si="65"/>
        <v>-2.4</v>
      </c>
      <c r="AA56" s="55">
        <v>0.16120222222222225</v>
      </c>
      <c r="AB56" s="55">
        <f t="shared" si="61"/>
        <v>-1.1606560000000001</v>
      </c>
      <c r="AC56" s="55">
        <v>-7.32</v>
      </c>
      <c r="AD56" s="55">
        <v>-4.23267743589743</v>
      </c>
      <c r="AE56" s="55">
        <v>0</v>
      </c>
      <c r="AF56" s="55">
        <v>0.25</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152" priority="1" operator="lessThan">
      <formula>100</formula>
    </cfRule>
  </conditionalFormatting>
  <conditionalFormatting sqref="Q1:Q3 Q57:Q1000">
    <cfRule type="cellIs" dxfId="151" priority="2" operator="lessThan">
      <formula>100</formula>
    </cfRule>
  </conditionalFormatting>
  <conditionalFormatting sqref="I1:I3 I57:I1000">
    <cfRule type="cellIs" dxfId="150" priority="3" operator="lessThan">
      <formula>0.05</formula>
    </cfRule>
  </conditionalFormatting>
  <conditionalFormatting sqref="I4:I17">
    <cfRule type="cellIs" dxfId="149" priority="4" operator="lessThan">
      <formula>0.05</formula>
    </cfRule>
  </conditionalFormatting>
  <conditionalFormatting sqref="I18:I56">
    <cfRule type="cellIs" dxfId="148" priority="5" operator="lessThan">
      <formula>0.05</formula>
    </cfRule>
  </conditionalFormatting>
  <conditionalFormatting sqref="Q4:Q56">
    <cfRule type="cellIs" dxfId="147" priority="6" operator="lessThan">
      <formula>100</formula>
    </cfRule>
  </conditionalFormatting>
  <conditionalFormatting sqref="Q4:Q56">
    <cfRule type="cellIs" dxfId="146" priority="7" operator="lessThan">
      <formula>100</formula>
    </cfRule>
  </conditionalFormatting>
  <pageMargins left="0.7" right="0.7" top="0.75" bottom="0.75" header="0" footer="0"/>
  <pageSetup orientation="portrait"/>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2" width="17.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Info!B1:BJ5000""),4,FALSE),"""")"),"All Weather Cornhole Bean Bags - Set of 8 American Flag Bags for Corn Hole Toss Game - Regulation Size &amp; Weight - 4 Red &amp; 4 Black")</f>
        <v>All Weather Cornhole Bean Bags - Set of 8 American Flag Bags for Corn Hole Toss Game - Regulation Size &amp; Weight - 4 Red &amp; 4 Black</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Info!B1:BJ5000""),3,FALSE),"""")"),"B07VNNRG4N")</f>
        <v>B07VNNRG4N</v>
      </c>
      <c r="B2" s="4" t="s">
        <v>1042</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12.299620512820507</v>
      </c>
      <c r="D3" s="8">
        <f>SUM(D4:D99819)</f>
        <v>669</v>
      </c>
      <c r="E3" s="8"/>
      <c r="F3" s="9">
        <f t="shared" ref="F3:G3" si="0">SUM(F4:F99819)</f>
        <v>12848.769999999999</v>
      </c>
      <c r="G3" s="9">
        <f t="shared" si="0"/>
        <v>-199.95999999999998</v>
      </c>
      <c r="H3" s="10">
        <f t="shared" ref="H3:H39" si="1">G3/F3*-1</f>
        <v>1.5562579141816687E-2</v>
      </c>
      <c r="I3" s="11">
        <f t="shared" ref="I3:I39" si="2">J3/F3</f>
        <v>0.20888123185212384</v>
      </c>
      <c r="J3" s="9">
        <f>SUM(J4:J99819)</f>
        <v>2683.8669053846129</v>
      </c>
      <c r="K3" s="9">
        <f t="shared" ref="K3:K39" si="3">J3/D3</f>
        <v>4.0117592008738612</v>
      </c>
      <c r="L3" s="8"/>
      <c r="M3" s="12"/>
      <c r="N3" s="13"/>
      <c r="O3" s="8" t="str">
        <f ca="1">IFERROR(__xludf.DUMMYFUNCTION("IFERROR(VLOOKUP(B2,IMPORTRANGE(""https://docs.google.com/spreadsheets/d/1owCo6kL_VFQ5nPTdNogErmCBLjNiktT1m3SzTrxu3R0/edit#gid=2146806407"",""Second Star - Compiled!b1:g5000""),2,FALSE),"""")"),"2 - March
2 - April
2 - May
2 - Jun
2 - Jul
2 - Aug
2 - Sept
2 - Oct
2 - Nov
2 - Dec
2 - Jan
2 - Feb")</f>
        <v>2 - March
2 - April
2 - May
2 - Jun
2 - Jul
2 - Aug
2 - Sept
2 - Oct
2 - Nov
2 - Dec
2 - Jan
2 - Feb</v>
      </c>
      <c r="P3" s="8"/>
      <c r="Q3" s="14"/>
      <c r="R3" s="13"/>
      <c r="S3" s="13"/>
      <c r="T3" s="13"/>
      <c r="U3" s="8">
        <f>SUM(U4:U99819)</f>
        <v>16</v>
      </c>
      <c r="V3" s="10">
        <f>AVERAGE(V4:V99819)</f>
        <v>2.9630819095417423E-2</v>
      </c>
      <c r="W3" s="9">
        <f>ROUND(AVERAGE(W4:W99819),2)</f>
        <v>1.7</v>
      </c>
      <c r="X3" s="8"/>
      <c r="Y3" s="8"/>
      <c r="Z3" s="8"/>
      <c r="AA3" s="8"/>
      <c r="AB3" s="8"/>
      <c r="AC3" s="15"/>
      <c r="AD3" s="9"/>
      <c r="AE3" s="9">
        <f>SUM(AE4:AE99819)</f>
        <v>-3.89</v>
      </c>
      <c r="AF3" s="16"/>
    </row>
    <row r="4" spans="1:32" s="57" customFormat="1">
      <c r="A4" s="17" t="s">
        <v>48</v>
      </c>
      <c r="B4" s="2" t="s">
        <v>944</v>
      </c>
      <c r="C4" s="50">
        <v>15.99</v>
      </c>
      <c r="D4" s="51">
        <v>1</v>
      </c>
      <c r="E4" s="51">
        <v>0</v>
      </c>
      <c r="F4" s="51">
        <v>15.99</v>
      </c>
      <c r="G4" s="51">
        <v>0</v>
      </c>
      <c r="H4" s="51">
        <f t="shared" si="1"/>
        <v>0</v>
      </c>
      <c r="I4" s="51">
        <f t="shared" si="2"/>
        <v>0.14568308718590137</v>
      </c>
      <c r="J4" s="51">
        <f t="shared" ref="J4:J38" si="4">F4*0.85+G4+AD4*D4+D4*AC4+AE4+AB4</f>
        <v>2.3294725641025629</v>
      </c>
      <c r="K4" s="51">
        <f t="shared" si="3"/>
        <v>2.3294725641025629</v>
      </c>
      <c r="L4" s="51">
        <v>32</v>
      </c>
      <c r="M4" s="51">
        <f t="shared" ref="M4:M39" si="5">IFERROR(D4/L4,"-")</f>
        <v>3.125E-2</v>
      </c>
      <c r="N4" s="51">
        <v>0</v>
      </c>
      <c r="O4" s="51">
        <f t="shared" ref="O4:P4" si="6">D4/7</f>
        <v>0.14285714285714285</v>
      </c>
      <c r="P4" s="51">
        <f t="shared" si="6"/>
        <v>0</v>
      </c>
      <c r="Q4" s="51">
        <f t="shared" ref="Q4:Q39" si="7">ROUNDDOWN(N4/(O4+P4),0)</f>
        <v>0</v>
      </c>
      <c r="R4" s="52">
        <v>1400</v>
      </c>
      <c r="S4" s="53">
        <v>400</v>
      </c>
      <c r="T4" s="54">
        <v>43876</v>
      </c>
      <c r="U4" s="52">
        <v>0</v>
      </c>
      <c r="V4" s="55">
        <f t="shared" ref="V4:V39" si="8">IFERROR(U4/D4,0)</f>
        <v>0</v>
      </c>
      <c r="W4" s="55">
        <f t="shared" ref="W4:W39" si="9">IFERROR(G4/(U4+X4)*-1,0)</f>
        <v>0</v>
      </c>
      <c r="X4" s="52">
        <v>0</v>
      </c>
      <c r="Y4" s="56" t="s">
        <v>35</v>
      </c>
      <c r="Z4" s="56">
        <f t="shared" ref="Z4:Z10" si="10">IF(OR(Y4="UsLargeStandardSize",Y4="UsSmallStandardSize"),-0.69,-0.48)</f>
        <v>-0.69</v>
      </c>
      <c r="AA4" s="55">
        <v>0.18400000000000002</v>
      </c>
      <c r="AB4" s="55">
        <f t="shared" ref="AB4:AB17" si="11">IFERROR((Z4*AA4*N4)/4,0)</f>
        <v>0</v>
      </c>
      <c r="AC4" s="55">
        <v>-7.16</v>
      </c>
      <c r="AD4" s="55">
        <v>-4.102027435897436</v>
      </c>
      <c r="AE4" s="55">
        <v>0</v>
      </c>
      <c r="AF4" s="55"/>
    </row>
    <row r="5" spans="1:32" s="57" customFormat="1" ht="15.75" customHeight="1">
      <c r="A5" s="2" t="s">
        <v>49</v>
      </c>
      <c r="B5" s="2"/>
      <c r="C5" s="50">
        <v>15.99</v>
      </c>
      <c r="D5" s="51">
        <v>2</v>
      </c>
      <c r="E5" s="51">
        <v>0</v>
      </c>
      <c r="F5" s="51">
        <v>31.98</v>
      </c>
      <c r="G5" s="51">
        <v>0</v>
      </c>
      <c r="H5" s="51">
        <f t="shared" si="1"/>
        <v>0</v>
      </c>
      <c r="I5" s="51">
        <f t="shared" si="2"/>
        <v>0.14568308718590137</v>
      </c>
      <c r="J5" s="51">
        <f t="shared" si="4"/>
        <v>4.6589451282051257</v>
      </c>
      <c r="K5" s="51">
        <f t="shared" si="3"/>
        <v>2.3294725641025629</v>
      </c>
      <c r="L5" s="51">
        <v>6</v>
      </c>
      <c r="M5" s="51">
        <f t="shared" si="5"/>
        <v>0.33333333333333331</v>
      </c>
      <c r="N5" s="51">
        <v>0</v>
      </c>
      <c r="O5" s="51">
        <f t="shared" ref="O5:P5" si="12">D5/7</f>
        <v>0.2857142857142857</v>
      </c>
      <c r="P5" s="51">
        <f t="shared" si="12"/>
        <v>0</v>
      </c>
      <c r="Q5" s="51">
        <f t="shared" si="7"/>
        <v>0</v>
      </c>
      <c r="R5" s="55">
        <v>1400</v>
      </c>
      <c r="S5" s="53">
        <v>400</v>
      </c>
      <c r="T5" s="54">
        <v>43876</v>
      </c>
      <c r="U5" s="55">
        <v>0</v>
      </c>
      <c r="V5" s="55">
        <f t="shared" si="8"/>
        <v>0</v>
      </c>
      <c r="W5" s="55">
        <f t="shared" si="9"/>
        <v>0</v>
      </c>
      <c r="X5" s="55">
        <v>0</v>
      </c>
      <c r="Y5" s="56" t="s">
        <v>35</v>
      </c>
      <c r="Z5" s="56">
        <f t="shared" si="10"/>
        <v>-0.69</v>
      </c>
      <c r="AA5" s="55">
        <v>0.18400000000000002</v>
      </c>
      <c r="AB5" s="55">
        <f t="shared" si="11"/>
        <v>0</v>
      </c>
      <c r="AC5" s="55">
        <v>-7.16</v>
      </c>
      <c r="AD5" s="55">
        <v>-4.102027435897436</v>
      </c>
      <c r="AE5" s="55">
        <v>0</v>
      </c>
      <c r="AF5" s="55"/>
    </row>
    <row r="6" spans="1:32" s="57" customFormat="1" ht="15.75" customHeight="1">
      <c r="A6" s="2" t="s">
        <v>51</v>
      </c>
      <c r="B6" s="2"/>
      <c r="C6" s="51" t="s">
        <v>397</v>
      </c>
      <c r="D6" s="51">
        <v>0</v>
      </c>
      <c r="E6" s="51">
        <v>0</v>
      </c>
      <c r="F6" s="51">
        <v>0</v>
      </c>
      <c r="G6" s="51">
        <v>0</v>
      </c>
      <c r="H6" s="51" t="e">
        <f t="shared" si="1"/>
        <v>#DIV/0!</v>
      </c>
      <c r="I6" s="51" t="e">
        <f t="shared" si="2"/>
        <v>#DIV/0!</v>
      </c>
      <c r="J6" s="51">
        <f t="shared" si="4"/>
        <v>-3.1740000000000004E-2</v>
      </c>
      <c r="K6" s="51" t="e">
        <f t="shared" si="3"/>
        <v>#DIV/0!</v>
      </c>
      <c r="L6" s="51">
        <v>0</v>
      </c>
      <c r="M6" s="51" t="str">
        <f t="shared" si="5"/>
        <v>-</v>
      </c>
      <c r="N6" s="51">
        <v>1</v>
      </c>
      <c r="O6" s="51">
        <f t="shared" ref="O6:P6" si="13">D6/7</f>
        <v>0</v>
      </c>
      <c r="P6" s="51">
        <f t="shared" si="13"/>
        <v>0</v>
      </c>
      <c r="Q6" s="51" t="e">
        <f t="shared" si="7"/>
        <v>#DIV/0!</v>
      </c>
      <c r="R6" s="55">
        <v>1400</v>
      </c>
      <c r="S6" s="53">
        <v>400</v>
      </c>
      <c r="T6" s="54">
        <v>43884</v>
      </c>
      <c r="U6" s="55">
        <v>0</v>
      </c>
      <c r="V6" s="55">
        <f t="shared" si="8"/>
        <v>0</v>
      </c>
      <c r="W6" s="55">
        <f t="shared" si="9"/>
        <v>0</v>
      </c>
      <c r="X6" s="55">
        <v>0</v>
      </c>
      <c r="Y6" s="56" t="s">
        <v>35</v>
      </c>
      <c r="Z6" s="56">
        <f t="shared" si="10"/>
        <v>-0.69</v>
      </c>
      <c r="AA6" s="55">
        <v>0.18400000000000002</v>
      </c>
      <c r="AB6" s="55">
        <f t="shared" si="11"/>
        <v>-3.1740000000000004E-2</v>
      </c>
      <c r="AC6" s="55">
        <v>-7.16</v>
      </c>
      <c r="AD6" s="55">
        <v>-4.102027435897436</v>
      </c>
      <c r="AE6" s="55">
        <v>0</v>
      </c>
      <c r="AF6" s="55"/>
    </row>
    <row r="7" spans="1:32" s="57" customFormat="1" ht="15.75" customHeight="1">
      <c r="A7" s="2" t="s">
        <v>53</v>
      </c>
      <c r="B7" s="2"/>
      <c r="C7" s="50">
        <v>15.99</v>
      </c>
      <c r="D7" s="51">
        <v>2</v>
      </c>
      <c r="E7" s="51">
        <v>0</v>
      </c>
      <c r="F7" s="51">
        <v>31.98</v>
      </c>
      <c r="G7" s="51">
        <v>0</v>
      </c>
      <c r="H7" s="51">
        <f t="shared" si="1"/>
        <v>0</v>
      </c>
      <c r="I7" s="51">
        <f t="shared" si="2"/>
        <v>0.14568308718590137</v>
      </c>
      <c r="J7" s="51">
        <f t="shared" si="4"/>
        <v>4.6589451282051257</v>
      </c>
      <c r="K7" s="51">
        <f t="shared" si="3"/>
        <v>2.3294725641025629</v>
      </c>
      <c r="L7" s="51">
        <v>1</v>
      </c>
      <c r="M7" s="51">
        <f t="shared" si="5"/>
        <v>2</v>
      </c>
      <c r="N7" s="51">
        <v>0</v>
      </c>
      <c r="O7" s="51">
        <f t="shared" ref="O7:P7" si="14">D7/7</f>
        <v>0.2857142857142857</v>
      </c>
      <c r="P7" s="51">
        <f t="shared" si="14"/>
        <v>0</v>
      </c>
      <c r="Q7" s="51">
        <f t="shared" si="7"/>
        <v>0</v>
      </c>
      <c r="R7" s="55">
        <v>1400</v>
      </c>
      <c r="S7" s="53">
        <v>400</v>
      </c>
      <c r="T7" s="54">
        <v>43884</v>
      </c>
      <c r="U7" s="55">
        <v>0</v>
      </c>
      <c r="V7" s="55">
        <f t="shared" si="8"/>
        <v>0</v>
      </c>
      <c r="W7" s="55">
        <f t="shared" si="9"/>
        <v>0</v>
      </c>
      <c r="X7" s="55">
        <v>0</v>
      </c>
      <c r="Y7" s="56" t="s">
        <v>35</v>
      </c>
      <c r="Z7" s="56">
        <f t="shared" si="10"/>
        <v>-0.69</v>
      </c>
      <c r="AA7" s="55">
        <v>0.18400000000000002</v>
      </c>
      <c r="AB7" s="55">
        <f t="shared" si="11"/>
        <v>0</v>
      </c>
      <c r="AC7" s="55">
        <v>-7.16</v>
      </c>
      <c r="AD7" s="55">
        <v>-4.102027435897436</v>
      </c>
      <c r="AE7" s="55">
        <v>0</v>
      </c>
      <c r="AF7" s="55"/>
    </row>
    <row r="8" spans="1:32" s="57" customFormat="1" ht="15.75" customHeight="1">
      <c r="A8" s="2" t="s">
        <v>54</v>
      </c>
      <c r="B8" s="2"/>
      <c r="C8" s="51" t="s">
        <v>397</v>
      </c>
      <c r="D8" s="51">
        <v>0</v>
      </c>
      <c r="E8" s="51">
        <v>0</v>
      </c>
      <c r="F8" s="51">
        <v>0</v>
      </c>
      <c r="G8" s="51">
        <v>0</v>
      </c>
      <c r="H8" s="51" t="e">
        <f t="shared" si="1"/>
        <v>#DIV/0!</v>
      </c>
      <c r="I8" s="51" t="e">
        <f t="shared" si="2"/>
        <v>#DIV/0!</v>
      </c>
      <c r="J8" s="51">
        <f t="shared" si="4"/>
        <v>0</v>
      </c>
      <c r="K8" s="51" t="e">
        <f t="shared" si="3"/>
        <v>#DIV/0!</v>
      </c>
      <c r="L8" s="51">
        <v>0</v>
      </c>
      <c r="M8" s="51" t="str">
        <f t="shared" si="5"/>
        <v>-</v>
      </c>
      <c r="N8" s="51">
        <v>0</v>
      </c>
      <c r="O8" s="51">
        <f t="shared" ref="O8:P8" si="15">D8/7</f>
        <v>0</v>
      </c>
      <c r="P8" s="51">
        <f t="shared" si="15"/>
        <v>0</v>
      </c>
      <c r="Q8" s="51" t="e">
        <f t="shared" si="7"/>
        <v>#DIV/0!</v>
      </c>
      <c r="R8" s="55">
        <v>1400</v>
      </c>
      <c r="S8" s="53">
        <v>400</v>
      </c>
      <c r="T8" s="54">
        <v>43884</v>
      </c>
      <c r="U8" s="55">
        <v>0</v>
      </c>
      <c r="V8" s="55">
        <f t="shared" si="8"/>
        <v>0</v>
      </c>
      <c r="W8" s="55">
        <f t="shared" si="9"/>
        <v>0</v>
      </c>
      <c r="X8" s="55">
        <v>0</v>
      </c>
      <c r="Y8" s="55" t="e">
        <v>#N/A</v>
      </c>
      <c r="Z8" s="56" t="e">
        <f t="shared" si="10"/>
        <v>#N/A</v>
      </c>
      <c r="AA8" s="55" t="e">
        <v>#N/A</v>
      </c>
      <c r="AB8" s="55">
        <f t="shared" si="11"/>
        <v>0</v>
      </c>
      <c r="AC8" s="55">
        <v>0</v>
      </c>
      <c r="AD8" s="55">
        <v>-4.102027435897436</v>
      </c>
      <c r="AE8" s="55">
        <v>0</v>
      </c>
      <c r="AF8" s="55"/>
    </row>
    <row r="9" spans="1:32" s="57" customFormat="1" ht="15.75" customHeight="1">
      <c r="A9" s="2" t="s">
        <v>56</v>
      </c>
      <c r="B9" s="2"/>
      <c r="C9" s="51" t="s">
        <v>397</v>
      </c>
      <c r="D9" s="51">
        <v>0</v>
      </c>
      <c r="E9" s="51">
        <v>0</v>
      </c>
      <c r="F9" s="51">
        <v>0</v>
      </c>
      <c r="G9" s="51">
        <v>0</v>
      </c>
      <c r="H9" s="51" t="e">
        <f t="shared" si="1"/>
        <v>#DIV/0!</v>
      </c>
      <c r="I9" s="51" t="e">
        <f t="shared" si="2"/>
        <v>#DIV/0!</v>
      </c>
      <c r="J9" s="51">
        <f t="shared" si="4"/>
        <v>0</v>
      </c>
      <c r="K9" s="51" t="e">
        <f t="shared" si="3"/>
        <v>#DIV/0!</v>
      </c>
      <c r="L9" s="51">
        <v>0</v>
      </c>
      <c r="M9" s="51" t="str">
        <f t="shared" si="5"/>
        <v>-</v>
      </c>
      <c r="N9" s="51">
        <v>0</v>
      </c>
      <c r="O9" s="51">
        <f t="shared" ref="O9:P9" si="16">D9/7</f>
        <v>0</v>
      </c>
      <c r="P9" s="51">
        <f t="shared" si="16"/>
        <v>0</v>
      </c>
      <c r="Q9" s="51" t="e">
        <f t="shared" si="7"/>
        <v>#DIV/0!</v>
      </c>
      <c r="R9" s="55">
        <v>1000</v>
      </c>
      <c r="S9" s="53">
        <v>400</v>
      </c>
      <c r="T9" s="54">
        <v>43881</v>
      </c>
      <c r="U9" s="55">
        <v>0</v>
      </c>
      <c r="V9" s="55">
        <f t="shared" si="8"/>
        <v>0</v>
      </c>
      <c r="W9" s="55">
        <f t="shared" si="9"/>
        <v>0</v>
      </c>
      <c r="X9" s="55">
        <v>0</v>
      </c>
      <c r="Y9" s="55" t="e">
        <v>#N/A</v>
      </c>
      <c r="Z9" s="56" t="e">
        <f t="shared" si="10"/>
        <v>#N/A</v>
      </c>
      <c r="AA9" s="55" t="e">
        <v>#N/A</v>
      </c>
      <c r="AB9" s="55">
        <f t="shared" si="11"/>
        <v>0</v>
      </c>
      <c r="AC9" s="55">
        <v>0</v>
      </c>
      <c r="AD9" s="55">
        <v>-4.102027435897436</v>
      </c>
      <c r="AE9" s="55">
        <v>0</v>
      </c>
      <c r="AF9" s="55"/>
    </row>
    <row r="10" spans="1:32" s="57" customFormat="1" ht="15.75" customHeight="1">
      <c r="A10" s="2" t="s">
        <v>58</v>
      </c>
      <c r="B10" s="2"/>
      <c r="C10" s="51" t="s">
        <v>397</v>
      </c>
      <c r="D10" s="51">
        <v>0</v>
      </c>
      <c r="E10" s="51">
        <v>0</v>
      </c>
      <c r="F10" s="51">
        <v>0</v>
      </c>
      <c r="G10" s="51">
        <v>0</v>
      </c>
      <c r="H10" s="51" t="e">
        <f t="shared" si="1"/>
        <v>#DIV/0!</v>
      </c>
      <c r="I10" s="51" t="e">
        <f t="shared" si="2"/>
        <v>#DIV/0!</v>
      </c>
      <c r="J10" s="51">
        <f t="shared" si="4"/>
        <v>0</v>
      </c>
      <c r="K10" s="51" t="e">
        <f t="shared" si="3"/>
        <v>#DIV/0!</v>
      </c>
      <c r="L10" s="51">
        <v>0</v>
      </c>
      <c r="M10" s="51" t="str">
        <f t="shared" si="5"/>
        <v>-</v>
      </c>
      <c r="N10" s="51">
        <v>0</v>
      </c>
      <c r="O10" s="51">
        <f t="shared" ref="O10:P10" si="17">D10/7</f>
        <v>0</v>
      </c>
      <c r="P10" s="51">
        <f t="shared" si="17"/>
        <v>0</v>
      </c>
      <c r="Q10" s="51" t="e">
        <f t="shared" si="7"/>
        <v>#DIV/0!</v>
      </c>
      <c r="R10" s="55">
        <v>1000</v>
      </c>
      <c r="S10" s="53">
        <v>400</v>
      </c>
      <c r="T10" s="54">
        <v>43885</v>
      </c>
      <c r="U10" s="55">
        <v>0</v>
      </c>
      <c r="V10" s="55">
        <f t="shared" si="8"/>
        <v>0</v>
      </c>
      <c r="W10" s="55">
        <f t="shared" si="9"/>
        <v>0</v>
      </c>
      <c r="X10" s="55">
        <v>0</v>
      </c>
      <c r="Y10" s="55" t="e">
        <v>#N/A</v>
      </c>
      <c r="Z10" s="56" t="e">
        <f t="shared" si="10"/>
        <v>#N/A</v>
      </c>
      <c r="AA10" s="55" t="e">
        <v>#N/A</v>
      </c>
      <c r="AB10" s="55">
        <f t="shared" si="11"/>
        <v>0</v>
      </c>
      <c r="AC10" s="55">
        <v>0</v>
      </c>
      <c r="AD10" s="55">
        <v>-4.102027435897436</v>
      </c>
      <c r="AE10" s="55">
        <v>0</v>
      </c>
      <c r="AF10" s="55"/>
    </row>
    <row r="11" spans="1:32" s="57" customFormat="1" ht="15.75" customHeight="1">
      <c r="A11" s="2" t="s">
        <v>60</v>
      </c>
      <c r="B11" s="2" t="s">
        <v>1043</v>
      </c>
      <c r="C11" s="51" t="s">
        <v>397</v>
      </c>
      <c r="D11" s="51">
        <v>0</v>
      </c>
      <c r="E11" s="51">
        <v>0</v>
      </c>
      <c r="F11" s="51">
        <v>0</v>
      </c>
      <c r="G11" s="51">
        <v>0</v>
      </c>
      <c r="H11" s="51" t="e">
        <f t="shared" si="1"/>
        <v>#DIV/0!</v>
      </c>
      <c r="I11" s="51" t="e">
        <f t="shared" si="2"/>
        <v>#DIV/0!</v>
      </c>
      <c r="J11" s="51">
        <f t="shared" si="4"/>
        <v>0</v>
      </c>
      <c r="K11" s="51" t="e">
        <f t="shared" si="3"/>
        <v>#DIV/0!</v>
      </c>
      <c r="L11" s="51">
        <v>0</v>
      </c>
      <c r="M11" s="51" t="str">
        <f t="shared" si="5"/>
        <v>-</v>
      </c>
      <c r="N11" s="51">
        <v>0</v>
      </c>
      <c r="O11" s="51">
        <f t="shared" ref="O11:P11" si="18">D11/7</f>
        <v>0</v>
      </c>
      <c r="P11" s="51">
        <f t="shared" si="18"/>
        <v>0</v>
      </c>
      <c r="Q11" s="51" t="e">
        <f t="shared" si="7"/>
        <v>#DIV/0!</v>
      </c>
      <c r="R11" s="55">
        <v>600</v>
      </c>
      <c r="S11" s="53" t="s">
        <v>34</v>
      </c>
      <c r="T11" s="54" t="s">
        <v>34</v>
      </c>
      <c r="U11" s="55">
        <v>0</v>
      </c>
      <c r="V11" s="55">
        <f t="shared" si="8"/>
        <v>0</v>
      </c>
      <c r="W11" s="55">
        <f t="shared" si="9"/>
        <v>0</v>
      </c>
      <c r="X11" s="55">
        <v>0</v>
      </c>
      <c r="Y11" s="55" t="e">
        <v>#N/A</v>
      </c>
      <c r="Z11" s="56" t="e">
        <f t="shared" ref="Z11:Z39" si="19">IF(OR(Y11="UsLargeStandardSize",Y11="UsSmallStandardSize"),-0.75,-0.48)</f>
        <v>#N/A</v>
      </c>
      <c r="AA11" s="55" t="e">
        <v>#N/A</v>
      </c>
      <c r="AB11" s="55">
        <f t="shared" si="11"/>
        <v>0</v>
      </c>
      <c r="AC11" s="55">
        <v>0</v>
      </c>
      <c r="AD11" s="55">
        <v>-4.102027435897436</v>
      </c>
      <c r="AE11" s="55">
        <v>0</v>
      </c>
      <c r="AF11" s="55"/>
    </row>
    <row r="12" spans="1:32" s="57" customFormat="1" ht="15.75" customHeight="1">
      <c r="A12" s="2" t="s">
        <v>62</v>
      </c>
      <c r="B12" s="2" t="s">
        <v>1044</v>
      </c>
      <c r="C12" s="51">
        <v>17.989999999999998</v>
      </c>
      <c r="D12" s="51">
        <v>1</v>
      </c>
      <c r="E12" s="51">
        <v>0</v>
      </c>
      <c r="F12" s="51">
        <v>15.99</v>
      </c>
      <c r="G12" s="51">
        <v>0</v>
      </c>
      <c r="H12" s="51">
        <f t="shared" si="1"/>
        <v>0</v>
      </c>
      <c r="I12" s="51">
        <f t="shared" si="2"/>
        <v>-0.72088977085037131</v>
      </c>
      <c r="J12" s="51">
        <f t="shared" si="4"/>
        <v>-11.527027435897438</v>
      </c>
      <c r="K12" s="51">
        <f t="shared" si="3"/>
        <v>-11.527027435897438</v>
      </c>
      <c r="L12" s="51">
        <v>8</v>
      </c>
      <c r="M12" s="51">
        <f t="shared" si="5"/>
        <v>0.125</v>
      </c>
      <c r="N12" s="51">
        <v>397</v>
      </c>
      <c r="O12" s="51">
        <f t="shared" ref="O12:P12" si="20">D12/7</f>
        <v>0.14285714285714285</v>
      </c>
      <c r="P12" s="51">
        <f t="shared" si="20"/>
        <v>0</v>
      </c>
      <c r="Q12" s="51">
        <f t="shared" si="7"/>
        <v>2779</v>
      </c>
      <c r="R12" s="55">
        <v>600</v>
      </c>
      <c r="S12" s="53" t="s">
        <v>34</v>
      </c>
      <c r="T12" s="54" t="s">
        <v>34</v>
      </c>
      <c r="U12" s="55">
        <v>0</v>
      </c>
      <c r="V12" s="55">
        <f t="shared" si="8"/>
        <v>0</v>
      </c>
      <c r="W12" s="55">
        <f t="shared" si="9"/>
        <v>0</v>
      </c>
      <c r="X12" s="55">
        <v>0</v>
      </c>
      <c r="Y12" s="55" t="s">
        <v>35</v>
      </c>
      <c r="Z12" s="56">
        <f t="shared" si="19"/>
        <v>-0.75</v>
      </c>
      <c r="AA12" s="55">
        <v>0.184</v>
      </c>
      <c r="AB12" s="55">
        <f t="shared" si="11"/>
        <v>-13.6965</v>
      </c>
      <c r="AC12" s="55">
        <v>-7.32</v>
      </c>
      <c r="AD12" s="55">
        <v>-4.102027435897436</v>
      </c>
      <c r="AE12" s="55">
        <v>0</v>
      </c>
      <c r="AF12" s="55"/>
    </row>
    <row r="13" spans="1:32" s="57" customFormat="1" ht="15.75" customHeight="1">
      <c r="A13" s="2" t="s">
        <v>63</v>
      </c>
      <c r="B13" s="2" t="s">
        <v>1045</v>
      </c>
      <c r="C13" s="51">
        <v>15.99</v>
      </c>
      <c r="D13" s="51">
        <v>6</v>
      </c>
      <c r="E13" s="51">
        <v>0</v>
      </c>
      <c r="F13" s="51">
        <v>99.939999999999984</v>
      </c>
      <c r="G13" s="51">
        <v>0</v>
      </c>
      <c r="H13" s="51">
        <f t="shared" si="1"/>
        <v>0</v>
      </c>
      <c r="I13" s="51">
        <f t="shared" si="2"/>
        <v>2.9290928403195585E-2</v>
      </c>
      <c r="J13" s="51">
        <f t="shared" si="4"/>
        <v>2.9273353846153665</v>
      </c>
      <c r="K13" s="51">
        <f t="shared" si="3"/>
        <v>0.48788923076922774</v>
      </c>
      <c r="L13" s="51">
        <v>22</v>
      </c>
      <c r="M13" s="51">
        <f t="shared" si="5"/>
        <v>0.27272727272727271</v>
      </c>
      <c r="N13" s="51">
        <v>391</v>
      </c>
      <c r="O13" s="51">
        <f t="shared" ref="O13:P13" si="21">D13/7</f>
        <v>0.8571428571428571</v>
      </c>
      <c r="P13" s="51">
        <f t="shared" si="21"/>
        <v>0</v>
      </c>
      <c r="Q13" s="51">
        <f t="shared" si="7"/>
        <v>456</v>
      </c>
      <c r="R13" s="55">
        <v>600</v>
      </c>
      <c r="S13" s="53" t="s">
        <v>34</v>
      </c>
      <c r="T13" s="54" t="s">
        <v>34</v>
      </c>
      <c r="U13" s="55">
        <v>0</v>
      </c>
      <c r="V13" s="55">
        <f t="shared" si="8"/>
        <v>0</v>
      </c>
      <c r="W13" s="55">
        <f t="shared" si="9"/>
        <v>0</v>
      </c>
      <c r="X13" s="55">
        <v>0</v>
      </c>
      <c r="Y13" s="55" t="s">
        <v>35</v>
      </c>
      <c r="Z13" s="56">
        <f t="shared" si="19"/>
        <v>-0.75</v>
      </c>
      <c r="AA13" s="55">
        <v>0.184</v>
      </c>
      <c r="AB13" s="55">
        <f t="shared" si="11"/>
        <v>-13.489500000000001</v>
      </c>
      <c r="AC13" s="55">
        <v>-7.32</v>
      </c>
      <c r="AD13" s="55">
        <v>-4.102027435897436</v>
      </c>
      <c r="AE13" s="55">
        <v>0</v>
      </c>
      <c r="AF13" s="55"/>
    </row>
    <row r="14" spans="1:32" s="57" customFormat="1" ht="15.75" customHeight="1">
      <c r="A14" s="2" t="s">
        <v>64</v>
      </c>
      <c r="B14" s="2"/>
      <c r="C14" s="51">
        <v>16.989999999999998</v>
      </c>
      <c r="D14" s="51">
        <v>11</v>
      </c>
      <c r="E14" s="51">
        <v>0</v>
      </c>
      <c r="F14" s="51">
        <v>174.89</v>
      </c>
      <c r="G14" s="51">
        <v>0</v>
      </c>
      <c r="H14" s="51">
        <f t="shared" si="1"/>
        <v>0</v>
      </c>
      <c r="I14" s="51">
        <f t="shared" si="2"/>
        <v>5.6828281806439444E-2</v>
      </c>
      <c r="J14" s="51">
        <f t="shared" si="4"/>
        <v>9.938698205128194</v>
      </c>
      <c r="K14" s="51">
        <f t="shared" si="3"/>
        <v>0.90351801864801762</v>
      </c>
      <c r="L14" s="51">
        <v>29</v>
      </c>
      <c r="M14" s="51">
        <f t="shared" si="5"/>
        <v>0.37931034482758619</v>
      </c>
      <c r="N14" s="51">
        <v>379</v>
      </c>
      <c r="O14" s="51">
        <f t="shared" ref="O14:P14" si="22">D14/7</f>
        <v>1.5714285714285714</v>
      </c>
      <c r="P14" s="51">
        <f t="shared" si="22"/>
        <v>0</v>
      </c>
      <c r="Q14" s="51">
        <f t="shared" si="7"/>
        <v>241</v>
      </c>
      <c r="R14" s="55">
        <v>600</v>
      </c>
      <c r="S14" s="53" t="s">
        <v>34</v>
      </c>
      <c r="T14" s="54" t="s">
        <v>34</v>
      </c>
      <c r="U14" s="55">
        <v>0</v>
      </c>
      <c r="V14" s="55">
        <f t="shared" si="8"/>
        <v>0</v>
      </c>
      <c r="W14" s="55">
        <f t="shared" si="9"/>
        <v>0</v>
      </c>
      <c r="X14" s="55">
        <v>0</v>
      </c>
      <c r="Y14" s="55" t="s">
        <v>35</v>
      </c>
      <c r="Z14" s="56">
        <f t="shared" si="19"/>
        <v>-0.75</v>
      </c>
      <c r="AA14" s="55">
        <v>0.184</v>
      </c>
      <c r="AB14" s="55">
        <f t="shared" si="11"/>
        <v>-13.075500000000002</v>
      </c>
      <c r="AC14" s="55">
        <v>-7.32</v>
      </c>
      <c r="AD14" s="55">
        <v>-4.102027435897436</v>
      </c>
      <c r="AE14" s="55">
        <v>0</v>
      </c>
      <c r="AF14" s="55"/>
    </row>
    <row r="15" spans="1:32" s="57" customFormat="1" ht="15.75" customHeight="1">
      <c r="A15" s="2" t="s">
        <v>65</v>
      </c>
      <c r="B15" s="2" t="s">
        <v>1045</v>
      </c>
      <c r="C15" s="51">
        <v>15.99</v>
      </c>
      <c r="D15" s="51">
        <v>2</v>
      </c>
      <c r="E15" s="51">
        <v>0</v>
      </c>
      <c r="F15" s="51">
        <v>35.979999999999997</v>
      </c>
      <c r="G15" s="51">
        <v>0</v>
      </c>
      <c r="H15" s="51">
        <f t="shared" si="1"/>
        <v>0</v>
      </c>
      <c r="I15" s="51">
        <f t="shared" si="2"/>
        <v>-0.14832003534727287</v>
      </c>
      <c r="J15" s="51">
        <f t="shared" si="4"/>
        <v>-5.3365548717948776</v>
      </c>
      <c r="K15" s="51">
        <f t="shared" si="3"/>
        <v>-2.6682774358974388</v>
      </c>
      <c r="L15" s="51">
        <v>19</v>
      </c>
      <c r="M15" s="51">
        <f t="shared" si="5"/>
        <v>0.10526315789473684</v>
      </c>
      <c r="N15" s="51">
        <v>379</v>
      </c>
      <c r="O15" s="51">
        <f t="shared" ref="O15:P15" si="23">D15/7</f>
        <v>0.2857142857142857</v>
      </c>
      <c r="P15" s="51">
        <f t="shared" si="23"/>
        <v>0</v>
      </c>
      <c r="Q15" s="51">
        <f t="shared" si="7"/>
        <v>1326</v>
      </c>
      <c r="R15" s="55">
        <v>600</v>
      </c>
      <c r="S15" s="53" t="s">
        <v>34</v>
      </c>
      <c r="T15" s="54" t="s">
        <v>34</v>
      </c>
      <c r="U15" s="55">
        <v>0</v>
      </c>
      <c r="V15" s="55">
        <f t="shared" si="8"/>
        <v>0</v>
      </c>
      <c r="W15" s="55">
        <f t="shared" si="9"/>
        <v>0</v>
      </c>
      <c r="X15" s="55">
        <v>0</v>
      </c>
      <c r="Y15" s="55" t="s">
        <v>35</v>
      </c>
      <c r="Z15" s="56">
        <f t="shared" si="19"/>
        <v>-0.75</v>
      </c>
      <c r="AA15" s="55">
        <v>0.184</v>
      </c>
      <c r="AB15" s="55">
        <f t="shared" si="11"/>
        <v>-13.075500000000002</v>
      </c>
      <c r="AC15" s="55">
        <v>-7.32</v>
      </c>
      <c r="AD15" s="55">
        <v>-4.102027435897436</v>
      </c>
      <c r="AE15" s="55">
        <v>0</v>
      </c>
      <c r="AF15" s="55"/>
    </row>
    <row r="16" spans="1:32" s="57" customFormat="1" ht="15.75" customHeight="1">
      <c r="A16" s="2" t="s">
        <v>66</v>
      </c>
      <c r="B16" s="2" t="s">
        <v>950</v>
      </c>
      <c r="C16" s="51">
        <v>16.989999999999998</v>
      </c>
      <c r="D16" s="51">
        <v>7</v>
      </c>
      <c r="E16" s="51">
        <v>0</v>
      </c>
      <c r="F16" s="51">
        <v>115.92999999999998</v>
      </c>
      <c r="G16" s="51">
        <v>0</v>
      </c>
      <c r="H16" s="51">
        <f t="shared" si="1"/>
        <v>0</v>
      </c>
      <c r="I16" s="51">
        <f t="shared" si="2"/>
        <v>5.0511584134546046E-2</v>
      </c>
      <c r="J16" s="51">
        <f t="shared" si="4"/>
        <v>5.8558079487179224</v>
      </c>
      <c r="K16" s="51">
        <f t="shared" si="3"/>
        <v>0.83654399267398893</v>
      </c>
      <c r="L16" s="51">
        <v>31</v>
      </c>
      <c r="M16" s="51">
        <f t="shared" si="5"/>
        <v>0.22580645161290322</v>
      </c>
      <c r="N16" s="51">
        <v>369</v>
      </c>
      <c r="O16" s="51">
        <f t="shared" ref="O16:P16" si="24">D16/7</f>
        <v>1</v>
      </c>
      <c r="P16" s="51">
        <f t="shared" si="24"/>
        <v>0</v>
      </c>
      <c r="Q16" s="51">
        <f t="shared" si="7"/>
        <v>369</v>
      </c>
      <c r="R16" s="55">
        <v>600</v>
      </c>
      <c r="S16" s="53" t="s">
        <v>34</v>
      </c>
      <c r="T16" s="54" t="s">
        <v>34</v>
      </c>
      <c r="U16" s="55">
        <v>0</v>
      </c>
      <c r="V16" s="55">
        <f t="shared" si="8"/>
        <v>0</v>
      </c>
      <c r="W16" s="55">
        <f t="shared" si="9"/>
        <v>0</v>
      </c>
      <c r="X16" s="55">
        <v>0</v>
      </c>
      <c r="Y16" s="55" t="s">
        <v>35</v>
      </c>
      <c r="Z16" s="56">
        <f t="shared" si="19"/>
        <v>-0.75</v>
      </c>
      <c r="AA16" s="55">
        <v>0.184</v>
      </c>
      <c r="AB16" s="55">
        <f t="shared" si="11"/>
        <v>-12.730500000000001</v>
      </c>
      <c r="AC16" s="55">
        <v>-7.32</v>
      </c>
      <c r="AD16" s="55">
        <v>-4.102027435897436</v>
      </c>
      <c r="AE16" s="55">
        <v>0</v>
      </c>
      <c r="AF16" s="55"/>
    </row>
    <row r="17" spans="1:32" s="57" customFormat="1" ht="15.75" customHeight="1">
      <c r="A17" s="2" t="s">
        <v>67</v>
      </c>
      <c r="B17" s="2" t="s">
        <v>1046</v>
      </c>
      <c r="C17" s="51">
        <v>17.989999999999998</v>
      </c>
      <c r="D17" s="51">
        <v>6</v>
      </c>
      <c r="E17" s="51">
        <v>0</v>
      </c>
      <c r="F17" s="51">
        <v>105.93999999999998</v>
      </c>
      <c r="G17" s="51">
        <v>-24.039999999999992</v>
      </c>
      <c r="H17" s="51">
        <f t="shared" si="1"/>
        <v>0.22692089862186138</v>
      </c>
      <c r="I17" s="51">
        <f t="shared" si="2"/>
        <v>-0.14170440452505789</v>
      </c>
      <c r="J17" s="51">
        <f t="shared" si="4"/>
        <v>-15.012164615384631</v>
      </c>
      <c r="K17" s="51">
        <f t="shared" si="3"/>
        <v>-2.5020274358974386</v>
      </c>
      <c r="L17" s="51">
        <v>37</v>
      </c>
      <c r="M17" s="51">
        <f t="shared" si="5"/>
        <v>0.16216216216216217</v>
      </c>
      <c r="N17" s="51">
        <v>362</v>
      </c>
      <c r="O17" s="51">
        <f t="shared" ref="O17:P17" si="25">D17/7</f>
        <v>0.8571428571428571</v>
      </c>
      <c r="P17" s="51">
        <f t="shared" si="25"/>
        <v>0</v>
      </c>
      <c r="Q17" s="51">
        <f t="shared" si="7"/>
        <v>422</v>
      </c>
      <c r="R17" s="55">
        <v>600</v>
      </c>
      <c r="S17" s="53" t="s">
        <v>34</v>
      </c>
      <c r="T17" s="54" t="s">
        <v>34</v>
      </c>
      <c r="U17" s="55">
        <v>1</v>
      </c>
      <c r="V17" s="55">
        <f t="shared" si="8"/>
        <v>0.16666666666666666</v>
      </c>
      <c r="W17" s="55">
        <f t="shared" si="9"/>
        <v>24.039999999999992</v>
      </c>
      <c r="X17" s="55">
        <v>0</v>
      </c>
      <c r="Y17" s="55" t="s">
        <v>35</v>
      </c>
      <c r="Z17" s="56">
        <f t="shared" si="19"/>
        <v>-0.75</v>
      </c>
      <c r="AA17" s="55">
        <v>0.184</v>
      </c>
      <c r="AB17" s="55">
        <f t="shared" si="11"/>
        <v>-12.489000000000001</v>
      </c>
      <c r="AC17" s="55">
        <v>-7.32</v>
      </c>
      <c r="AD17" s="55">
        <v>-4.102027435897436</v>
      </c>
      <c r="AE17" s="55">
        <v>0</v>
      </c>
      <c r="AF17" s="55"/>
    </row>
    <row r="18" spans="1:32" s="57" customFormat="1" ht="15.75" customHeight="1">
      <c r="A18" s="2" t="s">
        <v>69</v>
      </c>
      <c r="B18" s="2" t="s">
        <v>927</v>
      </c>
      <c r="C18" s="51">
        <v>16.420000000000002</v>
      </c>
      <c r="D18" s="51">
        <v>6</v>
      </c>
      <c r="E18" s="51">
        <v>0</v>
      </c>
      <c r="F18" s="51">
        <v>104.93999999999998</v>
      </c>
      <c r="G18" s="51">
        <v>-9.14</v>
      </c>
      <c r="H18" s="51">
        <f t="shared" si="1"/>
        <v>8.7097388984181456E-2</v>
      </c>
      <c r="I18" s="51">
        <f t="shared" si="2"/>
        <v>8.6171482605444716E-2</v>
      </c>
      <c r="J18" s="51">
        <f t="shared" si="4"/>
        <v>9.0428353846153673</v>
      </c>
      <c r="K18" s="51">
        <f t="shared" si="3"/>
        <v>1.507139230769228</v>
      </c>
      <c r="L18" s="51">
        <v>45</v>
      </c>
      <c r="M18" s="51">
        <f t="shared" si="5"/>
        <v>0.13333333333333333</v>
      </c>
      <c r="N18" s="51">
        <v>355</v>
      </c>
      <c r="O18" s="51">
        <f t="shared" ref="O18:P18" si="26">D18/7</f>
        <v>0.8571428571428571</v>
      </c>
      <c r="P18" s="51">
        <f t="shared" si="26"/>
        <v>0</v>
      </c>
      <c r="Q18" s="51">
        <f t="shared" si="7"/>
        <v>414</v>
      </c>
      <c r="R18" s="55">
        <v>600</v>
      </c>
      <c r="S18" s="53" t="s">
        <v>34</v>
      </c>
      <c r="T18" s="54" t="s">
        <v>34</v>
      </c>
      <c r="U18" s="55">
        <v>1</v>
      </c>
      <c r="V18" s="55">
        <f t="shared" si="8"/>
        <v>0.16666666666666666</v>
      </c>
      <c r="W18" s="55">
        <f t="shared" si="9"/>
        <v>9.14</v>
      </c>
      <c r="X18" s="55">
        <v>0</v>
      </c>
      <c r="Y18" s="55" t="s">
        <v>35</v>
      </c>
      <c r="Z18" s="56">
        <f t="shared" si="19"/>
        <v>-0.75</v>
      </c>
      <c r="AA18" s="55">
        <v>0.184</v>
      </c>
      <c r="AB18" s="58">
        <f t="shared" ref="AB18:AB39" si="27">IFERROR(Z18*AA18*D18*3,0)</f>
        <v>-2.484</v>
      </c>
      <c r="AC18" s="55">
        <v>-7.32</v>
      </c>
      <c r="AD18" s="55">
        <v>-4.102027435897436</v>
      </c>
      <c r="AE18" s="55">
        <v>0</v>
      </c>
      <c r="AF18" s="55"/>
    </row>
    <row r="19" spans="1:32" s="57" customFormat="1" ht="15.75" customHeight="1">
      <c r="A19" s="2" t="s">
        <v>71</v>
      </c>
      <c r="B19" s="2" t="s">
        <v>1047</v>
      </c>
      <c r="C19" s="51">
        <v>15.13</v>
      </c>
      <c r="D19" s="51">
        <v>17</v>
      </c>
      <c r="E19" s="51">
        <v>0</v>
      </c>
      <c r="F19" s="51">
        <v>270.14000000000004</v>
      </c>
      <c r="G19" s="51">
        <v>0</v>
      </c>
      <c r="H19" s="51">
        <f t="shared" si="1"/>
        <v>0</v>
      </c>
      <c r="I19" s="51">
        <f t="shared" si="2"/>
        <v>0.1051548589240528</v>
      </c>
      <c r="J19" s="51">
        <f t="shared" si="4"/>
        <v>28.406533589743628</v>
      </c>
      <c r="K19" s="51">
        <f t="shared" si="3"/>
        <v>1.6709725641025663</v>
      </c>
      <c r="L19" s="51">
        <v>51</v>
      </c>
      <c r="M19" s="51">
        <f t="shared" si="5"/>
        <v>0.33333333333333331</v>
      </c>
      <c r="N19" s="51">
        <v>341</v>
      </c>
      <c r="O19" s="51">
        <f t="shared" ref="O19:P19" si="28">D19/7</f>
        <v>2.4285714285714284</v>
      </c>
      <c r="P19" s="51">
        <f t="shared" si="28"/>
        <v>0</v>
      </c>
      <c r="Q19" s="51">
        <f t="shared" si="7"/>
        <v>140</v>
      </c>
      <c r="R19" s="55">
        <v>800</v>
      </c>
      <c r="S19" s="53">
        <v>200</v>
      </c>
      <c r="T19" s="54">
        <v>43990</v>
      </c>
      <c r="U19" s="55">
        <v>0</v>
      </c>
      <c r="V19" s="55">
        <f t="shared" si="8"/>
        <v>0</v>
      </c>
      <c r="W19" s="55">
        <f t="shared" si="9"/>
        <v>0</v>
      </c>
      <c r="X19" s="55">
        <v>0</v>
      </c>
      <c r="Y19" s="55" t="s">
        <v>35</v>
      </c>
      <c r="Z19" s="56">
        <f t="shared" si="19"/>
        <v>-0.75</v>
      </c>
      <c r="AA19" s="55">
        <v>0.184</v>
      </c>
      <c r="AB19" s="55">
        <f t="shared" si="27"/>
        <v>-7.0380000000000003</v>
      </c>
      <c r="AC19" s="55">
        <v>-7.32</v>
      </c>
      <c r="AD19" s="55">
        <v>-4.102027435897436</v>
      </c>
      <c r="AE19" s="55">
        <v>0</v>
      </c>
      <c r="AF19" s="55"/>
    </row>
    <row r="20" spans="1:32" s="57" customFormat="1" ht="15.75" customHeight="1">
      <c r="A20" s="2" t="s">
        <v>73</v>
      </c>
      <c r="B20" s="2" t="s">
        <v>955</v>
      </c>
      <c r="C20" s="51">
        <v>14</v>
      </c>
      <c r="D20" s="51">
        <v>46</v>
      </c>
      <c r="E20" s="51">
        <v>0</v>
      </c>
      <c r="F20" s="51">
        <v>687.29</v>
      </c>
      <c r="G20" s="51">
        <v>0</v>
      </c>
      <c r="H20" s="51">
        <f t="shared" si="1"/>
        <v>0</v>
      </c>
      <c r="I20" s="51">
        <f t="shared" si="2"/>
        <v>5.7820189365068282E-2</v>
      </c>
      <c r="J20" s="51">
        <f t="shared" si="4"/>
        <v>39.739237948717779</v>
      </c>
      <c r="K20" s="51">
        <f t="shared" si="3"/>
        <v>0.86389647714603868</v>
      </c>
      <c r="L20" s="51">
        <v>108</v>
      </c>
      <c r="M20" s="51">
        <f t="shared" si="5"/>
        <v>0.42592592592592593</v>
      </c>
      <c r="N20" s="51">
        <v>251</v>
      </c>
      <c r="O20" s="51">
        <f t="shared" ref="O20:P20" si="29">D20/7</f>
        <v>6.5714285714285712</v>
      </c>
      <c r="P20" s="51">
        <f t="shared" si="29"/>
        <v>0</v>
      </c>
      <c r="Q20" s="51">
        <f t="shared" si="7"/>
        <v>38</v>
      </c>
      <c r="R20" s="55">
        <v>600</v>
      </c>
      <c r="S20" s="53">
        <v>200</v>
      </c>
      <c r="T20" s="54">
        <v>43990</v>
      </c>
      <c r="U20" s="55">
        <v>0</v>
      </c>
      <c r="V20" s="55">
        <f t="shared" si="8"/>
        <v>0</v>
      </c>
      <c r="W20" s="55">
        <f t="shared" si="9"/>
        <v>0</v>
      </c>
      <c r="X20" s="55">
        <v>0</v>
      </c>
      <c r="Y20" s="55" t="s">
        <v>35</v>
      </c>
      <c r="Z20" s="56">
        <f t="shared" si="19"/>
        <v>-0.75</v>
      </c>
      <c r="AA20" s="55">
        <v>0.184</v>
      </c>
      <c r="AB20" s="55">
        <f t="shared" si="27"/>
        <v>-19.044000000000004</v>
      </c>
      <c r="AC20" s="55">
        <v>-7.32</v>
      </c>
      <c r="AD20" s="55">
        <v>-4.102027435897436</v>
      </c>
      <c r="AE20" s="55">
        <v>0</v>
      </c>
      <c r="AF20" s="55"/>
    </row>
    <row r="21" spans="1:32" s="57" customFormat="1" ht="15.75" customHeight="1">
      <c r="A21" s="2" t="s">
        <v>75</v>
      </c>
      <c r="B21" s="2" t="s">
        <v>988</v>
      </c>
      <c r="C21" s="51">
        <v>20.21</v>
      </c>
      <c r="D21" s="51">
        <v>48</v>
      </c>
      <c r="E21" s="51">
        <v>0</v>
      </c>
      <c r="F21" s="51">
        <v>798.75</v>
      </c>
      <c r="G21" s="51">
        <v>0</v>
      </c>
      <c r="H21" s="51">
        <f t="shared" si="1"/>
        <v>0</v>
      </c>
      <c r="I21" s="51">
        <f t="shared" si="2"/>
        <v>0.13872698976766581</v>
      </c>
      <c r="J21" s="51">
        <f t="shared" si="4"/>
        <v>110.80818307692307</v>
      </c>
      <c r="K21" s="51">
        <f t="shared" si="3"/>
        <v>2.308503814102564</v>
      </c>
      <c r="L21" s="51">
        <v>197</v>
      </c>
      <c r="M21" s="51">
        <f t="shared" si="5"/>
        <v>0.24365482233502539</v>
      </c>
      <c r="N21" s="51">
        <v>240</v>
      </c>
      <c r="O21" s="51">
        <f t="shared" ref="O21:P21" si="30">D21/7</f>
        <v>6.8571428571428568</v>
      </c>
      <c r="P21" s="51">
        <f t="shared" si="30"/>
        <v>0</v>
      </c>
      <c r="Q21" s="51">
        <f t="shared" si="7"/>
        <v>35</v>
      </c>
      <c r="R21" s="55">
        <v>600</v>
      </c>
      <c r="S21" s="53">
        <v>200</v>
      </c>
      <c r="T21" s="54">
        <v>43990</v>
      </c>
      <c r="U21" s="55">
        <v>0</v>
      </c>
      <c r="V21" s="55">
        <f t="shared" si="8"/>
        <v>0</v>
      </c>
      <c r="W21" s="55">
        <f t="shared" si="9"/>
        <v>0</v>
      </c>
      <c r="X21" s="55">
        <v>0</v>
      </c>
      <c r="Y21" s="55" t="s">
        <v>35</v>
      </c>
      <c r="Z21" s="56">
        <f t="shared" si="19"/>
        <v>-0.75</v>
      </c>
      <c r="AA21" s="55">
        <v>0.184</v>
      </c>
      <c r="AB21" s="55">
        <f t="shared" si="27"/>
        <v>-19.872</v>
      </c>
      <c r="AC21" s="55">
        <v>-7.32</v>
      </c>
      <c r="AD21" s="55">
        <v>-4.102027435897436</v>
      </c>
      <c r="AE21" s="55">
        <v>0</v>
      </c>
      <c r="AF21" s="55"/>
    </row>
    <row r="22" spans="1:32" s="57" customFormat="1" ht="15.75" customHeight="1">
      <c r="A22" s="2" t="s">
        <v>77</v>
      </c>
      <c r="B22" s="2" t="s">
        <v>810</v>
      </c>
      <c r="C22" s="51">
        <v>21</v>
      </c>
      <c r="D22" s="51">
        <v>40</v>
      </c>
      <c r="E22" s="51">
        <v>0</v>
      </c>
      <c r="F22" s="51">
        <v>735.42000000000007</v>
      </c>
      <c r="G22" s="51">
        <v>-0.4</v>
      </c>
      <c r="H22" s="51">
        <f t="shared" si="1"/>
        <v>5.439068831416061E-4</v>
      </c>
      <c r="I22" s="51">
        <f t="shared" si="2"/>
        <v>0.20568641397310738</v>
      </c>
      <c r="J22" s="51">
        <f t="shared" si="4"/>
        <v>151.26590256410265</v>
      </c>
      <c r="K22" s="51">
        <f t="shared" si="3"/>
        <v>3.781647564102566</v>
      </c>
      <c r="L22" s="51">
        <v>134</v>
      </c>
      <c r="M22" s="51">
        <f t="shared" si="5"/>
        <v>0.29850746268656714</v>
      </c>
      <c r="N22" s="51">
        <v>200</v>
      </c>
      <c r="O22" s="51">
        <f t="shared" ref="O22:P22" si="31">D22/7</f>
        <v>5.7142857142857144</v>
      </c>
      <c r="P22" s="51">
        <f t="shared" si="31"/>
        <v>0</v>
      </c>
      <c r="Q22" s="51">
        <f t="shared" si="7"/>
        <v>35</v>
      </c>
      <c r="R22" s="55">
        <v>600</v>
      </c>
      <c r="S22" s="53">
        <v>200</v>
      </c>
      <c r="T22" s="54">
        <v>43992</v>
      </c>
      <c r="U22" s="55">
        <v>0</v>
      </c>
      <c r="V22" s="55">
        <f t="shared" si="8"/>
        <v>0</v>
      </c>
      <c r="W22" s="55">
        <f t="shared" si="9"/>
        <v>0</v>
      </c>
      <c r="X22" s="55">
        <v>0</v>
      </c>
      <c r="Y22" s="55" t="s">
        <v>35</v>
      </c>
      <c r="Z22" s="56">
        <f t="shared" si="19"/>
        <v>-0.75</v>
      </c>
      <c r="AA22" s="55">
        <v>0.184</v>
      </c>
      <c r="AB22" s="55">
        <f t="shared" si="27"/>
        <v>-16.560000000000002</v>
      </c>
      <c r="AC22" s="55">
        <v>-7.32</v>
      </c>
      <c r="AD22" s="55">
        <v>-4.102027435897436</v>
      </c>
      <c r="AE22" s="55">
        <v>0</v>
      </c>
      <c r="AF22" s="55"/>
    </row>
    <row r="23" spans="1:32" s="57" customFormat="1" ht="15.75" customHeight="1">
      <c r="A23" s="2" t="s">
        <v>79</v>
      </c>
      <c r="B23" s="2" t="s">
        <v>927</v>
      </c>
      <c r="C23" s="51">
        <v>21</v>
      </c>
      <c r="D23" s="51">
        <v>16</v>
      </c>
      <c r="E23" s="51">
        <v>0</v>
      </c>
      <c r="F23" s="51">
        <v>336.91999999999996</v>
      </c>
      <c r="G23" s="51">
        <v>-0.08</v>
      </c>
      <c r="H23" s="51">
        <f t="shared" si="1"/>
        <v>2.3744509082274727E-4</v>
      </c>
      <c r="I23" s="51">
        <f t="shared" si="2"/>
        <v>0.28768123300973819</v>
      </c>
      <c r="J23" s="51">
        <f t="shared" si="4"/>
        <v>96.925561025640974</v>
      </c>
      <c r="K23" s="51">
        <f t="shared" si="3"/>
        <v>6.0578475641025609</v>
      </c>
      <c r="L23" s="51">
        <v>56</v>
      </c>
      <c r="M23" s="51">
        <f t="shared" si="5"/>
        <v>0.2857142857142857</v>
      </c>
      <c r="N23" s="51">
        <v>194</v>
      </c>
      <c r="O23" s="51">
        <f t="shared" ref="O23:P23" si="32">D23/7</f>
        <v>2.2857142857142856</v>
      </c>
      <c r="P23" s="51">
        <f t="shared" si="32"/>
        <v>0</v>
      </c>
      <c r="Q23" s="51">
        <f t="shared" si="7"/>
        <v>84</v>
      </c>
      <c r="R23" s="55">
        <v>600</v>
      </c>
      <c r="S23" s="53">
        <v>200</v>
      </c>
      <c r="T23" s="54">
        <v>43992</v>
      </c>
      <c r="U23" s="55">
        <v>0</v>
      </c>
      <c r="V23" s="55">
        <f t="shared" si="8"/>
        <v>0</v>
      </c>
      <c r="W23" s="55">
        <f t="shared" si="9"/>
        <v>0</v>
      </c>
      <c r="X23" s="55">
        <v>0</v>
      </c>
      <c r="Y23" s="55" t="s">
        <v>35</v>
      </c>
      <c r="Z23" s="56">
        <f t="shared" si="19"/>
        <v>-0.75</v>
      </c>
      <c r="AA23" s="55">
        <v>0.184</v>
      </c>
      <c r="AB23" s="55">
        <f t="shared" si="27"/>
        <v>-6.6240000000000006</v>
      </c>
      <c r="AC23" s="55">
        <v>-7.32</v>
      </c>
      <c r="AD23" s="55">
        <v>-4.102027435897436</v>
      </c>
      <c r="AE23" s="55">
        <v>0</v>
      </c>
      <c r="AF23" s="55"/>
    </row>
    <row r="24" spans="1:32" s="57" customFormat="1" ht="15.75" customHeight="1">
      <c r="A24" s="2" t="s">
        <v>80</v>
      </c>
      <c r="B24" s="2" t="s">
        <v>810</v>
      </c>
      <c r="C24" s="51">
        <v>21</v>
      </c>
      <c r="D24" s="51">
        <v>19</v>
      </c>
      <c r="E24" s="51">
        <v>0</v>
      </c>
      <c r="F24" s="51">
        <v>402.42</v>
      </c>
      <c r="G24" s="51">
        <v>-0.12</v>
      </c>
      <c r="H24" s="51">
        <f t="shared" si="1"/>
        <v>2.9819591471596835E-4</v>
      </c>
      <c r="I24" s="51">
        <f t="shared" si="2"/>
        <v>0.29087142467558447</v>
      </c>
      <c r="J24" s="51">
        <f t="shared" si="4"/>
        <v>117.05247871794872</v>
      </c>
      <c r="K24" s="51">
        <f t="shared" si="3"/>
        <v>6.1606567746288796</v>
      </c>
      <c r="L24" s="51">
        <v>86</v>
      </c>
      <c r="M24" s="51">
        <f t="shared" si="5"/>
        <v>0.22093023255813954</v>
      </c>
      <c r="N24" s="51">
        <v>163</v>
      </c>
      <c r="O24" s="51">
        <f t="shared" ref="O24:P24" si="33">D24/7</f>
        <v>2.7142857142857144</v>
      </c>
      <c r="P24" s="51">
        <f t="shared" si="33"/>
        <v>0</v>
      </c>
      <c r="Q24" s="51">
        <f t="shared" si="7"/>
        <v>60</v>
      </c>
      <c r="R24" s="55">
        <v>600</v>
      </c>
      <c r="S24" s="53">
        <v>200</v>
      </c>
      <c r="T24" s="54">
        <v>43992</v>
      </c>
      <c r="U24" s="55">
        <v>0</v>
      </c>
      <c r="V24" s="55">
        <f t="shared" si="8"/>
        <v>0</v>
      </c>
      <c r="W24" s="55">
        <f t="shared" si="9"/>
        <v>0</v>
      </c>
      <c r="X24" s="55">
        <v>0</v>
      </c>
      <c r="Y24" s="55" t="s">
        <v>35</v>
      </c>
      <c r="Z24" s="56">
        <f t="shared" si="19"/>
        <v>-0.75</v>
      </c>
      <c r="AA24" s="55">
        <v>0.184</v>
      </c>
      <c r="AB24" s="55">
        <f t="shared" si="27"/>
        <v>-7.8660000000000014</v>
      </c>
      <c r="AC24" s="55">
        <v>-7.32</v>
      </c>
      <c r="AD24" s="55">
        <v>-4.102027435897436</v>
      </c>
      <c r="AE24" s="55">
        <v>0</v>
      </c>
      <c r="AF24" s="55"/>
    </row>
    <row r="25" spans="1:32" s="57" customFormat="1" ht="15.75" customHeight="1">
      <c r="A25" s="2" t="s">
        <v>81</v>
      </c>
      <c r="B25" s="2" t="s">
        <v>1013</v>
      </c>
      <c r="C25" s="51"/>
      <c r="D25" s="51">
        <v>20</v>
      </c>
      <c r="E25" s="51">
        <v>0</v>
      </c>
      <c r="F25" s="51">
        <v>429.3</v>
      </c>
      <c r="G25" s="51">
        <v>-0.05</v>
      </c>
      <c r="H25" s="51">
        <f t="shared" si="1"/>
        <v>1.1646866992778943E-4</v>
      </c>
      <c r="I25" s="51">
        <f t="shared" si="2"/>
        <v>0.29847298225495272</v>
      </c>
      <c r="J25" s="51">
        <f t="shared" si="4"/>
        <v>128.1344512820512</v>
      </c>
      <c r="K25" s="51">
        <f t="shared" si="3"/>
        <v>6.4067225641025605</v>
      </c>
      <c r="L25" s="51">
        <v>68</v>
      </c>
      <c r="M25" s="51">
        <f t="shared" si="5"/>
        <v>0.29411764705882354</v>
      </c>
      <c r="N25" s="51">
        <v>155</v>
      </c>
      <c r="O25" s="51">
        <f t="shared" ref="O25:P25" si="34">D25/7</f>
        <v>2.8571428571428572</v>
      </c>
      <c r="P25" s="51">
        <f t="shared" si="34"/>
        <v>0</v>
      </c>
      <c r="Q25" s="51">
        <f t="shared" si="7"/>
        <v>54</v>
      </c>
      <c r="R25" s="55">
        <v>600</v>
      </c>
      <c r="S25" s="53">
        <v>200</v>
      </c>
      <c r="T25" s="54">
        <v>43990</v>
      </c>
      <c r="U25" s="55">
        <v>0</v>
      </c>
      <c r="V25" s="55">
        <f t="shared" si="8"/>
        <v>0</v>
      </c>
      <c r="W25" s="55">
        <f t="shared" si="9"/>
        <v>0</v>
      </c>
      <c r="X25" s="55">
        <v>0</v>
      </c>
      <c r="Y25" s="55" t="s">
        <v>35</v>
      </c>
      <c r="Z25" s="56">
        <f t="shared" si="19"/>
        <v>-0.75</v>
      </c>
      <c r="AA25" s="55">
        <v>0.184</v>
      </c>
      <c r="AB25" s="55">
        <f t="shared" si="27"/>
        <v>-8.2800000000000011</v>
      </c>
      <c r="AC25" s="55">
        <v>-7.32</v>
      </c>
      <c r="AD25" s="55">
        <v>-4.102027435897436</v>
      </c>
      <c r="AE25" s="55">
        <v>0</v>
      </c>
      <c r="AF25" s="55"/>
    </row>
    <row r="26" spans="1:32" s="57" customFormat="1" ht="15.75" customHeight="1">
      <c r="A26" s="2" t="s">
        <v>83</v>
      </c>
      <c r="B26" s="2" t="s">
        <v>810</v>
      </c>
      <c r="C26" s="51">
        <f t="shared" ref="C26:C39" si="35">IFERROR(F26/D26," - ")</f>
        <v>20.992380952380952</v>
      </c>
      <c r="D26" s="51">
        <v>21</v>
      </c>
      <c r="E26" s="51">
        <v>0</v>
      </c>
      <c r="F26" s="51">
        <v>440.84</v>
      </c>
      <c r="G26" s="51">
        <v>-7.0000000000000007E-2</v>
      </c>
      <c r="H26" s="51">
        <f t="shared" si="1"/>
        <v>1.5878776880500864E-4</v>
      </c>
      <c r="I26" s="51">
        <f t="shared" si="2"/>
        <v>0.28601629581288857</v>
      </c>
      <c r="J26" s="51">
        <f t="shared" si="4"/>
        <v>126.08742384615378</v>
      </c>
      <c r="K26" s="51">
        <f t="shared" si="3"/>
        <v>6.0041630402930375</v>
      </c>
      <c r="L26" s="51">
        <v>131</v>
      </c>
      <c r="M26" s="51">
        <f t="shared" si="5"/>
        <v>0.16030534351145037</v>
      </c>
      <c r="N26" s="51">
        <v>123</v>
      </c>
      <c r="O26" s="51">
        <f t="shared" ref="O26:P26" si="36">D26/7</f>
        <v>3</v>
      </c>
      <c r="P26" s="51">
        <f t="shared" si="36"/>
        <v>0</v>
      </c>
      <c r="Q26" s="51">
        <f t="shared" si="7"/>
        <v>41</v>
      </c>
      <c r="R26" s="55">
        <v>600</v>
      </c>
      <c r="S26" s="53">
        <v>200</v>
      </c>
      <c r="T26" s="54">
        <v>43990</v>
      </c>
      <c r="U26" s="55">
        <v>0</v>
      </c>
      <c r="V26" s="55">
        <f t="shared" si="8"/>
        <v>0</v>
      </c>
      <c r="W26" s="55">
        <f t="shared" si="9"/>
        <v>0</v>
      </c>
      <c r="X26" s="55">
        <v>0</v>
      </c>
      <c r="Y26" s="55" t="s">
        <v>35</v>
      </c>
      <c r="Z26" s="56">
        <f t="shared" si="19"/>
        <v>-0.75</v>
      </c>
      <c r="AA26" s="55">
        <v>0.184</v>
      </c>
      <c r="AB26" s="55">
        <f t="shared" si="27"/>
        <v>-8.6940000000000008</v>
      </c>
      <c r="AC26" s="55">
        <v>-7.32</v>
      </c>
      <c r="AD26" s="55">
        <v>-4.102027435897436</v>
      </c>
      <c r="AE26" s="55">
        <v>0</v>
      </c>
      <c r="AF26" s="55"/>
    </row>
    <row r="27" spans="1:32" s="57" customFormat="1" ht="15.75" customHeight="1">
      <c r="A27" s="2" t="s">
        <v>84</v>
      </c>
      <c r="B27" s="2" t="s">
        <v>988</v>
      </c>
      <c r="C27" s="51">
        <f t="shared" si="35"/>
        <v>20.04424242424243</v>
      </c>
      <c r="D27" s="51">
        <v>66</v>
      </c>
      <c r="E27" s="51">
        <v>0</v>
      </c>
      <c r="F27" s="51">
        <v>1322.9200000000003</v>
      </c>
      <c r="G27" s="51">
        <v>-0.65</v>
      </c>
      <c r="H27" s="51">
        <f t="shared" si="1"/>
        <v>4.9133734466180864E-4</v>
      </c>
      <c r="I27" s="51">
        <f t="shared" si="2"/>
        <v>0.25901353765214014</v>
      </c>
      <c r="J27" s="51">
        <f t="shared" si="4"/>
        <v>342.6541892307693</v>
      </c>
      <c r="K27" s="51">
        <f t="shared" si="3"/>
        <v>5.191730139860141</v>
      </c>
      <c r="L27" s="51">
        <v>190</v>
      </c>
      <c r="M27" s="51">
        <f t="shared" si="5"/>
        <v>0.3473684210526316</v>
      </c>
      <c r="N27" s="51">
        <v>260</v>
      </c>
      <c r="O27" s="51">
        <f t="shared" ref="O27:P27" si="37">D27/7</f>
        <v>9.4285714285714288</v>
      </c>
      <c r="P27" s="51">
        <f t="shared" si="37"/>
        <v>0</v>
      </c>
      <c r="Q27" s="51">
        <f t="shared" si="7"/>
        <v>27</v>
      </c>
      <c r="R27" s="55">
        <v>400</v>
      </c>
      <c r="S27" s="53" t="s">
        <v>34</v>
      </c>
      <c r="T27" s="54" t="s">
        <v>34</v>
      </c>
      <c r="U27" s="55">
        <v>0</v>
      </c>
      <c r="V27" s="55">
        <f t="shared" si="8"/>
        <v>0</v>
      </c>
      <c r="W27" s="55">
        <f t="shared" si="9"/>
        <v>0</v>
      </c>
      <c r="X27" s="55">
        <v>0</v>
      </c>
      <c r="Y27" s="55" t="s">
        <v>35</v>
      </c>
      <c r="Z27" s="56">
        <f t="shared" si="19"/>
        <v>-0.75</v>
      </c>
      <c r="AA27" s="55">
        <v>0.184</v>
      </c>
      <c r="AB27" s="55">
        <f t="shared" si="27"/>
        <v>-27.324000000000002</v>
      </c>
      <c r="AC27" s="55">
        <v>-7.32</v>
      </c>
      <c r="AD27" s="55">
        <v>-4.102027435897436</v>
      </c>
      <c r="AE27" s="55">
        <v>0</v>
      </c>
      <c r="AF27" s="55"/>
    </row>
    <row r="28" spans="1:32" s="57" customFormat="1" ht="15.75" customHeight="1">
      <c r="A28" s="2" t="s">
        <v>86</v>
      </c>
      <c r="B28" s="2" t="s">
        <v>1015</v>
      </c>
      <c r="C28" s="51">
        <f t="shared" si="35"/>
        <v>20.070270270270246</v>
      </c>
      <c r="D28" s="51">
        <v>148</v>
      </c>
      <c r="E28" s="51">
        <v>1</v>
      </c>
      <c r="F28" s="51">
        <v>2970.3999999999965</v>
      </c>
      <c r="G28" s="51">
        <v>-1.3599999999999999</v>
      </c>
      <c r="H28" s="51">
        <f t="shared" si="1"/>
        <v>4.5785079450579095E-4</v>
      </c>
      <c r="I28" s="51">
        <f t="shared" si="2"/>
        <v>0.25981279945030195</v>
      </c>
      <c r="J28" s="51">
        <f t="shared" si="4"/>
        <v>771.74793948717604</v>
      </c>
      <c r="K28" s="51">
        <f t="shared" si="3"/>
        <v>5.214513104643081</v>
      </c>
      <c r="L28" s="51">
        <v>488</v>
      </c>
      <c r="M28" s="51">
        <f t="shared" si="5"/>
        <v>0.30327868852459017</v>
      </c>
      <c r="N28" s="51">
        <v>66</v>
      </c>
      <c r="O28" s="51">
        <f t="shared" ref="O28:P28" si="38">D28/7</f>
        <v>21.142857142857142</v>
      </c>
      <c r="P28" s="51">
        <f t="shared" si="38"/>
        <v>0.14285714285714285</v>
      </c>
      <c r="Q28" s="51">
        <f t="shared" si="7"/>
        <v>3</v>
      </c>
      <c r="R28" s="55">
        <v>400</v>
      </c>
      <c r="S28" s="53" t="s">
        <v>34</v>
      </c>
      <c r="T28" s="54" t="s">
        <v>34</v>
      </c>
      <c r="U28" s="55">
        <v>2</v>
      </c>
      <c r="V28" s="55">
        <f t="shared" si="8"/>
        <v>1.3513513513513514E-2</v>
      </c>
      <c r="W28" s="55">
        <f t="shared" si="9"/>
        <v>0.22666666666666666</v>
      </c>
      <c r="X28" s="55">
        <v>4</v>
      </c>
      <c r="Y28" s="55" t="s">
        <v>35</v>
      </c>
      <c r="Z28" s="56">
        <f t="shared" si="19"/>
        <v>-0.75</v>
      </c>
      <c r="AA28" s="55">
        <v>0.184</v>
      </c>
      <c r="AB28" s="55">
        <f t="shared" si="27"/>
        <v>-61.272000000000006</v>
      </c>
      <c r="AC28" s="55">
        <v>-7.32</v>
      </c>
      <c r="AD28" s="55">
        <v>-4.102027435897436</v>
      </c>
      <c r="AE28" s="55">
        <v>0</v>
      </c>
      <c r="AF28" s="55"/>
    </row>
    <row r="29" spans="1:32" s="57" customFormat="1" ht="15.75" customHeight="1">
      <c r="A29" s="2" t="s">
        <v>87</v>
      </c>
      <c r="B29" s="2" t="s">
        <v>1048</v>
      </c>
      <c r="C29" s="51">
        <f t="shared" si="35"/>
        <v>21.58195876288659</v>
      </c>
      <c r="D29" s="51">
        <v>97</v>
      </c>
      <c r="E29" s="51">
        <v>1</v>
      </c>
      <c r="F29" s="51">
        <v>2093.4499999999994</v>
      </c>
      <c r="G29" s="51">
        <v>-6.5500000000000007</v>
      </c>
      <c r="H29" s="51">
        <f t="shared" si="1"/>
        <v>3.1288065155604399E-3</v>
      </c>
      <c r="I29" s="51">
        <f t="shared" si="2"/>
        <v>0.29844889475170089</v>
      </c>
      <c r="J29" s="51">
        <f t="shared" si="4"/>
        <v>624.78783871794803</v>
      </c>
      <c r="K29" s="51">
        <f t="shared" si="3"/>
        <v>6.4411117393602888</v>
      </c>
      <c r="L29" s="51">
        <v>404</v>
      </c>
      <c r="M29" s="51">
        <f t="shared" si="5"/>
        <v>0.24009900990099009</v>
      </c>
      <c r="N29" s="51">
        <v>4</v>
      </c>
      <c r="O29" s="51">
        <f t="shared" ref="O29:P29" si="39">D29/7</f>
        <v>13.857142857142858</v>
      </c>
      <c r="P29" s="51">
        <f t="shared" si="39"/>
        <v>0.14285714285714285</v>
      </c>
      <c r="Q29" s="51">
        <f t="shared" si="7"/>
        <v>0</v>
      </c>
      <c r="R29" s="55">
        <v>400</v>
      </c>
      <c r="S29" s="53" t="s">
        <v>34</v>
      </c>
      <c r="T29" s="54" t="s">
        <v>34</v>
      </c>
      <c r="U29" s="55">
        <v>3</v>
      </c>
      <c r="V29" s="55">
        <f t="shared" si="8"/>
        <v>3.0927835051546393E-2</v>
      </c>
      <c r="W29" s="55">
        <f t="shared" si="9"/>
        <v>1.31</v>
      </c>
      <c r="X29" s="55">
        <v>2</v>
      </c>
      <c r="Y29" s="55" t="s">
        <v>35</v>
      </c>
      <c r="Z29" s="56">
        <f t="shared" si="19"/>
        <v>-0.75</v>
      </c>
      <c r="AA29" s="55">
        <v>0.184</v>
      </c>
      <c r="AB29" s="55">
        <f t="shared" si="27"/>
        <v>-40.158000000000001</v>
      </c>
      <c r="AC29" s="55">
        <v>-7.32</v>
      </c>
      <c r="AD29" s="55">
        <v>-4.102027435897436</v>
      </c>
      <c r="AE29" s="55">
        <v>0</v>
      </c>
      <c r="AF29" s="55"/>
    </row>
    <row r="30" spans="1:32" s="57" customFormat="1" ht="15.75" customHeight="1">
      <c r="A30" s="2" t="s">
        <v>89</v>
      </c>
      <c r="B30" s="2"/>
      <c r="C30" s="51">
        <f t="shared" si="35"/>
        <v>23.911249999999999</v>
      </c>
      <c r="D30" s="51">
        <v>16</v>
      </c>
      <c r="E30" s="51">
        <v>0</v>
      </c>
      <c r="F30" s="51">
        <v>382.58</v>
      </c>
      <c r="G30" s="51">
        <v>-2.91</v>
      </c>
      <c r="H30" s="51">
        <f t="shared" si="1"/>
        <v>7.6062522871033515E-3</v>
      </c>
      <c r="I30" s="51">
        <f t="shared" si="2"/>
        <v>0.34739547552313499</v>
      </c>
      <c r="J30" s="51">
        <f t="shared" si="4"/>
        <v>132.90656102564097</v>
      </c>
      <c r="K30" s="51">
        <f t="shared" si="3"/>
        <v>8.3066600641025605</v>
      </c>
      <c r="L30" s="51">
        <v>100</v>
      </c>
      <c r="M30" s="51">
        <f t="shared" si="5"/>
        <v>0.16</v>
      </c>
      <c r="N30" s="51">
        <v>0</v>
      </c>
      <c r="O30" s="51">
        <f t="shared" ref="O30:P30" si="40">D30/7</f>
        <v>2.2857142857142856</v>
      </c>
      <c r="P30" s="51">
        <f t="shared" si="40"/>
        <v>0</v>
      </c>
      <c r="Q30" s="51">
        <f t="shared" si="7"/>
        <v>0</v>
      </c>
      <c r="R30" s="55">
        <v>776</v>
      </c>
      <c r="S30" s="53">
        <v>376</v>
      </c>
      <c r="T30" s="54">
        <v>44058</v>
      </c>
      <c r="U30" s="55">
        <v>1</v>
      </c>
      <c r="V30" s="55">
        <f t="shared" si="8"/>
        <v>6.25E-2</v>
      </c>
      <c r="W30" s="55">
        <f t="shared" si="9"/>
        <v>2.91</v>
      </c>
      <c r="X30" s="55">
        <v>0</v>
      </c>
      <c r="Y30" s="55" t="s">
        <v>35</v>
      </c>
      <c r="Z30" s="56">
        <f t="shared" si="19"/>
        <v>-0.75</v>
      </c>
      <c r="AA30" s="55">
        <v>0.184</v>
      </c>
      <c r="AB30" s="55">
        <f t="shared" si="27"/>
        <v>-6.6240000000000006</v>
      </c>
      <c r="AC30" s="55">
        <v>-7.32</v>
      </c>
      <c r="AD30" s="55">
        <v>-4.102027435897436</v>
      </c>
      <c r="AE30" s="55">
        <v>0</v>
      </c>
      <c r="AF30" s="55"/>
    </row>
    <row r="31" spans="1:32" s="57" customFormat="1" ht="15.75" customHeight="1">
      <c r="A31" s="2" t="s">
        <v>90</v>
      </c>
      <c r="B31" s="2"/>
      <c r="C31" s="51" t="str">
        <f t="shared" si="35"/>
        <v xml:space="preserve"> - </v>
      </c>
      <c r="D31" s="51">
        <v>0</v>
      </c>
      <c r="E31" s="51">
        <v>0</v>
      </c>
      <c r="F31" s="51">
        <v>0</v>
      </c>
      <c r="G31" s="51">
        <v>0</v>
      </c>
      <c r="H31" s="51" t="e">
        <f t="shared" si="1"/>
        <v>#DIV/0!</v>
      </c>
      <c r="I31" s="51" t="e">
        <f t="shared" si="2"/>
        <v>#DIV/0!</v>
      </c>
      <c r="J31" s="51">
        <f t="shared" si="4"/>
        <v>0</v>
      </c>
      <c r="K31" s="51" t="e">
        <f t="shared" si="3"/>
        <v>#DIV/0!</v>
      </c>
      <c r="L31" s="51">
        <v>0</v>
      </c>
      <c r="M31" s="51" t="str">
        <f t="shared" si="5"/>
        <v>-</v>
      </c>
      <c r="N31" s="51">
        <v>0</v>
      </c>
      <c r="O31" s="51">
        <f t="shared" ref="O31:P31" si="41">D31/7</f>
        <v>0</v>
      </c>
      <c r="P31" s="51">
        <f t="shared" si="41"/>
        <v>0</v>
      </c>
      <c r="Q31" s="51" t="e">
        <f t="shared" si="7"/>
        <v>#DIV/0!</v>
      </c>
      <c r="R31" s="55">
        <v>400</v>
      </c>
      <c r="S31" s="53">
        <v>376</v>
      </c>
      <c r="T31" s="54">
        <v>44058</v>
      </c>
      <c r="U31" s="55">
        <v>0</v>
      </c>
      <c r="V31" s="55">
        <f t="shared" si="8"/>
        <v>0</v>
      </c>
      <c r="W31" s="55">
        <f t="shared" si="9"/>
        <v>0</v>
      </c>
      <c r="X31" s="55">
        <v>0</v>
      </c>
      <c r="Y31" s="55" t="s">
        <v>35</v>
      </c>
      <c r="Z31" s="56">
        <f t="shared" si="19"/>
        <v>-0.75</v>
      </c>
      <c r="AA31" s="55">
        <v>0.184</v>
      </c>
      <c r="AB31" s="55">
        <f t="shared" si="27"/>
        <v>0</v>
      </c>
      <c r="AC31" s="55">
        <v>-7.32</v>
      </c>
      <c r="AD31" s="55">
        <v>-4.102027435897436</v>
      </c>
      <c r="AE31" s="55">
        <v>0</v>
      </c>
      <c r="AF31" s="55"/>
    </row>
    <row r="32" spans="1:32" s="57" customFormat="1" ht="15.75" customHeight="1">
      <c r="A32" s="2" t="s">
        <v>92</v>
      </c>
      <c r="B32" s="2"/>
      <c r="C32" s="51">
        <f t="shared" si="35"/>
        <v>23</v>
      </c>
      <c r="D32" s="51">
        <v>8</v>
      </c>
      <c r="E32" s="51">
        <v>0</v>
      </c>
      <c r="F32" s="51">
        <v>184</v>
      </c>
      <c r="G32" s="51">
        <v>-0.08</v>
      </c>
      <c r="H32" s="51">
        <f t="shared" si="1"/>
        <v>4.3478260869565219E-4</v>
      </c>
      <c r="I32" s="51">
        <f t="shared" si="2"/>
        <v>0.33495532887402446</v>
      </c>
      <c r="J32" s="51">
        <f t="shared" si="4"/>
        <v>61.631780512820498</v>
      </c>
      <c r="K32" s="51">
        <f t="shared" si="3"/>
        <v>7.7039725641025623</v>
      </c>
      <c r="L32" s="51">
        <v>40</v>
      </c>
      <c r="M32" s="51">
        <f t="shared" si="5"/>
        <v>0.2</v>
      </c>
      <c r="N32" s="51">
        <v>0</v>
      </c>
      <c r="O32" s="51">
        <f t="shared" ref="O32:P32" si="42">D32/7</f>
        <v>1.1428571428571428</v>
      </c>
      <c r="P32" s="51">
        <f t="shared" si="42"/>
        <v>0</v>
      </c>
      <c r="Q32" s="51">
        <f t="shared" si="7"/>
        <v>0</v>
      </c>
      <c r="R32" s="55">
        <v>376</v>
      </c>
      <c r="S32" s="53" t="s">
        <v>34</v>
      </c>
      <c r="T32" s="54" t="s">
        <v>34</v>
      </c>
      <c r="U32" s="55">
        <v>0</v>
      </c>
      <c r="V32" s="55">
        <f t="shared" si="8"/>
        <v>0</v>
      </c>
      <c r="W32" s="55">
        <f t="shared" si="9"/>
        <v>0</v>
      </c>
      <c r="X32" s="55">
        <v>0</v>
      </c>
      <c r="Y32" s="55" t="s">
        <v>35</v>
      </c>
      <c r="Z32" s="56">
        <f t="shared" si="19"/>
        <v>-0.75</v>
      </c>
      <c r="AA32" s="55">
        <v>0.184</v>
      </c>
      <c r="AB32" s="55">
        <f t="shared" si="27"/>
        <v>-3.3120000000000003</v>
      </c>
      <c r="AC32" s="55">
        <v>-7.32</v>
      </c>
      <c r="AD32" s="55">
        <v>-4.102027435897436</v>
      </c>
      <c r="AE32" s="55">
        <v>0</v>
      </c>
      <c r="AF32" s="52" t="e">
        <v>#N/A</v>
      </c>
    </row>
    <row r="33" spans="1:32" s="57" customFormat="1" ht="15.75" customHeight="1">
      <c r="A33" s="2" t="s">
        <v>94</v>
      </c>
      <c r="B33" s="2"/>
      <c r="C33" s="51" t="str">
        <f t="shared" si="35"/>
        <v xml:space="preserve"> - </v>
      </c>
      <c r="D33" s="51">
        <v>0</v>
      </c>
      <c r="E33" s="51">
        <v>0</v>
      </c>
      <c r="F33" s="51">
        <v>0</v>
      </c>
      <c r="G33" s="51">
        <v>0</v>
      </c>
      <c r="H33" s="51" t="e">
        <f t="shared" si="1"/>
        <v>#DIV/0!</v>
      </c>
      <c r="I33" s="51" t="e">
        <f t="shared" si="2"/>
        <v>#DIV/0!</v>
      </c>
      <c r="J33" s="51">
        <f t="shared" si="4"/>
        <v>0</v>
      </c>
      <c r="K33" s="51" t="e">
        <f t="shared" si="3"/>
        <v>#DIV/0!</v>
      </c>
      <c r="L33" s="51">
        <v>0</v>
      </c>
      <c r="M33" s="51" t="str">
        <f t="shared" si="5"/>
        <v>-</v>
      </c>
      <c r="N33" s="51">
        <v>1</v>
      </c>
      <c r="O33" s="51">
        <f t="shared" ref="O33:P33" si="43">D33/7</f>
        <v>0</v>
      </c>
      <c r="P33" s="51">
        <f t="shared" si="43"/>
        <v>0</v>
      </c>
      <c r="Q33" s="51" t="e">
        <f t="shared" si="7"/>
        <v>#DIV/0!</v>
      </c>
      <c r="R33" s="55">
        <v>376</v>
      </c>
      <c r="S33" s="53" t="s">
        <v>34</v>
      </c>
      <c r="T33" s="54">
        <v>44058</v>
      </c>
      <c r="U33" s="55">
        <v>0</v>
      </c>
      <c r="V33" s="55">
        <f t="shared" si="8"/>
        <v>0</v>
      </c>
      <c r="W33" s="55">
        <f t="shared" si="9"/>
        <v>0</v>
      </c>
      <c r="X33" s="55">
        <v>0</v>
      </c>
      <c r="Y33" s="55" t="s">
        <v>35</v>
      </c>
      <c r="Z33" s="56">
        <f t="shared" si="19"/>
        <v>-0.75</v>
      </c>
      <c r="AA33" s="55">
        <v>0.184</v>
      </c>
      <c r="AB33" s="55">
        <f t="shared" si="27"/>
        <v>0</v>
      </c>
      <c r="AC33" s="55">
        <v>-7.32</v>
      </c>
      <c r="AD33" s="55">
        <v>-4.102027435897436</v>
      </c>
      <c r="AE33" s="55">
        <v>0</v>
      </c>
      <c r="AF33" s="55" t="e">
        <v>#N/A</v>
      </c>
    </row>
    <row r="34" spans="1:32" s="57" customFormat="1" ht="15.75" customHeight="1">
      <c r="A34" s="2" t="s">
        <v>95</v>
      </c>
      <c r="B34" s="2"/>
      <c r="C34" s="51">
        <f t="shared" si="35"/>
        <v>23</v>
      </c>
      <c r="D34" s="51">
        <v>2</v>
      </c>
      <c r="E34" s="51">
        <v>0</v>
      </c>
      <c r="F34" s="51">
        <v>46</v>
      </c>
      <c r="G34" s="51">
        <v>-0.65999999999999992</v>
      </c>
      <c r="H34" s="51">
        <f t="shared" si="1"/>
        <v>1.4347826086956519E-2</v>
      </c>
      <c r="I34" s="51">
        <f t="shared" si="2"/>
        <v>0.32104228539576374</v>
      </c>
      <c r="J34" s="51">
        <f t="shared" si="4"/>
        <v>14.767945128205131</v>
      </c>
      <c r="K34" s="51">
        <f t="shared" si="3"/>
        <v>7.3839725641025655</v>
      </c>
      <c r="L34" s="51">
        <v>39</v>
      </c>
      <c r="M34" s="51">
        <f t="shared" si="5"/>
        <v>5.128205128205128E-2</v>
      </c>
      <c r="N34" s="51">
        <v>0</v>
      </c>
      <c r="O34" s="51">
        <f t="shared" ref="O34:P34" si="44">D34/7</f>
        <v>0.2857142857142857</v>
      </c>
      <c r="P34" s="51">
        <f t="shared" si="44"/>
        <v>0</v>
      </c>
      <c r="Q34" s="51">
        <f t="shared" si="7"/>
        <v>0</v>
      </c>
      <c r="R34" s="55">
        <v>400</v>
      </c>
      <c r="S34" s="53">
        <v>376</v>
      </c>
      <c r="T34" s="54">
        <v>44058</v>
      </c>
      <c r="U34" s="55">
        <v>0</v>
      </c>
      <c r="V34" s="55">
        <f t="shared" si="8"/>
        <v>0</v>
      </c>
      <c r="W34" s="55">
        <f t="shared" si="9"/>
        <v>0</v>
      </c>
      <c r="X34" s="55">
        <v>0</v>
      </c>
      <c r="Y34" s="55" t="s">
        <v>35</v>
      </c>
      <c r="Z34" s="56">
        <f t="shared" si="19"/>
        <v>-0.75</v>
      </c>
      <c r="AA34" s="55">
        <v>0.184</v>
      </c>
      <c r="AB34" s="55">
        <f t="shared" si="27"/>
        <v>-0.82800000000000007</v>
      </c>
      <c r="AC34" s="55">
        <v>-7.32</v>
      </c>
      <c r="AD34" s="55">
        <v>-4.102027435897436</v>
      </c>
      <c r="AE34" s="55">
        <v>0</v>
      </c>
      <c r="AF34" s="55" t="e">
        <v>#N/A</v>
      </c>
    </row>
    <row r="35" spans="1:32" s="57" customFormat="1" ht="15.75" customHeight="1">
      <c r="A35" s="2" t="s">
        <v>96</v>
      </c>
      <c r="B35" s="2"/>
      <c r="C35" s="51">
        <f t="shared" si="35"/>
        <v>23</v>
      </c>
      <c r="D35" s="51">
        <v>1</v>
      </c>
      <c r="E35" s="51">
        <v>0</v>
      </c>
      <c r="F35" s="51">
        <v>23</v>
      </c>
      <c r="G35" s="51">
        <v>0</v>
      </c>
      <c r="H35" s="51">
        <f t="shared" si="1"/>
        <v>0</v>
      </c>
      <c r="I35" s="51">
        <f t="shared" si="2"/>
        <v>0.33539011148272019</v>
      </c>
      <c r="J35" s="51">
        <f t="shared" si="4"/>
        <v>7.7139725641025638</v>
      </c>
      <c r="K35" s="51">
        <f t="shared" si="3"/>
        <v>7.7139725641025638</v>
      </c>
      <c r="L35" s="51">
        <v>4</v>
      </c>
      <c r="M35" s="51">
        <f t="shared" si="5"/>
        <v>0.25</v>
      </c>
      <c r="N35" s="51">
        <v>0</v>
      </c>
      <c r="O35" s="51">
        <f t="shared" ref="O35:P35" si="45">D35/7</f>
        <v>0.14285714285714285</v>
      </c>
      <c r="P35" s="51">
        <f t="shared" si="45"/>
        <v>0</v>
      </c>
      <c r="Q35" s="51">
        <f t="shared" si="7"/>
        <v>0</v>
      </c>
      <c r="R35" s="55">
        <v>24</v>
      </c>
      <c r="S35" s="53">
        <v>24</v>
      </c>
      <c r="T35" s="54">
        <v>44070</v>
      </c>
      <c r="U35" s="55">
        <v>0</v>
      </c>
      <c r="V35" s="55">
        <f t="shared" si="8"/>
        <v>0</v>
      </c>
      <c r="W35" s="55">
        <f t="shared" si="9"/>
        <v>0</v>
      </c>
      <c r="X35" s="55">
        <v>0</v>
      </c>
      <c r="Y35" s="55" t="s">
        <v>35</v>
      </c>
      <c r="Z35" s="56">
        <f t="shared" si="19"/>
        <v>-0.75</v>
      </c>
      <c r="AA35" s="55">
        <v>0.184</v>
      </c>
      <c r="AB35" s="55">
        <f t="shared" si="27"/>
        <v>-0.41400000000000003</v>
      </c>
      <c r="AC35" s="55">
        <v>-7.32</v>
      </c>
      <c r="AD35" s="55">
        <v>-4.102027435897436</v>
      </c>
      <c r="AE35" s="55">
        <v>0</v>
      </c>
      <c r="AF35" s="55" t="e">
        <v>#N/A</v>
      </c>
    </row>
    <row r="36" spans="1:32" s="57" customFormat="1" ht="15.75" customHeight="1">
      <c r="A36" s="2" t="s">
        <v>98</v>
      </c>
      <c r="B36" s="2"/>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v>24</v>
      </c>
      <c r="S36" s="53"/>
      <c r="T36" s="54">
        <v>44070</v>
      </c>
      <c r="U36" s="55"/>
      <c r="V36" s="55">
        <f t="shared" si="8"/>
        <v>0</v>
      </c>
      <c r="W36" s="55">
        <f t="shared" si="9"/>
        <v>0</v>
      </c>
      <c r="X36" s="55"/>
      <c r="Y36" s="55" t="e">
        <v>#N/A</v>
      </c>
      <c r="Z36" s="56" t="e">
        <f t="shared" si="19"/>
        <v>#N/A</v>
      </c>
      <c r="AA36" s="55" t="e">
        <v>#N/A</v>
      </c>
      <c r="AB36" s="55">
        <f t="shared" si="27"/>
        <v>0</v>
      </c>
      <c r="AC36" s="55">
        <v>0</v>
      </c>
      <c r="AD36" s="55">
        <v>-4.2326774358974362</v>
      </c>
      <c r="AE36" s="55">
        <v>0</v>
      </c>
      <c r="AF36" s="55" t="e">
        <v>#N/A</v>
      </c>
    </row>
    <row r="37" spans="1:32" s="57" customFormat="1" ht="15.75" customHeight="1">
      <c r="A37" s="2" t="s">
        <v>99</v>
      </c>
      <c r="B37" s="2"/>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v>84</v>
      </c>
      <c r="S37" s="53">
        <v>24</v>
      </c>
      <c r="T37" s="54">
        <v>44070</v>
      </c>
      <c r="U37" s="55">
        <v>0</v>
      </c>
      <c r="V37" s="55">
        <f t="shared" si="8"/>
        <v>0</v>
      </c>
      <c r="W37" s="55">
        <f t="shared" si="9"/>
        <v>0</v>
      </c>
      <c r="X37" s="55">
        <v>0</v>
      </c>
      <c r="Y37" s="55" t="e">
        <v>#N/A</v>
      </c>
      <c r="Z37" s="56" t="e">
        <f t="shared" si="19"/>
        <v>#N/A</v>
      </c>
      <c r="AA37" s="55" t="e">
        <v>#N/A</v>
      </c>
      <c r="AB37" s="55">
        <f t="shared" si="27"/>
        <v>0</v>
      </c>
      <c r="AC37" s="55">
        <v>0</v>
      </c>
      <c r="AD37" s="55">
        <v>-4.2326774358974362</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5">
        <v>436</v>
      </c>
      <c r="S38" s="53"/>
      <c r="T38" s="54">
        <v>44099</v>
      </c>
      <c r="U38" s="55">
        <v>0</v>
      </c>
      <c r="V38" s="55">
        <f t="shared" si="8"/>
        <v>0</v>
      </c>
      <c r="W38" s="55">
        <f t="shared" si="9"/>
        <v>0</v>
      </c>
      <c r="X38" s="55">
        <v>0</v>
      </c>
      <c r="Y38" s="55" t="e">
        <v>#N/A</v>
      </c>
      <c r="Z38" s="56" t="e">
        <f t="shared" si="19"/>
        <v>#N/A</v>
      </c>
      <c r="AA38" s="55" t="e">
        <v>#N/A</v>
      </c>
      <c r="AB38" s="55">
        <f t="shared" si="27"/>
        <v>0</v>
      </c>
      <c r="AC38" s="55">
        <v>0</v>
      </c>
      <c r="AD38" s="55">
        <v>-4.2326774358974362</v>
      </c>
      <c r="AE38" s="55">
        <v>0</v>
      </c>
      <c r="AF38" s="55" t="e">
        <v>#N/A</v>
      </c>
    </row>
    <row r="39" spans="1:32" s="57" customFormat="1" ht="15.75" customHeight="1">
      <c r="A39" s="2" t="s">
        <v>101</v>
      </c>
      <c r="B39" s="2" t="s">
        <v>1049</v>
      </c>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24</v>
      </c>
      <c r="O39" s="51">
        <f t="shared" ref="O39:P39" si="49">D39/7</f>
        <v>0</v>
      </c>
      <c r="P39" s="51">
        <f t="shared" si="49"/>
        <v>0</v>
      </c>
      <c r="Q39" s="51" t="e">
        <f t="shared" si="7"/>
        <v>#DIV/0!</v>
      </c>
      <c r="R39" s="55">
        <v>436</v>
      </c>
      <c r="S39" s="53">
        <v>60</v>
      </c>
      <c r="T39" s="54">
        <v>44099</v>
      </c>
      <c r="U39" s="55">
        <v>0</v>
      </c>
      <c r="V39" s="55">
        <f t="shared" si="8"/>
        <v>0</v>
      </c>
      <c r="W39" s="55">
        <f t="shared" si="9"/>
        <v>0</v>
      </c>
      <c r="X39" s="55">
        <v>0</v>
      </c>
      <c r="Y39" s="55" t="s">
        <v>35</v>
      </c>
      <c r="Z39" s="56">
        <f t="shared" si="19"/>
        <v>-0.75</v>
      </c>
      <c r="AA39" s="55">
        <v>0.184</v>
      </c>
      <c r="AB39" s="55">
        <f t="shared" si="27"/>
        <v>0</v>
      </c>
      <c r="AC39" s="55">
        <v>-7.32</v>
      </c>
      <c r="AD39" s="55">
        <v>-4.23267743589743</v>
      </c>
      <c r="AE39" s="55">
        <v>0</v>
      </c>
      <c r="AF39" s="55">
        <v>8.5866666666666607</v>
      </c>
    </row>
    <row r="40" spans="1:32" s="57" customFormat="1" ht="15.75" customHeight="1">
      <c r="A40" s="2" t="s">
        <v>102</v>
      </c>
      <c r="B40" s="2" t="s">
        <v>1050</v>
      </c>
      <c r="C40" s="51" t="s">
        <v>103</v>
      </c>
      <c r="D40" s="51">
        <v>0</v>
      </c>
      <c r="E40" s="51">
        <v>0</v>
      </c>
      <c r="F40" s="51">
        <v>0</v>
      </c>
      <c r="G40" s="51">
        <v>0</v>
      </c>
      <c r="H40" s="51" t="e">
        <v>#DIV/0!</v>
      </c>
      <c r="I40" s="51" t="e">
        <v>#DIV/0!</v>
      </c>
      <c r="J40" s="51">
        <v>0</v>
      </c>
      <c r="K40" s="51" t="e">
        <v>#DIV/0!</v>
      </c>
      <c r="L40" s="51">
        <v>0</v>
      </c>
      <c r="M40" s="51" t="s">
        <v>104</v>
      </c>
      <c r="N40" s="51">
        <v>24</v>
      </c>
      <c r="O40" s="51">
        <v>0</v>
      </c>
      <c r="P40" s="51">
        <v>0</v>
      </c>
      <c r="Q40" s="51" t="e">
        <v>#DIV/0!</v>
      </c>
      <c r="R40" s="55">
        <v>376</v>
      </c>
      <c r="S40" s="53">
        <v>60</v>
      </c>
      <c r="T40" s="54">
        <v>44109</v>
      </c>
      <c r="U40" s="55">
        <v>0</v>
      </c>
      <c r="V40" s="55">
        <v>0</v>
      </c>
      <c r="W40" s="55">
        <v>0</v>
      </c>
      <c r="X40" s="55">
        <v>0</v>
      </c>
      <c r="Y40" s="55" t="s">
        <v>35</v>
      </c>
      <c r="Z40" s="56">
        <v>-0.75</v>
      </c>
      <c r="AA40" s="55">
        <v>0.184</v>
      </c>
      <c r="AB40" s="55">
        <v>0</v>
      </c>
      <c r="AC40" s="55">
        <v>-7.32</v>
      </c>
      <c r="AD40" s="55">
        <v>-4.23267743589743</v>
      </c>
      <c r="AE40" s="55">
        <v>0</v>
      </c>
      <c r="AF40" s="55">
        <v>3.5102040816326499</v>
      </c>
    </row>
    <row r="41" spans="1:32" s="57" customFormat="1" ht="15.75" customHeight="1">
      <c r="A41" s="2" t="s">
        <v>105</v>
      </c>
      <c r="B41" s="2" t="s">
        <v>1038</v>
      </c>
      <c r="C41" s="51">
        <f t="shared" ref="C41:C56" si="50">IFERROR(F41/D41," - ")</f>
        <v>19.170000000000002</v>
      </c>
      <c r="D41" s="51">
        <v>1</v>
      </c>
      <c r="E41" s="51">
        <v>0</v>
      </c>
      <c r="F41" s="51">
        <v>19.170000000000002</v>
      </c>
      <c r="G41" s="51">
        <v>0</v>
      </c>
      <c r="H41" s="51">
        <f t="shared" ref="H41:H56" si="51">G41/F41*-1</f>
        <v>0</v>
      </c>
      <c r="I41" s="51">
        <f t="shared" ref="I41:I56" si="52">J41/F41</f>
        <v>0.22576017548787533</v>
      </c>
      <c r="J41" s="51">
        <f t="shared" ref="J41:J48" si="53">F41*0.85+G41+AD41*D41+D41*AC41+AE42+AB41</f>
        <v>4.3278225641025703</v>
      </c>
      <c r="K41" s="51">
        <f t="shared" ref="K41:K56" si="54">J41/D41</f>
        <v>4.3278225641025703</v>
      </c>
      <c r="L41" s="51">
        <v>6</v>
      </c>
      <c r="M41" s="51">
        <f t="shared" ref="M41:M56" si="55">IFERROR(D41/L41,"-")</f>
        <v>0.16666666666666666</v>
      </c>
      <c r="N41" s="51">
        <v>23</v>
      </c>
      <c r="O41" s="51">
        <f t="shared" ref="O41:P41" si="56">D41/7</f>
        <v>0.14285714285714285</v>
      </c>
      <c r="P41" s="51">
        <f t="shared" si="56"/>
        <v>0</v>
      </c>
      <c r="Q41" s="51">
        <f t="shared" ref="Q41:Q56" si="57">ROUNDDOWN(N41/(O41+P41),0)</f>
        <v>161</v>
      </c>
      <c r="R41" s="55">
        <v>376</v>
      </c>
      <c r="S41" s="53">
        <v>60</v>
      </c>
      <c r="T41" s="54">
        <v>44109</v>
      </c>
      <c r="U41" s="55">
        <v>0</v>
      </c>
      <c r="V41" s="55">
        <f t="shared" ref="V41:V56" si="58">IFERROR(U41/D41,0)</f>
        <v>0</v>
      </c>
      <c r="W41" s="55">
        <f t="shared" ref="W41:W56" si="59">IFERROR(G41/(U41+X41)*-1,0)</f>
        <v>0</v>
      </c>
      <c r="X41" s="55">
        <v>0</v>
      </c>
      <c r="Y41" s="52" t="s">
        <v>35</v>
      </c>
      <c r="Z41" s="56">
        <f t="shared" ref="Z41:Z43" si="60">IF(OR(Y41="UsLargeStandardSize",Y41="UsSmallStandardSize"),-0.75,-0.48)</f>
        <v>-0.75</v>
      </c>
      <c r="AA41" s="55">
        <v>0.184</v>
      </c>
      <c r="AB41" s="55">
        <f t="shared" ref="AB41:AB56" si="61">IFERROR(Z41*AA41*D41*3,0)</f>
        <v>-0.41400000000000003</v>
      </c>
      <c r="AC41" s="55">
        <v>-7.32</v>
      </c>
      <c r="AD41" s="55">
        <v>-4.23267743589743</v>
      </c>
      <c r="AE41" s="55">
        <v>0</v>
      </c>
      <c r="AF41" s="55">
        <v>3.2396694214876001</v>
      </c>
    </row>
    <row r="42" spans="1:32" s="57" customFormat="1" ht="15.75" customHeight="1">
      <c r="A42" s="2" t="s">
        <v>106</v>
      </c>
      <c r="B42" s="2" t="s">
        <v>810</v>
      </c>
      <c r="C42" s="51" t="str">
        <f t="shared" si="50"/>
        <v xml:space="preserve"> - </v>
      </c>
      <c r="D42" s="51">
        <v>0</v>
      </c>
      <c r="E42" s="51">
        <v>0</v>
      </c>
      <c r="F42" s="51">
        <v>0</v>
      </c>
      <c r="G42" s="51">
        <v>-15.569999999999999</v>
      </c>
      <c r="H42" s="51" t="e">
        <f t="shared" si="51"/>
        <v>#DIV/0!</v>
      </c>
      <c r="I42" s="51" t="e">
        <f t="shared" si="52"/>
        <v>#DIV/0!</v>
      </c>
      <c r="J42" s="51">
        <f t="shared" si="53"/>
        <v>-19.459999999999997</v>
      </c>
      <c r="K42" s="51" t="e">
        <f t="shared" si="54"/>
        <v>#DIV/0!</v>
      </c>
      <c r="L42" s="51">
        <v>0</v>
      </c>
      <c r="M42" s="51" t="str">
        <f t="shared" si="55"/>
        <v>-</v>
      </c>
      <c r="N42" s="51">
        <v>20</v>
      </c>
      <c r="O42" s="51">
        <f t="shared" ref="O42:P42" si="62">D42/7</f>
        <v>0</v>
      </c>
      <c r="P42" s="51">
        <f t="shared" si="62"/>
        <v>0</v>
      </c>
      <c r="Q42" s="51" t="e">
        <f t="shared" si="57"/>
        <v>#DIV/0!</v>
      </c>
      <c r="R42" s="55">
        <f ca="1">IFERROR(__xludf.DUMMYFUNCTION("IFERROR(VLOOKUP($B$2,IMPORTRANGE(""https://docs.google.com/spreadsheets/d/1iVgg6Mw12RULLujzHmfOFIY8Q_KaAD8anoZzgtVAQ74/edit#gid=1503384807"",""Second Star - Summary!A1:AD2000""),9,FALSE),"""")"),192)</f>
        <v>192</v>
      </c>
      <c r="S42" s="53">
        <f ca="1">IFERROR(__xludf.DUMMYFUNCTION("IFERROR(VLOOKUP($B$2,IMPORTRANGE(""https://docs.google.com/spreadsheets/d/1iVgg6Mw12RULLujzHmfOFIY8Q_KaAD8anoZzgtVAQ74/edit#gid=1503384807"",""Second Star - Summary!A1:AD2000""),28,FALSE),"""")"),12)</f>
        <v>12</v>
      </c>
      <c r="T42" s="54">
        <f ca="1">IFERROR(__xludf.DUMMYFUNCTION("IFERROR(VLOOKUP($B$2,IMPORTRANGE(""https://docs.google.com/spreadsheets/d/1iVgg6Mw12RULLujzHmfOFIY8Q_KaAD8anoZzgtVAQ74/edit#gid=1503384807"",""Second Star - Summary!A1:AD2000""),29,FALSE),"""")"),44324)</f>
        <v>44324</v>
      </c>
      <c r="U42" s="55">
        <v>0</v>
      </c>
      <c r="V42" s="55">
        <f t="shared" si="58"/>
        <v>0</v>
      </c>
      <c r="W42" s="55">
        <f t="shared" si="59"/>
        <v>15.569999999999999</v>
      </c>
      <c r="X42" s="55">
        <v>1</v>
      </c>
      <c r="Y42" s="55" t="s">
        <v>35</v>
      </c>
      <c r="Z42" s="56">
        <f t="shared" si="60"/>
        <v>-0.75</v>
      </c>
      <c r="AA42" s="55">
        <v>0.184</v>
      </c>
      <c r="AB42" s="55">
        <f t="shared" si="61"/>
        <v>0</v>
      </c>
      <c r="AC42" s="55">
        <v>-7.32</v>
      </c>
      <c r="AD42" s="55">
        <v>-4.23267743589743</v>
      </c>
      <c r="AE42" s="55">
        <v>0</v>
      </c>
      <c r="AF42" s="55">
        <v>2.55555555555555</v>
      </c>
    </row>
    <row r="43" spans="1:32" s="57" customFormat="1" ht="15.75" customHeight="1">
      <c r="A43" s="2" t="s">
        <v>107</v>
      </c>
      <c r="B43" s="2" t="s">
        <v>1007</v>
      </c>
      <c r="C43" s="51">
        <f t="shared" si="50"/>
        <v>19.260000000000002</v>
      </c>
      <c r="D43" s="51">
        <v>9</v>
      </c>
      <c r="E43" s="51">
        <v>0</v>
      </c>
      <c r="F43" s="51">
        <v>173.34</v>
      </c>
      <c r="G43" s="51">
        <v>-49.249999999999993</v>
      </c>
      <c r="H43" s="51">
        <f t="shared" si="51"/>
        <v>0.28412368755047879</v>
      </c>
      <c r="I43" s="51">
        <f t="shared" si="52"/>
        <v>-5.5446503536845874E-2</v>
      </c>
      <c r="J43" s="51">
        <f t="shared" si="53"/>
        <v>-9.6110969230768646</v>
      </c>
      <c r="K43" s="51">
        <f t="shared" si="54"/>
        <v>-1.0678996581196516</v>
      </c>
      <c r="L43" s="51">
        <v>48</v>
      </c>
      <c r="M43" s="51">
        <f t="shared" si="55"/>
        <v>0.1875</v>
      </c>
      <c r="N43" s="51">
        <v>9</v>
      </c>
      <c r="O43" s="51">
        <f t="shared" ref="O43:P43" si="63">D43/7</f>
        <v>1.2857142857142858</v>
      </c>
      <c r="P43" s="51">
        <f t="shared" si="63"/>
        <v>0</v>
      </c>
      <c r="Q43" s="51">
        <f t="shared" si="57"/>
        <v>7</v>
      </c>
      <c r="R43" s="55">
        <v>316</v>
      </c>
      <c r="S43" s="53" t="s">
        <v>34</v>
      </c>
      <c r="T43" s="54" t="s">
        <v>34</v>
      </c>
      <c r="U43" s="55">
        <v>4</v>
      </c>
      <c r="V43" s="55">
        <f t="shared" si="58"/>
        <v>0.44444444444444442</v>
      </c>
      <c r="W43" s="55">
        <f t="shared" si="59"/>
        <v>9.8499999999999979</v>
      </c>
      <c r="X43" s="55">
        <v>1</v>
      </c>
      <c r="Y43" s="55" t="s">
        <v>35</v>
      </c>
      <c r="Z43" s="56">
        <f t="shared" si="60"/>
        <v>-0.75</v>
      </c>
      <c r="AA43" s="55">
        <v>0.184</v>
      </c>
      <c r="AB43" s="55">
        <f t="shared" si="61"/>
        <v>-3.726</v>
      </c>
      <c r="AC43" s="55">
        <v>-7.32</v>
      </c>
      <c r="AD43" s="55">
        <v>-4.23267743589743</v>
      </c>
      <c r="AE43" s="55">
        <v>-3.89</v>
      </c>
      <c r="AF43" s="55">
        <v>2.2857142857142798</v>
      </c>
    </row>
    <row r="44" spans="1:32" s="57" customFormat="1" ht="15.75" customHeight="1">
      <c r="A44" s="2" t="s">
        <v>108</v>
      </c>
      <c r="B44" s="2" t="s">
        <v>1051</v>
      </c>
      <c r="C44" s="51">
        <f t="shared" si="50"/>
        <v>19.694285714285716</v>
      </c>
      <c r="D44" s="51">
        <v>7</v>
      </c>
      <c r="E44" s="51">
        <v>0</v>
      </c>
      <c r="F44" s="51">
        <v>137.86000000000001</v>
      </c>
      <c r="G44" s="51">
        <v>-39.850000000000009</v>
      </c>
      <c r="H44" s="51">
        <f t="shared" si="51"/>
        <v>0.289061366603801</v>
      </c>
      <c r="I44" s="51">
        <f t="shared" si="52"/>
        <v>-9.2930088867561336E-2</v>
      </c>
      <c r="J44" s="51">
        <f t="shared" si="53"/>
        <v>-12.811342051282008</v>
      </c>
      <c r="K44" s="51">
        <f t="shared" si="54"/>
        <v>-1.8301917216117154</v>
      </c>
      <c r="L44" s="51">
        <v>48</v>
      </c>
      <c r="M44" s="51">
        <f t="shared" si="55"/>
        <v>0.14583333333333334</v>
      </c>
      <c r="N44" s="51">
        <v>66</v>
      </c>
      <c r="O44" s="51">
        <f t="shared" ref="O44:P44" si="64">D44/7</f>
        <v>1</v>
      </c>
      <c r="P44" s="51">
        <f t="shared" si="64"/>
        <v>0</v>
      </c>
      <c r="Q44" s="51">
        <f t="shared" si="57"/>
        <v>66</v>
      </c>
      <c r="R44" s="55">
        <v>316</v>
      </c>
      <c r="S44" s="53" t="s">
        <v>34</v>
      </c>
      <c r="T44" s="54" t="s">
        <v>34</v>
      </c>
      <c r="U44" s="55">
        <v>2</v>
      </c>
      <c r="V44" s="55">
        <f t="shared" si="58"/>
        <v>0.2857142857142857</v>
      </c>
      <c r="W44" s="55">
        <f t="shared" si="59"/>
        <v>19.925000000000004</v>
      </c>
      <c r="X44" s="55">
        <v>0</v>
      </c>
      <c r="Y44" s="55" t="s">
        <v>35</v>
      </c>
      <c r="Z44" s="56">
        <f t="shared" ref="Z44:Z56" si="65">IF(OR(Y44="UsLargeStandardSize",Y44="UsSmallStandardSize"),-2.4,-1.2)</f>
        <v>-2.4</v>
      </c>
      <c r="AA44" s="55">
        <v>0.184</v>
      </c>
      <c r="AB44" s="55">
        <f t="shared" si="61"/>
        <v>-9.2735999999999983</v>
      </c>
      <c r="AC44" s="55">
        <v>-7.32</v>
      </c>
      <c r="AD44" s="55">
        <v>-4.23267743589743</v>
      </c>
      <c r="AE44" s="55">
        <v>0</v>
      </c>
      <c r="AF44" s="55">
        <v>1.0566037735849001</v>
      </c>
    </row>
    <row r="45" spans="1:32" s="57" customFormat="1" ht="15.75" customHeight="1">
      <c r="A45" s="2" t="s">
        <v>109</v>
      </c>
      <c r="B45" s="2" t="s">
        <v>1052</v>
      </c>
      <c r="C45" s="51">
        <f t="shared" si="50"/>
        <v>18.04</v>
      </c>
      <c r="D45" s="51">
        <v>5</v>
      </c>
      <c r="E45" s="51">
        <v>0</v>
      </c>
      <c r="F45" s="51">
        <v>90.199999999999989</v>
      </c>
      <c r="G45" s="51">
        <v>-28.329999999999995</v>
      </c>
      <c r="H45" s="51">
        <f t="shared" si="51"/>
        <v>0.31407982261640799</v>
      </c>
      <c r="I45" s="51">
        <f t="shared" si="52"/>
        <v>-0.17790894877480223</v>
      </c>
      <c r="J45" s="51">
        <f t="shared" si="53"/>
        <v>-16.04738717948716</v>
      </c>
      <c r="K45" s="51">
        <f t="shared" si="54"/>
        <v>-3.2094774358974321</v>
      </c>
      <c r="L45" s="51">
        <v>24</v>
      </c>
      <c r="M45" s="51">
        <f t="shared" si="55"/>
        <v>0.20833333333333334</v>
      </c>
      <c r="N45" s="51">
        <v>62</v>
      </c>
      <c r="O45" s="51">
        <f t="shared" ref="O45:P45" si="66">D45/7</f>
        <v>0.7142857142857143</v>
      </c>
      <c r="P45" s="51">
        <f t="shared" si="66"/>
        <v>0</v>
      </c>
      <c r="Q45" s="51">
        <f t="shared" si="57"/>
        <v>86</v>
      </c>
      <c r="R45" s="55">
        <v>316</v>
      </c>
      <c r="S45" s="53" t="s">
        <v>34</v>
      </c>
      <c r="T45" s="54" t="s">
        <v>34</v>
      </c>
      <c r="U45" s="55">
        <v>2</v>
      </c>
      <c r="V45" s="55">
        <f t="shared" si="58"/>
        <v>0.4</v>
      </c>
      <c r="W45" s="55">
        <f t="shared" si="59"/>
        <v>7.0824999999999987</v>
      </c>
      <c r="X45" s="55">
        <v>2</v>
      </c>
      <c r="Y45" s="55" t="s">
        <v>35</v>
      </c>
      <c r="Z45" s="56">
        <f t="shared" si="65"/>
        <v>-2.4</v>
      </c>
      <c r="AA45" s="55">
        <v>0.184</v>
      </c>
      <c r="AB45" s="55">
        <f t="shared" si="61"/>
        <v>-6.6240000000000006</v>
      </c>
      <c r="AC45" s="55">
        <v>-7.32</v>
      </c>
      <c r="AD45" s="55">
        <v>-4.23267743589743</v>
      </c>
      <c r="AE45" s="55">
        <v>0</v>
      </c>
      <c r="AF45" s="55">
        <v>1.1111111111111101</v>
      </c>
    </row>
    <row r="46" spans="1:32" s="57" customFormat="1" ht="15.75" customHeight="1">
      <c r="A46" s="2" t="s">
        <v>111</v>
      </c>
      <c r="B46" s="2" t="s">
        <v>975</v>
      </c>
      <c r="C46" s="51" t="str">
        <f t="shared" si="50"/>
        <v xml:space="preserve"> - </v>
      </c>
      <c r="D46" s="51">
        <v>0</v>
      </c>
      <c r="E46" s="51">
        <v>0</v>
      </c>
      <c r="F46" s="51">
        <v>0</v>
      </c>
      <c r="G46" s="51">
        <v>-20.770000000000003</v>
      </c>
      <c r="H46" s="51" t="e">
        <f t="shared" si="51"/>
        <v>#DIV/0!</v>
      </c>
      <c r="I46" s="51" t="e">
        <f t="shared" si="52"/>
        <v>#DIV/0!</v>
      </c>
      <c r="J46" s="51">
        <f t="shared" si="53"/>
        <v>-20.770000000000003</v>
      </c>
      <c r="K46" s="51" t="e">
        <f t="shared" si="54"/>
        <v>#DIV/0!</v>
      </c>
      <c r="L46" s="51">
        <v>0</v>
      </c>
      <c r="M46" s="51" t="str">
        <f t="shared" si="55"/>
        <v>-</v>
      </c>
      <c r="N46" s="51">
        <v>57</v>
      </c>
      <c r="O46" s="51">
        <f t="shared" ref="O46:P46" si="67">D46/7</f>
        <v>0</v>
      </c>
      <c r="P46" s="51">
        <f t="shared" si="67"/>
        <v>0</v>
      </c>
      <c r="Q46" s="51" t="e">
        <f t="shared" si="57"/>
        <v>#DIV/0!</v>
      </c>
      <c r="R46" s="55">
        <v>316</v>
      </c>
      <c r="S46" s="53" t="s">
        <v>34</v>
      </c>
      <c r="T46" s="54" t="s">
        <v>34</v>
      </c>
      <c r="U46" s="55">
        <v>0</v>
      </c>
      <c r="V46" s="55">
        <f t="shared" si="58"/>
        <v>0</v>
      </c>
      <c r="W46" s="55">
        <f t="shared" si="59"/>
        <v>0</v>
      </c>
      <c r="X46" s="55">
        <v>0</v>
      </c>
      <c r="Y46" s="55" t="s">
        <v>35</v>
      </c>
      <c r="Z46" s="56">
        <f t="shared" si="65"/>
        <v>-2.4</v>
      </c>
      <c r="AA46" s="55">
        <v>0.184</v>
      </c>
      <c r="AB46" s="55">
        <f t="shared" si="61"/>
        <v>0</v>
      </c>
      <c r="AC46" s="55">
        <v>-7.32</v>
      </c>
      <c r="AD46" s="55">
        <v>-4.23267743589743</v>
      </c>
      <c r="AE46" s="55">
        <v>0</v>
      </c>
      <c r="AF46" s="55">
        <v>1.0697674418604599</v>
      </c>
    </row>
    <row r="47" spans="1:32" s="57" customFormat="1" ht="15.75" customHeight="1">
      <c r="A47" s="2" t="s">
        <v>113</v>
      </c>
      <c r="B47" s="2" t="s">
        <v>1053</v>
      </c>
      <c r="C47" s="51">
        <f t="shared" si="50"/>
        <v>16.543333333333333</v>
      </c>
      <c r="D47" s="51">
        <v>3</v>
      </c>
      <c r="E47" s="51">
        <v>0</v>
      </c>
      <c r="F47" s="51">
        <v>49.629999999999995</v>
      </c>
      <c r="G47" s="51">
        <v>0</v>
      </c>
      <c r="H47" s="51">
        <f t="shared" si="51"/>
        <v>0</v>
      </c>
      <c r="I47" s="51">
        <f t="shared" si="52"/>
        <v>7.1591128194795614E-2</v>
      </c>
      <c r="J47" s="51">
        <f t="shared" si="53"/>
        <v>3.5530676923077058</v>
      </c>
      <c r="K47" s="51">
        <f t="shared" si="54"/>
        <v>1.1843558974359019</v>
      </c>
      <c r="L47" s="51">
        <v>20</v>
      </c>
      <c r="M47" s="51">
        <f t="shared" si="55"/>
        <v>0.15</v>
      </c>
      <c r="N47" s="51">
        <v>55</v>
      </c>
      <c r="O47" s="51">
        <f t="shared" ref="O47:P47" si="68">D47/7</f>
        <v>0.42857142857142855</v>
      </c>
      <c r="P47" s="51">
        <f t="shared" si="68"/>
        <v>0</v>
      </c>
      <c r="Q47" s="51">
        <f t="shared" si="57"/>
        <v>128</v>
      </c>
      <c r="R47" s="55">
        <v>316</v>
      </c>
      <c r="S47" s="53" t="s">
        <v>34</v>
      </c>
      <c r="T47" s="54" t="s">
        <v>34</v>
      </c>
      <c r="U47" s="55">
        <v>0</v>
      </c>
      <c r="V47" s="55">
        <f t="shared" si="58"/>
        <v>0</v>
      </c>
      <c r="W47" s="55">
        <f t="shared" si="59"/>
        <v>0</v>
      </c>
      <c r="X47" s="55">
        <v>0</v>
      </c>
      <c r="Y47" s="55" t="s">
        <v>35</v>
      </c>
      <c r="Z47" s="56">
        <f t="shared" si="65"/>
        <v>-2.4</v>
      </c>
      <c r="AA47" s="55">
        <v>0.184</v>
      </c>
      <c r="AB47" s="55">
        <f t="shared" si="61"/>
        <v>-3.9744000000000002</v>
      </c>
      <c r="AC47" s="55">
        <v>-7.32</v>
      </c>
      <c r="AD47" s="55">
        <v>-4.23267743589743</v>
      </c>
      <c r="AE47" s="55">
        <v>0</v>
      </c>
      <c r="AF47" s="55">
        <v>1.06122448979591</v>
      </c>
    </row>
    <row r="48" spans="1:32" s="57" customFormat="1" ht="15.75" customHeight="1">
      <c r="A48" s="2" t="s">
        <v>115</v>
      </c>
      <c r="B48" s="2" t="s">
        <v>964</v>
      </c>
      <c r="C48" s="51">
        <f t="shared" si="50"/>
        <v>17.03</v>
      </c>
      <c r="D48" s="51">
        <v>1</v>
      </c>
      <c r="E48" s="51">
        <v>0</v>
      </c>
      <c r="F48" s="51">
        <v>17.03</v>
      </c>
      <c r="G48" s="51">
        <v>0</v>
      </c>
      <c r="H48" s="51">
        <f t="shared" si="51"/>
        <v>0</v>
      </c>
      <c r="I48" s="51">
        <f t="shared" si="52"/>
        <v>9.3835734826927239E-2</v>
      </c>
      <c r="J48" s="51">
        <f t="shared" si="53"/>
        <v>1.5980225641025709</v>
      </c>
      <c r="K48" s="51">
        <f t="shared" si="54"/>
        <v>1.5980225641025709</v>
      </c>
      <c r="L48" s="51">
        <v>18</v>
      </c>
      <c r="M48" s="51">
        <f t="shared" si="55"/>
        <v>5.5555555555555552E-2</v>
      </c>
      <c r="N48" s="51">
        <v>53</v>
      </c>
      <c r="O48" s="51">
        <f t="shared" ref="O48:P48" si="69">D48/7</f>
        <v>0.14285714285714285</v>
      </c>
      <c r="P48" s="51">
        <f t="shared" si="69"/>
        <v>0</v>
      </c>
      <c r="Q48" s="51">
        <f t="shared" si="57"/>
        <v>371</v>
      </c>
      <c r="R48" s="55">
        <f ca="1">IFERROR(__xludf.DUMMYFUNCTION("IFERROR(VLOOKUP($B$2,IMPORTRANGE(""https://docs.google.com/spreadsheets/d/1iVgg6Mw12RULLujzHmfOFIY8Q_KaAD8anoZzgtVAQ74/edit#gid=1503384807"",""Second Star - Summary!A1:AD2000""),9,FALSE),"""")"),192)</f>
        <v>192</v>
      </c>
      <c r="S48" s="53">
        <f ca="1">IFERROR(__xludf.DUMMYFUNCTION("IFERROR(VLOOKUP($B$2,IMPORTRANGE(""https://docs.google.com/spreadsheets/d/1iVgg6Mw12RULLujzHmfOFIY8Q_KaAD8anoZzgtVAQ74/edit#gid=1503384807"",""Second Star - Summary!A1:AD2000""),28,FALSE),"""")"),12)</f>
        <v>12</v>
      </c>
      <c r="T48" s="54">
        <f ca="1">IFERROR(__xludf.DUMMYFUNCTION("IFERROR(VLOOKUP($B$2,IMPORTRANGE(""https://docs.google.com/spreadsheets/d/1iVgg6Mw12RULLujzHmfOFIY8Q_KaAD8anoZzgtVAQ74/edit#gid=1503384807"",""Second Star - Summary!A1:AD2000""),29,FALSE),"""")"),44324)</f>
        <v>44324</v>
      </c>
      <c r="U48" s="55">
        <v>0</v>
      </c>
      <c r="V48" s="55">
        <f t="shared" si="58"/>
        <v>0</v>
      </c>
      <c r="W48" s="55">
        <f t="shared" si="59"/>
        <v>0</v>
      </c>
      <c r="X48" s="55">
        <v>0</v>
      </c>
      <c r="Y48" s="55" t="s">
        <v>35</v>
      </c>
      <c r="Z48" s="56">
        <f t="shared" si="65"/>
        <v>-2.4</v>
      </c>
      <c r="AA48" s="55">
        <v>0.184</v>
      </c>
      <c r="AB48" s="55">
        <f t="shared" si="61"/>
        <v>-1.3248</v>
      </c>
      <c r="AC48" s="55">
        <v>-7.32</v>
      </c>
      <c r="AD48" s="55">
        <v>-4.23267743589743</v>
      </c>
      <c r="AE48" s="55">
        <v>0</v>
      </c>
      <c r="AF48" s="55">
        <v>1.0752688172042999</v>
      </c>
    </row>
    <row r="49" spans="1:32" s="57" customFormat="1" ht="15.75" customHeight="1">
      <c r="A49" s="2" t="s">
        <v>117</v>
      </c>
      <c r="B49" s="2" t="s">
        <v>810</v>
      </c>
      <c r="C49" s="51">
        <f t="shared" si="50"/>
        <v>16.78</v>
      </c>
      <c r="D49" s="51">
        <v>1</v>
      </c>
      <c r="E49" s="51">
        <v>0</v>
      </c>
      <c r="F49" s="51">
        <v>16.78</v>
      </c>
      <c r="G49" s="51">
        <v>0</v>
      </c>
      <c r="H49" s="51">
        <f t="shared" si="51"/>
        <v>0</v>
      </c>
      <c r="I49" s="51">
        <f t="shared" si="52"/>
        <v>8.2569878671190033E-2</v>
      </c>
      <c r="J49" s="51">
        <f t="shared" ref="J49:J56" si="70">F49*0.85+G49+AD49*D49+D49*AC49+AE49+AB49</f>
        <v>1.3855225641025688</v>
      </c>
      <c r="K49" s="51">
        <f t="shared" si="54"/>
        <v>1.3855225641025688</v>
      </c>
      <c r="L49" s="51">
        <v>15</v>
      </c>
      <c r="M49" s="51">
        <f t="shared" si="55"/>
        <v>6.6666666666666666E-2</v>
      </c>
      <c r="N49" s="51">
        <v>57</v>
      </c>
      <c r="O49" s="51">
        <f t="shared" ref="O49:P49" si="71">D49/7</f>
        <v>0.14285714285714285</v>
      </c>
      <c r="P49" s="51">
        <f t="shared" si="71"/>
        <v>0</v>
      </c>
      <c r="Q49" s="51">
        <f t="shared" si="57"/>
        <v>399</v>
      </c>
      <c r="R49" s="55">
        <f ca="1">IFERROR(__xludf.DUMMYFUNCTION("IFERROR(VLOOKUP($B$2,IMPORTRANGE(""https://docs.google.com/spreadsheets/d/1iVgg6Mw12RULLujzHmfOFIY8Q_KaAD8anoZzgtVAQ74/edit#gid=1503384807"",""Second Star - Summary!A1:AD2000""),9,FALSE),"""")"),192)</f>
        <v>192</v>
      </c>
      <c r="S49" s="53">
        <f ca="1">IFERROR(__xludf.DUMMYFUNCTION("IFERROR(VLOOKUP($B$2,IMPORTRANGE(""https://docs.google.com/spreadsheets/d/1iVgg6Mw12RULLujzHmfOFIY8Q_KaAD8anoZzgtVAQ74/edit#gid=1503384807"",""Second Star - Summary!A1:AD2000""),28,FALSE),"""")"),12)</f>
        <v>12</v>
      </c>
      <c r="T49" s="54">
        <f ca="1">IFERROR(__xludf.DUMMYFUNCTION("IFERROR(VLOOKUP($B$2,IMPORTRANGE(""https://docs.google.com/spreadsheets/d/1iVgg6Mw12RULLujzHmfOFIY8Q_KaAD8anoZzgtVAQ74/edit#gid=1503384807"",""Second Star - Summary!A1:AD2000""),29,FALSE),"""")"),44324)</f>
        <v>44324</v>
      </c>
      <c r="U49" s="55">
        <v>0</v>
      </c>
      <c r="V49" s="55">
        <f t="shared" si="58"/>
        <v>0</v>
      </c>
      <c r="W49" s="55">
        <f t="shared" si="59"/>
        <v>0</v>
      </c>
      <c r="X49" s="55">
        <v>0</v>
      </c>
      <c r="Y49" s="55" t="s">
        <v>35</v>
      </c>
      <c r="Z49" s="56">
        <f t="shared" si="65"/>
        <v>-2.4</v>
      </c>
      <c r="AA49" s="55">
        <v>0.184</v>
      </c>
      <c r="AB49" s="55">
        <f t="shared" si="61"/>
        <v>-1.3248</v>
      </c>
      <c r="AC49" s="55">
        <v>-7.32</v>
      </c>
      <c r="AD49" s="55">
        <v>-4.23267743589743</v>
      </c>
      <c r="AE49" s="55"/>
      <c r="AF49" s="55">
        <v>0.73972602739726001</v>
      </c>
    </row>
    <row r="50" spans="1:32" s="57" customFormat="1" ht="15.75" customHeight="1">
      <c r="A50" s="2" t="s">
        <v>119</v>
      </c>
      <c r="B50" s="2" t="s">
        <v>810</v>
      </c>
      <c r="C50" s="51">
        <f t="shared" si="50"/>
        <v>15.39</v>
      </c>
      <c r="D50" s="51">
        <v>1</v>
      </c>
      <c r="E50" s="51">
        <v>0</v>
      </c>
      <c r="F50" s="51">
        <v>15.39</v>
      </c>
      <c r="G50" s="51">
        <v>0</v>
      </c>
      <c r="H50" s="51">
        <f t="shared" si="51"/>
        <v>0</v>
      </c>
      <c r="I50" s="51">
        <f t="shared" si="52"/>
        <v>1.3256826777294933E-2</v>
      </c>
      <c r="J50" s="51">
        <f t="shared" si="70"/>
        <v>0.20402256410256903</v>
      </c>
      <c r="K50" s="51">
        <f t="shared" si="54"/>
        <v>0.20402256410256903</v>
      </c>
      <c r="L50" s="51">
        <v>3</v>
      </c>
      <c r="M50" s="51">
        <f t="shared" si="55"/>
        <v>0.33333333333333331</v>
      </c>
      <c r="N50" s="51">
        <v>51</v>
      </c>
      <c r="O50" s="51">
        <f t="shared" ref="O50:P50" si="72">D50/7</f>
        <v>0.14285714285714285</v>
      </c>
      <c r="P50" s="51">
        <f t="shared" si="72"/>
        <v>0</v>
      </c>
      <c r="Q50" s="51">
        <f t="shared" si="57"/>
        <v>357</v>
      </c>
      <c r="R50" s="55">
        <f ca="1">IFERROR(__xludf.DUMMYFUNCTION("IFERROR(VLOOKUP($B$2,IMPORTRANGE(""https://docs.google.com/spreadsheets/d/1iVgg6Mw12RULLujzHmfOFIY8Q_KaAD8anoZzgtVAQ74/edit#gid=1503384807"",""Second Star - Summary!A1:AD2000""),9,FALSE),"""")"),192)</f>
        <v>192</v>
      </c>
      <c r="S50" s="53">
        <f ca="1">IFERROR(__xludf.DUMMYFUNCTION("IFERROR(VLOOKUP($B$2,IMPORTRANGE(""https://docs.google.com/spreadsheets/d/1iVgg6Mw12RULLujzHmfOFIY8Q_KaAD8anoZzgtVAQ74/edit#gid=1503384807"",""Second Star - Summary!A1:AD2000""),28,FALSE),"""")"),12)</f>
        <v>12</v>
      </c>
      <c r="T50" s="54">
        <f ca="1">IFERROR(__xludf.DUMMYFUNCTION("IFERROR(VLOOKUP($B$2,IMPORTRANGE(""https://docs.google.com/spreadsheets/d/1iVgg6Mw12RULLujzHmfOFIY8Q_KaAD8anoZzgtVAQ74/edit#gid=1503384807"",""Second Star - Summary!A1:AD2000""),29,FALSE),"""")"),44324)</f>
        <v>44324</v>
      </c>
      <c r="U50" s="55">
        <v>0</v>
      </c>
      <c r="V50" s="55">
        <f t="shared" si="58"/>
        <v>0</v>
      </c>
      <c r="W50" s="55">
        <f t="shared" si="59"/>
        <v>0</v>
      </c>
      <c r="X50" s="55">
        <v>0</v>
      </c>
      <c r="Y50" s="55" t="s">
        <v>35</v>
      </c>
      <c r="Z50" s="56">
        <f t="shared" si="65"/>
        <v>-2.4</v>
      </c>
      <c r="AA50" s="55">
        <v>0.184</v>
      </c>
      <c r="AB50" s="55">
        <f t="shared" si="61"/>
        <v>-1.3248</v>
      </c>
      <c r="AC50" s="55">
        <v>-7.32</v>
      </c>
      <c r="AD50" s="55">
        <v>-4.23267743589743</v>
      </c>
      <c r="AE50" s="55">
        <v>0</v>
      </c>
      <c r="AF50" s="55">
        <v>0.79432624113475103</v>
      </c>
    </row>
    <row r="51" spans="1:32" s="57" customFormat="1" ht="15.75" customHeight="1">
      <c r="A51" s="2" t="s">
        <v>121</v>
      </c>
      <c r="B51" s="2" t="s">
        <v>810</v>
      </c>
      <c r="C51" s="51">
        <f t="shared" si="50"/>
        <v>14.402000000000001</v>
      </c>
      <c r="D51" s="51">
        <v>5</v>
      </c>
      <c r="E51" s="51">
        <v>0</v>
      </c>
      <c r="F51" s="51">
        <v>72.010000000000005</v>
      </c>
      <c r="G51" s="51">
        <v>0</v>
      </c>
      <c r="H51" s="51">
        <f t="shared" si="51"/>
        <v>0</v>
      </c>
      <c r="I51" s="51">
        <f t="shared" si="52"/>
        <v>-4.4145079565159645E-2</v>
      </c>
      <c r="J51" s="51">
        <f t="shared" si="70"/>
        <v>-3.1788871794871465</v>
      </c>
      <c r="K51" s="51">
        <f t="shared" si="54"/>
        <v>-0.6357774358974293</v>
      </c>
      <c r="L51" s="51">
        <v>5</v>
      </c>
      <c r="M51" s="51">
        <f t="shared" si="55"/>
        <v>1</v>
      </c>
      <c r="N51" s="51">
        <v>50</v>
      </c>
      <c r="O51" s="51">
        <f t="shared" ref="O51:P51" si="73">D51/7</f>
        <v>0.7142857142857143</v>
      </c>
      <c r="P51" s="51">
        <f t="shared" si="73"/>
        <v>0</v>
      </c>
      <c r="Q51" s="51">
        <f t="shared" si="57"/>
        <v>70</v>
      </c>
      <c r="R51" s="55">
        <f ca="1">IFERROR(__xludf.DUMMYFUNCTION("IFERROR(VLOOKUP($B$2,IMPORTRANGE(""https://docs.google.com/spreadsheets/d/1iVgg6Mw12RULLujzHmfOFIY8Q_KaAD8anoZzgtVAQ74/edit#gid=1503384807"",""Second Star - Summary!A1:AD2000""),9,FALSE),"""")"),192)</f>
        <v>192</v>
      </c>
      <c r="S51" s="53">
        <f ca="1">IFERROR(__xludf.DUMMYFUNCTION("IFERROR(VLOOKUP($B$2,IMPORTRANGE(""https://docs.google.com/spreadsheets/d/1iVgg6Mw12RULLujzHmfOFIY8Q_KaAD8anoZzgtVAQ74/edit#gid=1503384807"",""Second Star - Summary!A1:AD2000""),28,FALSE),"""")"),12)</f>
        <v>12</v>
      </c>
      <c r="T51" s="54">
        <f ca="1">IFERROR(__xludf.DUMMYFUNCTION("IFERROR(VLOOKUP($B$2,IMPORTRANGE(""https://docs.google.com/spreadsheets/d/1iVgg6Mw12RULLujzHmfOFIY8Q_KaAD8anoZzgtVAQ74/edit#gid=1503384807"",""Second Star - Summary!A1:AD2000""),29,FALSE),"""")"),44324)</f>
        <v>44324</v>
      </c>
      <c r="U51" s="55">
        <v>0</v>
      </c>
      <c r="V51" s="55">
        <f t="shared" si="58"/>
        <v>0</v>
      </c>
      <c r="W51" s="55">
        <f t="shared" si="59"/>
        <v>0</v>
      </c>
      <c r="X51" s="55">
        <v>0</v>
      </c>
      <c r="Y51" s="55" t="s">
        <v>35</v>
      </c>
      <c r="Z51" s="56">
        <f t="shared" si="65"/>
        <v>-2.4</v>
      </c>
      <c r="AA51" s="55">
        <v>0.184</v>
      </c>
      <c r="AB51" s="55">
        <f t="shared" si="61"/>
        <v>-6.6240000000000006</v>
      </c>
      <c r="AC51" s="55">
        <v>-7.32</v>
      </c>
      <c r="AD51" s="55">
        <v>-4.23267743589743</v>
      </c>
      <c r="AE51" s="55">
        <v>0</v>
      </c>
      <c r="AF51" s="55">
        <v>0.86567164179104406</v>
      </c>
    </row>
    <row r="52" spans="1:32" s="57" customFormat="1" ht="15.75" customHeight="1">
      <c r="A52" s="2" t="s">
        <v>123</v>
      </c>
      <c r="B52" s="2" t="s">
        <v>810</v>
      </c>
      <c r="C52" s="51">
        <f t="shared" si="50"/>
        <v>15.045</v>
      </c>
      <c r="D52" s="51">
        <v>2</v>
      </c>
      <c r="E52" s="51">
        <v>0</v>
      </c>
      <c r="F52" s="51">
        <v>30.09</v>
      </c>
      <c r="G52" s="51">
        <v>0</v>
      </c>
      <c r="H52" s="51">
        <f t="shared" si="51"/>
        <v>0</v>
      </c>
      <c r="I52" s="51">
        <f t="shared" si="52"/>
        <v>-5.9307036156484834E-3</v>
      </c>
      <c r="J52" s="51">
        <f t="shared" si="70"/>
        <v>-0.17845487179486286</v>
      </c>
      <c r="K52" s="51">
        <f t="shared" si="54"/>
        <v>-8.9227435897431429E-2</v>
      </c>
      <c r="L52" s="51">
        <v>13</v>
      </c>
      <c r="M52" s="51">
        <f t="shared" si="55"/>
        <v>0.15384615384615385</v>
      </c>
      <c r="N52" s="51">
        <v>45</v>
      </c>
      <c r="O52" s="51">
        <f t="shared" ref="O52:P52" si="74">D52/7</f>
        <v>0.2857142857142857</v>
      </c>
      <c r="P52" s="51">
        <f t="shared" si="74"/>
        <v>0</v>
      </c>
      <c r="Q52" s="51">
        <f t="shared" si="57"/>
        <v>157</v>
      </c>
      <c r="R52" s="55">
        <f ca="1">IFERROR(__xludf.DUMMYFUNCTION("IFERROR(VLOOKUP($B$2,IMPORTRANGE(""https://docs.google.com/spreadsheets/d/1iVgg6Mw12RULLujzHmfOFIY8Q_KaAD8anoZzgtVAQ74/edit#gid=1503384807"",""Second Star - Summary!A1:AD2000""),9,FALSE),"""")"),192)</f>
        <v>192</v>
      </c>
      <c r="S52" s="53">
        <f ca="1">IFERROR(__xludf.DUMMYFUNCTION("IFERROR(VLOOKUP($B$2,IMPORTRANGE(""https://docs.google.com/spreadsheets/d/1iVgg6Mw12RULLujzHmfOFIY8Q_KaAD8anoZzgtVAQ74/edit#gid=1503384807"",""Second Star - Summary!A1:AD2000""),28,FALSE),"""")"),12)</f>
        <v>12</v>
      </c>
      <c r="T52" s="54">
        <f ca="1">IFERROR(__xludf.DUMMYFUNCTION("IFERROR(VLOOKUP($B$2,IMPORTRANGE(""https://docs.google.com/spreadsheets/d/1iVgg6Mw12RULLujzHmfOFIY8Q_KaAD8anoZzgtVAQ74/edit#gid=1503384807"",""Second Star - Summary!A1:AD2000""),29,FALSE),"""")"),44324)</f>
        <v>44324</v>
      </c>
      <c r="U52" s="55">
        <v>0</v>
      </c>
      <c r="V52" s="55">
        <f t="shared" si="58"/>
        <v>0</v>
      </c>
      <c r="W52" s="55">
        <f t="shared" si="59"/>
        <v>0</v>
      </c>
      <c r="X52" s="55">
        <v>0</v>
      </c>
      <c r="Y52" s="55" t="s">
        <v>35</v>
      </c>
      <c r="Z52" s="56">
        <f t="shared" si="65"/>
        <v>-2.4</v>
      </c>
      <c r="AA52" s="55">
        <v>0.184</v>
      </c>
      <c r="AB52" s="55">
        <f t="shared" si="61"/>
        <v>-2.6496</v>
      </c>
      <c r="AC52" s="55">
        <v>-7.32</v>
      </c>
      <c r="AD52" s="55">
        <v>-4.23267743589743</v>
      </c>
      <c r="AE52" s="55">
        <v>0</v>
      </c>
      <c r="AF52" s="55">
        <v>1.10569105691056</v>
      </c>
    </row>
    <row r="53" spans="1:32" s="57" customFormat="1">
      <c r="A53" s="2" t="s">
        <v>38</v>
      </c>
      <c r="B53" s="2" t="s">
        <v>1054</v>
      </c>
      <c r="C53" s="51">
        <f t="shared" si="50"/>
        <v>15.9625</v>
      </c>
      <c r="D53" s="51">
        <v>4</v>
      </c>
      <c r="E53" s="51">
        <v>0</v>
      </c>
      <c r="F53" s="51">
        <v>63.85</v>
      </c>
      <c r="G53" s="51">
        <v>0</v>
      </c>
      <c r="H53" s="51">
        <f t="shared" si="51"/>
        <v>0</v>
      </c>
      <c r="I53" s="51">
        <f t="shared" si="52"/>
        <v>4.3266879505251002E-2</v>
      </c>
      <c r="J53" s="51">
        <f t="shared" si="70"/>
        <v>2.7625902564102764</v>
      </c>
      <c r="K53" s="51">
        <f t="shared" si="54"/>
        <v>0.69064756410256911</v>
      </c>
      <c r="L53" s="51">
        <v>21</v>
      </c>
      <c r="M53" s="51">
        <f t="shared" si="55"/>
        <v>0.19047619047619047</v>
      </c>
      <c r="N53" s="51">
        <v>42</v>
      </c>
      <c r="O53" s="51">
        <f t="shared" ref="O53:P53" si="75">D53/7</f>
        <v>0.5714285714285714</v>
      </c>
      <c r="P53" s="51">
        <f t="shared" si="75"/>
        <v>0</v>
      </c>
      <c r="Q53" s="51">
        <f t="shared" si="57"/>
        <v>73</v>
      </c>
      <c r="R53" s="55">
        <f ca="1">IFERROR(__xludf.DUMMYFUNCTION("IFERROR(VLOOKUP($B$2,IMPORTRANGE(""https://docs.google.com/spreadsheets/d/1iVgg6Mw12RULLujzHmfOFIY8Q_KaAD8anoZzgtVAQ74/edit#gid=1503384807"",""Second Star - Summary!A1:AD2000""),9,FALSE),"""")"),192)</f>
        <v>192</v>
      </c>
      <c r="S53" s="53">
        <f ca="1">IFERROR(__xludf.DUMMYFUNCTION("IFERROR(VLOOKUP($B$2,IMPORTRANGE(""https://docs.google.com/spreadsheets/d/1iVgg6Mw12RULLujzHmfOFIY8Q_KaAD8anoZzgtVAQ74/edit#gid=1503384807"",""Second Star - Summary!A1:AD2000""),28,FALSE),"""")"),12)</f>
        <v>12</v>
      </c>
      <c r="T53" s="54">
        <f ca="1">IFERROR(__xludf.DUMMYFUNCTION("IFERROR(VLOOKUP($B$2,IMPORTRANGE(""https://docs.google.com/spreadsheets/d/1iVgg6Mw12RULLujzHmfOFIY8Q_KaAD8anoZzgtVAQ74/edit#gid=1503384807"",""Second Star - Summary!A1:AD2000""),29,FALSE),"""")"),44324)</f>
        <v>44324</v>
      </c>
      <c r="U53" s="55">
        <v>0</v>
      </c>
      <c r="V53" s="55">
        <f t="shared" si="58"/>
        <v>0</v>
      </c>
      <c r="W53" s="55">
        <f t="shared" si="59"/>
        <v>0</v>
      </c>
      <c r="X53" s="55">
        <v>0</v>
      </c>
      <c r="Y53" s="55" t="s">
        <v>35</v>
      </c>
      <c r="Z53" s="56">
        <f t="shared" si="65"/>
        <v>-2.4</v>
      </c>
      <c r="AA53" s="55">
        <v>0.184</v>
      </c>
      <c r="AB53" s="55">
        <f t="shared" si="61"/>
        <v>-5.2991999999999999</v>
      </c>
      <c r="AC53" s="55">
        <v>-7.32</v>
      </c>
      <c r="AD53" s="55">
        <v>-4.23267743589743</v>
      </c>
      <c r="AE53" s="55">
        <v>0</v>
      </c>
      <c r="AF53" s="55">
        <v>0.77083333333333304</v>
      </c>
    </row>
    <row r="54" spans="1:32" s="57" customFormat="1">
      <c r="A54" s="2" t="s">
        <v>40</v>
      </c>
      <c r="B54" s="2"/>
      <c r="C54" s="51">
        <f t="shared" si="50"/>
        <v>14.600000000000003</v>
      </c>
      <c r="D54" s="51">
        <v>10</v>
      </c>
      <c r="E54" s="51">
        <v>0</v>
      </c>
      <c r="F54" s="51">
        <v>146.00000000000003</v>
      </c>
      <c r="G54" s="51">
        <v>0</v>
      </c>
      <c r="H54" s="51">
        <f t="shared" si="51"/>
        <v>0</v>
      </c>
      <c r="I54" s="51">
        <f t="shared" si="52"/>
        <v>-3.201900245872788E-2</v>
      </c>
      <c r="J54" s="51">
        <f t="shared" si="70"/>
        <v>-4.6747743589742718</v>
      </c>
      <c r="K54" s="51">
        <f t="shared" si="54"/>
        <v>-0.46747743589742718</v>
      </c>
      <c r="L54" s="51">
        <v>36</v>
      </c>
      <c r="M54" s="51">
        <f t="shared" si="55"/>
        <v>0.27777777777777779</v>
      </c>
      <c r="N54" s="51">
        <v>30</v>
      </c>
      <c r="O54" s="51">
        <f t="shared" ref="O54:P54" si="76">D54/7</f>
        <v>1.4285714285714286</v>
      </c>
      <c r="P54" s="51">
        <f t="shared" si="76"/>
        <v>0</v>
      </c>
      <c r="Q54" s="51">
        <f t="shared" si="57"/>
        <v>21</v>
      </c>
      <c r="R54" s="55">
        <f ca="1">IFERROR(__xludf.DUMMYFUNCTION("IFERROR(VLOOKUP($B$2,IMPORTRANGE(""https://docs.google.com/spreadsheets/d/1iVgg6Mw12RULLujzHmfOFIY8Q_KaAD8anoZzgtVAQ74/edit#gid=1503384807"",""Second Star - Summary!A1:AD2000""),9,FALSE),"""")"),192)</f>
        <v>192</v>
      </c>
      <c r="S54" s="53">
        <f ca="1">IFERROR(__xludf.DUMMYFUNCTION("IFERROR(VLOOKUP($B$2,IMPORTRANGE(""https://docs.google.com/spreadsheets/d/1iVgg6Mw12RULLujzHmfOFIY8Q_KaAD8anoZzgtVAQ74/edit#gid=1503384807"",""Second Star - Summary!A1:AD2000""),28,FALSE),"""")"),12)</f>
        <v>12</v>
      </c>
      <c r="T54" s="54">
        <f ca="1">IFERROR(__xludf.DUMMYFUNCTION("IFERROR(VLOOKUP($B$2,IMPORTRANGE(""https://docs.google.com/spreadsheets/d/1iVgg6Mw12RULLujzHmfOFIY8Q_KaAD8anoZzgtVAQ74/edit#gid=1503384807"",""Second Star - Summary!A1:AD2000""),29,FALSE),"""")"),44324)</f>
        <v>44324</v>
      </c>
      <c r="U54" s="55">
        <v>0</v>
      </c>
      <c r="V54" s="55">
        <f t="shared" si="58"/>
        <v>0</v>
      </c>
      <c r="W54" s="55">
        <f t="shared" si="59"/>
        <v>0</v>
      </c>
      <c r="X54" s="55">
        <v>0</v>
      </c>
      <c r="Y54" s="55" t="s">
        <v>35</v>
      </c>
      <c r="Z54" s="56">
        <f t="shared" si="65"/>
        <v>-2.4</v>
      </c>
      <c r="AA54" s="55">
        <v>0.184</v>
      </c>
      <c r="AB54" s="55">
        <f t="shared" si="61"/>
        <v>-13.248000000000001</v>
      </c>
      <c r="AC54" s="55">
        <v>-7.32</v>
      </c>
      <c r="AD54" s="55">
        <v>-4.23267743589743</v>
      </c>
      <c r="AE54" s="55">
        <v>0</v>
      </c>
      <c r="AF54" s="55">
        <v>1.19047619047619</v>
      </c>
    </row>
    <row r="55" spans="1:32" s="57" customFormat="1" ht="15.75" customHeight="1">
      <c r="A55" s="2" t="s">
        <v>32</v>
      </c>
      <c r="B55" s="2"/>
      <c r="C55" s="51">
        <f t="shared" si="50"/>
        <v>14.584545454545456</v>
      </c>
      <c r="D55" s="51">
        <v>11</v>
      </c>
      <c r="E55" s="51">
        <v>0</v>
      </c>
      <c r="F55" s="51">
        <v>160.43</v>
      </c>
      <c r="G55" s="51">
        <v>-0.08</v>
      </c>
      <c r="H55" s="51">
        <f t="shared" si="51"/>
        <v>4.986598516486941E-4</v>
      </c>
      <c r="I55" s="51">
        <f t="shared" si="52"/>
        <v>-3.3452295673326422E-2</v>
      </c>
      <c r="J55" s="51">
        <f t="shared" si="70"/>
        <v>-5.3667517948717585</v>
      </c>
      <c r="K55" s="51">
        <f t="shared" si="54"/>
        <v>-0.4878865268065235</v>
      </c>
      <c r="L55" s="51">
        <v>22</v>
      </c>
      <c r="M55" s="51">
        <f t="shared" si="55"/>
        <v>0.5</v>
      </c>
      <c r="N55" s="51">
        <v>23</v>
      </c>
      <c r="O55" s="51">
        <f t="shared" ref="O55:P55" si="77">D55/7</f>
        <v>1.5714285714285714</v>
      </c>
      <c r="P55" s="51">
        <f t="shared" si="77"/>
        <v>0</v>
      </c>
      <c r="Q55" s="51">
        <f t="shared" si="57"/>
        <v>14</v>
      </c>
      <c r="R55" s="55">
        <v>196</v>
      </c>
      <c r="S55" s="53">
        <v>184</v>
      </c>
      <c r="T55" s="54">
        <v>44247</v>
      </c>
      <c r="U55" s="55">
        <v>0</v>
      </c>
      <c r="V55" s="55">
        <f t="shared" si="58"/>
        <v>0</v>
      </c>
      <c r="W55" s="55">
        <f t="shared" si="59"/>
        <v>0</v>
      </c>
      <c r="X55" s="55">
        <v>0</v>
      </c>
      <c r="Y55" s="55" t="s">
        <v>35</v>
      </c>
      <c r="Z55" s="56">
        <f t="shared" si="65"/>
        <v>-2.4</v>
      </c>
      <c r="AA55" s="55">
        <v>0.184</v>
      </c>
      <c r="AB55" s="55">
        <f t="shared" si="61"/>
        <v>-14.572799999999999</v>
      </c>
      <c r="AC55" s="55">
        <v>-7.32</v>
      </c>
      <c r="AD55" s="55">
        <v>-4.23267743589743</v>
      </c>
      <c r="AE55" s="55">
        <v>0</v>
      </c>
      <c r="AF55" s="55">
        <v>1.6111111111111101</v>
      </c>
    </row>
    <row r="56" spans="1:32" s="57" customFormat="1" ht="15.75" customHeight="1">
      <c r="A56" s="2" t="s">
        <v>36</v>
      </c>
      <c r="B56" s="31" t="s">
        <v>1003</v>
      </c>
      <c r="C56" s="51" t="str">
        <f t="shared" si="50"/>
        <v xml:space="preserve"> - </v>
      </c>
      <c r="D56" s="51">
        <v>0</v>
      </c>
      <c r="E56" s="51">
        <v>0</v>
      </c>
      <c r="F56" s="51">
        <v>0</v>
      </c>
      <c r="G56" s="51">
        <v>0</v>
      </c>
      <c r="H56" s="51" t="e">
        <f t="shared" si="51"/>
        <v>#DIV/0!</v>
      </c>
      <c r="I56" s="51" t="e">
        <f t="shared" si="52"/>
        <v>#DIV/0!</v>
      </c>
      <c r="J56" s="51">
        <f t="shared" si="70"/>
        <v>0</v>
      </c>
      <c r="K56" s="51" t="e">
        <f t="shared" si="54"/>
        <v>#DIV/0!</v>
      </c>
      <c r="L56" s="51">
        <v>0</v>
      </c>
      <c r="M56" s="51" t="str">
        <f t="shared" si="55"/>
        <v>-</v>
      </c>
      <c r="N56" s="51">
        <v>19</v>
      </c>
      <c r="O56" s="51">
        <f t="shared" ref="O56:P56" si="78">D56/7</f>
        <v>0</v>
      </c>
      <c r="P56" s="51">
        <f t="shared" si="78"/>
        <v>0</v>
      </c>
      <c r="Q56" s="51" t="e">
        <f t="shared" si="57"/>
        <v>#DIV/0!</v>
      </c>
      <c r="R56" s="55">
        <f ca="1">IFERROR(__xludf.DUMMYFUNCTION("IFERROR(VLOOKUP($B$2,IMPORTRANGE(""https://docs.google.com/spreadsheets/d/1iVgg6Mw12RULLujzHmfOFIY8Q_KaAD8anoZzgtVAQ74/edit#gid=1503384807"",""Second Star - Summary!A1:AD2000""),9,FALSE),"""")"),192)</f>
        <v>192</v>
      </c>
      <c r="S56" s="53">
        <f ca="1">IFERROR(__xludf.DUMMYFUNCTION("IFERROR(VLOOKUP($B$2,IMPORTRANGE(""https://docs.google.com/spreadsheets/d/1iVgg6Mw12RULLujzHmfOFIY8Q_KaAD8anoZzgtVAQ74/edit#gid=1503384807"",""Second Star - Summary!A1:AD2000""),28,FALSE),"""")"),12)</f>
        <v>12</v>
      </c>
      <c r="T56" s="54">
        <f ca="1">IFERROR(__xludf.DUMMYFUNCTION("IFERROR(VLOOKUP($B$2,IMPORTRANGE(""https://docs.google.com/spreadsheets/d/1iVgg6Mw12RULLujzHmfOFIY8Q_KaAD8anoZzgtVAQ74/edit#gid=1503384807"",""Second Star - Summary!A1:AD2000""),29,FALSE),"""")"),44324)</f>
        <v>44324</v>
      </c>
      <c r="U56" s="55">
        <v>0</v>
      </c>
      <c r="V56" s="55">
        <f t="shared" si="58"/>
        <v>0</v>
      </c>
      <c r="W56" s="55">
        <f t="shared" si="59"/>
        <v>0</v>
      </c>
      <c r="X56" s="55">
        <v>0</v>
      </c>
      <c r="Y56" s="55" t="s">
        <v>35</v>
      </c>
      <c r="Z56" s="56">
        <f t="shared" si="65"/>
        <v>-2.4</v>
      </c>
      <c r="AA56" s="55">
        <v>0.184</v>
      </c>
      <c r="AB56" s="55">
        <f t="shared" si="61"/>
        <v>0</v>
      </c>
      <c r="AC56" s="55">
        <v>-7.32</v>
      </c>
      <c r="AD56" s="55">
        <v>-4.23267743589743</v>
      </c>
      <c r="AE56" s="55">
        <v>0</v>
      </c>
      <c r="AF56" s="55">
        <v>1.5076923076922999</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145" priority="1" operator="lessThan">
      <formula>100</formula>
    </cfRule>
  </conditionalFormatting>
  <conditionalFormatting sqref="Q1:Q3 Q57:Q1000">
    <cfRule type="cellIs" dxfId="144" priority="2" operator="lessThan">
      <formula>100</formula>
    </cfRule>
  </conditionalFormatting>
  <conditionalFormatting sqref="I1:I3 I57:I1000">
    <cfRule type="cellIs" dxfId="143" priority="3" operator="lessThan">
      <formula>0.05</formula>
    </cfRule>
  </conditionalFormatting>
  <conditionalFormatting sqref="I4:I17">
    <cfRule type="cellIs" dxfId="142" priority="4" operator="lessThan">
      <formula>0.05</formula>
    </cfRule>
  </conditionalFormatting>
  <conditionalFormatting sqref="I18:I56">
    <cfRule type="cellIs" dxfId="141" priority="5" operator="lessThan">
      <formula>0.05</formula>
    </cfRule>
  </conditionalFormatting>
  <conditionalFormatting sqref="Q4:Q56">
    <cfRule type="cellIs" dxfId="140" priority="6" operator="lessThan">
      <formula>100</formula>
    </cfRule>
  </conditionalFormatting>
  <conditionalFormatting sqref="Q4:Q56">
    <cfRule type="cellIs" dxfId="139" priority="7" operator="lessThan">
      <formula>100</formula>
    </cfRule>
  </conditionalFormatting>
  <pageMargins left="0.7" right="0.7" top="0.75" bottom="0.75" header="0" footer="0"/>
  <pageSetup orientation="portrait"/>
  <legacyDrawing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7.332031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Info!B1:BJ5000""),4,FALSE),"""")"),"All Weather Cornhole Bean Bags - Set of 8 American Flag Bags for Corn Hole Toss Game - Regulation Size &amp; Weight - 4 Red &amp; 4 Royal Blue")</f>
        <v>All Weather Cornhole Bean Bags - Set of 8 American Flag Bags for Corn Hole Toss Game - Regulation Size &amp; Weight - 4 Red &amp; 4 Royal Blue</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Info!B1:BJ5000""),3,FALSE),"""")"),"B07VNNS8LQ")</f>
        <v>B07VNNS8LQ</v>
      </c>
      <c r="B2" s="4" t="s">
        <v>1055</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12.299620512820507</v>
      </c>
      <c r="D3" s="8">
        <f>SUM(D4:D99819)</f>
        <v>892</v>
      </c>
      <c r="E3" s="8"/>
      <c r="F3" s="9">
        <f t="shared" ref="F3:G3" si="0">SUM(F4:F99819)</f>
        <v>15274.629999999994</v>
      </c>
      <c r="G3" s="9">
        <f t="shared" si="0"/>
        <v>-172.10999999999999</v>
      </c>
      <c r="H3" s="10">
        <f t="shared" ref="H3:H39" si="1">G3/F3*-1</f>
        <v>1.1267703374811701E-2</v>
      </c>
      <c r="I3" s="11">
        <f t="shared" ref="I3:I39" si="2">J3/F3</f>
        <v>0.150525734726983</v>
      </c>
      <c r="J3" s="9">
        <f>SUM(J4:J99819)</f>
        <v>2299.2249034328152</v>
      </c>
      <c r="K3" s="9">
        <f t="shared" ref="K3:K39" si="3">J3/D3</f>
        <v>2.5776063939829768</v>
      </c>
      <c r="L3" s="8"/>
      <c r="M3" s="12"/>
      <c r="N3" s="13"/>
      <c r="O3" s="8" t="str">
        <f ca="1">IFERROR(__xludf.DUMMYFUNCTION("IFERROR(VLOOKUP(B2,IMPORTRANGE(""https://docs.google.com/spreadsheets/d/1owCo6kL_VFQ5nPTdNogErmCBLjNiktT1m3SzTrxu3R0/edit#gid=2146806407"",""Second Star - Compiled!b1:g5000""),2,FALSE),"""")"),"3 - March
3 - April
3 - May
3 - Jun
3 - Jul
3 - Aug
3 - Sept
3 - Oct
3 - Nov
3 - Dec
3 - Jan
3 - Feb")</f>
        <v>3 - March
3 - April
3 - May
3 - Jun
3 - Jul
3 - Aug
3 - Sept
3 - Oct
3 - Nov
3 - Dec
3 - Jan
3 - Feb</v>
      </c>
      <c r="P3" s="8"/>
      <c r="Q3" s="14"/>
      <c r="R3" s="13"/>
      <c r="S3" s="13"/>
      <c r="T3" s="13"/>
      <c r="U3" s="8">
        <f>SUM(U4:U99819)</f>
        <v>42</v>
      </c>
      <c r="V3" s="10">
        <f>AVERAGE(V4:V99819)</f>
        <v>4.6685900886842109E-2</v>
      </c>
      <c r="W3" s="9">
        <f>ROUND(AVERAGE(W4:W99819),2)</f>
        <v>1.6</v>
      </c>
      <c r="X3" s="8"/>
      <c r="Y3" s="8"/>
      <c r="Z3" s="8"/>
      <c r="AA3" s="8"/>
      <c r="AB3" s="8"/>
      <c r="AC3" s="15"/>
      <c r="AD3" s="9"/>
      <c r="AE3" s="9">
        <f>SUM(AE4:AE99819)</f>
        <v>0</v>
      </c>
      <c r="AF3" s="16"/>
    </row>
    <row r="4" spans="1:32" s="57" customFormat="1">
      <c r="A4" s="17" t="s">
        <v>48</v>
      </c>
      <c r="B4" s="2" t="s">
        <v>946</v>
      </c>
      <c r="C4" s="50">
        <v>15.99</v>
      </c>
      <c r="D4" s="51">
        <v>7</v>
      </c>
      <c r="E4" s="51">
        <v>0</v>
      </c>
      <c r="F4" s="51">
        <v>111.92999999999999</v>
      </c>
      <c r="G4" s="51">
        <v>0</v>
      </c>
      <c r="H4" s="51">
        <f t="shared" si="1"/>
        <v>0</v>
      </c>
      <c r="I4" s="51">
        <f t="shared" si="2"/>
        <v>9.2886783767097858E-2</v>
      </c>
      <c r="J4" s="51">
        <f t="shared" ref="J4:J38" si="4">F4*0.85+G4+AD4*D4+D4*AC4+AE4+AB4</f>
        <v>10.396817707051262</v>
      </c>
      <c r="K4" s="51">
        <f t="shared" si="3"/>
        <v>1.4852596724358946</v>
      </c>
      <c r="L4" s="51">
        <v>12</v>
      </c>
      <c r="M4" s="51">
        <f t="shared" ref="M4:M39" si="5">IFERROR(D4/L4,"-")</f>
        <v>0.58333333333333337</v>
      </c>
      <c r="N4" s="51">
        <v>205</v>
      </c>
      <c r="O4" s="51">
        <f t="shared" ref="O4:P4" si="6">D4/7</f>
        <v>1</v>
      </c>
      <c r="P4" s="51">
        <f t="shared" si="6"/>
        <v>0</v>
      </c>
      <c r="Q4" s="51">
        <f t="shared" ref="Q4:Q39" si="7">ROUNDDOWN(N4/(O4+P4),0)</f>
        <v>205</v>
      </c>
      <c r="R4" s="52">
        <v>700</v>
      </c>
      <c r="S4" s="53">
        <v>200</v>
      </c>
      <c r="T4" s="54">
        <v>43876</v>
      </c>
      <c r="U4" s="52">
        <v>0</v>
      </c>
      <c r="V4" s="55">
        <f t="shared" ref="V4:V39" si="8">IFERROR(U4/D4,0)</f>
        <v>0</v>
      </c>
      <c r="W4" s="55">
        <f t="shared" ref="W4:W39" si="9">IFERROR(G4/(U4+X4)*-1,0)</f>
        <v>0</v>
      </c>
      <c r="X4" s="52">
        <v>0</v>
      </c>
      <c r="Y4" s="56" t="s">
        <v>35</v>
      </c>
      <c r="Z4" s="56">
        <f t="shared" ref="Z4:Z10" si="10">IF(OR(Y4="UsLargeStandardSize",Y4="UsSmallStandardSize"),-0.69,-0.48)</f>
        <v>-0.69</v>
      </c>
      <c r="AA4" s="55">
        <v>0.16711177777777778</v>
      </c>
      <c r="AB4" s="55">
        <f t="shared" ref="AB4:AB17" si="11">IFERROR((Z4*AA4*N4)/4,0)</f>
        <v>-5.9094902416666661</v>
      </c>
      <c r="AC4" s="55">
        <v>-7.16</v>
      </c>
      <c r="AD4" s="55">
        <v>-4.102027435897436</v>
      </c>
      <c r="AE4" s="55">
        <v>0</v>
      </c>
      <c r="AF4" s="55"/>
    </row>
    <row r="5" spans="1:32" s="57" customFormat="1" ht="15.75" customHeight="1">
      <c r="A5" s="2" t="s">
        <v>49</v>
      </c>
      <c r="B5" s="2" t="s">
        <v>1056</v>
      </c>
      <c r="C5" s="51">
        <v>14.99</v>
      </c>
      <c r="D5" s="51">
        <v>6</v>
      </c>
      <c r="E5" s="51">
        <v>0</v>
      </c>
      <c r="F5" s="51">
        <v>91.94</v>
      </c>
      <c r="G5" s="51">
        <v>0</v>
      </c>
      <c r="H5" s="51">
        <f t="shared" si="1"/>
        <v>0</v>
      </c>
      <c r="I5" s="51">
        <f t="shared" si="2"/>
        <v>5.2332815437046473E-2</v>
      </c>
      <c r="J5" s="51">
        <f t="shared" si="4"/>
        <v>4.8114790512820527</v>
      </c>
      <c r="K5" s="51">
        <f t="shared" si="3"/>
        <v>0.80191317521367544</v>
      </c>
      <c r="L5" s="51">
        <v>37</v>
      </c>
      <c r="M5" s="51">
        <f t="shared" si="5"/>
        <v>0.16216216216216217</v>
      </c>
      <c r="N5" s="51">
        <v>200</v>
      </c>
      <c r="O5" s="51">
        <f t="shared" ref="O5:P5" si="12">D5/7</f>
        <v>0.8571428571428571</v>
      </c>
      <c r="P5" s="51">
        <f t="shared" si="12"/>
        <v>0</v>
      </c>
      <c r="Q5" s="51">
        <f t="shared" si="7"/>
        <v>233</v>
      </c>
      <c r="R5" s="55">
        <v>700</v>
      </c>
      <c r="S5" s="53">
        <v>200</v>
      </c>
      <c r="T5" s="54">
        <v>43876</v>
      </c>
      <c r="U5" s="55">
        <v>0</v>
      </c>
      <c r="V5" s="55">
        <f t="shared" si="8"/>
        <v>0</v>
      </c>
      <c r="W5" s="55">
        <f t="shared" si="9"/>
        <v>0</v>
      </c>
      <c r="X5" s="55">
        <v>0</v>
      </c>
      <c r="Y5" s="55" t="s">
        <v>35</v>
      </c>
      <c r="Z5" s="56">
        <f t="shared" si="10"/>
        <v>-0.69</v>
      </c>
      <c r="AA5" s="55">
        <v>0.16711177777777778</v>
      </c>
      <c r="AB5" s="55">
        <f t="shared" si="11"/>
        <v>-5.7653563333333331</v>
      </c>
      <c r="AC5" s="55">
        <v>-7.16</v>
      </c>
      <c r="AD5" s="55">
        <v>-4.102027435897436</v>
      </c>
      <c r="AE5" s="55">
        <v>0</v>
      </c>
      <c r="AF5" s="55"/>
    </row>
    <row r="6" spans="1:32" s="57" customFormat="1" ht="15.75" customHeight="1">
      <c r="A6" s="2" t="s">
        <v>51</v>
      </c>
      <c r="B6" s="2" t="s">
        <v>810</v>
      </c>
      <c r="C6" s="51">
        <v>14.99</v>
      </c>
      <c r="D6" s="51">
        <v>20</v>
      </c>
      <c r="E6" s="51">
        <v>0</v>
      </c>
      <c r="F6" s="51">
        <v>299.8</v>
      </c>
      <c r="G6" s="51">
        <v>0</v>
      </c>
      <c r="H6" s="51">
        <f t="shared" si="1"/>
        <v>0</v>
      </c>
      <c r="I6" s="51">
        <f t="shared" si="2"/>
        <v>8.1582001819161545E-2</v>
      </c>
      <c r="J6" s="51">
        <f t="shared" si="4"/>
        <v>24.458284145384631</v>
      </c>
      <c r="K6" s="51">
        <f t="shared" si="3"/>
        <v>1.2229142072692316</v>
      </c>
      <c r="L6" s="51">
        <v>55</v>
      </c>
      <c r="M6" s="51">
        <f t="shared" si="5"/>
        <v>0.36363636363636365</v>
      </c>
      <c r="N6" s="51">
        <v>178</v>
      </c>
      <c r="O6" s="51">
        <f t="shared" ref="O6:P6" si="13">D6/7</f>
        <v>2.8571428571428572</v>
      </c>
      <c r="P6" s="51">
        <f t="shared" si="13"/>
        <v>0</v>
      </c>
      <c r="Q6" s="51">
        <f t="shared" si="7"/>
        <v>62</v>
      </c>
      <c r="R6" s="55">
        <v>700</v>
      </c>
      <c r="S6" s="53">
        <v>200</v>
      </c>
      <c r="T6" s="54">
        <v>43884</v>
      </c>
      <c r="U6" s="55">
        <v>0</v>
      </c>
      <c r="V6" s="55">
        <f t="shared" si="8"/>
        <v>0</v>
      </c>
      <c r="W6" s="55">
        <f t="shared" si="9"/>
        <v>0</v>
      </c>
      <c r="X6" s="55">
        <v>0</v>
      </c>
      <c r="Y6" s="55" t="s">
        <v>35</v>
      </c>
      <c r="Z6" s="56">
        <f t="shared" si="10"/>
        <v>-0.69</v>
      </c>
      <c r="AA6" s="55">
        <v>0.16711177777777778</v>
      </c>
      <c r="AB6" s="55">
        <f t="shared" si="11"/>
        <v>-5.1311671366666669</v>
      </c>
      <c r="AC6" s="55">
        <v>-7.16</v>
      </c>
      <c r="AD6" s="55">
        <v>-4.102027435897436</v>
      </c>
      <c r="AE6" s="55">
        <v>0</v>
      </c>
      <c r="AF6" s="55"/>
    </row>
    <row r="7" spans="1:32" s="57" customFormat="1" ht="15.75" customHeight="1">
      <c r="A7" s="2" t="s">
        <v>53</v>
      </c>
      <c r="B7" s="2" t="s">
        <v>810</v>
      </c>
      <c r="C7" s="51">
        <v>14.99</v>
      </c>
      <c r="D7" s="51">
        <v>19</v>
      </c>
      <c r="E7" s="51">
        <v>0</v>
      </c>
      <c r="F7" s="51">
        <v>284.81000000000006</v>
      </c>
      <c r="G7" s="51">
        <v>-1</v>
      </c>
      <c r="H7" s="51">
        <f t="shared" si="1"/>
        <v>3.5111126716056312E-3</v>
      </c>
      <c r="I7" s="51">
        <f t="shared" si="2"/>
        <v>7.8688295025743801E-2</v>
      </c>
      <c r="J7" s="51">
        <f t="shared" si="4"/>
        <v>22.411213306282097</v>
      </c>
      <c r="K7" s="51">
        <f t="shared" si="3"/>
        <v>1.1795375424358998</v>
      </c>
      <c r="L7" s="51">
        <v>69</v>
      </c>
      <c r="M7" s="51">
        <f t="shared" si="5"/>
        <v>0.27536231884057971</v>
      </c>
      <c r="N7" s="51">
        <v>163</v>
      </c>
      <c r="O7" s="51">
        <f t="shared" ref="O7:P7" si="14">D7/7</f>
        <v>2.7142857142857144</v>
      </c>
      <c r="P7" s="51">
        <f t="shared" si="14"/>
        <v>0</v>
      </c>
      <c r="Q7" s="51">
        <f t="shared" si="7"/>
        <v>60</v>
      </c>
      <c r="R7" s="55">
        <v>700</v>
      </c>
      <c r="S7" s="53">
        <v>200</v>
      </c>
      <c r="T7" s="54">
        <v>43884</v>
      </c>
      <c r="U7" s="55">
        <v>0</v>
      </c>
      <c r="V7" s="55">
        <f t="shared" si="8"/>
        <v>0</v>
      </c>
      <c r="W7" s="55">
        <f t="shared" si="9"/>
        <v>0</v>
      </c>
      <c r="X7" s="55">
        <v>0</v>
      </c>
      <c r="Y7" s="55" t="s">
        <v>35</v>
      </c>
      <c r="Z7" s="56">
        <f t="shared" si="10"/>
        <v>-0.69</v>
      </c>
      <c r="AA7" s="55">
        <v>0.16711177777777778</v>
      </c>
      <c r="AB7" s="55">
        <f t="shared" si="11"/>
        <v>-4.6987654116666668</v>
      </c>
      <c r="AC7" s="55">
        <v>-7.16</v>
      </c>
      <c r="AD7" s="55">
        <v>-4.102027435897436</v>
      </c>
      <c r="AE7" s="55">
        <v>0</v>
      </c>
      <c r="AF7" s="55"/>
    </row>
    <row r="8" spans="1:32" s="57" customFormat="1" ht="15.75" customHeight="1">
      <c r="A8" s="2" t="s">
        <v>54</v>
      </c>
      <c r="B8" s="2" t="s">
        <v>810</v>
      </c>
      <c r="C8" s="51">
        <v>14.99</v>
      </c>
      <c r="D8" s="51">
        <v>37</v>
      </c>
      <c r="E8" s="51">
        <v>0</v>
      </c>
      <c r="F8" s="51">
        <v>539.6400000000001</v>
      </c>
      <c r="G8" s="51">
        <v>0</v>
      </c>
      <c r="H8" s="51">
        <f t="shared" si="1"/>
        <v>0</v>
      </c>
      <c r="I8" s="51">
        <f t="shared" si="2"/>
        <v>7.179148792428576E-2</v>
      </c>
      <c r="J8" s="51">
        <f t="shared" si="4"/>
        <v>38.741558543461572</v>
      </c>
      <c r="K8" s="51">
        <f t="shared" si="3"/>
        <v>1.0470691498232858</v>
      </c>
      <c r="L8" s="51">
        <v>66</v>
      </c>
      <c r="M8" s="51">
        <f t="shared" si="5"/>
        <v>0.56060606060606055</v>
      </c>
      <c r="N8" s="51">
        <v>113</v>
      </c>
      <c r="O8" s="51">
        <f t="shared" ref="O8:P8" si="15">D8/7</f>
        <v>5.2857142857142856</v>
      </c>
      <c r="P8" s="51">
        <f t="shared" si="15"/>
        <v>0</v>
      </c>
      <c r="Q8" s="51">
        <f t="shared" si="7"/>
        <v>21</v>
      </c>
      <c r="R8" s="55">
        <v>700</v>
      </c>
      <c r="S8" s="53">
        <v>200</v>
      </c>
      <c r="T8" s="54">
        <v>43884</v>
      </c>
      <c r="U8" s="55">
        <v>0</v>
      </c>
      <c r="V8" s="55">
        <f t="shared" si="8"/>
        <v>0</v>
      </c>
      <c r="W8" s="55">
        <f t="shared" si="9"/>
        <v>0</v>
      </c>
      <c r="X8" s="55">
        <v>0</v>
      </c>
      <c r="Y8" s="55" t="s">
        <v>35</v>
      </c>
      <c r="Z8" s="56">
        <f t="shared" si="10"/>
        <v>-0.69</v>
      </c>
      <c r="AA8" s="55">
        <v>0.16711177777777778</v>
      </c>
      <c r="AB8" s="55">
        <f t="shared" si="11"/>
        <v>-3.2574263283333331</v>
      </c>
      <c r="AC8" s="55">
        <v>-7.16</v>
      </c>
      <c r="AD8" s="55">
        <v>-4.102027435897436</v>
      </c>
      <c r="AE8" s="55">
        <v>0</v>
      </c>
      <c r="AF8" s="55"/>
    </row>
    <row r="9" spans="1:32" s="57" customFormat="1" ht="15.75" customHeight="1">
      <c r="A9" s="2" t="s">
        <v>56</v>
      </c>
      <c r="B9" s="2" t="s">
        <v>810</v>
      </c>
      <c r="C9" s="51">
        <v>14.99</v>
      </c>
      <c r="D9" s="51">
        <v>33</v>
      </c>
      <c r="E9" s="51">
        <v>0</v>
      </c>
      <c r="F9" s="51">
        <v>494.67000000000013</v>
      </c>
      <c r="G9" s="51">
        <v>-0.66</v>
      </c>
      <c r="H9" s="51">
        <f t="shared" si="1"/>
        <v>1.3342228152101398E-3</v>
      </c>
      <c r="I9" s="51">
        <f t="shared" si="2"/>
        <v>9.1826976281260908E-2</v>
      </c>
      <c r="J9" s="51">
        <f t="shared" si="4"/>
        <v>45.424050357051343</v>
      </c>
      <c r="K9" s="51">
        <f t="shared" si="3"/>
        <v>1.3764863744561013</v>
      </c>
      <c r="L9" s="51">
        <v>65</v>
      </c>
      <c r="M9" s="51">
        <f t="shared" si="5"/>
        <v>0.50769230769230766</v>
      </c>
      <c r="N9" s="51">
        <v>95</v>
      </c>
      <c r="O9" s="51">
        <f t="shared" ref="O9:P9" si="16">D9/7</f>
        <v>4.7142857142857144</v>
      </c>
      <c r="P9" s="51">
        <f t="shared" si="16"/>
        <v>0</v>
      </c>
      <c r="Q9" s="51">
        <f t="shared" si="7"/>
        <v>20</v>
      </c>
      <c r="R9" s="55">
        <v>500</v>
      </c>
      <c r="S9" s="53">
        <v>200</v>
      </c>
      <c r="T9" s="54">
        <v>43881</v>
      </c>
      <c r="U9" s="55">
        <v>1</v>
      </c>
      <c r="V9" s="55">
        <f t="shared" si="8"/>
        <v>3.0303030303030304E-2</v>
      </c>
      <c r="W9" s="55">
        <f t="shared" si="9"/>
        <v>0.66</v>
      </c>
      <c r="X9" s="55">
        <v>0</v>
      </c>
      <c r="Y9" s="55" t="s">
        <v>35</v>
      </c>
      <c r="Z9" s="56">
        <f t="shared" si="10"/>
        <v>-0.69</v>
      </c>
      <c r="AA9" s="55">
        <v>0.16711177777777778</v>
      </c>
      <c r="AB9" s="55">
        <f t="shared" si="11"/>
        <v>-2.738544258333333</v>
      </c>
      <c r="AC9" s="55">
        <v>-7.16</v>
      </c>
      <c r="AD9" s="55">
        <v>-4.102027435897436</v>
      </c>
      <c r="AE9" s="55">
        <v>0</v>
      </c>
      <c r="AF9" s="55"/>
    </row>
    <row r="10" spans="1:32" s="57" customFormat="1" ht="15.75" customHeight="1">
      <c r="A10" s="2" t="s">
        <v>58</v>
      </c>
      <c r="B10" s="2" t="s">
        <v>1057</v>
      </c>
      <c r="C10" s="51">
        <v>14.99</v>
      </c>
      <c r="D10" s="51">
        <v>12</v>
      </c>
      <c r="E10" s="51">
        <v>0</v>
      </c>
      <c r="F10" s="51">
        <v>179.88000000000002</v>
      </c>
      <c r="G10" s="51">
        <v>-0.48</v>
      </c>
      <c r="H10" s="51">
        <f t="shared" si="1"/>
        <v>2.6684456304202795E-3</v>
      </c>
      <c r="I10" s="51">
        <f t="shared" si="2"/>
        <v>8.3528918163391155E-2</v>
      </c>
      <c r="J10" s="51">
        <f t="shared" si="4"/>
        <v>15.025181799230804</v>
      </c>
      <c r="K10" s="51">
        <f t="shared" si="3"/>
        <v>1.2520984832692337</v>
      </c>
      <c r="L10" s="51">
        <v>75</v>
      </c>
      <c r="M10" s="51">
        <f t="shared" si="5"/>
        <v>0.16</v>
      </c>
      <c r="N10" s="51">
        <v>78</v>
      </c>
      <c r="O10" s="51">
        <f t="shared" ref="O10:P10" si="17">D10/7</f>
        <v>1.7142857142857142</v>
      </c>
      <c r="P10" s="51">
        <f t="shared" si="17"/>
        <v>0</v>
      </c>
      <c r="Q10" s="51">
        <f t="shared" si="7"/>
        <v>45</v>
      </c>
      <c r="R10" s="55">
        <v>500</v>
      </c>
      <c r="S10" s="53">
        <v>200</v>
      </c>
      <c r="T10" s="54">
        <v>43885</v>
      </c>
      <c r="U10" s="55">
        <v>0</v>
      </c>
      <c r="V10" s="55">
        <f t="shared" si="8"/>
        <v>0</v>
      </c>
      <c r="W10" s="55">
        <f t="shared" si="9"/>
        <v>0</v>
      </c>
      <c r="X10" s="55">
        <v>0</v>
      </c>
      <c r="Y10" s="55" t="s">
        <v>35</v>
      </c>
      <c r="Z10" s="56">
        <f t="shared" si="10"/>
        <v>-0.69</v>
      </c>
      <c r="AA10" s="55">
        <v>0.16711177777777778</v>
      </c>
      <c r="AB10" s="55">
        <f t="shared" si="11"/>
        <v>-2.2484889699999999</v>
      </c>
      <c r="AC10" s="55">
        <v>-7.16</v>
      </c>
      <c r="AD10" s="55">
        <v>-4.102027435897436</v>
      </c>
      <c r="AE10" s="55">
        <v>0</v>
      </c>
      <c r="AF10" s="55"/>
    </row>
    <row r="11" spans="1:32" s="57" customFormat="1" ht="15.75" customHeight="1">
      <c r="A11" s="2" t="s">
        <v>60</v>
      </c>
      <c r="B11" s="2" t="s">
        <v>1058</v>
      </c>
      <c r="C11" s="51">
        <v>14.99</v>
      </c>
      <c r="D11" s="51">
        <v>26</v>
      </c>
      <c r="E11" s="51">
        <v>0</v>
      </c>
      <c r="F11" s="51">
        <v>389.74000000000012</v>
      </c>
      <c r="G11" s="51">
        <v>-8.8099999999999987</v>
      </c>
      <c r="H11" s="51">
        <f t="shared" si="1"/>
        <v>2.2604813465387171E-2</v>
      </c>
      <c r="I11" s="51">
        <f t="shared" si="2"/>
        <v>6.0514562806828744E-2</v>
      </c>
      <c r="J11" s="51">
        <f t="shared" si="4"/>
        <v>23.584945708333443</v>
      </c>
      <c r="K11" s="51">
        <f t="shared" si="3"/>
        <v>0.90711329647436323</v>
      </c>
      <c r="L11" s="51">
        <v>59</v>
      </c>
      <c r="M11" s="51">
        <f t="shared" si="5"/>
        <v>0.44067796610169491</v>
      </c>
      <c r="N11" s="51">
        <v>61</v>
      </c>
      <c r="O11" s="51">
        <f t="shared" ref="O11:P11" si="18">D11/7</f>
        <v>3.7142857142857144</v>
      </c>
      <c r="P11" s="51">
        <f t="shared" si="18"/>
        <v>0</v>
      </c>
      <c r="Q11" s="51">
        <f t="shared" si="7"/>
        <v>16</v>
      </c>
      <c r="R11" s="55">
        <v>300</v>
      </c>
      <c r="S11" s="53" t="s">
        <v>34</v>
      </c>
      <c r="T11" s="54" t="s">
        <v>34</v>
      </c>
      <c r="U11" s="55">
        <v>3</v>
      </c>
      <c r="V11" s="55">
        <f t="shared" si="8"/>
        <v>0.11538461538461539</v>
      </c>
      <c r="W11" s="55">
        <f t="shared" si="9"/>
        <v>2.9366666666666661</v>
      </c>
      <c r="X11" s="55">
        <v>0</v>
      </c>
      <c r="Y11" s="55" t="s">
        <v>35</v>
      </c>
      <c r="Z11" s="56">
        <f t="shared" ref="Z11:Z39" si="19">IF(OR(Y11="UsLargeStandardSize",Y11="UsSmallStandardSize"),-0.75,-0.48)</f>
        <v>-0.75</v>
      </c>
      <c r="AA11" s="55">
        <v>0.16711177777777778</v>
      </c>
      <c r="AB11" s="55">
        <f t="shared" si="11"/>
        <v>-1.9113409583333334</v>
      </c>
      <c r="AC11" s="55">
        <v>-7.32</v>
      </c>
      <c r="AD11" s="55">
        <v>-4.102027435897436</v>
      </c>
      <c r="AE11" s="55">
        <v>0</v>
      </c>
      <c r="AF11" s="55"/>
    </row>
    <row r="12" spans="1:32" s="57" customFormat="1" ht="15.75" customHeight="1">
      <c r="A12" s="2" t="s">
        <v>62</v>
      </c>
      <c r="B12" s="2" t="s">
        <v>1059</v>
      </c>
      <c r="C12" s="51">
        <v>15.99</v>
      </c>
      <c r="D12" s="51">
        <v>10</v>
      </c>
      <c r="E12" s="51">
        <v>0</v>
      </c>
      <c r="F12" s="51">
        <v>152.9</v>
      </c>
      <c r="G12" s="51">
        <v>-6.19</v>
      </c>
      <c r="H12" s="51">
        <f t="shared" si="1"/>
        <v>4.048397645519948E-2</v>
      </c>
      <c r="I12" s="51">
        <f t="shared" si="2"/>
        <v>1.3922145297747815E-2</v>
      </c>
      <c r="J12" s="51">
        <f t="shared" si="4"/>
        <v>2.128696016025641</v>
      </c>
      <c r="K12" s="51">
        <f t="shared" si="3"/>
        <v>0.2128696016025641</v>
      </c>
      <c r="L12" s="51">
        <v>87</v>
      </c>
      <c r="M12" s="51">
        <f t="shared" si="5"/>
        <v>0.11494252873563218</v>
      </c>
      <c r="N12" s="51">
        <v>237</v>
      </c>
      <c r="O12" s="51">
        <f t="shared" ref="O12:P12" si="20">D12/7</f>
        <v>1.4285714285714286</v>
      </c>
      <c r="P12" s="51">
        <f t="shared" si="20"/>
        <v>0</v>
      </c>
      <c r="Q12" s="51">
        <f t="shared" si="7"/>
        <v>165</v>
      </c>
      <c r="R12" s="55">
        <v>300</v>
      </c>
      <c r="S12" s="53" t="s">
        <v>34</v>
      </c>
      <c r="T12" s="54" t="s">
        <v>34</v>
      </c>
      <c r="U12" s="55">
        <v>1</v>
      </c>
      <c r="V12" s="55">
        <f t="shared" si="8"/>
        <v>0.1</v>
      </c>
      <c r="W12" s="55">
        <f t="shared" si="9"/>
        <v>6.19</v>
      </c>
      <c r="X12" s="55">
        <v>0</v>
      </c>
      <c r="Y12" s="55" t="s">
        <v>35</v>
      </c>
      <c r="Z12" s="56">
        <f t="shared" si="19"/>
        <v>-0.75</v>
      </c>
      <c r="AA12" s="55">
        <v>0.16711177777777778</v>
      </c>
      <c r="AB12" s="55">
        <f t="shared" si="11"/>
        <v>-7.426029625</v>
      </c>
      <c r="AC12" s="55">
        <v>-7.32</v>
      </c>
      <c r="AD12" s="55">
        <v>-4.102027435897436</v>
      </c>
      <c r="AE12" s="55">
        <v>0</v>
      </c>
      <c r="AF12" s="55"/>
    </row>
    <row r="13" spans="1:32" s="57" customFormat="1" ht="15.75" customHeight="1">
      <c r="A13" s="2" t="s">
        <v>63</v>
      </c>
      <c r="B13" s="2" t="s">
        <v>1060</v>
      </c>
      <c r="C13" s="51">
        <v>15.99</v>
      </c>
      <c r="D13" s="51">
        <v>32</v>
      </c>
      <c r="E13" s="51">
        <v>0</v>
      </c>
      <c r="F13" s="51">
        <v>505.68000000000012</v>
      </c>
      <c r="G13" s="51">
        <v>-21.62</v>
      </c>
      <c r="H13" s="51">
        <f t="shared" si="1"/>
        <v>4.2754311026736269E-2</v>
      </c>
      <c r="I13" s="51">
        <f t="shared" si="2"/>
        <v>7.0877026333416568E-2</v>
      </c>
      <c r="J13" s="51">
        <f t="shared" si="4"/>
        <v>35.841094676282097</v>
      </c>
      <c r="K13" s="51">
        <f t="shared" si="3"/>
        <v>1.1200342086338155</v>
      </c>
      <c r="L13" s="51">
        <v>91</v>
      </c>
      <c r="M13" s="51">
        <f t="shared" si="5"/>
        <v>0.35164835164835168</v>
      </c>
      <c r="N13" s="51">
        <v>219</v>
      </c>
      <c r="O13" s="51">
        <f t="shared" ref="O13:P13" si="21">D13/7</f>
        <v>4.5714285714285712</v>
      </c>
      <c r="P13" s="51">
        <f t="shared" si="21"/>
        <v>0</v>
      </c>
      <c r="Q13" s="51">
        <f t="shared" si="7"/>
        <v>47</v>
      </c>
      <c r="R13" s="55">
        <v>700</v>
      </c>
      <c r="S13" s="53" t="s">
        <v>34</v>
      </c>
      <c r="T13" s="54" t="s">
        <v>34</v>
      </c>
      <c r="U13" s="55">
        <v>2</v>
      </c>
      <c r="V13" s="55">
        <f t="shared" si="8"/>
        <v>6.25E-2</v>
      </c>
      <c r="W13" s="55">
        <f t="shared" si="9"/>
        <v>5.4050000000000002</v>
      </c>
      <c r="X13" s="55">
        <v>2</v>
      </c>
      <c r="Y13" s="55" t="s">
        <v>35</v>
      </c>
      <c r="Z13" s="56">
        <f t="shared" si="19"/>
        <v>-0.75</v>
      </c>
      <c r="AA13" s="55">
        <v>0.16711177777777778</v>
      </c>
      <c r="AB13" s="55">
        <f t="shared" si="11"/>
        <v>-6.8620273750000003</v>
      </c>
      <c r="AC13" s="55">
        <v>-7.32</v>
      </c>
      <c r="AD13" s="55">
        <v>-4.102027435897436</v>
      </c>
      <c r="AE13" s="55">
        <v>0</v>
      </c>
      <c r="AF13" s="55"/>
    </row>
    <row r="14" spans="1:32" s="57" customFormat="1" ht="15.75" customHeight="1">
      <c r="A14" s="2" t="s">
        <v>64</v>
      </c>
      <c r="B14" s="2"/>
      <c r="C14" s="51">
        <v>17.989999999999998</v>
      </c>
      <c r="D14" s="51">
        <v>61</v>
      </c>
      <c r="E14" s="51">
        <v>0</v>
      </c>
      <c r="F14" s="51">
        <v>984.39000000000044</v>
      </c>
      <c r="G14" s="51">
        <v>-18.32</v>
      </c>
      <c r="H14" s="51">
        <f t="shared" si="1"/>
        <v>1.8610510062068888E-2</v>
      </c>
      <c r="I14" s="51">
        <f t="shared" si="2"/>
        <v>0.11952289615253091</v>
      </c>
      <c r="J14" s="51">
        <f t="shared" si="4"/>
        <v>117.65714374358996</v>
      </c>
      <c r="K14" s="51">
        <f t="shared" si="3"/>
        <v>1.9288056351408189</v>
      </c>
      <c r="L14" s="51">
        <v>100</v>
      </c>
      <c r="M14" s="51">
        <f t="shared" si="5"/>
        <v>0.61</v>
      </c>
      <c r="N14" s="51">
        <v>128</v>
      </c>
      <c r="O14" s="51">
        <f t="shared" ref="O14:P14" si="22">D14/7</f>
        <v>8.7142857142857135</v>
      </c>
      <c r="P14" s="51">
        <f t="shared" si="22"/>
        <v>0</v>
      </c>
      <c r="Q14" s="51">
        <f t="shared" si="7"/>
        <v>14</v>
      </c>
      <c r="R14" s="55">
        <v>700</v>
      </c>
      <c r="S14" s="53" t="s">
        <v>34</v>
      </c>
      <c r="T14" s="54" t="s">
        <v>34</v>
      </c>
      <c r="U14" s="55">
        <v>0</v>
      </c>
      <c r="V14" s="55">
        <f t="shared" si="8"/>
        <v>0</v>
      </c>
      <c r="W14" s="55">
        <f t="shared" si="9"/>
        <v>9.16</v>
      </c>
      <c r="X14" s="55">
        <v>2</v>
      </c>
      <c r="Y14" s="55" t="s">
        <v>35</v>
      </c>
      <c r="Z14" s="56">
        <f t="shared" si="19"/>
        <v>-0.75</v>
      </c>
      <c r="AA14" s="55">
        <v>0.16711177777777778</v>
      </c>
      <c r="AB14" s="55">
        <f t="shared" si="11"/>
        <v>-4.0106826666666668</v>
      </c>
      <c r="AC14" s="55">
        <v>-7.32</v>
      </c>
      <c r="AD14" s="55">
        <v>-4.102027435897436</v>
      </c>
      <c r="AE14" s="55">
        <v>0</v>
      </c>
      <c r="AF14" s="55"/>
    </row>
    <row r="15" spans="1:32" s="57" customFormat="1" ht="15.75" customHeight="1">
      <c r="A15" s="2" t="s">
        <v>65</v>
      </c>
      <c r="B15" s="2" t="s">
        <v>983</v>
      </c>
      <c r="C15" s="51">
        <v>17.989999999999998</v>
      </c>
      <c r="D15" s="51">
        <v>27</v>
      </c>
      <c r="E15" s="51">
        <v>0</v>
      </c>
      <c r="F15" s="51">
        <v>463.73000000000013</v>
      </c>
      <c r="G15" s="51">
        <v>-8.17</v>
      </c>
      <c r="H15" s="51">
        <f t="shared" si="1"/>
        <v>1.761801048023634E-2</v>
      </c>
      <c r="I15" s="51">
        <f t="shared" si="2"/>
        <v>0.15890513216548982</v>
      </c>
      <c r="J15" s="51">
        <f t="shared" si="4"/>
        <v>73.68907693910262</v>
      </c>
      <c r="K15" s="51">
        <f t="shared" si="3"/>
        <v>2.7292250718186155</v>
      </c>
      <c r="L15" s="51">
        <v>61</v>
      </c>
      <c r="M15" s="51">
        <f t="shared" si="5"/>
        <v>0.44262295081967212</v>
      </c>
      <c r="N15" s="51">
        <v>125</v>
      </c>
      <c r="O15" s="51">
        <f t="shared" ref="O15:P15" si="23">D15/7</f>
        <v>3.8571428571428572</v>
      </c>
      <c r="P15" s="51">
        <f t="shared" si="23"/>
        <v>0</v>
      </c>
      <c r="Q15" s="51">
        <f t="shared" si="7"/>
        <v>32</v>
      </c>
      <c r="R15" s="55">
        <v>1100</v>
      </c>
      <c r="S15" s="53" t="s">
        <v>34</v>
      </c>
      <c r="T15" s="54" t="s">
        <v>34</v>
      </c>
      <c r="U15" s="55">
        <v>1</v>
      </c>
      <c r="V15" s="55">
        <f t="shared" si="8"/>
        <v>3.7037037037037035E-2</v>
      </c>
      <c r="W15" s="55">
        <f t="shared" si="9"/>
        <v>8.17</v>
      </c>
      <c r="X15" s="55">
        <v>0</v>
      </c>
      <c r="Y15" s="55" t="s">
        <v>35</v>
      </c>
      <c r="Z15" s="56">
        <f t="shared" si="19"/>
        <v>-0.75</v>
      </c>
      <c r="AA15" s="55">
        <v>0.16711177777777778</v>
      </c>
      <c r="AB15" s="55">
        <f t="shared" si="11"/>
        <v>-3.916682291666667</v>
      </c>
      <c r="AC15" s="55">
        <v>-7.32</v>
      </c>
      <c r="AD15" s="55">
        <v>-4.102027435897436</v>
      </c>
      <c r="AE15" s="55">
        <v>0</v>
      </c>
      <c r="AF15" s="55"/>
    </row>
    <row r="16" spans="1:32" s="57" customFormat="1" ht="15.75" customHeight="1">
      <c r="A16" s="2" t="s">
        <v>66</v>
      </c>
      <c r="B16" s="2" t="s">
        <v>983</v>
      </c>
      <c r="C16" s="51">
        <v>16.989999999999998</v>
      </c>
      <c r="D16" s="51">
        <v>12</v>
      </c>
      <c r="E16" s="51">
        <v>0</v>
      </c>
      <c r="F16" s="51">
        <v>212.88000000000002</v>
      </c>
      <c r="G16" s="51">
        <v>-0.56999999999999995</v>
      </c>
      <c r="H16" s="51">
        <f t="shared" si="1"/>
        <v>2.6775648252536635E-3</v>
      </c>
      <c r="I16" s="51">
        <f t="shared" si="2"/>
        <v>0.18845198242780334</v>
      </c>
      <c r="J16" s="51">
        <f t="shared" si="4"/>
        <v>40.117658019230781</v>
      </c>
      <c r="K16" s="51">
        <f t="shared" si="3"/>
        <v>3.3431381682692316</v>
      </c>
      <c r="L16" s="51">
        <v>73</v>
      </c>
      <c r="M16" s="51">
        <f t="shared" si="5"/>
        <v>0.16438356164383561</v>
      </c>
      <c r="N16" s="51">
        <v>102</v>
      </c>
      <c r="O16" s="51">
        <f t="shared" ref="O16:P16" si="24">D16/7</f>
        <v>1.7142857142857142</v>
      </c>
      <c r="P16" s="51">
        <f t="shared" si="24"/>
        <v>0</v>
      </c>
      <c r="Q16" s="51">
        <f t="shared" si="7"/>
        <v>59</v>
      </c>
      <c r="R16" s="55">
        <v>1100</v>
      </c>
      <c r="S16" s="53" t="s">
        <v>34</v>
      </c>
      <c r="T16" s="54" t="s">
        <v>34</v>
      </c>
      <c r="U16" s="55">
        <v>0</v>
      </c>
      <c r="V16" s="55">
        <f t="shared" si="8"/>
        <v>0</v>
      </c>
      <c r="W16" s="55">
        <f t="shared" si="9"/>
        <v>0</v>
      </c>
      <c r="X16" s="55">
        <v>0</v>
      </c>
      <c r="Y16" s="55" t="s">
        <v>35</v>
      </c>
      <c r="Z16" s="56">
        <f t="shared" si="19"/>
        <v>-0.75</v>
      </c>
      <c r="AA16" s="55">
        <v>0.16711177777777778</v>
      </c>
      <c r="AB16" s="55">
        <f t="shared" si="11"/>
        <v>-3.19601275</v>
      </c>
      <c r="AC16" s="55">
        <v>-7.32</v>
      </c>
      <c r="AD16" s="55">
        <v>-4.102027435897436</v>
      </c>
      <c r="AE16" s="55">
        <v>0</v>
      </c>
      <c r="AF16" s="55"/>
    </row>
    <row r="17" spans="1:32" s="57" customFormat="1" ht="15.75" customHeight="1">
      <c r="A17" s="2" t="s">
        <v>67</v>
      </c>
      <c r="B17" s="2" t="s">
        <v>810</v>
      </c>
      <c r="C17" s="51">
        <v>16.989999999999998</v>
      </c>
      <c r="D17" s="51">
        <v>8</v>
      </c>
      <c r="E17" s="51">
        <v>0</v>
      </c>
      <c r="F17" s="51">
        <v>141.82999999999998</v>
      </c>
      <c r="G17" s="51">
        <v>0</v>
      </c>
      <c r="H17" s="51">
        <f t="shared" si="1"/>
        <v>0</v>
      </c>
      <c r="I17" s="51">
        <f t="shared" si="2"/>
        <v>0.18452561878883522</v>
      </c>
      <c r="J17" s="51">
        <f t="shared" si="4"/>
        <v>26.171268512820497</v>
      </c>
      <c r="K17" s="51">
        <f t="shared" si="3"/>
        <v>3.2714085641025621</v>
      </c>
      <c r="L17" s="51">
        <v>68</v>
      </c>
      <c r="M17" s="51">
        <f t="shared" si="5"/>
        <v>0.11764705882352941</v>
      </c>
      <c r="N17" s="51">
        <v>96</v>
      </c>
      <c r="O17" s="51">
        <f t="shared" ref="O17:P17" si="25">D17/7</f>
        <v>1.1428571428571428</v>
      </c>
      <c r="P17" s="51">
        <f t="shared" si="25"/>
        <v>0</v>
      </c>
      <c r="Q17" s="51">
        <f t="shared" si="7"/>
        <v>84</v>
      </c>
      <c r="R17" s="55">
        <v>700</v>
      </c>
      <c r="S17" s="53" t="s">
        <v>34</v>
      </c>
      <c r="T17" s="54" t="s">
        <v>34</v>
      </c>
      <c r="U17" s="55">
        <v>0</v>
      </c>
      <c r="V17" s="55">
        <f t="shared" si="8"/>
        <v>0</v>
      </c>
      <c r="W17" s="55">
        <f t="shared" si="9"/>
        <v>0</v>
      </c>
      <c r="X17" s="55">
        <v>0</v>
      </c>
      <c r="Y17" s="55" t="s">
        <v>35</v>
      </c>
      <c r="Z17" s="56">
        <f t="shared" si="19"/>
        <v>-0.75</v>
      </c>
      <c r="AA17" s="55">
        <v>0.16711177777777778</v>
      </c>
      <c r="AB17" s="55">
        <f t="shared" si="11"/>
        <v>-3.0080119999999999</v>
      </c>
      <c r="AC17" s="55">
        <v>-7.32</v>
      </c>
      <c r="AD17" s="55">
        <v>-4.102027435897436</v>
      </c>
      <c r="AE17" s="55">
        <v>0</v>
      </c>
      <c r="AF17" s="55"/>
    </row>
    <row r="18" spans="1:32" s="57" customFormat="1" ht="15.75" customHeight="1">
      <c r="A18" s="2" t="s">
        <v>69</v>
      </c>
      <c r="B18" s="2" t="s">
        <v>810</v>
      </c>
      <c r="C18" s="51">
        <v>17.989999999999998</v>
      </c>
      <c r="D18" s="51">
        <v>6</v>
      </c>
      <c r="E18" s="51">
        <v>0</v>
      </c>
      <c r="F18" s="51">
        <v>101.76</v>
      </c>
      <c r="G18" s="51">
        <v>-0.26</v>
      </c>
      <c r="H18" s="51">
        <f t="shared" si="1"/>
        <v>2.5550314465408804E-3</v>
      </c>
      <c r="I18" s="51">
        <f t="shared" si="2"/>
        <v>0.15180646997460076</v>
      </c>
      <c r="J18" s="51">
        <f t="shared" si="4"/>
        <v>15.447826384615375</v>
      </c>
      <c r="K18" s="51">
        <f t="shared" si="3"/>
        <v>2.5746377307692292</v>
      </c>
      <c r="L18" s="51">
        <v>52</v>
      </c>
      <c r="M18" s="51">
        <f t="shared" si="5"/>
        <v>0.11538461538461539</v>
      </c>
      <c r="N18" s="51">
        <v>89</v>
      </c>
      <c r="O18" s="51">
        <f t="shared" ref="O18:P18" si="26">D18/7</f>
        <v>0.8571428571428571</v>
      </c>
      <c r="P18" s="51">
        <f t="shared" si="26"/>
        <v>0</v>
      </c>
      <c r="Q18" s="51">
        <f t="shared" si="7"/>
        <v>103</v>
      </c>
      <c r="R18" s="55">
        <v>700</v>
      </c>
      <c r="S18" s="53" t="s">
        <v>34</v>
      </c>
      <c r="T18" s="54" t="s">
        <v>34</v>
      </c>
      <c r="U18" s="55">
        <v>1</v>
      </c>
      <c r="V18" s="55">
        <f t="shared" si="8"/>
        <v>0.16666666666666666</v>
      </c>
      <c r="W18" s="55">
        <f t="shared" si="9"/>
        <v>0.26</v>
      </c>
      <c r="X18" s="55">
        <v>0</v>
      </c>
      <c r="Y18" s="55" t="s">
        <v>35</v>
      </c>
      <c r="Z18" s="56">
        <f t="shared" si="19"/>
        <v>-0.75</v>
      </c>
      <c r="AA18" s="55">
        <v>0.16711177777777778</v>
      </c>
      <c r="AB18" s="58">
        <f t="shared" ref="AB18:AB39" si="27">IFERROR(Z18*AA18*D18*3,0)</f>
        <v>-2.2560089999999997</v>
      </c>
      <c r="AC18" s="55">
        <v>-7.32</v>
      </c>
      <c r="AD18" s="55">
        <v>-4.102027435897436</v>
      </c>
      <c r="AE18" s="55">
        <v>0</v>
      </c>
      <c r="AF18" s="55"/>
    </row>
    <row r="19" spans="1:32" s="57" customFormat="1" ht="15.75" customHeight="1">
      <c r="A19" s="2" t="s">
        <v>71</v>
      </c>
      <c r="B19" s="2" t="s">
        <v>987</v>
      </c>
      <c r="C19" s="51">
        <v>16.989999999999998</v>
      </c>
      <c r="D19" s="51">
        <v>16</v>
      </c>
      <c r="E19" s="51">
        <v>0</v>
      </c>
      <c r="F19" s="51">
        <v>277.57000000000005</v>
      </c>
      <c r="G19" s="51">
        <v>0</v>
      </c>
      <c r="H19" s="51">
        <f t="shared" si="1"/>
        <v>0</v>
      </c>
      <c r="I19" s="51">
        <f t="shared" si="2"/>
        <v>0.16992483707043651</v>
      </c>
      <c r="J19" s="51">
        <f t="shared" si="4"/>
        <v>47.166037025641074</v>
      </c>
      <c r="K19" s="51">
        <f t="shared" si="3"/>
        <v>2.9478773141025671</v>
      </c>
      <c r="L19" s="51">
        <v>51</v>
      </c>
      <c r="M19" s="51">
        <f t="shared" si="5"/>
        <v>0.31372549019607843</v>
      </c>
      <c r="N19" s="51">
        <v>81</v>
      </c>
      <c r="O19" s="51">
        <f t="shared" ref="O19:P19" si="28">D19/7</f>
        <v>2.2857142857142856</v>
      </c>
      <c r="P19" s="51">
        <f t="shared" si="28"/>
        <v>0</v>
      </c>
      <c r="Q19" s="51">
        <f t="shared" si="7"/>
        <v>35</v>
      </c>
      <c r="R19" s="55">
        <v>1100</v>
      </c>
      <c r="S19" s="53">
        <v>400</v>
      </c>
      <c r="T19" s="54">
        <v>43990</v>
      </c>
      <c r="U19" s="55">
        <v>0</v>
      </c>
      <c r="V19" s="55">
        <f t="shared" si="8"/>
        <v>0</v>
      </c>
      <c r="W19" s="55">
        <f t="shared" si="9"/>
        <v>0</v>
      </c>
      <c r="X19" s="55">
        <v>0</v>
      </c>
      <c r="Y19" s="55" t="s">
        <v>35</v>
      </c>
      <c r="Z19" s="56">
        <f t="shared" si="19"/>
        <v>-0.75</v>
      </c>
      <c r="AA19" s="55">
        <v>0.16711177777777778</v>
      </c>
      <c r="AB19" s="55">
        <f t="shared" si="27"/>
        <v>-6.0160239999999998</v>
      </c>
      <c r="AC19" s="55">
        <v>-7.32</v>
      </c>
      <c r="AD19" s="55">
        <v>-4.102027435897436</v>
      </c>
      <c r="AE19" s="55">
        <v>0</v>
      </c>
      <c r="AF19" s="55"/>
    </row>
    <row r="20" spans="1:32" s="57" customFormat="1" ht="15.75" customHeight="1">
      <c r="A20" s="2" t="s">
        <v>73</v>
      </c>
      <c r="B20" s="2" t="s">
        <v>955</v>
      </c>
      <c r="C20" s="51">
        <v>18</v>
      </c>
      <c r="D20" s="51">
        <v>21</v>
      </c>
      <c r="E20" s="51">
        <v>0</v>
      </c>
      <c r="F20" s="51">
        <v>356.81000000000006</v>
      </c>
      <c r="G20" s="51">
        <v>-0.28000000000000003</v>
      </c>
      <c r="H20" s="51">
        <f t="shared" si="1"/>
        <v>7.847313696365012E-4</v>
      </c>
      <c r="I20" s="51">
        <f t="shared" si="2"/>
        <v>0.15484401318952359</v>
      </c>
      <c r="J20" s="51">
        <f t="shared" si="4"/>
        <v>55.249892346153921</v>
      </c>
      <c r="K20" s="51">
        <f t="shared" si="3"/>
        <v>2.630947254578758</v>
      </c>
      <c r="L20" s="51">
        <v>68</v>
      </c>
      <c r="M20" s="51">
        <f t="shared" si="5"/>
        <v>0.30882352941176472</v>
      </c>
      <c r="N20" s="51">
        <v>49</v>
      </c>
      <c r="O20" s="51">
        <f t="shared" ref="O20:P20" si="29">D20/7</f>
        <v>3</v>
      </c>
      <c r="P20" s="51">
        <f t="shared" si="29"/>
        <v>0</v>
      </c>
      <c r="Q20" s="51">
        <f t="shared" si="7"/>
        <v>16</v>
      </c>
      <c r="R20" s="55">
        <v>700</v>
      </c>
      <c r="S20" s="53">
        <v>400</v>
      </c>
      <c r="T20" s="54">
        <v>43990</v>
      </c>
      <c r="U20" s="55">
        <v>0</v>
      </c>
      <c r="V20" s="55">
        <f t="shared" si="8"/>
        <v>0</v>
      </c>
      <c r="W20" s="55">
        <f t="shared" si="9"/>
        <v>0</v>
      </c>
      <c r="X20" s="55">
        <v>0</v>
      </c>
      <c r="Y20" s="55" t="s">
        <v>35</v>
      </c>
      <c r="Z20" s="56">
        <f t="shared" si="19"/>
        <v>-0.75</v>
      </c>
      <c r="AA20" s="55">
        <v>0.16711177777777778</v>
      </c>
      <c r="AB20" s="55">
        <f t="shared" si="27"/>
        <v>-7.8960315000000012</v>
      </c>
      <c r="AC20" s="55">
        <v>-7.32</v>
      </c>
      <c r="AD20" s="55">
        <v>-4.102027435897436</v>
      </c>
      <c r="AE20" s="55">
        <v>0</v>
      </c>
      <c r="AF20" s="55"/>
    </row>
    <row r="21" spans="1:32" s="57" customFormat="1" ht="15.75" customHeight="1">
      <c r="A21" s="2" t="s">
        <v>75</v>
      </c>
      <c r="B21" s="2" t="s">
        <v>1061</v>
      </c>
      <c r="C21" s="51">
        <v>19.989999999999998</v>
      </c>
      <c r="D21" s="51">
        <v>18</v>
      </c>
      <c r="E21" s="51">
        <v>0</v>
      </c>
      <c r="F21" s="51">
        <v>314.85000000000008</v>
      </c>
      <c r="G21" s="51">
        <v>-0.12</v>
      </c>
      <c r="H21" s="51">
        <f t="shared" si="1"/>
        <v>3.8113387327298704E-4</v>
      </c>
      <c r="I21" s="51">
        <f t="shared" si="2"/>
        <v>0.17512459632792188</v>
      </c>
      <c r="J21" s="51">
        <f t="shared" si="4"/>
        <v>55.137979153846217</v>
      </c>
      <c r="K21" s="51">
        <f t="shared" si="3"/>
        <v>3.0632210641025677</v>
      </c>
      <c r="L21" s="51">
        <v>39</v>
      </c>
      <c r="M21" s="51">
        <f t="shared" si="5"/>
        <v>0.46153846153846156</v>
      </c>
      <c r="N21" s="51">
        <v>42</v>
      </c>
      <c r="O21" s="51">
        <f t="shared" ref="O21:P21" si="30">D21/7</f>
        <v>2.5714285714285716</v>
      </c>
      <c r="P21" s="51">
        <f t="shared" si="30"/>
        <v>0</v>
      </c>
      <c r="Q21" s="51">
        <f t="shared" si="7"/>
        <v>16</v>
      </c>
      <c r="R21" s="55">
        <v>700</v>
      </c>
      <c r="S21" s="53">
        <v>400</v>
      </c>
      <c r="T21" s="54">
        <v>43990</v>
      </c>
      <c r="U21" s="55">
        <v>1</v>
      </c>
      <c r="V21" s="55">
        <f t="shared" si="8"/>
        <v>5.5555555555555552E-2</v>
      </c>
      <c r="W21" s="55">
        <f t="shared" si="9"/>
        <v>0.12</v>
      </c>
      <c r="X21" s="55">
        <v>0</v>
      </c>
      <c r="Y21" s="55" t="s">
        <v>35</v>
      </c>
      <c r="Z21" s="56">
        <f t="shared" si="19"/>
        <v>-0.75</v>
      </c>
      <c r="AA21" s="55">
        <v>0.16711177777777778</v>
      </c>
      <c r="AB21" s="55">
        <f t="shared" si="27"/>
        <v>-6.768027</v>
      </c>
      <c r="AC21" s="55">
        <v>-7.32</v>
      </c>
      <c r="AD21" s="55">
        <v>-4.102027435897436</v>
      </c>
      <c r="AE21" s="55">
        <v>0</v>
      </c>
      <c r="AF21" s="55"/>
    </row>
    <row r="22" spans="1:32" s="57" customFormat="1" ht="15.75" customHeight="1">
      <c r="A22" s="2" t="s">
        <v>77</v>
      </c>
      <c r="B22" s="2" t="s">
        <v>810</v>
      </c>
      <c r="C22" s="51">
        <v>21</v>
      </c>
      <c r="D22" s="51">
        <v>5</v>
      </c>
      <c r="E22" s="51">
        <v>0</v>
      </c>
      <c r="F22" s="51">
        <v>93.99</v>
      </c>
      <c r="G22" s="51">
        <v>-0.06</v>
      </c>
      <c r="H22" s="51">
        <f t="shared" si="1"/>
        <v>6.3836578359399937E-4</v>
      </c>
      <c r="I22" s="51">
        <f t="shared" si="2"/>
        <v>0.22174013533900211</v>
      </c>
      <c r="J22" s="51">
        <f t="shared" si="4"/>
        <v>20.841355320512807</v>
      </c>
      <c r="K22" s="51">
        <f t="shared" si="3"/>
        <v>4.1682710641025613</v>
      </c>
      <c r="L22" s="51">
        <v>30</v>
      </c>
      <c r="M22" s="51">
        <f t="shared" si="5"/>
        <v>0.16666666666666666</v>
      </c>
      <c r="N22" s="51">
        <v>34</v>
      </c>
      <c r="O22" s="51">
        <f t="shared" ref="O22:P22" si="31">D22/7</f>
        <v>0.7142857142857143</v>
      </c>
      <c r="P22" s="51">
        <f t="shared" si="31"/>
        <v>0</v>
      </c>
      <c r="Q22" s="51">
        <f t="shared" si="7"/>
        <v>47</v>
      </c>
      <c r="R22" s="55">
        <v>700</v>
      </c>
      <c r="S22" s="53">
        <v>400</v>
      </c>
      <c r="T22" s="54">
        <v>43992</v>
      </c>
      <c r="U22" s="55">
        <v>0</v>
      </c>
      <c r="V22" s="55">
        <f t="shared" si="8"/>
        <v>0</v>
      </c>
      <c r="W22" s="55">
        <f t="shared" si="9"/>
        <v>0</v>
      </c>
      <c r="X22" s="55">
        <v>0</v>
      </c>
      <c r="Y22" s="55" t="s">
        <v>35</v>
      </c>
      <c r="Z22" s="56">
        <f t="shared" si="19"/>
        <v>-0.75</v>
      </c>
      <c r="AA22" s="55">
        <v>0.16711177777777778</v>
      </c>
      <c r="AB22" s="55">
        <f t="shared" si="27"/>
        <v>-1.8800075000000001</v>
      </c>
      <c r="AC22" s="55">
        <v>-7.32</v>
      </c>
      <c r="AD22" s="55">
        <v>-4.102027435897436</v>
      </c>
      <c r="AE22" s="55">
        <v>0</v>
      </c>
      <c r="AF22" s="55"/>
    </row>
    <row r="23" spans="1:32" s="57" customFormat="1" ht="15.75" customHeight="1">
      <c r="A23" s="2" t="s">
        <v>79</v>
      </c>
      <c r="B23" s="2" t="s">
        <v>983</v>
      </c>
      <c r="C23" s="51">
        <v>21.99</v>
      </c>
      <c r="D23" s="51">
        <v>8</v>
      </c>
      <c r="E23" s="51">
        <v>0</v>
      </c>
      <c r="F23" s="51">
        <v>164.96</v>
      </c>
      <c r="G23" s="51">
        <v>-0.05</v>
      </c>
      <c r="H23" s="51">
        <f t="shared" si="1"/>
        <v>3.0310378273520856E-4</v>
      </c>
      <c r="I23" s="51">
        <f t="shared" si="2"/>
        <v>0.2775325443308711</v>
      </c>
      <c r="J23" s="51">
        <f t="shared" si="4"/>
        <v>45.781768512820499</v>
      </c>
      <c r="K23" s="51">
        <f t="shared" si="3"/>
        <v>5.7227210641025623</v>
      </c>
      <c r="L23" s="51">
        <v>15</v>
      </c>
      <c r="M23" s="51">
        <f t="shared" si="5"/>
        <v>0.53333333333333333</v>
      </c>
      <c r="N23" s="51">
        <v>26</v>
      </c>
      <c r="O23" s="51">
        <f t="shared" ref="O23:P23" si="32">D23/7</f>
        <v>1.1428571428571428</v>
      </c>
      <c r="P23" s="51">
        <f t="shared" si="32"/>
        <v>0</v>
      </c>
      <c r="Q23" s="51">
        <f t="shared" si="7"/>
        <v>22</v>
      </c>
      <c r="R23" s="55">
        <v>700</v>
      </c>
      <c r="S23" s="53">
        <v>400</v>
      </c>
      <c r="T23" s="54">
        <v>43992</v>
      </c>
      <c r="U23" s="55">
        <v>0</v>
      </c>
      <c r="V23" s="55">
        <f t="shared" si="8"/>
        <v>0</v>
      </c>
      <c r="W23" s="55">
        <f t="shared" si="9"/>
        <v>0</v>
      </c>
      <c r="X23" s="55">
        <v>0</v>
      </c>
      <c r="Y23" s="55" t="s">
        <v>35</v>
      </c>
      <c r="Z23" s="56">
        <f t="shared" si="19"/>
        <v>-0.75</v>
      </c>
      <c r="AA23" s="55">
        <v>0.16711177777777778</v>
      </c>
      <c r="AB23" s="55">
        <f t="shared" si="27"/>
        <v>-3.0080119999999999</v>
      </c>
      <c r="AC23" s="55">
        <v>-7.32</v>
      </c>
      <c r="AD23" s="55">
        <v>-4.102027435897436</v>
      </c>
      <c r="AE23" s="55">
        <v>0</v>
      </c>
      <c r="AF23" s="55"/>
    </row>
    <row r="24" spans="1:32" s="57" customFormat="1" ht="15.75" customHeight="1">
      <c r="A24" s="2" t="s">
        <v>80</v>
      </c>
      <c r="B24" s="2" t="s">
        <v>983</v>
      </c>
      <c r="C24" s="51">
        <v>21.99</v>
      </c>
      <c r="D24" s="51">
        <v>4</v>
      </c>
      <c r="E24" s="51">
        <v>0</v>
      </c>
      <c r="F24" s="51">
        <v>86.97</v>
      </c>
      <c r="G24" s="51">
        <v>-0.1</v>
      </c>
      <c r="H24" s="51">
        <f t="shared" si="1"/>
        <v>1.1498217776244684E-3</v>
      </c>
      <c r="I24" s="51">
        <f t="shared" si="2"/>
        <v>0.30622495408083539</v>
      </c>
      <c r="J24" s="51">
        <f t="shared" si="4"/>
        <v>26.632384256410251</v>
      </c>
      <c r="K24" s="51">
        <f t="shared" si="3"/>
        <v>6.6580960641025628</v>
      </c>
      <c r="L24" s="51">
        <v>23</v>
      </c>
      <c r="M24" s="51">
        <f t="shared" si="5"/>
        <v>0.17391304347826086</v>
      </c>
      <c r="N24" s="51">
        <v>20</v>
      </c>
      <c r="O24" s="51">
        <f t="shared" ref="O24:P24" si="33">D24/7</f>
        <v>0.5714285714285714</v>
      </c>
      <c r="P24" s="51">
        <f t="shared" si="33"/>
        <v>0</v>
      </c>
      <c r="Q24" s="51">
        <f t="shared" si="7"/>
        <v>35</v>
      </c>
      <c r="R24" s="55">
        <v>700</v>
      </c>
      <c r="S24" s="53">
        <v>400</v>
      </c>
      <c r="T24" s="54">
        <v>43992</v>
      </c>
      <c r="U24" s="55">
        <v>0</v>
      </c>
      <c r="V24" s="55">
        <f t="shared" si="8"/>
        <v>0</v>
      </c>
      <c r="W24" s="55">
        <f t="shared" si="9"/>
        <v>0</v>
      </c>
      <c r="X24" s="55">
        <v>0</v>
      </c>
      <c r="Y24" s="55" t="s">
        <v>35</v>
      </c>
      <c r="Z24" s="56">
        <f t="shared" si="19"/>
        <v>-0.75</v>
      </c>
      <c r="AA24" s="55">
        <v>0.16711177777777778</v>
      </c>
      <c r="AB24" s="55">
        <f t="shared" si="27"/>
        <v>-1.504006</v>
      </c>
      <c r="AC24" s="55">
        <v>-7.32</v>
      </c>
      <c r="AD24" s="55">
        <v>-4.102027435897436</v>
      </c>
      <c r="AE24" s="55">
        <v>0</v>
      </c>
      <c r="AF24" s="55"/>
    </row>
    <row r="25" spans="1:32" s="57" customFormat="1" ht="15.75" customHeight="1">
      <c r="A25" s="2" t="s">
        <v>81</v>
      </c>
      <c r="B25" s="2" t="s">
        <v>983</v>
      </c>
      <c r="C25" s="51"/>
      <c r="D25" s="51">
        <v>5</v>
      </c>
      <c r="E25" s="51">
        <v>0</v>
      </c>
      <c r="F25" s="51">
        <v>111.95999999999998</v>
      </c>
      <c r="G25" s="51">
        <v>-0.41000000000000003</v>
      </c>
      <c r="H25" s="51">
        <f t="shared" si="1"/>
        <v>3.6620221507681324E-3</v>
      </c>
      <c r="I25" s="51">
        <f t="shared" si="2"/>
        <v>0.3194520839631369</v>
      </c>
      <c r="J25" s="51">
        <f t="shared" si="4"/>
        <v>35.765855320512799</v>
      </c>
      <c r="K25" s="51">
        <f t="shared" si="3"/>
        <v>7.1531710641025601</v>
      </c>
      <c r="L25" s="51">
        <v>19</v>
      </c>
      <c r="M25" s="51">
        <f t="shared" si="5"/>
        <v>0.26315789473684209</v>
      </c>
      <c r="N25" s="51">
        <v>19</v>
      </c>
      <c r="O25" s="51">
        <f t="shared" ref="O25:P25" si="34">D25/7</f>
        <v>0.7142857142857143</v>
      </c>
      <c r="P25" s="51">
        <f t="shared" si="34"/>
        <v>0</v>
      </c>
      <c r="Q25" s="51">
        <f t="shared" si="7"/>
        <v>26</v>
      </c>
      <c r="R25" s="55">
        <v>700</v>
      </c>
      <c r="S25" s="53">
        <v>400</v>
      </c>
      <c r="T25" s="54">
        <v>43990</v>
      </c>
      <c r="U25" s="55">
        <v>1</v>
      </c>
      <c r="V25" s="55">
        <f t="shared" si="8"/>
        <v>0.2</v>
      </c>
      <c r="W25" s="55">
        <f t="shared" si="9"/>
        <v>0.41000000000000003</v>
      </c>
      <c r="X25" s="55">
        <v>0</v>
      </c>
      <c r="Y25" s="55" t="s">
        <v>35</v>
      </c>
      <c r="Z25" s="56">
        <f t="shared" si="19"/>
        <v>-0.75</v>
      </c>
      <c r="AA25" s="55">
        <v>0.16711177777777778</v>
      </c>
      <c r="AB25" s="55">
        <f t="shared" si="27"/>
        <v>-1.8800075000000001</v>
      </c>
      <c r="AC25" s="55">
        <v>-7.32</v>
      </c>
      <c r="AD25" s="55">
        <v>-4.102027435897436</v>
      </c>
      <c r="AE25" s="55">
        <v>0</v>
      </c>
      <c r="AF25" s="55"/>
    </row>
    <row r="26" spans="1:32" s="57" customFormat="1" ht="15.75" customHeight="1">
      <c r="A26" s="2" t="s">
        <v>83</v>
      </c>
      <c r="B26" s="2" t="s">
        <v>921</v>
      </c>
      <c r="C26" s="51">
        <f t="shared" ref="C26:C39" si="35">IFERROR(F26/D26," - ")</f>
        <v>19.99909090909091</v>
      </c>
      <c r="D26" s="51">
        <v>11</v>
      </c>
      <c r="E26" s="51">
        <v>0</v>
      </c>
      <c r="F26" s="51">
        <v>219.99</v>
      </c>
      <c r="G26" s="51">
        <v>-0.32</v>
      </c>
      <c r="H26" s="51">
        <f t="shared" si="1"/>
        <v>1.4546115732533298E-3</v>
      </c>
      <c r="I26" s="51">
        <f t="shared" si="2"/>
        <v>0.25861712671088782</v>
      </c>
      <c r="J26" s="51">
        <f t="shared" si="4"/>
        <v>56.893181705128214</v>
      </c>
      <c r="K26" s="51">
        <f t="shared" si="3"/>
        <v>5.1721074277389283</v>
      </c>
      <c r="L26" s="51">
        <v>50</v>
      </c>
      <c r="M26" s="51">
        <f t="shared" si="5"/>
        <v>0.22</v>
      </c>
      <c r="N26" s="51">
        <v>3</v>
      </c>
      <c r="O26" s="51">
        <f t="shared" ref="O26:P26" si="36">D26/7</f>
        <v>1.5714285714285714</v>
      </c>
      <c r="P26" s="51">
        <f t="shared" si="36"/>
        <v>0</v>
      </c>
      <c r="Q26" s="51">
        <f t="shared" si="7"/>
        <v>1</v>
      </c>
      <c r="R26" s="55">
        <v>700</v>
      </c>
      <c r="S26" s="53">
        <v>400</v>
      </c>
      <c r="T26" s="54">
        <v>43990</v>
      </c>
      <c r="U26" s="55">
        <v>0</v>
      </c>
      <c r="V26" s="55">
        <f t="shared" si="8"/>
        <v>0</v>
      </c>
      <c r="W26" s="55">
        <f t="shared" si="9"/>
        <v>0.32</v>
      </c>
      <c r="X26" s="55">
        <v>1</v>
      </c>
      <c r="Y26" s="55" t="s">
        <v>35</v>
      </c>
      <c r="Z26" s="56">
        <f t="shared" si="19"/>
        <v>-0.75</v>
      </c>
      <c r="AA26" s="55">
        <v>0.16711177777777778</v>
      </c>
      <c r="AB26" s="55">
        <f t="shared" si="27"/>
        <v>-4.1360165000000002</v>
      </c>
      <c r="AC26" s="55">
        <v>-7.32</v>
      </c>
      <c r="AD26" s="55">
        <v>-4.102027435897436</v>
      </c>
      <c r="AE26" s="55">
        <v>0</v>
      </c>
      <c r="AF26" s="55"/>
    </row>
    <row r="27" spans="1:32" s="57" customFormat="1" ht="15.75" customHeight="1">
      <c r="A27" s="2" t="s">
        <v>84</v>
      </c>
      <c r="B27" s="2" t="s">
        <v>1062</v>
      </c>
      <c r="C27" s="51">
        <f t="shared" si="35"/>
        <v>19</v>
      </c>
      <c r="D27" s="51">
        <v>9</v>
      </c>
      <c r="E27" s="51">
        <v>0</v>
      </c>
      <c r="F27" s="51">
        <v>171</v>
      </c>
      <c r="G27" s="51">
        <v>-0.03</v>
      </c>
      <c r="H27" s="51">
        <f t="shared" si="1"/>
        <v>1.7543859649122806E-4</v>
      </c>
      <c r="I27" s="51">
        <f t="shared" si="2"/>
        <v>0.22887567004048581</v>
      </c>
      <c r="J27" s="51">
        <f t="shared" si="4"/>
        <v>39.137739576923074</v>
      </c>
      <c r="K27" s="51">
        <f t="shared" si="3"/>
        <v>4.3486377307692301</v>
      </c>
      <c r="L27" s="51">
        <v>16</v>
      </c>
      <c r="M27" s="51">
        <f t="shared" si="5"/>
        <v>0.5625</v>
      </c>
      <c r="N27" s="51">
        <v>400</v>
      </c>
      <c r="O27" s="51">
        <f t="shared" ref="O27:P27" si="37">D27/7</f>
        <v>1.2857142857142858</v>
      </c>
      <c r="P27" s="51">
        <f t="shared" si="37"/>
        <v>0</v>
      </c>
      <c r="Q27" s="51">
        <f t="shared" si="7"/>
        <v>311</v>
      </c>
      <c r="R27" s="55">
        <v>300</v>
      </c>
      <c r="S27" s="53" t="s">
        <v>34</v>
      </c>
      <c r="T27" s="54" t="s">
        <v>34</v>
      </c>
      <c r="U27" s="55">
        <v>0</v>
      </c>
      <c r="V27" s="55">
        <f t="shared" si="8"/>
        <v>0</v>
      </c>
      <c r="W27" s="55">
        <f t="shared" si="9"/>
        <v>0</v>
      </c>
      <c r="X27" s="55">
        <v>0</v>
      </c>
      <c r="Y27" s="55" t="s">
        <v>35</v>
      </c>
      <c r="Z27" s="56">
        <f t="shared" si="19"/>
        <v>-0.75</v>
      </c>
      <c r="AA27" s="55">
        <v>0.16711177777777778</v>
      </c>
      <c r="AB27" s="55">
        <f t="shared" si="27"/>
        <v>-3.3840135</v>
      </c>
      <c r="AC27" s="55">
        <v>-7.32</v>
      </c>
      <c r="AD27" s="55">
        <v>-4.102027435897436</v>
      </c>
      <c r="AE27" s="55">
        <v>0</v>
      </c>
      <c r="AF27" s="55"/>
    </row>
    <row r="28" spans="1:32" s="57" customFormat="1" ht="15.75" customHeight="1">
      <c r="A28" s="2" t="s">
        <v>86</v>
      </c>
      <c r="B28" s="2" t="s">
        <v>944</v>
      </c>
      <c r="C28" s="51">
        <f t="shared" si="35"/>
        <v>18.330797546012274</v>
      </c>
      <c r="D28" s="51">
        <v>163</v>
      </c>
      <c r="E28" s="51">
        <v>2</v>
      </c>
      <c r="F28" s="51">
        <v>2987.9200000000005</v>
      </c>
      <c r="G28" s="51">
        <v>-2.3800000000000003</v>
      </c>
      <c r="H28" s="51">
        <f t="shared" si="1"/>
        <v>7.9654073736913969E-4</v>
      </c>
      <c r="I28" s="51">
        <f t="shared" si="2"/>
        <v>0.20558558577495983</v>
      </c>
      <c r="J28" s="51">
        <f t="shared" si="4"/>
        <v>614.27328344871808</v>
      </c>
      <c r="K28" s="51">
        <f t="shared" si="3"/>
        <v>3.7685477512191294</v>
      </c>
      <c r="L28" s="51">
        <v>306</v>
      </c>
      <c r="M28" s="51">
        <f t="shared" si="5"/>
        <v>0.5326797385620915</v>
      </c>
      <c r="N28" s="51">
        <v>78</v>
      </c>
      <c r="O28" s="51">
        <f t="shared" ref="O28:P28" si="38">D28/7</f>
        <v>23.285714285714285</v>
      </c>
      <c r="P28" s="51">
        <f t="shared" si="38"/>
        <v>0.2857142857142857</v>
      </c>
      <c r="Q28" s="51">
        <f t="shared" si="7"/>
        <v>3</v>
      </c>
      <c r="R28" s="55">
        <v>300</v>
      </c>
      <c r="S28" s="53" t="s">
        <v>34</v>
      </c>
      <c r="T28" s="54" t="s">
        <v>34</v>
      </c>
      <c r="U28" s="55">
        <v>9</v>
      </c>
      <c r="V28" s="55">
        <f t="shared" si="8"/>
        <v>5.5214723926380369E-2</v>
      </c>
      <c r="W28" s="55">
        <f t="shared" si="9"/>
        <v>0.2163636363636364</v>
      </c>
      <c r="X28" s="55">
        <v>2</v>
      </c>
      <c r="Y28" s="55" t="s">
        <v>35</v>
      </c>
      <c r="Z28" s="56">
        <f t="shared" si="19"/>
        <v>-0.75</v>
      </c>
      <c r="AA28" s="55">
        <v>0.16711177777777778</v>
      </c>
      <c r="AB28" s="55">
        <f t="shared" si="27"/>
        <v>-61.288244499999998</v>
      </c>
      <c r="AC28" s="55">
        <v>-7.32</v>
      </c>
      <c r="AD28" s="55">
        <v>-4.102027435897436</v>
      </c>
      <c r="AE28" s="55">
        <v>0</v>
      </c>
      <c r="AF28" s="55"/>
    </row>
    <row r="29" spans="1:32" s="57" customFormat="1" ht="15.75" customHeight="1">
      <c r="A29" s="2" t="s">
        <v>87</v>
      </c>
      <c r="B29" s="2"/>
      <c r="C29" s="51">
        <f t="shared" si="35"/>
        <v>18.0001507537688</v>
      </c>
      <c r="D29" s="51">
        <v>199</v>
      </c>
      <c r="E29" s="51">
        <v>0</v>
      </c>
      <c r="F29" s="51">
        <v>3582.0299999999911</v>
      </c>
      <c r="G29" s="51">
        <v>-1.8399999999999999</v>
      </c>
      <c r="H29" s="51">
        <f t="shared" si="1"/>
        <v>5.1367520651697627E-4</v>
      </c>
      <c r="I29" s="51">
        <f t="shared" si="2"/>
        <v>0.19404576225112688</v>
      </c>
      <c r="J29" s="51">
        <f t="shared" si="4"/>
        <v>695.07774175640225</v>
      </c>
      <c r="K29" s="51">
        <f t="shared" si="3"/>
        <v>3.4928529736502627</v>
      </c>
      <c r="L29" s="51">
        <v>246</v>
      </c>
      <c r="M29" s="51">
        <f t="shared" si="5"/>
        <v>0.80894308943089432</v>
      </c>
      <c r="N29" s="51">
        <v>9</v>
      </c>
      <c r="O29" s="51">
        <f t="shared" ref="O29:P29" si="39">D29/7</f>
        <v>28.428571428571427</v>
      </c>
      <c r="P29" s="51">
        <f t="shared" si="39"/>
        <v>0</v>
      </c>
      <c r="Q29" s="51">
        <f t="shared" si="7"/>
        <v>0</v>
      </c>
      <c r="R29" s="55">
        <v>300</v>
      </c>
      <c r="S29" s="53" t="s">
        <v>34</v>
      </c>
      <c r="T29" s="54" t="s">
        <v>34</v>
      </c>
      <c r="U29" s="55">
        <v>2</v>
      </c>
      <c r="V29" s="55">
        <f t="shared" si="8"/>
        <v>1.0050251256281407E-2</v>
      </c>
      <c r="W29" s="55">
        <f t="shared" si="9"/>
        <v>0.30666666666666664</v>
      </c>
      <c r="X29" s="55">
        <v>4</v>
      </c>
      <c r="Y29" s="55" t="s">
        <v>35</v>
      </c>
      <c r="Z29" s="56">
        <f t="shared" si="19"/>
        <v>-0.75</v>
      </c>
      <c r="AA29" s="55">
        <v>0.16711177777777778</v>
      </c>
      <c r="AB29" s="55">
        <f t="shared" si="27"/>
        <v>-74.824298499999998</v>
      </c>
      <c r="AC29" s="55">
        <v>-7.32</v>
      </c>
      <c r="AD29" s="55">
        <v>-4.102027435897436</v>
      </c>
      <c r="AE29" s="55">
        <v>0</v>
      </c>
      <c r="AF29" s="55"/>
    </row>
    <row r="30" spans="1:32" s="57" customFormat="1" ht="15.75" customHeight="1">
      <c r="A30" s="2" t="s">
        <v>89</v>
      </c>
      <c r="B30" s="2"/>
      <c r="C30" s="51">
        <f t="shared" si="35"/>
        <v>19</v>
      </c>
      <c r="D30" s="51">
        <v>19</v>
      </c>
      <c r="E30" s="51">
        <v>0</v>
      </c>
      <c r="F30" s="51">
        <v>361</v>
      </c>
      <c r="G30" s="51">
        <v>-4.9300000000000006</v>
      </c>
      <c r="H30" s="51">
        <f t="shared" si="1"/>
        <v>1.365650969529086E-2</v>
      </c>
      <c r="I30" s="51">
        <f t="shared" si="2"/>
        <v>0.21539459894168603</v>
      </c>
      <c r="J30" s="51">
        <f t="shared" si="4"/>
        <v>77.757450217948659</v>
      </c>
      <c r="K30" s="51">
        <f t="shared" si="3"/>
        <v>4.092497379892035</v>
      </c>
      <c r="L30" s="51">
        <v>142</v>
      </c>
      <c r="M30" s="51">
        <f t="shared" si="5"/>
        <v>0.13380281690140844</v>
      </c>
      <c r="N30" s="51">
        <v>2</v>
      </c>
      <c r="O30" s="51">
        <f t="shared" ref="O30:P30" si="40">D30/7</f>
        <v>2.7142857142857144</v>
      </c>
      <c r="P30" s="51">
        <f t="shared" si="40"/>
        <v>0</v>
      </c>
      <c r="Q30" s="51">
        <f t="shared" si="7"/>
        <v>0</v>
      </c>
      <c r="R30" s="55">
        <v>700</v>
      </c>
      <c r="S30" s="53">
        <v>200</v>
      </c>
      <c r="T30" s="54">
        <v>44058</v>
      </c>
      <c r="U30" s="55">
        <v>1</v>
      </c>
      <c r="V30" s="55">
        <f t="shared" si="8"/>
        <v>5.2631578947368418E-2</v>
      </c>
      <c r="W30" s="55">
        <f t="shared" si="9"/>
        <v>4.9300000000000006</v>
      </c>
      <c r="X30" s="55">
        <v>0</v>
      </c>
      <c r="Y30" s="55" t="s">
        <v>35</v>
      </c>
      <c r="Z30" s="56">
        <f t="shared" si="19"/>
        <v>-0.75</v>
      </c>
      <c r="AA30" s="55">
        <v>0.16711177777777778</v>
      </c>
      <c r="AB30" s="55">
        <f t="shared" si="27"/>
        <v>-7.144028500000001</v>
      </c>
      <c r="AC30" s="55">
        <v>-7.32</v>
      </c>
      <c r="AD30" s="55">
        <v>-4.102027435897436</v>
      </c>
      <c r="AE30" s="55">
        <v>0</v>
      </c>
      <c r="AF30" s="55"/>
    </row>
    <row r="31" spans="1:32" s="57" customFormat="1" ht="15.75" customHeight="1">
      <c r="A31" s="2" t="s">
        <v>90</v>
      </c>
      <c r="B31" s="2"/>
      <c r="C31" s="51">
        <f t="shared" si="35"/>
        <v>19</v>
      </c>
      <c r="D31" s="51">
        <v>2</v>
      </c>
      <c r="E31" s="51">
        <v>0</v>
      </c>
      <c r="F31" s="51">
        <v>38</v>
      </c>
      <c r="G31" s="51">
        <v>-5.64</v>
      </c>
      <c r="H31" s="51">
        <f t="shared" si="1"/>
        <v>0.14842105263157893</v>
      </c>
      <c r="I31" s="51">
        <f t="shared" si="2"/>
        <v>8.0630056005397951E-2</v>
      </c>
      <c r="J31" s="51">
        <f t="shared" si="4"/>
        <v>3.063942128205122</v>
      </c>
      <c r="K31" s="51">
        <f t="shared" si="3"/>
        <v>1.531971064102561</v>
      </c>
      <c r="L31" s="51">
        <v>48</v>
      </c>
      <c r="M31" s="51">
        <f t="shared" si="5"/>
        <v>4.1666666666666664E-2</v>
      </c>
      <c r="N31" s="51">
        <v>0</v>
      </c>
      <c r="O31" s="51">
        <f t="shared" ref="O31:P31" si="41">D31/7</f>
        <v>0.2857142857142857</v>
      </c>
      <c r="P31" s="51">
        <f t="shared" si="41"/>
        <v>0</v>
      </c>
      <c r="Q31" s="51">
        <f t="shared" si="7"/>
        <v>0</v>
      </c>
      <c r="R31" s="55">
        <v>500</v>
      </c>
      <c r="S31" s="53">
        <v>200</v>
      </c>
      <c r="T31" s="54">
        <v>44058</v>
      </c>
      <c r="U31" s="55">
        <v>1</v>
      </c>
      <c r="V31" s="55">
        <f t="shared" si="8"/>
        <v>0.5</v>
      </c>
      <c r="W31" s="55">
        <f t="shared" si="9"/>
        <v>5.64</v>
      </c>
      <c r="X31" s="55">
        <v>0</v>
      </c>
      <c r="Y31" s="55" t="s">
        <v>35</v>
      </c>
      <c r="Z31" s="56">
        <f t="shared" si="19"/>
        <v>-0.75</v>
      </c>
      <c r="AA31" s="55">
        <v>0.16711177777777778</v>
      </c>
      <c r="AB31" s="55">
        <f t="shared" si="27"/>
        <v>-0.75200299999999998</v>
      </c>
      <c r="AC31" s="55">
        <v>-7.32</v>
      </c>
      <c r="AD31" s="55">
        <v>-4.102027435897436</v>
      </c>
      <c r="AE31" s="55">
        <v>0</v>
      </c>
      <c r="AF31" s="55"/>
    </row>
    <row r="32" spans="1:32" s="57" customFormat="1" ht="15.75" customHeight="1">
      <c r="A32" s="2" t="s">
        <v>92</v>
      </c>
      <c r="B32" s="2"/>
      <c r="C32" s="51">
        <f t="shared" si="35"/>
        <v>19</v>
      </c>
      <c r="D32" s="51">
        <v>17</v>
      </c>
      <c r="E32" s="51">
        <v>0</v>
      </c>
      <c r="F32" s="51">
        <v>323</v>
      </c>
      <c r="G32" s="51">
        <v>-4.5200000000000005</v>
      </c>
      <c r="H32" s="51">
        <f t="shared" si="1"/>
        <v>1.3993808049535605E-2</v>
      </c>
      <c r="I32" s="51">
        <f t="shared" si="2"/>
        <v>0.21505730058744157</v>
      </c>
      <c r="J32" s="51">
        <f t="shared" si="4"/>
        <v>69.463508089743627</v>
      </c>
      <c r="K32" s="51">
        <f t="shared" si="3"/>
        <v>4.0860887111613895</v>
      </c>
      <c r="L32" s="51">
        <v>58</v>
      </c>
      <c r="M32" s="51">
        <f t="shared" si="5"/>
        <v>0.29310344827586204</v>
      </c>
      <c r="N32" s="51">
        <v>0</v>
      </c>
      <c r="O32" s="51">
        <f t="shared" ref="O32:P32" si="42">D32/7</f>
        <v>2.4285714285714284</v>
      </c>
      <c r="P32" s="51">
        <f t="shared" si="42"/>
        <v>0</v>
      </c>
      <c r="Q32" s="51">
        <f t="shared" si="7"/>
        <v>0</v>
      </c>
      <c r="R32" s="55">
        <v>500</v>
      </c>
      <c r="S32" s="53" t="s">
        <v>34</v>
      </c>
      <c r="T32" s="54" t="s">
        <v>34</v>
      </c>
      <c r="U32" s="55">
        <v>2</v>
      </c>
      <c r="V32" s="55">
        <f t="shared" si="8"/>
        <v>0.11764705882352941</v>
      </c>
      <c r="W32" s="55">
        <f t="shared" si="9"/>
        <v>2.2600000000000002</v>
      </c>
      <c r="X32" s="55">
        <v>0</v>
      </c>
      <c r="Y32" s="55" t="s">
        <v>35</v>
      </c>
      <c r="Z32" s="56">
        <f t="shared" si="19"/>
        <v>-0.75</v>
      </c>
      <c r="AA32" s="55">
        <v>0.16711177777777778</v>
      </c>
      <c r="AB32" s="55">
        <f t="shared" si="27"/>
        <v>-6.3920255000000008</v>
      </c>
      <c r="AC32" s="55">
        <v>-7.32</v>
      </c>
      <c r="AD32" s="55">
        <v>-4.102027435897436</v>
      </c>
      <c r="AE32" s="55">
        <v>0</v>
      </c>
      <c r="AF32" s="52">
        <v>3.9753593429158101</v>
      </c>
    </row>
    <row r="33" spans="1:32" s="57" customFormat="1" ht="15.75" customHeight="1">
      <c r="A33" s="2" t="s">
        <v>94</v>
      </c>
      <c r="B33" s="2"/>
      <c r="C33" s="51">
        <f t="shared" si="35"/>
        <v>19</v>
      </c>
      <c r="D33" s="51">
        <v>1</v>
      </c>
      <c r="E33" s="51">
        <v>0</v>
      </c>
      <c r="F33" s="51">
        <v>19</v>
      </c>
      <c r="G33" s="51">
        <v>0</v>
      </c>
      <c r="H33" s="51">
        <f t="shared" si="1"/>
        <v>0</v>
      </c>
      <c r="I33" s="51">
        <f t="shared" si="2"/>
        <v>0.22905110863697692</v>
      </c>
      <c r="J33" s="51">
        <f t="shared" si="4"/>
        <v>4.3519710641025613</v>
      </c>
      <c r="K33" s="51">
        <f t="shared" si="3"/>
        <v>4.3519710641025613</v>
      </c>
      <c r="L33" s="51">
        <v>3</v>
      </c>
      <c r="M33" s="51">
        <f t="shared" si="5"/>
        <v>0.33333333333333331</v>
      </c>
      <c r="N33" s="51">
        <v>0</v>
      </c>
      <c r="O33" s="51">
        <f t="shared" ref="O33:P33" si="43">D33/7</f>
        <v>0.14285714285714285</v>
      </c>
      <c r="P33" s="51">
        <f t="shared" si="43"/>
        <v>0</v>
      </c>
      <c r="Q33" s="51">
        <f t="shared" si="7"/>
        <v>0</v>
      </c>
      <c r="R33" s="55">
        <v>500</v>
      </c>
      <c r="S33" s="53" t="s">
        <v>34</v>
      </c>
      <c r="T33" s="54">
        <v>44058</v>
      </c>
      <c r="U33" s="55">
        <v>0</v>
      </c>
      <c r="V33" s="55">
        <f t="shared" si="8"/>
        <v>0</v>
      </c>
      <c r="W33" s="55">
        <f t="shared" si="9"/>
        <v>0</v>
      </c>
      <c r="X33" s="55">
        <v>0</v>
      </c>
      <c r="Y33" s="55" t="s">
        <v>35</v>
      </c>
      <c r="Z33" s="56">
        <f t="shared" si="19"/>
        <v>-0.75</v>
      </c>
      <c r="AA33" s="55">
        <v>0.16711177777777778</v>
      </c>
      <c r="AB33" s="55">
        <f t="shared" si="27"/>
        <v>-0.37600149999999999</v>
      </c>
      <c r="AC33" s="55">
        <v>-7.32</v>
      </c>
      <c r="AD33" s="55">
        <v>-4.102027435897436</v>
      </c>
      <c r="AE33" s="55">
        <v>0</v>
      </c>
      <c r="AF33" s="55">
        <v>8.06866952789699</v>
      </c>
    </row>
    <row r="34" spans="1:32" s="57" customFormat="1" ht="15.75" customHeight="1">
      <c r="A34" s="2" t="s">
        <v>95</v>
      </c>
      <c r="B34" s="2"/>
      <c r="C34" s="51">
        <f t="shared" si="35"/>
        <v>19</v>
      </c>
      <c r="D34" s="51">
        <v>1</v>
      </c>
      <c r="E34" s="51">
        <v>0</v>
      </c>
      <c r="F34" s="51">
        <v>19</v>
      </c>
      <c r="G34" s="51">
        <v>0</v>
      </c>
      <c r="H34" s="51">
        <f t="shared" si="1"/>
        <v>0</v>
      </c>
      <c r="I34" s="51">
        <f t="shared" si="2"/>
        <v>0.22905110863697692</v>
      </c>
      <c r="J34" s="51">
        <f t="shared" si="4"/>
        <v>4.3519710641025613</v>
      </c>
      <c r="K34" s="51">
        <f t="shared" si="3"/>
        <v>4.3519710641025613</v>
      </c>
      <c r="L34" s="51">
        <v>0</v>
      </c>
      <c r="M34" s="51" t="str">
        <f t="shared" si="5"/>
        <v>-</v>
      </c>
      <c r="N34" s="51">
        <v>1</v>
      </c>
      <c r="O34" s="51">
        <f t="shared" ref="O34:P34" si="44">D34/7</f>
        <v>0.14285714285714285</v>
      </c>
      <c r="P34" s="51">
        <f t="shared" si="44"/>
        <v>0</v>
      </c>
      <c r="Q34" s="51">
        <f t="shared" si="7"/>
        <v>7</v>
      </c>
      <c r="R34" s="55">
        <v>500</v>
      </c>
      <c r="S34" s="53">
        <v>200</v>
      </c>
      <c r="T34" s="54">
        <v>44058</v>
      </c>
      <c r="U34" s="55">
        <v>0</v>
      </c>
      <c r="V34" s="55">
        <f t="shared" si="8"/>
        <v>0</v>
      </c>
      <c r="W34" s="55">
        <f t="shared" si="9"/>
        <v>0</v>
      </c>
      <c r="X34" s="55">
        <v>0</v>
      </c>
      <c r="Y34" s="55" t="s">
        <v>35</v>
      </c>
      <c r="Z34" s="56">
        <f t="shared" si="19"/>
        <v>-0.75</v>
      </c>
      <c r="AA34" s="55">
        <v>0.16711177777777778</v>
      </c>
      <c r="AB34" s="55">
        <f t="shared" si="27"/>
        <v>-0.37600149999999999</v>
      </c>
      <c r="AC34" s="55">
        <v>-7.32</v>
      </c>
      <c r="AD34" s="55">
        <v>-4.102027435897436</v>
      </c>
      <c r="AE34" s="55">
        <v>0</v>
      </c>
      <c r="AF34" s="55" t="e">
        <v>#N/A</v>
      </c>
    </row>
    <row r="35" spans="1:32" s="57" customFormat="1" ht="15.75" customHeight="1">
      <c r="A35" s="2" t="s">
        <v>96</v>
      </c>
      <c r="B35" s="2"/>
      <c r="C35" s="51">
        <f t="shared" si="35"/>
        <v>19</v>
      </c>
      <c r="D35" s="51">
        <v>1</v>
      </c>
      <c r="E35" s="51">
        <v>0</v>
      </c>
      <c r="F35" s="51">
        <v>19</v>
      </c>
      <c r="G35" s="51">
        <v>-0.44999999999999996</v>
      </c>
      <c r="H35" s="51">
        <f t="shared" si="1"/>
        <v>2.3684210526315787E-2</v>
      </c>
      <c r="I35" s="51">
        <f t="shared" si="2"/>
        <v>0.20536689811066117</v>
      </c>
      <c r="J35" s="51">
        <f t="shared" si="4"/>
        <v>3.901971064102562</v>
      </c>
      <c r="K35" s="51">
        <f t="shared" si="3"/>
        <v>3.901971064102562</v>
      </c>
      <c r="L35" s="51">
        <v>5</v>
      </c>
      <c r="M35" s="51">
        <f t="shared" si="5"/>
        <v>0.2</v>
      </c>
      <c r="N35" s="51">
        <v>1</v>
      </c>
      <c r="O35" s="51">
        <f t="shared" ref="O35:P35" si="45">D35/7</f>
        <v>0.14285714285714285</v>
      </c>
      <c r="P35" s="51">
        <f t="shared" si="45"/>
        <v>0</v>
      </c>
      <c r="Q35" s="51">
        <f t="shared" si="7"/>
        <v>7</v>
      </c>
      <c r="R35" s="55">
        <v>300</v>
      </c>
      <c r="S35" s="53" t="s">
        <v>34</v>
      </c>
      <c r="T35" s="54" t="s">
        <v>34</v>
      </c>
      <c r="U35" s="55">
        <v>0</v>
      </c>
      <c r="V35" s="55">
        <f t="shared" si="8"/>
        <v>0</v>
      </c>
      <c r="W35" s="55">
        <f t="shared" si="9"/>
        <v>0</v>
      </c>
      <c r="X35" s="55">
        <v>0</v>
      </c>
      <c r="Y35" s="55" t="s">
        <v>35</v>
      </c>
      <c r="Z35" s="56">
        <f t="shared" si="19"/>
        <v>-0.75</v>
      </c>
      <c r="AA35" s="55">
        <v>0.16711177777777778</v>
      </c>
      <c r="AB35" s="55">
        <f t="shared" si="27"/>
        <v>-0.37600149999999999</v>
      </c>
      <c r="AC35" s="55">
        <v>-7.32</v>
      </c>
      <c r="AD35" s="55">
        <v>-4.102027435897436</v>
      </c>
      <c r="AE35" s="55">
        <v>0</v>
      </c>
      <c r="AF35" s="55" t="e">
        <v>#N/A</v>
      </c>
    </row>
    <row r="36" spans="1:32" s="57" customFormat="1" ht="15.75" customHeight="1">
      <c r="A36" s="2" t="s">
        <v>98</v>
      </c>
      <c r="B36" s="2"/>
      <c r="C36" s="51" t="str">
        <f t="shared" si="35"/>
        <v xml:space="preserve"> - </v>
      </c>
      <c r="D36" s="51">
        <v>0</v>
      </c>
      <c r="E36" s="51">
        <v>0</v>
      </c>
      <c r="F36" s="51">
        <v>0</v>
      </c>
      <c r="G36" s="51">
        <v>-0.31</v>
      </c>
      <c r="H36" s="51" t="e">
        <f t="shared" si="1"/>
        <v>#DIV/0!</v>
      </c>
      <c r="I36" s="51" t="e">
        <f t="shared" si="2"/>
        <v>#DIV/0!</v>
      </c>
      <c r="J36" s="51">
        <f t="shared" si="4"/>
        <v>-0.31</v>
      </c>
      <c r="K36" s="51" t="e">
        <f t="shared" si="3"/>
        <v>#DIV/0!</v>
      </c>
      <c r="L36" s="51">
        <v>0</v>
      </c>
      <c r="M36" s="51" t="str">
        <f t="shared" si="5"/>
        <v>-</v>
      </c>
      <c r="N36" s="51">
        <v>4</v>
      </c>
      <c r="O36" s="51">
        <f t="shared" ref="O36:P36" si="46">D36/7</f>
        <v>0</v>
      </c>
      <c r="P36" s="51">
        <f t="shared" si="46"/>
        <v>0</v>
      </c>
      <c r="Q36" s="51" t="e">
        <f t="shared" si="7"/>
        <v>#DIV/0!</v>
      </c>
      <c r="R36" s="55">
        <v>300</v>
      </c>
      <c r="S36" s="53"/>
      <c r="T36" s="54" t="s">
        <v>34</v>
      </c>
      <c r="U36" s="55"/>
      <c r="V36" s="55">
        <f t="shared" si="8"/>
        <v>0</v>
      </c>
      <c r="W36" s="55">
        <f t="shared" si="9"/>
        <v>0</v>
      </c>
      <c r="X36" s="55"/>
      <c r="Y36" s="55" t="s">
        <v>35</v>
      </c>
      <c r="Z36" s="56">
        <f t="shared" si="19"/>
        <v>-0.75</v>
      </c>
      <c r="AA36" s="55">
        <v>0.16711177777777778</v>
      </c>
      <c r="AB36" s="55">
        <f t="shared" si="27"/>
        <v>0</v>
      </c>
      <c r="AC36" s="55">
        <v>-7.32</v>
      </c>
      <c r="AD36" s="55">
        <v>-4.2326774358974362</v>
      </c>
      <c r="AE36" s="55">
        <v>0</v>
      </c>
      <c r="AF36" s="55">
        <v>4.2653562653562602</v>
      </c>
    </row>
    <row r="37" spans="1:32" s="57" customFormat="1" ht="15.75" customHeight="1">
      <c r="A37" s="2" t="s">
        <v>99</v>
      </c>
      <c r="B37" s="2"/>
      <c r="C37" s="51">
        <f t="shared" si="35"/>
        <v>19</v>
      </c>
      <c r="D37" s="51">
        <v>2</v>
      </c>
      <c r="E37" s="51">
        <v>0</v>
      </c>
      <c r="F37" s="51">
        <v>38</v>
      </c>
      <c r="G37" s="51">
        <v>-0.7</v>
      </c>
      <c r="H37" s="51">
        <f t="shared" si="1"/>
        <v>1.8421052631578946E-2</v>
      </c>
      <c r="I37" s="51">
        <f t="shared" si="2"/>
        <v>0.20375374021592432</v>
      </c>
      <c r="J37" s="51">
        <f t="shared" si="4"/>
        <v>7.7426421282051248</v>
      </c>
      <c r="K37" s="51">
        <f t="shared" si="3"/>
        <v>3.8713210641025624</v>
      </c>
      <c r="L37" s="51">
        <v>40</v>
      </c>
      <c r="M37" s="51">
        <f t="shared" si="5"/>
        <v>0.05</v>
      </c>
      <c r="N37" s="51">
        <v>3</v>
      </c>
      <c r="O37" s="51">
        <f t="shared" ref="O37:P37" si="47">D37/7</f>
        <v>0.2857142857142857</v>
      </c>
      <c r="P37" s="51">
        <f t="shared" si="47"/>
        <v>0</v>
      </c>
      <c r="Q37" s="51">
        <f t="shared" si="7"/>
        <v>10</v>
      </c>
      <c r="R37" s="55">
        <v>400</v>
      </c>
      <c r="S37" s="53">
        <v>100</v>
      </c>
      <c r="T37" s="54">
        <v>44101</v>
      </c>
      <c r="U37" s="55">
        <v>0</v>
      </c>
      <c r="V37" s="55">
        <f t="shared" si="8"/>
        <v>0</v>
      </c>
      <c r="W37" s="55">
        <f t="shared" si="9"/>
        <v>0</v>
      </c>
      <c r="X37" s="55">
        <v>0</v>
      </c>
      <c r="Y37" s="55" t="s">
        <v>35</v>
      </c>
      <c r="Z37" s="56">
        <f t="shared" si="19"/>
        <v>-0.75</v>
      </c>
      <c r="AA37" s="55">
        <v>0.16711177777777778</v>
      </c>
      <c r="AB37" s="55">
        <f t="shared" si="27"/>
        <v>-0.75200299999999998</v>
      </c>
      <c r="AC37" s="55">
        <v>-7.32</v>
      </c>
      <c r="AD37" s="55">
        <v>-4.2326774358974362</v>
      </c>
      <c r="AE37" s="55">
        <v>0</v>
      </c>
      <c r="AF37" s="55">
        <v>10.2248520710059</v>
      </c>
    </row>
    <row r="38" spans="1:32" s="57" customFormat="1" ht="15.75" customHeight="1">
      <c r="A38" s="2" t="s">
        <v>100</v>
      </c>
      <c r="B38" s="2"/>
      <c r="C38" s="51">
        <f t="shared" si="35"/>
        <v>19</v>
      </c>
      <c r="D38" s="51">
        <v>4</v>
      </c>
      <c r="E38" s="51">
        <v>0</v>
      </c>
      <c r="F38" s="51">
        <v>76</v>
      </c>
      <c r="G38" s="51">
        <v>-0.26</v>
      </c>
      <c r="H38" s="51">
        <f t="shared" si="1"/>
        <v>3.4210526315789475E-3</v>
      </c>
      <c r="I38" s="51">
        <f t="shared" si="2"/>
        <v>0.21875374021592425</v>
      </c>
      <c r="J38" s="51">
        <f t="shared" si="4"/>
        <v>16.625284256410243</v>
      </c>
      <c r="K38" s="51">
        <f t="shared" si="3"/>
        <v>4.1563210641025607</v>
      </c>
      <c r="L38" s="51">
        <v>22</v>
      </c>
      <c r="M38" s="51">
        <f t="shared" si="5"/>
        <v>0.18181818181818182</v>
      </c>
      <c r="N38" s="51">
        <v>0</v>
      </c>
      <c r="O38" s="51">
        <f t="shared" ref="O38:P38" si="48">D38/7</f>
        <v>0.5714285714285714</v>
      </c>
      <c r="P38" s="51">
        <f t="shared" si="48"/>
        <v>0</v>
      </c>
      <c r="Q38" s="51">
        <f t="shared" si="7"/>
        <v>0</v>
      </c>
      <c r="R38" s="55">
        <v>600</v>
      </c>
      <c r="S38" s="53"/>
      <c r="T38" s="54">
        <v>44099</v>
      </c>
      <c r="U38" s="55">
        <v>0</v>
      </c>
      <c r="V38" s="55">
        <f t="shared" si="8"/>
        <v>0</v>
      </c>
      <c r="W38" s="55">
        <f t="shared" si="9"/>
        <v>0</v>
      </c>
      <c r="X38" s="55">
        <v>0</v>
      </c>
      <c r="Y38" s="55" t="s">
        <v>35</v>
      </c>
      <c r="Z38" s="56">
        <f t="shared" si="19"/>
        <v>-0.75</v>
      </c>
      <c r="AA38" s="55">
        <v>0.16711177777777778</v>
      </c>
      <c r="AB38" s="55">
        <f t="shared" si="27"/>
        <v>-1.504006</v>
      </c>
      <c r="AC38" s="55">
        <v>-7.32</v>
      </c>
      <c r="AD38" s="55">
        <v>-4.2326774358974362</v>
      </c>
      <c r="AE38" s="55">
        <v>0</v>
      </c>
      <c r="AF38" s="55" t="e">
        <v>#N/A</v>
      </c>
    </row>
    <row r="39" spans="1:32" s="57" customFormat="1" ht="15.75" customHeight="1">
      <c r="A39" s="2" t="s">
        <v>101</v>
      </c>
      <c r="B39" s="2"/>
      <c r="C39" s="51">
        <f t="shared" si="35"/>
        <v>19</v>
      </c>
      <c r="D39" s="51">
        <v>2</v>
      </c>
      <c r="E39" s="51">
        <v>0</v>
      </c>
      <c r="F39" s="51">
        <v>38</v>
      </c>
      <c r="G39" s="51">
        <v>0</v>
      </c>
      <c r="H39" s="51">
        <f t="shared" si="1"/>
        <v>0</v>
      </c>
      <c r="I39" s="51">
        <f t="shared" si="2"/>
        <v>0.22217479284750363</v>
      </c>
      <c r="J39" s="51">
        <f>F39*0.85+G39+AD39*D39+D39*AC39+AE40+AB39</f>
        <v>8.4426421282051383</v>
      </c>
      <c r="K39" s="51">
        <f t="shared" si="3"/>
        <v>4.2213210641025691</v>
      </c>
      <c r="L39" s="51">
        <v>4</v>
      </c>
      <c r="M39" s="51">
        <f t="shared" si="5"/>
        <v>0.5</v>
      </c>
      <c r="N39" s="51">
        <v>0</v>
      </c>
      <c r="O39" s="51">
        <f t="shared" ref="O39:P39" si="49">D39/7</f>
        <v>0.2857142857142857</v>
      </c>
      <c r="P39" s="51">
        <f t="shared" si="49"/>
        <v>0</v>
      </c>
      <c r="Q39" s="51">
        <f t="shared" si="7"/>
        <v>0</v>
      </c>
      <c r="R39" s="55">
        <v>600</v>
      </c>
      <c r="S39" s="53">
        <v>100</v>
      </c>
      <c r="T39" s="54">
        <v>44099</v>
      </c>
      <c r="U39" s="55">
        <v>0</v>
      </c>
      <c r="V39" s="55">
        <f t="shared" si="8"/>
        <v>0</v>
      </c>
      <c r="W39" s="55">
        <f t="shared" si="9"/>
        <v>0</v>
      </c>
      <c r="X39" s="55">
        <v>0</v>
      </c>
      <c r="Y39" s="55" t="s">
        <v>35</v>
      </c>
      <c r="Z39" s="56">
        <f t="shared" si="19"/>
        <v>-0.75</v>
      </c>
      <c r="AA39" s="55">
        <v>0.16711177777777778</v>
      </c>
      <c r="AB39" s="55">
        <f t="shared" si="27"/>
        <v>-0.75200299999999998</v>
      </c>
      <c r="AC39" s="55">
        <v>-7.32</v>
      </c>
      <c r="AD39" s="55">
        <v>-4.23267743589743</v>
      </c>
      <c r="AE39" s="55">
        <v>0</v>
      </c>
      <c r="AF39" s="55" t="e">
        <v>#N/A</v>
      </c>
    </row>
    <row r="40" spans="1:32" s="57" customFormat="1" ht="15.75" customHeight="1">
      <c r="A40" s="2" t="s">
        <v>102</v>
      </c>
      <c r="B40" s="2"/>
      <c r="C40" s="51" t="s">
        <v>103</v>
      </c>
      <c r="D40" s="51">
        <v>0</v>
      </c>
      <c r="E40" s="51">
        <v>0</v>
      </c>
      <c r="F40" s="51">
        <v>0</v>
      </c>
      <c r="G40" s="51">
        <v>0</v>
      </c>
      <c r="H40" s="51" t="e">
        <v>#DIV/0!</v>
      </c>
      <c r="I40" s="51" t="e">
        <v>#DIV/0!</v>
      </c>
      <c r="J40" s="51">
        <v>0</v>
      </c>
      <c r="K40" s="51" t="e">
        <v>#DIV/0!</v>
      </c>
      <c r="L40" s="51">
        <v>0</v>
      </c>
      <c r="M40" s="51" t="s">
        <v>104</v>
      </c>
      <c r="N40" s="51">
        <v>0</v>
      </c>
      <c r="O40" s="51">
        <v>0</v>
      </c>
      <c r="P40" s="51">
        <v>0</v>
      </c>
      <c r="Q40" s="51" t="e">
        <v>#DIV/0!</v>
      </c>
      <c r="R40" s="55">
        <v>500</v>
      </c>
      <c r="S40" s="53">
        <v>100</v>
      </c>
      <c r="T40" s="54">
        <v>44109</v>
      </c>
      <c r="U40" s="55">
        <v>0</v>
      </c>
      <c r="V40" s="55">
        <v>0</v>
      </c>
      <c r="W40" s="55">
        <v>0</v>
      </c>
      <c r="X40" s="55">
        <v>0</v>
      </c>
      <c r="Y40" s="55" t="e">
        <v>#N/A</v>
      </c>
      <c r="Z40" s="56" t="e">
        <v>#N/A</v>
      </c>
      <c r="AA40" s="55" t="e">
        <v>#N/A</v>
      </c>
      <c r="AB40" s="55">
        <v>0</v>
      </c>
      <c r="AC40" s="55">
        <v>-7.32</v>
      </c>
      <c r="AD40" s="55">
        <v>-4.23267743589743</v>
      </c>
      <c r="AE40" s="55">
        <v>0</v>
      </c>
      <c r="AF40" s="55" t="e">
        <v>#N/A</v>
      </c>
    </row>
    <row r="41" spans="1:32" s="57" customFormat="1" ht="15.75" customHeight="1">
      <c r="A41" s="2" t="s">
        <v>105</v>
      </c>
      <c r="B41" s="2"/>
      <c r="C41" s="51" t="str">
        <f t="shared" ref="C41:C56" si="50">IFERROR(F41/D41," - ")</f>
        <v xml:space="preserve"> - </v>
      </c>
      <c r="D41" s="51">
        <v>0</v>
      </c>
      <c r="E41" s="51">
        <v>0</v>
      </c>
      <c r="F41" s="51">
        <v>0</v>
      </c>
      <c r="G41" s="51">
        <v>0</v>
      </c>
      <c r="H41" s="51" t="e">
        <f t="shared" ref="H41:H56" si="51">G41/F41*-1</f>
        <v>#DIV/0!</v>
      </c>
      <c r="I41" s="51" t="e">
        <f t="shared" ref="I41:I56" si="52">J41/F41</f>
        <v>#DIV/0!</v>
      </c>
      <c r="J41" s="51">
        <f t="shared" ref="J41:J48" si="53">F41*0.85+G41+AD41*D41+D41*AC41+AE42+AB41</f>
        <v>0</v>
      </c>
      <c r="K41" s="51" t="e">
        <f t="shared" ref="K41:K56" si="54">J41/D41</f>
        <v>#DIV/0!</v>
      </c>
      <c r="L41" s="51">
        <v>0</v>
      </c>
      <c r="M41" s="51" t="str">
        <f t="shared" ref="M41:M56" si="55">IFERROR(D41/L41,"-")</f>
        <v>-</v>
      </c>
      <c r="N41" s="51">
        <v>0</v>
      </c>
      <c r="O41" s="51">
        <f t="shared" ref="O41:P41" si="56">D41/7</f>
        <v>0</v>
      </c>
      <c r="P41" s="51">
        <f t="shared" si="56"/>
        <v>0</v>
      </c>
      <c r="Q41" s="51" t="e">
        <f t="shared" ref="Q41:Q56" si="57">ROUNDDOWN(N41/(O41+P41),0)</f>
        <v>#DIV/0!</v>
      </c>
      <c r="R41" s="55">
        <v>500</v>
      </c>
      <c r="S41" s="53">
        <v>100</v>
      </c>
      <c r="T41" s="54">
        <v>44109</v>
      </c>
      <c r="U41" s="55">
        <v>0</v>
      </c>
      <c r="V41" s="55">
        <f t="shared" ref="V41:V56" si="58">IFERROR(U41/D41,0)</f>
        <v>0</v>
      </c>
      <c r="W41" s="55">
        <f t="shared" ref="W41:W56" si="59">IFERROR(G41/(U41+X41)*-1,0)</f>
        <v>0</v>
      </c>
      <c r="X41" s="55">
        <v>0</v>
      </c>
      <c r="Y41" s="52" t="e">
        <v>#N/A</v>
      </c>
      <c r="Z41" s="56" t="e">
        <f t="shared" ref="Z41:Z43" si="60">IF(OR(Y41="UsLargeStandardSize",Y41="UsSmallStandardSize"),-0.75,-0.48)</f>
        <v>#N/A</v>
      </c>
      <c r="AA41" s="55" t="e">
        <v>#N/A</v>
      </c>
      <c r="AB41" s="55">
        <f t="shared" ref="AB41:AB56" si="61">IFERROR(Z41*AA41*D41*3,0)</f>
        <v>0</v>
      </c>
      <c r="AC41" s="55">
        <v>-7.32</v>
      </c>
      <c r="AD41" s="55">
        <v>-4.23267743589743</v>
      </c>
      <c r="AE41" s="55">
        <v>0</v>
      </c>
      <c r="AF41" s="55" t="e">
        <v>#N/A</v>
      </c>
    </row>
    <row r="42" spans="1:32" s="57" customFormat="1" ht="15.75" customHeight="1">
      <c r="A42" s="2" t="s">
        <v>106</v>
      </c>
      <c r="B42" s="2"/>
      <c r="C42" s="51" t="str">
        <f t="shared" si="50"/>
        <v xml:space="preserve"> - </v>
      </c>
      <c r="D42" s="51">
        <v>0</v>
      </c>
      <c r="E42" s="51">
        <v>0</v>
      </c>
      <c r="F42" s="51">
        <v>0</v>
      </c>
      <c r="G42" s="51">
        <v>0</v>
      </c>
      <c r="H42" s="51" t="e">
        <f t="shared" si="51"/>
        <v>#DIV/0!</v>
      </c>
      <c r="I42" s="51" t="e">
        <f t="shared" si="52"/>
        <v>#DIV/0!</v>
      </c>
      <c r="J42" s="51">
        <f t="shared" si="53"/>
        <v>0</v>
      </c>
      <c r="K42" s="51" t="e">
        <f t="shared" si="54"/>
        <v>#DIV/0!</v>
      </c>
      <c r="L42" s="51">
        <v>0</v>
      </c>
      <c r="M42" s="51" t="str">
        <f t="shared" si="55"/>
        <v>-</v>
      </c>
      <c r="N42" s="51">
        <v>0</v>
      </c>
      <c r="O42" s="51">
        <f t="shared" ref="O42:P42" si="62">D42/7</f>
        <v>0</v>
      </c>
      <c r="P42" s="51">
        <f t="shared" si="62"/>
        <v>0</v>
      </c>
      <c r="Q42" s="51" t="e">
        <f t="shared" si="57"/>
        <v>#DIV/0!</v>
      </c>
      <c r="R42" s="55">
        <f ca="1">IFERROR(__xludf.DUMMYFUNCTION("IFERROR(VLOOKUP($B$2,IMPORTRANGE(""https://docs.google.com/spreadsheets/d/1iVgg6Mw12RULLujzHmfOFIY8Q_KaAD8anoZzgtVAQ74/edit#gid=1503384807"",""Second Star - Summary!A1:AD2000""),9,FALSE),"""")"),360)</f>
        <v>360</v>
      </c>
      <c r="S42" s="53">
        <f ca="1">IFERROR(__xludf.DUMMYFUNCTION("IFERROR(VLOOKUP($B$2,IMPORTRANGE(""https://docs.google.com/spreadsheets/d/1iVgg6Mw12RULLujzHmfOFIY8Q_KaAD8anoZzgtVAQ74/edit#gid=1503384807"",""Second Star - Summary!A1:AD2000""),28,FALSE),"""")"),176)</f>
        <v>176</v>
      </c>
      <c r="T42" s="54">
        <f ca="1">IFERROR(__xludf.DUMMYFUNCTION("IFERROR(VLOOKUP($B$2,IMPORTRANGE(""https://docs.google.com/spreadsheets/d/1iVgg6Mw12RULLujzHmfOFIY8Q_KaAD8anoZzgtVAQ74/edit#gid=1503384807"",""Second Star - Summary!A1:AD2000""),29,FALSE),"""")"),44324)</f>
        <v>44324</v>
      </c>
      <c r="U42" s="55">
        <v>0</v>
      </c>
      <c r="V42" s="55">
        <f t="shared" si="58"/>
        <v>0</v>
      </c>
      <c r="W42" s="55">
        <f t="shared" si="59"/>
        <v>0</v>
      </c>
      <c r="X42" s="55">
        <v>0</v>
      </c>
      <c r="Y42" s="55" t="e">
        <v>#N/A</v>
      </c>
      <c r="Z42" s="56" t="e">
        <f t="shared" si="60"/>
        <v>#N/A</v>
      </c>
      <c r="AA42" s="55" t="e">
        <v>#N/A</v>
      </c>
      <c r="AB42" s="55">
        <f t="shared" si="61"/>
        <v>0</v>
      </c>
      <c r="AC42" s="55">
        <v>-7.32</v>
      </c>
      <c r="AD42" s="55">
        <v>-4.23267743589743</v>
      </c>
      <c r="AE42" s="55">
        <v>0</v>
      </c>
      <c r="AF42" s="55" t="e">
        <v>#N/A</v>
      </c>
    </row>
    <row r="43" spans="1:32" s="57" customFormat="1" ht="15.75" customHeight="1">
      <c r="A43" s="2" t="s">
        <v>107</v>
      </c>
      <c r="B43" s="2" t="s">
        <v>1063</v>
      </c>
      <c r="C43" s="51" t="str">
        <f t="shared" si="50"/>
        <v xml:space="preserve"> - </v>
      </c>
      <c r="D43" s="51">
        <v>0</v>
      </c>
      <c r="E43" s="51">
        <v>0</v>
      </c>
      <c r="F43" s="51">
        <v>0</v>
      </c>
      <c r="G43" s="51">
        <v>0</v>
      </c>
      <c r="H43" s="51" t="e">
        <f t="shared" si="51"/>
        <v>#DIV/0!</v>
      </c>
      <c r="I43" s="51" t="e">
        <f t="shared" si="52"/>
        <v>#DIV/0!</v>
      </c>
      <c r="J43" s="51">
        <f t="shared" si="53"/>
        <v>0</v>
      </c>
      <c r="K43" s="51" t="e">
        <f t="shared" si="54"/>
        <v>#DIV/0!</v>
      </c>
      <c r="L43" s="51">
        <v>0</v>
      </c>
      <c r="M43" s="51" t="str">
        <f t="shared" si="55"/>
        <v>-</v>
      </c>
      <c r="N43" s="51">
        <v>0</v>
      </c>
      <c r="O43" s="51">
        <f t="shared" ref="O43:P43" si="63">D43/7</f>
        <v>0</v>
      </c>
      <c r="P43" s="51">
        <f t="shared" si="63"/>
        <v>0</v>
      </c>
      <c r="Q43" s="51" t="e">
        <f t="shared" si="57"/>
        <v>#DIV/0!</v>
      </c>
      <c r="R43" s="55">
        <v>400</v>
      </c>
      <c r="S43" s="53" t="s">
        <v>34</v>
      </c>
      <c r="T43" s="54" t="s">
        <v>34</v>
      </c>
      <c r="U43" s="55">
        <v>0</v>
      </c>
      <c r="V43" s="55">
        <f t="shared" si="58"/>
        <v>0</v>
      </c>
      <c r="W43" s="55">
        <f t="shared" si="59"/>
        <v>0</v>
      </c>
      <c r="X43" s="55">
        <v>0</v>
      </c>
      <c r="Y43" s="55" t="e">
        <v>#N/A</v>
      </c>
      <c r="Z43" s="56" t="e">
        <f t="shared" si="60"/>
        <v>#N/A</v>
      </c>
      <c r="AA43" s="55" t="e">
        <v>#N/A</v>
      </c>
      <c r="AB43" s="55">
        <f t="shared" si="61"/>
        <v>0</v>
      </c>
      <c r="AC43" s="55">
        <v>0</v>
      </c>
      <c r="AD43" s="55">
        <v>-4.23267743589743</v>
      </c>
      <c r="AE43" s="55">
        <v>0</v>
      </c>
      <c r="AF43" s="55" t="e">
        <v>#N/A</v>
      </c>
    </row>
    <row r="44" spans="1:32" s="57" customFormat="1" ht="15.75" customHeight="1">
      <c r="A44" s="2" t="s">
        <v>108</v>
      </c>
      <c r="B44" s="2"/>
      <c r="C44" s="51" t="str">
        <f t="shared" si="50"/>
        <v xml:space="preserve"> - </v>
      </c>
      <c r="D44" s="51">
        <v>0</v>
      </c>
      <c r="E44" s="51">
        <v>0</v>
      </c>
      <c r="F44" s="51">
        <v>0</v>
      </c>
      <c r="G44" s="51">
        <v>0</v>
      </c>
      <c r="H44" s="51" t="e">
        <f t="shared" si="51"/>
        <v>#DIV/0!</v>
      </c>
      <c r="I44" s="51" t="e">
        <f t="shared" si="52"/>
        <v>#DIV/0!</v>
      </c>
      <c r="J44" s="51">
        <f t="shared" si="53"/>
        <v>0</v>
      </c>
      <c r="K44" s="51" t="e">
        <f t="shared" si="54"/>
        <v>#DIV/0!</v>
      </c>
      <c r="L44" s="51">
        <v>0</v>
      </c>
      <c r="M44" s="51" t="str">
        <f t="shared" si="55"/>
        <v>-</v>
      </c>
      <c r="N44" s="51">
        <v>0</v>
      </c>
      <c r="O44" s="51">
        <f t="shared" ref="O44:P44" si="64">D44/7</f>
        <v>0</v>
      </c>
      <c r="P44" s="51">
        <f t="shared" si="64"/>
        <v>0</v>
      </c>
      <c r="Q44" s="51" t="e">
        <f t="shared" si="57"/>
        <v>#DIV/0!</v>
      </c>
      <c r="R44" s="55">
        <v>400</v>
      </c>
      <c r="S44" s="53" t="s">
        <v>34</v>
      </c>
      <c r="T44" s="54" t="s">
        <v>34</v>
      </c>
      <c r="U44" s="55">
        <v>0</v>
      </c>
      <c r="V44" s="55">
        <f t="shared" si="58"/>
        <v>0</v>
      </c>
      <c r="W44" s="55">
        <f t="shared" si="59"/>
        <v>0</v>
      </c>
      <c r="X44" s="55">
        <v>0</v>
      </c>
      <c r="Y44" s="55" t="s">
        <v>35</v>
      </c>
      <c r="Z44" s="56">
        <f t="shared" ref="Z44:Z56" si="65">IF(OR(Y44="UsLargeStandardSize",Y44="UsSmallStandardSize"),-2.4,-1.2)</f>
        <v>-2.4</v>
      </c>
      <c r="AA44" s="55">
        <v>0.16711177777777778</v>
      </c>
      <c r="AB44" s="55">
        <f t="shared" si="61"/>
        <v>0</v>
      </c>
      <c r="AC44" s="55">
        <v>-7.32</v>
      </c>
      <c r="AD44" s="55">
        <v>-4.23267743589743</v>
      </c>
      <c r="AE44" s="55">
        <v>0</v>
      </c>
      <c r="AF44" s="55" t="e">
        <v>#N/A</v>
      </c>
    </row>
    <row r="45" spans="1:32" s="57" customFormat="1" ht="15.75" customHeight="1">
      <c r="A45" s="2" t="s">
        <v>109</v>
      </c>
      <c r="B45" s="2"/>
      <c r="C45" s="51" t="str">
        <f t="shared" si="50"/>
        <v xml:space="preserve"> - </v>
      </c>
      <c r="D45" s="51">
        <v>0</v>
      </c>
      <c r="E45" s="51">
        <v>0</v>
      </c>
      <c r="F45" s="51">
        <v>0</v>
      </c>
      <c r="G45" s="51">
        <v>0</v>
      </c>
      <c r="H45" s="51" t="e">
        <f t="shared" si="51"/>
        <v>#DIV/0!</v>
      </c>
      <c r="I45" s="51" t="e">
        <f t="shared" si="52"/>
        <v>#DIV/0!</v>
      </c>
      <c r="J45" s="51">
        <f t="shared" si="53"/>
        <v>0</v>
      </c>
      <c r="K45" s="51" t="e">
        <f t="shared" si="54"/>
        <v>#DIV/0!</v>
      </c>
      <c r="L45" s="51">
        <v>0</v>
      </c>
      <c r="M45" s="51" t="str">
        <f t="shared" si="55"/>
        <v>-</v>
      </c>
      <c r="N45" s="51">
        <v>4</v>
      </c>
      <c r="O45" s="51">
        <f t="shared" ref="O45:P45" si="66">D45/7</f>
        <v>0</v>
      </c>
      <c r="P45" s="51">
        <f t="shared" si="66"/>
        <v>0</v>
      </c>
      <c r="Q45" s="51" t="e">
        <f t="shared" si="57"/>
        <v>#DIV/0!</v>
      </c>
      <c r="R45" s="55">
        <v>540</v>
      </c>
      <c r="S45" s="53">
        <v>140</v>
      </c>
      <c r="T45" s="54">
        <v>44166</v>
      </c>
      <c r="U45" s="55">
        <v>0</v>
      </c>
      <c r="V45" s="55">
        <f t="shared" si="58"/>
        <v>0</v>
      </c>
      <c r="W45" s="55">
        <f t="shared" si="59"/>
        <v>0</v>
      </c>
      <c r="X45" s="55">
        <v>0</v>
      </c>
      <c r="Y45" s="55" t="s">
        <v>35</v>
      </c>
      <c r="Z45" s="56">
        <f t="shared" si="65"/>
        <v>-2.4</v>
      </c>
      <c r="AA45" s="55">
        <v>0.16711177777777778</v>
      </c>
      <c r="AB45" s="55">
        <f t="shared" si="61"/>
        <v>0</v>
      </c>
      <c r="AC45" s="55">
        <v>-7.32</v>
      </c>
      <c r="AD45" s="55">
        <v>-4.23267743589743</v>
      </c>
      <c r="AE45" s="55">
        <v>0</v>
      </c>
      <c r="AF45" s="55">
        <v>2.5</v>
      </c>
    </row>
    <row r="46" spans="1:32" s="57" customFormat="1" ht="15.75" customHeight="1">
      <c r="A46" s="2" t="s">
        <v>111</v>
      </c>
      <c r="B46" s="2" t="s">
        <v>810</v>
      </c>
      <c r="C46" s="51">
        <f t="shared" si="50"/>
        <v>15</v>
      </c>
      <c r="D46" s="51">
        <v>3</v>
      </c>
      <c r="E46" s="51">
        <v>0</v>
      </c>
      <c r="F46" s="51">
        <v>45</v>
      </c>
      <c r="G46" s="51">
        <v>0</v>
      </c>
      <c r="H46" s="51">
        <f t="shared" si="51"/>
        <v>0</v>
      </c>
      <c r="I46" s="51">
        <f t="shared" si="52"/>
        <v>-3.9214905982869967E-4</v>
      </c>
      <c r="J46" s="51">
        <f t="shared" si="53"/>
        <v>-1.7646707692291486E-2</v>
      </c>
      <c r="K46" s="51">
        <f t="shared" si="54"/>
        <v>-5.8822358974304949E-3</v>
      </c>
      <c r="L46" s="51">
        <v>18</v>
      </c>
      <c r="M46" s="51">
        <f t="shared" si="55"/>
        <v>0.16666666666666666</v>
      </c>
      <c r="N46" s="51">
        <v>7</v>
      </c>
      <c r="O46" s="51">
        <f t="shared" ref="O46:P46" si="67">D46/7</f>
        <v>0.42857142857142855</v>
      </c>
      <c r="P46" s="51">
        <f t="shared" si="67"/>
        <v>0</v>
      </c>
      <c r="Q46" s="51">
        <f t="shared" si="57"/>
        <v>16</v>
      </c>
      <c r="R46" s="55">
        <v>400</v>
      </c>
      <c r="S46" s="53">
        <v>140</v>
      </c>
      <c r="T46" s="54">
        <v>44163</v>
      </c>
      <c r="U46" s="55">
        <v>0</v>
      </c>
      <c r="V46" s="55">
        <f t="shared" si="58"/>
        <v>0</v>
      </c>
      <c r="W46" s="55">
        <f t="shared" si="59"/>
        <v>0</v>
      </c>
      <c r="X46" s="55">
        <v>0</v>
      </c>
      <c r="Y46" s="55" t="s">
        <v>35</v>
      </c>
      <c r="Z46" s="56">
        <f t="shared" si="65"/>
        <v>-2.4</v>
      </c>
      <c r="AA46" s="55">
        <v>0.16711177777777778</v>
      </c>
      <c r="AB46" s="55">
        <f t="shared" si="61"/>
        <v>-3.6096143999999999</v>
      </c>
      <c r="AC46" s="55">
        <v>-7.32</v>
      </c>
      <c r="AD46" s="55">
        <v>-4.23267743589743</v>
      </c>
      <c r="AE46" s="55">
        <v>0</v>
      </c>
      <c r="AF46" s="55">
        <v>3</v>
      </c>
    </row>
    <row r="47" spans="1:32" s="57" customFormat="1" ht="15.75" customHeight="1">
      <c r="A47" s="2" t="s">
        <v>113</v>
      </c>
      <c r="B47" s="2" t="s">
        <v>810</v>
      </c>
      <c r="C47" s="51">
        <f t="shared" si="50"/>
        <v>15</v>
      </c>
      <c r="D47" s="51">
        <v>3</v>
      </c>
      <c r="E47" s="51">
        <v>1</v>
      </c>
      <c r="F47" s="51">
        <v>45</v>
      </c>
      <c r="G47" s="51">
        <v>0</v>
      </c>
      <c r="H47" s="51">
        <f t="shared" si="51"/>
        <v>0</v>
      </c>
      <c r="I47" s="51">
        <f t="shared" si="52"/>
        <v>-3.9214905982869967E-4</v>
      </c>
      <c r="J47" s="51">
        <f t="shared" si="53"/>
        <v>-1.7646707692291486E-2</v>
      </c>
      <c r="K47" s="51">
        <f t="shared" si="54"/>
        <v>-5.8822358974304949E-3</v>
      </c>
      <c r="L47" s="51">
        <v>15</v>
      </c>
      <c r="M47" s="51">
        <f t="shared" si="55"/>
        <v>0.2</v>
      </c>
      <c r="N47" s="51">
        <v>2</v>
      </c>
      <c r="O47" s="51">
        <f t="shared" ref="O47:P47" si="68">D47/7</f>
        <v>0.42857142857142855</v>
      </c>
      <c r="P47" s="51">
        <f t="shared" si="68"/>
        <v>0.14285714285714285</v>
      </c>
      <c r="Q47" s="51">
        <f t="shared" si="57"/>
        <v>3</v>
      </c>
      <c r="R47" s="55">
        <v>400</v>
      </c>
      <c r="S47" s="53">
        <v>140</v>
      </c>
      <c r="T47" s="54">
        <v>44163</v>
      </c>
      <c r="U47" s="55">
        <v>0</v>
      </c>
      <c r="V47" s="55">
        <f t="shared" si="58"/>
        <v>0</v>
      </c>
      <c r="W47" s="55">
        <f t="shared" si="59"/>
        <v>0</v>
      </c>
      <c r="X47" s="55">
        <v>0</v>
      </c>
      <c r="Y47" s="55" t="s">
        <v>35</v>
      </c>
      <c r="Z47" s="56">
        <f t="shared" si="65"/>
        <v>-2.4</v>
      </c>
      <c r="AA47" s="55">
        <v>0.16711177777777778</v>
      </c>
      <c r="AB47" s="55">
        <f t="shared" si="61"/>
        <v>-3.6096143999999999</v>
      </c>
      <c r="AC47" s="55">
        <v>-7.32</v>
      </c>
      <c r="AD47" s="55">
        <v>-4.23267743589743</v>
      </c>
      <c r="AE47" s="55">
        <v>0</v>
      </c>
      <c r="AF47" s="55">
        <v>6</v>
      </c>
    </row>
    <row r="48" spans="1:32" s="57" customFormat="1" ht="15.75" customHeight="1">
      <c r="A48" s="2" t="s">
        <v>115</v>
      </c>
      <c r="B48" s="2"/>
      <c r="C48" s="51">
        <f t="shared" si="50"/>
        <v>15</v>
      </c>
      <c r="D48" s="51">
        <v>2</v>
      </c>
      <c r="E48" s="51">
        <v>3</v>
      </c>
      <c r="F48" s="51">
        <v>30</v>
      </c>
      <c r="G48" s="51">
        <v>0</v>
      </c>
      <c r="H48" s="51">
        <f t="shared" si="51"/>
        <v>0</v>
      </c>
      <c r="I48" s="51">
        <f t="shared" si="52"/>
        <v>-3.9214905982862074E-4</v>
      </c>
      <c r="J48" s="51">
        <f t="shared" si="53"/>
        <v>-1.1764471794858622E-2</v>
      </c>
      <c r="K48" s="51">
        <f t="shared" si="54"/>
        <v>-5.882235897429311E-3</v>
      </c>
      <c r="L48" s="51">
        <v>11</v>
      </c>
      <c r="M48" s="51">
        <f t="shared" si="55"/>
        <v>0.18181818181818182</v>
      </c>
      <c r="N48" s="51">
        <v>0</v>
      </c>
      <c r="O48" s="51">
        <f t="shared" ref="O48:P48" si="69">D48/7</f>
        <v>0.2857142857142857</v>
      </c>
      <c r="P48" s="51">
        <f t="shared" si="69"/>
        <v>0.42857142857142855</v>
      </c>
      <c r="Q48" s="51">
        <f t="shared" si="57"/>
        <v>0</v>
      </c>
      <c r="R48" s="55">
        <f ca="1">IFERROR(__xludf.DUMMYFUNCTION("IFERROR(VLOOKUP($B$2,IMPORTRANGE(""https://docs.google.com/spreadsheets/d/1iVgg6Mw12RULLujzHmfOFIY8Q_KaAD8anoZzgtVAQ74/edit#gid=1503384807"",""Second Star - Summary!A1:AD2000""),9,FALSE),"""")"),360)</f>
        <v>360</v>
      </c>
      <c r="S48" s="53">
        <f ca="1">IFERROR(__xludf.DUMMYFUNCTION("IFERROR(VLOOKUP($B$2,IMPORTRANGE(""https://docs.google.com/spreadsheets/d/1iVgg6Mw12RULLujzHmfOFIY8Q_KaAD8anoZzgtVAQ74/edit#gid=1503384807"",""Second Star - Summary!A1:AD2000""),28,FALSE),"""")"),176)</f>
        <v>176</v>
      </c>
      <c r="T48" s="54">
        <f ca="1">IFERROR(__xludf.DUMMYFUNCTION("IFERROR(VLOOKUP($B$2,IMPORTRANGE(""https://docs.google.com/spreadsheets/d/1iVgg6Mw12RULLujzHmfOFIY8Q_KaAD8anoZzgtVAQ74/edit#gid=1503384807"",""Second Star - Summary!A1:AD2000""),29,FALSE),"""")"),44324)</f>
        <v>44324</v>
      </c>
      <c r="U48" s="55">
        <v>0</v>
      </c>
      <c r="V48" s="55">
        <f t="shared" si="58"/>
        <v>0</v>
      </c>
      <c r="W48" s="55">
        <f t="shared" si="59"/>
        <v>0</v>
      </c>
      <c r="X48" s="55">
        <v>0</v>
      </c>
      <c r="Y48" s="55" t="s">
        <v>35</v>
      </c>
      <c r="Z48" s="56">
        <f t="shared" si="65"/>
        <v>-2.4</v>
      </c>
      <c r="AA48" s="55">
        <v>0.16711177777777778</v>
      </c>
      <c r="AB48" s="55">
        <f t="shared" si="61"/>
        <v>-2.4064095999999999</v>
      </c>
      <c r="AC48" s="55">
        <v>-7.32</v>
      </c>
      <c r="AD48" s="55">
        <v>-4.23267743589743</v>
      </c>
      <c r="AE48" s="55">
        <v>0</v>
      </c>
      <c r="AF48" s="55" t="e">
        <v>#N/A</v>
      </c>
    </row>
    <row r="49" spans="1:32" s="57" customFormat="1" ht="15.75" customHeight="1">
      <c r="A49" s="2" t="s">
        <v>117</v>
      </c>
      <c r="B49" s="2"/>
      <c r="C49" s="51" t="str">
        <f t="shared" si="50"/>
        <v xml:space="preserve"> - </v>
      </c>
      <c r="D49" s="51">
        <v>0</v>
      </c>
      <c r="E49" s="51">
        <v>0</v>
      </c>
      <c r="F49" s="51">
        <v>0</v>
      </c>
      <c r="G49" s="51">
        <v>0</v>
      </c>
      <c r="H49" s="51" t="e">
        <f t="shared" si="51"/>
        <v>#DIV/0!</v>
      </c>
      <c r="I49" s="51" t="e">
        <f t="shared" si="52"/>
        <v>#DIV/0!</v>
      </c>
      <c r="J49" s="51">
        <f t="shared" ref="J49:J56" si="70">F49*0.85+G49+AD49*D49+D49*AC49+AE49+AB49</f>
        <v>0</v>
      </c>
      <c r="K49" s="51" t="e">
        <f t="shared" si="54"/>
        <v>#DIV/0!</v>
      </c>
      <c r="L49" s="51">
        <v>0</v>
      </c>
      <c r="M49" s="51" t="str">
        <f t="shared" si="55"/>
        <v>-</v>
      </c>
      <c r="N49" s="51">
        <v>1</v>
      </c>
      <c r="O49" s="51">
        <f t="shared" ref="O49:P49" si="71">D49/7</f>
        <v>0</v>
      </c>
      <c r="P49" s="51">
        <f t="shared" si="71"/>
        <v>0</v>
      </c>
      <c r="Q49" s="51" t="e">
        <f t="shared" si="57"/>
        <v>#DIV/0!</v>
      </c>
      <c r="R49" s="55">
        <f ca="1">IFERROR(__xludf.DUMMYFUNCTION("IFERROR(VLOOKUP($B$2,IMPORTRANGE(""https://docs.google.com/spreadsheets/d/1iVgg6Mw12RULLujzHmfOFIY8Q_KaAD8anoZzgtVAQ74/edit#gid=1503384807"",""Second Star - Summary!A1:AD2000""),9,FALSE),"""")"),360)</f>
        <v>360</v>
      </c>
      <c r="S49" s="53">
        <f ca="1">IFERROR(__xludf.DUMMYFUNCTION("IFERROR(VLOOKUP($B$2,IMPORTRANGE(""https://docs.google.com/spreadsheets/d/1iVgg6Mw12RULLujzHmfOFIY8Q_KaAD8anoZzgtVAQ74/edit#gid=1503384807"",""Second Star - Summary!A1:AD2000""),28,FALSE),"""")"),176)</f>
        <v>176</v>
      </c>
      <c r="T49" s="54">
        <f ca="1">IFERROR(__xludf.DUMMYFUNCTION("IFERROR(VLOOKUP($B$2,IMPORTRANGE(""https://docs.google.com/spreadsheets/d/1iVgg6Mw12RULLujzHmfOFIY8Q_KaAD8anoZzgtVAQ74/edit#gid=1503384807"",""Second Star - Summary!A1:AD2000""),29,FALSE),"""")"),44324)</f>
        <v>44324</v>
      </c>
      <c r="U49" s="55">
        <v>0</v>
      </c>
      <c r="V49" s="55">
        <f t="shared" si="58"/>
        <v>0</v>
      </c>
      <c r="W49" s="55">
        <f t="shared" si="59"/>
        <v>0</v>
      </c>
      <c r="X49" s="55">
        <v>0</v>
      </c>
      <c r="Y49" s="55" t="s">
        <v>35</v>
      </c>
      <c r="Z49" s="56">
        <f t="shared" si="65"/>
        <v>-2.4</v>
      </c>
      <c r="AA49" s="55">
        <v>0.16711177777777778</v>
      </c>
      <c r="AB49" s="55">
        <f t="shared" si="61"/>
        <v>0</v>
      </c>
      <c r="AC49" s="55">
        <v>-7.32</v>
      </c>
      <c r="AD49" s="55">
        <v>-4.23267743589743</v>
      </c>
      <c r="AE49" s="55"/>
      <c r="AF49" s="55">
        <v>6.9090909090909003</v>
      </c>
    </row>
    <row r="50" spans="1:32" s="57" customFormat="1" ht="15.75" customHeight="1">
      <c r="A50" s="2" t="s">
        <v>119</v>
      </c>
      <c r="B50" s="2"/>
      <c r="C50" s="51" t="str">
        <f t="shared" si="50"/>
        <v xml:space="preserve"> - </v>
      </c>
      <c r="D50" s="51">
        <v>0</v>
      </c>
      <c r="E50" s="51">
        <v>0</v>
      </c>
      <c r="F50" s="51">
        <v>0</v>
      </c>
      <c r="G50" s="51">
        <v>-0.08</v>
      </c>
      <c r="H50" s="51" t="e">
        <f t="shared" si="51"/>
        <v>#DIV/0!</v>
      </c>
      <c r="I50" s="51" t="e">
        <f t="shared" si="52"/>
        <v>#DIV/0!</v>
      </c>
      <c r="J50" s="51">
        <f t="shared" si="70"/>
        <v>-0.08</v>
      </c>
      <c r="K50" s="51" t="e">
        <f t="shared" si="54"/>
        <v>#DIV/0!</v>
      </c>
      <c r="L50" s="51">
        <v>0</v>
      </c>
      <c r="M50" s="51" t="str">
        <f t="shared" si="55"/>
        <v>-</v>
      </c>
      <c r="N50" s="51">
        <v>3</v>
      </c>
      <c r="O50" s="51">
        <f t="shared" ref="O50:P50" si="72">D50/7</f>
        <v>0</v>
      </c>
      <c r="P50" s="51">
        <f t="shared" si="72"/>
        <v>0</v>
      </c>
      <c r="Q50" s="51" t="e">
        <f t="shared" si="57"/>
        <v>#DIV/0!</v>
      </c>
      <c r="R50" s="55">
        <f ca="1">IFERROR(__xludf.DUMMYFUNCTION("IFERROR(VLOOKUP($B$2,IMPORTRANGE(""https://docs.google.com/spreadsheets/d/1iVgg6Mw12RULLujzHmfOFIY8Q_KaAD8anoZzgtVAQ74/edit#gid=1503384807"",""Second Star - Summary!A1:AD2000""),9,FALSE),"""")"),360)</f>
        <v>360</v>
      </c>
      <c r="S50" s="53">
        <f ca="1">IFERROR(__xludf.DUMMYFUNCTION("IFERROR(VLOOKUP($B$2,IMPORTRANGE(""https://docs.google.com/spreadsheets/d/1iVgg6Mw12RULLujzHmfOFIY8Q_KaAD8anoZzgtVAQ74/edit#gid=1503384807"",""Second Star - Summary!A1:AD2000""),28,FALSE),"""")"),176)</f>
        <v>176</v>
      </c>
      <c r="T50" s="54">
        <f ca="1">IFERROR(__xludf.DUMMYFUNCTION("IFERROR(VLOOKUP($B$2,IMPORTRANGE(""https://docs.google.com/spreadsheets/d/1iVgg6Mw12RULLujzHmfOFIY8Q_KaAD8anoZzgtVAQ74/edit#gid=1503384807"",""Second Star - Summary!A1:AD2000""),29,FALSE),"""")"),44324)</f>
        <v>44324</v>
      </c>
      <c r="U50" s="55">
        <v>0</v>
      </c>
      <c r="V50" s="55">
        <f t="shared" si="58"/>
        <v>0</v>
      </c>
      <c r="W50" s="55">
        <f t="shared" si="59"/>
        <v>0</v>
      </c>
      <c r="X50" s="55">
        <v>0</v>
      </c>
      <c r="Y50" s="55" t="s">
        <v>35</v>
      </c>
      <c r="Z50" s="56">
        <f t="shared" si="65"/>
        <v>-2.4</v>
      </c>
      <c r="AA50" s="55">
        <v>0.16711177777777778</v>
      </c>
      <c r="AB50" s="55">
        <f t="shared" si="61"/>
        <v>0</v>
      </c>
      <c r="AC50" s="55">
        <v>-7.32</v>
      </c>
      <c r="AD50" s="55">
        <v>-4.23267743589743</v>
      </c>
      <c r="AE50" s="55">
        <v>0</v>
      </c>
      <c r="AF50" s="55" t="e">
        <v>#N/A</v>
      </c>
    </row>
    <row r="51" spans="1:32" s="57" customFormat="1" ht="15.75" customHeight="1">
      <c r="A51" s="2" t="s">
        <v>121</v>
      </c>
      <c r="B51" s="2"/>
      <c r="C51" s="51">
        <f t="shared" si="50"/>
        <v>15</v>
      </c>
      <c r="D51" s="51">
        <v>1</v>
      </c>
      <c r="E51" s="51">
        <v>0</v>
      </c>
      <c r="F51" s="51">
        <v>15</v>
      </c>
      <c r="G51" s="51">
        <v>0</v>
      </c>
      <c r="H51" s="51">
        <f t="shared" si="51"/>
        <v>0</v>
      </c>
      <c r="I51" s="51">
        <f t="shared" si="52"/>
        <v>-3.9214905982862074E-4</v>
      </c>
      <c r="J51" s="51">
        <f t="shared" si="70"/>
        <v>-5.882235897429311E-3</v>
      </c>
      <c r="K51" s="51">
        <f t="shared" si="54"/>
        <v>-5.882235897429311E-3</v>
      </c>
      <c r="L51" s="51">
        <v>8</v>
      </c>
      <c r="M51" s="51">
        <f t="shared" si="55"/>
        <v>0.125</v>
      </c>
      <c r="N51" s="51">
        <v>1</v>
      </c>
      <c r="O51" s="51">
        <f t="shared" ref="O51:P51" si="73">D51/7</f>
        <v>0.14285714285714285</v>
      </c>
      <c r="P51" s="51">
        <f t="shared" si="73"/>
        <v>0</v>
      </c>
      <c r="Q51" s="51">
        <f t="shared" si="57"/>
        <v>7</v>
      </c>
      <c r="R51" s="55">
        <f ca="1">IFERROR(__xludf.DUMMYFUNCTION("IFERROR(VLOOKUP($B$2,IMPORTRANGE(""https://docs.google.com/spreadsheets/d/1iVgg6Mw12RULLujzHmfOFIY8Q_KaAD8anoZzgtVAQ74/edit#gid=1503384807"",""Second Star - Summary!A1:AD2000""),9,FALSE),"""")"),360)</f>
        <v>360</v>
      </c>
      <c r="S51" s="53">
        <f ca="1">IFERROR(__xludf.DUMMYFUNCTION("IFERROR(VLOOKUP($B$2,IMPORTRANGE(""https://docs.google.com/spreadsheets/d/1iVgg6Mw12RULLujzHmfOFIY8Q_KaAD8anoZzgtVAQ74/edit#gid=1503384807"",""Second Star - Summary!A1:AD2000""),28,FALSE),"""")"),176)</f>
        <v>176</v>
      </c>
      <c r="T51" s="54">
        <f ca="1">IFERROR(__xludf.DUMMYFUNCTION("IFERROR(VLOOKUP($B$2,IMPORTRANGE(""https://docs.google.com/spreadsheets/d/1iVgg6Mw12RULLujzHmfOFIY8Q_KaAD8anoZzgtVAQ74/edit#gid=1503384807"",""Second Star - Summary!A1:AD2000""),29,FALSE),"""")"),44324)</f>
        <v>44324</v>
      </c>
      <c r="U51" s="55">
        <v>0</v>
      </c>
      <c r="V51" s="55">
        <f t="shared" si="58"/>
        <v>0</v>
      </c>
      <c r="W51" s="55">
        <f t="shared" si="59"/>
        <v>0</v>
      </c>
      <c r="X51" s="55">
        <v>0</v>
      </c>
      <c r="Y51" s="55" t="s">
        <v>35</v>
      </c>
      <c r="Z51" s="56">
        <f t="shared" si="65"/>
        <v>-2.4</v>
      </c>
      <c r="AA51" s="55">
        <v>0.16711177777777778</v>
      </c>
      <c r="AB51" s="55">
        <f t="shared" si="61"/>
        <v>-1.2032048</v>
      </c>
      <c r="AC51" s="55">
        <v>-7.32</v>
      </c>
      <c r="AD51" s="55">
        <v>-4.23267743589743</v>
      </c>
      <c r="AE51" s="55">
        <v>0</v>
      </c>
      <c r="AF51" s="55" t="e">
        <v>#N/A</v>
      </c>
    </row>
    <row r="52" spans="1:32" s="57" customFormat="1" ht="15.75" customHeight="1">
      <c r="A52" s="2" t="s">
        <v>123</v>
      </c>
      <c r="B52" s="2"/>
      <c r="C52" s="51">
        <f t="shared" si="50"/>
        <v>15</v>
      </c>
      <c r="D52" s="51">
        <v>5</v>
      </c>
      <c r="E52" s="51">
        <v>0</v>
      </c>
      <c r="F52" s="51">
        <v>75</v>
      </c>
      <c r="G52" s="51">
        <v>-29.839999999999996</v>
      </c>
      <c r="H52" s="51">
        <f t="shared" si="51"/>
        <v>0.39786666666666659</v>
      </c>
      <c r="I52" s="51">
        <f t="shared" si="52"/>
        <v>-0.39825881572649524</v>
      </c>
      <c r="J52" s="51">
        <f t="shared" si="70"/>
        <v>-29.869411179487145</v>
      </c>
      <c r="K52" s="51">
        <f t="shared" si="54"/>
        <v>-5.9738822358974293</v>
      </c>
      <c r="L52" s="51">
        <v>22</v>
      </c>
      <c r="M52" s="51">
        <f t="shared" si="55"/>
        <v>0.22727272727272727</v>
      </c>
      <c r="N52" s="51">
        <v>124</v>
      </c>
      <c r="O52" s="51">
        <f t="shared" ref="O52:P52" si="74">D52/7</f>
        <v>0.7142857142857143</v>
      </c>
      <c r="P52" s="51">
        <f t="shared" si="74"/>
        <v>0</v>
      </c>
      <c r="Q52" s="51">
        <f t="shared" si="57"/>
        <v>173</v>
      </c>
      <c r="R52" s="55">
        <f ca="1">IFERROR(__xludf.DUMMYFUNCTION("IFERROR(VLOOKUP($B$2,IMPORTRANGE(""https://docs.google.com/spreadsheets/d/1iVgg6Mw12RULLujzHmfOFIY8Q_KaAD8anoZzgtVAQ74/edit#gid=1503384807"",""Second Star - Summary!A1:AD2000""),9,FALSE),"""")"),360)</f>
        <v>360</v>
      </c>
      <c r="S52" s="53">
        <f ca="1">IFERROR(__xludf.DUMMYFUNCTION("IFERROR(VLOOKUP($B$2,IMPORTRANGE(""https://docs.google.com/spreadsheets/d/1iVgg6Mw12RULLujzHmfOFIY8Q_KaAD8anoZzgtVAQ74/edit#gid=1503384807"",""Second Star - Summary!A1:AD2000""),28,FALSE),"""")"),176)</f>
        <v>176</v>
      </c>
      <c r="T52" s="54">
        <f ca="1">IFERROR(__xludf.DUMMYFUNCTION("IFERROR(VLOOKUP($B$2,IMPORTRANGE(""https://docs.google.com/spreadsheets/d/1iVgg6Mw12RULLujzHmfOFIY8Q_KaAD8anoZzgtVAQ74/edit#gid=1503384807"",""Second Star - Summary!A1:AD2000""),29,FALSE),"""")"),44324)</f>
        <v>44324</v>
      </c>
      <c r="U52" s="55">
        <v>0</v>
      </c>
      <c r="V52" s="55">
        <f t="shared" si="58"/>
        <v>0</v>
      </c>
      <c r="W52" s="55">
        <f t="shared" si="59"/>
        <v>29.839999999999996</v>
      </c>
      <c r="X52" s="55">
        <v>1</v>
      </c>
      <c r="Y52" s="55" t="s">
        <v>35</v>
      </c>
      <c r="Z52" s="56">
        <f t="shared" si="65"/>
        <v>-2.4</v>
      </c>
      <c r="AA52" s="55">
        <v>0.16711177777777778</v>
      </c>
      <c r="AB52" s="55">
        <f t="shared" si="61"/>
        <v>-6.0160239999999998</v>
      </c>
      <c r="AC52" s="55">
        <v>-7.32</v>
      </c>
      <c r="AD52" s="55">
        <v>-4.23267743589743</v>
      </c>
      <c r="AE52" s="55">
        <v>0</v>
      </c>
      <c r="AF52" s="55">
        <v>0.31788079470198599</v>
      </c>
    </row>
    <row r="53" spans="1:32" s="57" customFormat="1">
      <c r="A53" s="2" t="s">
        <v>38</v>
      </c>
      <c r="B53" s="2" t="s">
        <v>1064</v>
      </c>
      <c r="C53" s="51">
        <f t="shared" si="50"/>
        <v>15</v>
      </c>
      <c r="D53" s="51">
        <v>17</v>
      </c>
      <c r="E53" s="51">
        <v>0</v>
      </c>
      <c r="F53" s="51">
        <v>255</v>
      </c>
      <c r="G53" s="51">
        <v>-24.23</v>
      </c>
      <c r="H53" s="51">
        <f t="shared" si="51"/>
        <v>9.501960784313726E-2</v>
      </c>
      <c r="I53" s="51">
        <f t="shared" si="52"/>
        <v>-9.5411756902965869E-2</v>
      </c>
      <c r="J53" s="51">
        <f t="shared" si="70"/>
        <v>-24.329998010256297</v>
      </c>
      <c r="K53" s="51">
        <f t="shared" si="54"/>
        <v>-1.4311763535444881</v>
      </c>
      <c r="L53" s="51">
        <v>38</v>
      </c>
      <c r="M53" s="51">
        <f t="shared" si="55"/>
        <v>0.44736842105263158</v>
      </c>
      <c r="N53" s="51">
        <v>108</v>
      </c>
      <c r="O53" s="51">
        <f t="shared" ref="O53:P53" si="75">D53/7</f>
        <v>2.4285714285714284</v>
      </c>
      <c r="P53" s="51">
        <f t="shared" si="75"/>
        <v>0</v>
      </c>
      <c r="Q53" s="51">
        <f t="shared" si="57"/>
        <v>44</v>
      </c>
      <c r="R53" s="55">
        <f ca="1">IFERROR(__xludf.DUMMYFUNCTION("IFERROR(VLOOKUP($B$2,IMPORTRANGE(""https://docs.google.com/spreadsheets/d/1iVgg6Mw12RULLujzHmfOFIY8Q_KaAD8anoZzgtVAQ74/edit#gid=1503384807"",""Second Star - Summary!A1:AD2000""),9,FALSE),"""")"),360)</f>
        <v>360</v>
      </c>
      <c r="S53" s="53">
        <f ca="1">IFERROR(__xludf.DUMMYFUNCTION("IFERROR(VLOOKUP($B$2,IMPORTRANGE(""https://docs.google.com/spreadsheets/d/1iVgg6Mw12RULLujzHmfOFIY8Q_KaAD8anoZzgtVAQ74/edit#gid=1503384807"",""Second Star - Summary!A1:AD2000""),28,FALSE),"""")"),176)</f>
        <v>176</v>
      </c>
      <c r="T53" s="54">
        <f ca="1">IFERROR(__xludf.DUMMYFUNCTION("IFERROR(VLOOKUP($B$2,IMPORTRANGE(""https://docs.google.com/spreadsheets/d/1iVgg6Mw12RULLujzHmfOFIY8Q_KaAD8anoZzgtVAQ74/edit#gid=1503384807"",""Second Star - Summary!A1:AD2000""),29,FALSE),"""")"),44324)</f>
        <v>44324</v>
      </c>
      <c r="U53" s="55">
        <v>6</v>
      </c>
      <c r="V53" s="55">
        <f t="shared" si="58"/>
        <v>0.35294117647058826</v>
      </c>
      <c r="W53" s="55">
        <f t="shared" si="59"/>
        <v>4.0383333333333331</v>
      </c>
      <c r="X53" s="55">
        <v>0</v>
      </c>
      <c r="Y53" s="55" t="s">
        <v>35</v>
      </c>
      <c r="Z53" s="56">
        <f t="shared" si="65"/>
        <v>-2.4</v>
      </c>
      <c r="AA53" s="55">
        <v>0.16711177777777778</v>
      </c>
      <c r="AB53" s="55">
        <f t="shared" si="61"/>
        <v>-20.454481600000001</v>
      </c>
      <c r="AC53" s="55">
        <v>-7.32</v>
      </c>
      <c r="AD53" s="55">
        <v>-4.23267743589743</v>
      </c>
      <c r="AE53" s="55">
        <v>0</v>
      </c>
      <c r="AF53" s="55">
        <v>1.23893805309734</v>
      </c>
    </row>
    <row r="54" spans="1:32" s="57" customFormat="1">
      <c r="A54" s="2" t="s">
        <v>40</v>
      </c>
      <c r="B54" s="2"/>
      <c r="C54" s="51">
        <f t="shared" si="50"/>
        <v>15</v>
      </c>
      <c r="D54" s="51">
        <v>19</v>
      </c>
      <c r="E54" s="51">
        <v>0</v>
      </c>
      <c r="F54" s="51">
        <v>285</v>
      </c>
      <c r="G54" s="51">
        <v>-23.130000000000003</v>
      </c>
      <c r="H54" s="51">
        <f t="shared" si="51"/>
        <v>8.1157894736842109E-2</v>
      </c>
      <c r="I54" s="51">
        <f t="shared" si="52"/>
        <v>-8.1550043796670788E-2</v>
      </c>
      <c r="J54" s="51">
        <f t="shared" si="70"/>
        <v>-23.241762482051175</v>
      </c>
      <c r="K54" s="51">
        <f t="shared" si="54"/>
        <v>-1.2232506569500619</v>
      </c>
      <c r="L54" s="51">
        <v>69</v>
      </c>
      <c r="M54" s="51">
        <f t="shared" si="55"/>
        <v>0.27536231884057971</v>
      </c>
      <c r="N54" s="51">
        <v>86</v>
      </c>
      <c r="O54" s="51">
        <f t="shared" ref="O54:P54" si="76">D54/7</f>
        <v>2.7142857142857144</v>
      </c>
      <c r="P54" s="51">
        <f t="shared" si="76"/>
        <v>0</v>
      </c>
      <c r="Q54" s="51">
        <f t="shared" si="57"/>
        <v>31</v>
      </c>
      <c r="R54" s="55">
        <f ca="1">IFERROR(__xludf.DUMMYFUNCTION("IFERROR(VLOOKUP($B$2,IMPORTRANGE(""https://docs.google.com/spreadsheets/d/1iVgg6Mw12RULLujzHmfOFIY8Q_KaAD8anoZzgtVAQ74/edit#gid=1503384807"",""Second Star - Summary!A1:AD2000""),9,FALSE),"""")"),360)</f>
        <v>360</v>
      </c>
      <c r="S54" s="53">
        <f ca="1">IFERROR(__xludf.DUMMYFUNCTION("IFERROR(VLOOKUP($B$2,IMPORTRANGE(""https://docs.google.com/spreadsheets/d/1iVgg6Mw12RULLujzHmfOFIY8Q_KaAD8anoZzgtVAQ74/edit#gid=1503384807"",""Second Star - Summary!A1:AD2000""),28,FALSE),"""")"),176)</f>
        <v>176</v>
      </c>
      <c r="T54" s="54">
        <f ca="1">IFERROR(__xludf.DUMMYFUNCTION("IFERROR(VLOOKUP($B$2,IMPORTRANGE(""https://docs.google.com/spreadsheets/d/1iVgg6Mw12RULLujzHmfOFIY8Q_KaAD8anoZzgtVAQ74/edit#gid=1503384807"",""Second Star - Summary!A1:AD2000""),29,FALSE),"""")"),44324)</f>
        <v>44324</v>
      </c>
      <c r="U54" s="55">
        <v>7</v>
      </c>
      <c r="V54" s="55">
        <f t="shared" si="58"/>
        <v>0.36842105263157893</v>
      </c>
      <c r="W54" s="55">
        <f t="shared" si="59"/>
        <v>1.7792307692307694</v>
      </c>
      <c r="X54" s="55">
        <v>6</v>
      </c>
      <c r="Y54" s="55" t="s">
        <v>35</v>
      </c>
      <c r="Z54" s="56">
        <f t="shared" si="65"/>
        <v>-2.4</v>
      </c>
      <c r="AA54" s="55">
        <v>0.16711177777777778</v>
      </c>
      <c r="AB54" s="55">
        <f t="shared" si="61"/>
        <v>-22.860891200000001</v>
      </c>
      <c r="AC54" s="55">
        <v>-7.32</v>
      </c>
      <c r="AD54" s="55">
        <v>-4.23267743589743</v>
      </c>
      <c r="AE54" s="55">
        <v>0</v>
      </c>
      <c r="AF54" s="55">
        <v>2.2857142857142798</v>
      </c>
    </row>
    <row r="55" spans="1:32" s="57" customFormat="1" ht="15.75" customHeight="1">
      <c r="A55" s="2" t="s">
        <v>32</v>
      </c>
      <c r="B55" s="2"/>
      <c r="C55" s="51">
        <f t="shared" si="50"/>
        <v>15</v>
      </c>
      <c r="D55" s="51">
        <v>12</v>
      </c>
      <c r="E55" s="51">
        <v>0</v>
      </c>
      <c r="F55" s="51">
        <v>180</v>
      </c>
      <c r="G55" s="51">
        <v>-6.3500000000000005</v>
      </c>
      <c r="H55" s="51">
        <f t="shared" si="51"/>
        <v>3.5277777777777783E-2</v>
      </c>
      <c r="I55" s="51">
        <f t="shared" si="52"/>
        <v>-3.5669926837606447E-2</v>
      </c>
      <c r="J55" s="51">
        <f t="shared" si="70"/>
        <v>-6.4205868307691603</v>
      </c>
      <c r="K55" s="51">
        <f t="shared" si="54"/>
        <v>-0.53504890256409665</v>
      </c>
      <c r="L55" s="51">
        <v>28</v>
      </c>
      <c r="M55" s="51">
        <f t="shared" si="55"/>
        <v>0.42857142857142855</v>
      </c>
      <c r="N55" s="51">
        <v>74</v>
      </c>
      <c r="O55" s="51">
        <f t="shared" ref="O55:P55" si="77">D55/7</f>
        <v>1.7142857142857142</v>
      </c>
      <c r="P55" s="51">
        <f t="shared" si="77"/>
        <v>0</v>
      </c>
      <c r="Q55" s="51">
        <f t="shared" si="57"/>
        <v>43</v>
      </c>
      <c r="R55" s="55">
        <v>360</v>
      </c>
      <c r="S55" s="53">
        <v>184</v>
      </c>
      <c r="T55" s="54">
        <v>44247</v>
      </c>
      <c r="U55" s="55">
        <v>3</v>
      </c>
      <c r="V55" s="55">
        <f t="shared" si="58"/>
        <v>0.25</v>
      </c>
      <c r="W55" s="55">
        <f t="shared" si="59"/>
        <v>2.1166666666666667</v>
      </c>
      <c r="X55" s="55">
        <v>0</v>
      </c>
      <c r="Y55" s="55" t="s">
        <v>35</v>
      </c>
      <c r="Z55" s="56">
        <f t="shared" si="65"/>
        <v>-2.4</v>
      </c>
      <c r="AA55" s="55">
        <v>0.16711177777777778</v>
      </c>
      <c r="AB55" s="55">
        <f t="shared" si="61"/>
        <v>-14.4384576</v>
      </c>
      <c r="AC55" s="55">
        <v>-7.32</v>
      </c>
      <c r="AD55" s="55">
        <v>-4.23267743589743</v>
      </c>
      <c r="AE55" s="55">
        <v>0</v>
      </c>
      <c r="AF55" s="55">
        <v>3.9473684210526301</v>
      </c>
    </row>
    <row r="56" spans="1:32" s="57" customFormat="1" ht="15.75" customHeight="1">
      <c r="A56" s="2" t="s">
        <v>36</v>
      </c>
      <c r="B56" s="31" t="s">
        <v>1003</v>
      </c>
      <c r="C56" s="51">
        <f t="shared" si="50"/>
        <v>15</v>
      </c>
      <c r="D56" s="51">
        <v>6</v>
      </c>
      <c r="E56" s="51">
        <v>0</v>
      </c>
      <c r="F56" s="51">
        <v>90</v>
      </c>
      <c r="G56" s="51">
        <v>0</v>
      </c>
      <c r="H56" s="51">
        <f t="shared" si="51"/>
        <v>0</v>
      </c>
      <c r="I56" s="51">
        <f t="shared" si="52"/>
        <v>-3.9214905982869967E-4</v>
      </c>
      <c r="J56" s="51">
        <f t="shared" si="70"/>
        <v>-3.5293415384582971E-2</v>
      </c>
      <c r="K56" s="51">
        <f t="shared" si="54"/>
        <v>-5.8822358974304949E-3</v>
      </c>
      <c r="L56" s="51">
        <v>17</v>
      </c>
      <c r="M56" s="51">
        <f t="shared" si="55"/>
        <v>0.35294117647058826</v>
      </c>
      <c r="N56" s="51">
        <v>62</v>
      </c>
      <c r="O56" s="51">
        <f t="shared" ref="O56:P56" si="78">D56/7</f>
        <v>0.8571428571428571</v>
      </c>
      <c r="P56" s="51">
        <f t="shared" si="78"/>
        <v>0</v>
      </c>
      <c r="Q56" s="51">
        <f t="shared" si="57"/>
        <v>72</v>
      </c>
      <c r="R56" s="55">
        <f ca="1">IFERROR(__xludf.DUMMYFUNCTION("IFERROR(VLOOKUP($B$2,IMPORTRANGE(""https://docs.google.com/spreadsheets/d/1iVgg6Mw12RULLujzHmfOFIY8Q_KaAD8anoZzgtVAQ74/edit#gid=1503384807"",""Second Star - Summary!A1:AD2000""),9,FALSE),"""")"),360)</f>
        <v>360</v>
      </c>
      <c r="S56" s="53">
        <f ca="1">IFERROR(__xludf.DUMMYFUNCTION("IFERROR(VLOOKUP($B$2,IMPORTRANGE(""https://docs.google.com/spreadsheets/d/1iVgg6Mw12RULLujzHmfOFIY8Q_KaAD8anoZzgtVAQ74/edit#gid=1503384807"",""Second Star - Summary!A1:AD2000""),28,FALSE),"""")"),176)</f>
        <v>176</v>
      </c>
      <c r="T56" s="54">
        <f ca="1">IFERROR(__xludf.DUMMYFUNCTION("IFERROR(VLOOKUP($B$2,IMPORTRANGE(""https://docs.google.com/spreadsheets/d/1iVgg6Mw12RULLujzHmfOFIY8Q_KaAD8anoZzgtVAQ74/edit#gid=1503384807"",""Second Star - Summary!A1:AD2000""),29,FALSE),"""")"),44324)</f>
        <v>44324</v>
      </c>
      <c r="U56" s="55">
        <v>0</v>
      </c>
      <c r="V56" s="55">
        <f t="shared" si="58"/>
        <v>0</v>
      </c>
      <c r="W56" s="55">
        <f t="shared" si="59"/>
        <v>0</v>
      </c>
      <c r="X56" s="55">
        <v>0</v>
      </c>
      <c r="Y56" s="55" t="s">
        <v>35</v>
      </c>
      <c r="Z56" s="56">
        <f t="shared" si="65"/>
        <v>-2.4</v>
      </c>
      <c r="AA56" s="55">
        <v>0.16711177777777778</v>
      </c>
      <c r="AB56" s="55">
        <f t="shared" si="61"/>
        <v>-7.2192287999999998</v>
      </c>
      <c r="AC56" s="55">
        <v>-7.32</v>
      </c>
      <c r="AD56" s="55">
        <v>-4.23267743589743</v>
      </c>
      <c r="AE56" s="55">
        <v>0</v>
      </c>
      <c r="AF56" s="55">
        <v>1.7052631578947299</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138" priority="1" operator="lessThan">
      <formula>100</formula>
    </cfRule>
  </conditionalFormatting>
  <conditionalFormatting sqref="Q1:Q3 Q57:Q1000">
    <cfRule type="cellIs" dxfId="137" priority="2" operator="lessThan">
      <formula>100</formula>
    </cfRule>
  </conditionalFormatting>
  <conditionalFormatting sqref="I1:I3 I57:I1000">
    <cfRule type="cellIs" dxfId="136" priority="3" operator="lessThan">
      <formula>0.05</formula>
    </cfRule>
  </conditionalFormatting>
  <conditionalFormatting sqref="I4:I17">
    <cfRule type="cellIs" dxfId="135" priority="4" operator="lessThan">
      <formula>0.05</formula>
    </cfRule>
  </conditionalFormatting>
  <conditionalFormatting sqref="I18:I56">
    <cfRule type="cellIs" dxfId="134" priority="5" operator="lessThan">
      <formula>0.05</formula>
    </cfRule>
  </conditionalFormatting>
  <conditionalFormatting sqref="Q4:Q56">
    <cfRule type="cellIs" dxfId="133" priority="6" operator="lessThan">
      <formula>100</formula>
    </cfRule>
  </conditionalFormatting>
  <conditionalFormatting sqref="Q4:Q56">
    <cfRule type="cellIs" dxfId="132" priority="7" operator="lessThan">
      <formula>100</formula>
    </cfRule>
  </conditionalFormatting>
  <pageMargins left="0.7" right="0.7" top="0.75" bottom="0.75" header="0" footer="0"/>
  <pageSetup orientation="portrait"/>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7.6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Info!B1:BJ5000""),4,FALSE),"""")"),"All Weather Cornhole Bean Bags - Set of 8 American Flag Bags for Corn Hole Toss Game - Regulation Size &amp; Weight - 4 Red &amp; 4 Gray")</f>
        <v>All Weather Cornhole Bean Bags - Set of 8 American Flag Bags for Corn Hole Toss Game - Regulation Size &amp; Weight - 4 Red &amp; 4 Gray</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Info!B1:BJ5000""),3,FALSE),"""")"),"B07VRSS85Z")</f>
        <v>B07VRSS85Z</v>
      </c>
      <c r="B2" s="4" t="s">
        <v>1065</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12.299620512820507</v>
      </c>
      <c r="D3" s="8">
        <f>SUM(D4:D99819)</f>
        <v>433</v>
      </c>
      <c r="E3" s="8"/>
      <c r="F3" s="9">
        <f t="shared" ref="F3:G3" si="0">SUM(F4:F99819)</f>
        <v>8095.5299999999988</v>
      </c>
      <c r="G3" s="9">
        <f t="shared" si="0"/>
        <v>-699.05</v>
      </c>
      <c r="H3" s="10">
        <f t="shared" ref="H3:H39" si="1">G3/F3*-1</f>
        <v>8.6350121610320768E-2</v>
      </c>
      <c r="I3" s="11">
        <f t="shared" ref="I3:I39" si="2">J3/F3</f>
        <v>0.12114193036236154</v>
      </c>
      <c r="J3" s="9">
        <f>SUM(J4:J99819)</f>
        <v>980.70813150640856</v>
      </c>
      <c r="K3" s="9">
        <f t="shared" ref="K3:K39" si="3">J3/D3</f>
        <v>2.2649148533635302</v>
      </c>
      <c r="L3" s="8"/>
      <c r="M3" s="12"/>
      <c r="N3" s="13"/>
      <c r="O3" s="8" t="str">
        <f ca="1">IFERROR(__xludf.DUMMYFUNCTION("IFERROR(VLOOKUP(B2,IMPORTRANGE(""https://docs.google.com/spreadsheets/d/1owCo6kL_VFQ5nPTdNogErmCBLjNiktT1m3SzTrxu3R0/edit#gid=2146806407"",""Second Star - Compiled!b1:g5000""),2,FALSE),"""")"),"1 - March
1 - April
1 - May
1 - Jun
1 - Jul
1 - Aug
1 - Sept
1 - Oct
1 - Nov
1 - Dec
1 - Jan
1 - Feb")</f>
        <v>1 - March
1 - April
1 - May
1 - Jun
1 - Jul
1 - Aug
1 - Sept
1 - Oct
1 - Nov
1 - Dec
1 - Jan
1 - Feb</v>
      </c>
      <c r="P3" s="8"/>
      <c r="Q3" s="14"/>
      <c r="R3" s="13"/>
      <c r="S3" s="13"/>
      <c r="T3" s="13"/>
      <c r="U3" s="8">
        <f>SUM(U4:U99819)</f>
        <v>68</v>
      </c>
      <c r="V3" s="10">
        <f>AVERAGE(V4:V99819)</f>
        <v>0.1213911351295382</v>
      </c>
      <c r="W3" s="9">
        <f>ROUND(AVERAGE(W4:W99819),2)</f>
        <v>2.23</v>
      </c>
      <c r="X3" s="8"/>
      <c r="Y3" s="8"/>
      <c r="Z3" s="8"/>
      <c r="AA3" s="8"/>
      <c r="AB3" s="8"/>
      <c r="AC3" s="15"/>
      <c r="AD3" s="9"/>
      <c r="AE3" s="9">
        <f>SUM(AE4:AE99819)</f>
        <v>0</v>
      </c>
      <c r="AF3" s="16"/>
    </row>
    <row r="4" spans="1:32" s="57" customFormat="1">
      <c r="A4" s="17" t="s">
        <v>48</v>
      </c>
      <c r="B4" s="2" t="s">
        <v>810</v>
      </c>
      <c r="C4" s="50">
        <v>15.99</v>
      </c>
      <c r="D4" s="51">
        <v>7</v>
      </c>
      <c r="E4" s="51">
        <v>0</v>
      </c>
      <c r="F4" s="51">
        <v>111.93</v>
      </c>
      <c r="G4" s="51">
        <v>0</v>
      </c>
      <c r="H4" s="51">
        <f t="shared" si="1"/>
        <v>0</v>
      </c>
      <c r="I4" s="51">
        <f t="shared" si="2"/>
        <v>0.13156597157793212</v>
      </c>
      <c r="J4" s="51">
        <f t="shared" ref="J4:J38" si="4">F4*0.85+G4+AD4*D4+D4*AC4+AE4+AB4</f>
        <v>14.726179198717944</v>
      </c>
      <c r="K4" s="51">
        <f t="shared" si="3"/>
        <v>2.1037398855311347</v>
      </c>
      <c r="L4" s="51">
        <v>8</v>
      </c>
      <c r="M4" s="51">
        <f t="shared" ref="M4:M39" si="5">IFERROR(D4/L4,"-")</f>
        <v>0.875</v>
      </c>
      <c r="N4" s="51">
        <v>53</v>
      </c>
      <c r="O4" s="51">
        <f t="shared" ref="O4:P4" si="6">D4/7</f>
        <v>1</v>
      </c>
      <c r="P4" s="51">
        <f t="shared" si="6"/>
        <v>0</v>
      </c>
      <c r="Q4" s="51">
        <f t="shared" ref="Q4:Q39" si="7">ROUNDDOWN(N4/(O4+P4),0)</f>
        <v>53</v>
      </c>
      <c r="R4" s="52">
        <v>526</v>
      </c>
      <c r="S4" s="53">
        <v>150</v>
      </c>
      <c r="T4" s="54">
        <v>43876</v>
      </c>
      <c r="U4" s="52">
        <v>0</v>
      </c>
      <c r="V4" s="55">
        <f t="shared" ref="V4:V39" si="8">IFERROR(U4/D4,0)</f>
        <v>0</v>
      </c>
      <c r="W4" s="55">
        <f t="shared" ref="W4:W39" si="9">IFERROR(G4/(U4+X4)*-1,0)</f>
        <v>0</v>
      </c>
      <c r="X4" s="52">
        <v>0</v>
      </c>
      <c r="Y4" s="56" t="s">
        <v>35</v>
      </c>
      <c r="Z4" s="56">
        <f t="shared" ref="Z4:Z10" si="10">IF(OR(Y4="UsLargeStandardSize",Y4="UsSmallStandardSize"),-0.69,-0.48)</f>
        <v>-0.69</v>
      </c>
      <c r="AA4" s="55">
        <v>0.17283333333333331</v>
      </c>
      <c r="AB4" s="55">
        <f t="shared" ref="AB4:AB17" si="11">IFERROR((Z4*AA4*N4)/4,0)</f>
        <v>-1.5801287499999996</v>
      </c>
      <c r="AC4" s="55">
        <v>-7.16</v>
      </c>
      <c r="AD4" s="55">
        <v>-4.102027435897436</v>
      </c>
      <c r="AE4" s="55">
        <v>0</v>
      </c>
      <c r="AF4" s="55"/>
    </row>
    <row r="5" spans="1:32" s="57" customFormat="1" ht="15.75" customHeight="1">
      <c r="A5" s="2" t="s">
        <v>49</v>
      </c>
      <c r="B5" s="2" t="s">
        <v>946</v>
      </c>
      <c r="C5" s="51">
        <v>15.99</v>
      </c>
      <c r="D5" s="51">
        <v>0</v>
      </c>
      <c r="E5" s="51">
        <v>0</v>
      </c>
      <c r="F5" s="51">
        <v>0</v>
      </c>
      <c r="G5" s="51">
        <v>0</v>
      </c>
      <c r="H5" s="51" t="e">
        <f t="shared" si="1"/>
        <v>#DIV/0!</v>
      </c>
      <c r="I5" s="51" t="e">
        <f t="shared" si="2"/>
        <v>#DIV/0!</v>
      </c>
      <c r="J5" s="51">
        <f t="shared" si="4"/>
        <v>-1.5801287499999996</v>
      </c>
      <c r="K5" s="51" t="e">
        <f t="shared" si="3"/>
        <v>#DIV/0!</v>
      </c>
      <c r="L5" s="51">
        <v>0</v>
      </c>
      <c r="M5" s="51" t="str">
        <f t="shared" si="5"/>
        <v>-</v>
      </c>
      <c r="N5" s="51">
        <v>53</v>
      </c>
      <c r="O5" s="51">
        <f t="shared" ref="O5:P5" si="12">D5/7</f>
        <v>0</v>
      </c>
      <c r="P5" s="51">
        <f t="shared" si="12"/>
        <v>0</v>
      </c>
      <c r="Q5" s="51" t="e">
        <f t="shared" si="7"/>
        <v>#DIV/0!</v>
      </c>
      <c r="R5" s="55">
        <v>526</v>
      </c>
      <c r="S5" s="53">
        <v>150</v>
      </c>
      <c r="T5" s="54">
        <v>43876</v>
      </c>
      <c r="U5" s="55">
        <v>0</v>
      </c>
      <c r="V5" s="55">
        <f t="shared" si="8"/>
        <v>0</v>
      </c>
      <c r="W5" s="55">
        <f t="shared" si="9"/>
        <v>0</v>
      </c>
      <c r="X5" s="55">
        <v>0</v>
      </c>
      <c r="Y5" s="55" t="s">
        <v>35</v>
      </c>
      <c r="Z5" s="56">
        <f t="shared" si="10"/>
        <v>-0.69</v>
      </c>
      <c r="AA5" s="55">
        <v>0.17283333333333331</v>
      </c>
      <c r="AB5" s="55">
        <f t="shared" si="11"/>
        <v>-1.5801287499999996</v>
      </c>
      <c r="AC5" s="55">
        <v>-7.16</v>
      </c>
      <c r="AD5" s="55">
        <v>-4.102027435897436</v>
      </c>
      <c r="AE5" s="55">
        <v>0</v>
      </c>
      <c r="AF5" s="55"/>
    </row>
    <row r="6" spans="1:32" s="57" customFormat="1" ht="15.75" customHeight="1">
      <c r="A6" s="2" t="s">
        <v>51</v>
      </c>
      <c r="B6" s="2" t="s">
        <v>1066</v>
      </c>
      <c r="C6" s="51">
        <v>14.99</v>
      </c>
      <c r="D6" s="51">
        <v>1</v>
      </c>
      <c r="E6" s="51">
        <v>0</v>
      </c>
      <c r="F6" s="51">
        <v>15.99</v>
      </c>
      <c r="G6" s="51">
        <v>0</v>
      </c>
      <c r="H6" s="51">
        <f t="shared" si="1"/>
        <v>0</v>
      </c>
      <c r="I6" s="51">
        <f t="shared" si="2"/>
        <v>4.8727802633055858E-2</v>
      </c>
      <c r="J6" s="51">
        <f t="shared" si="4"/>
        <v>0.7791575641025632</v>
      </c>
      <c r="K6" s="51">
        <f t="shared" si="3"/>
        <v>0.7791575641025632</v>
      </c>
      <c r="L6" s="51">
        <v>10</v>
      </c>
      <c r="M6" s="51">
        <f t="shared" si="5"/>
        <v>0.1</v>
      </c>
      <c r="N6" s="51">
        <v>52</v>
      </c>
      <c r="O6" s="51">
        <f t="shared" ref="O6:P6" si="13">D6/7</f>
        <v>0.14285714285714285</v>
      </c>
      <c r="P6" s="51">
        <f t="shared" si="13"/>
        <v>0</v>
      </c>
      <c r="Q6" s="51">
        <f t="shared" si="7"/>
        <v>364</v>
      </c>
      <c r="R6" s="55">
        <v>528</v>
      </c>
      <c r="S6" s="53">
        <v>152</v>
      </c>
      <c r="T6" s="54">
        <v>43884</v>
      </c>
      <c r="U6" s="55">
        <v>0</v>
      </c>
      <c r="V6" s="55">
        <f t="shared" si="8"/>
        <v>0</v>
      </c>
      <c r="W6" s="55">
        <f t="shared" si="9"/>
        <v>0</v>
      </c>
      <c r="X6" s="55">
        <v>0</v>
      </c>
      <c r="Y6" s="55" t="s">
        <v>35</v>
      </c>
      <c r="Z6" s="56">
        <f t="shared" si="10"/>
        <v>-0.69</v>
      </c>
      <c r="AA6" s="55">
        <v>0.17283333333333331</v>
      </c>
      <c r="AB6" s="55">
        <f t="shared" si="11"/>
        <v>-1.5503149999999997</v>
      </c>
      <c r="AC6" s="55">
        <v>-7.16</v>
      </c>
      <c r="AD6" s="55">
        <v>-4.102027435897436</v>
      </c>
      <c r="AE6" s="55">
        <v>0</v>
      </c>
      <c r="AF6" s="55"/>
    </row>
    <row r="7" spans="1:32" s="57" customFormat="1" ht="15.75" customHeight="1">
      <c r="A7" s="2" t="s">
        <v>53</v>
      </c>
      <c r="B7" s="2" t="s">
        <v>810</v>
      </c>
      <c r="C7" s="51">
        <v>14.99</v>
      </c>
      <c r="D7" s="51">
        <v>2</v>
      </c>
      <c r="E7" s="51">
        <v>0</v>
      </c>
      <c r="F7" s="51">
        <v>29.98</v>
      </c>
      <c r="G7" s="51">
        <v>0</v>
      </c>
      <c r="H7" s="51">
        <f t="shared" si="1"/>
        <v>0</v>
      </c>
      <c r="I7" s="51">
        <f t="shared" si="2"/>
        <v>4.9969025290364587E-2</v>
      </c>
      <c r="J7" s="51">
        <f t="shared" si="4"/>
        <v>1.4980713782051303</v>
      </c>
      <c r="K7" s="51">
        <f t="shared" si="3"/>
        <v>0.74903568910256513</v>
      </c>
      <c r="L7" s="51">
        <v>12</v>
      </c>
      <c r="M7" s="51">
        <f t="shared" si="5"/>
        <v>0.16666666666666666</v>
      </c>
      <c r="N7" s="51">
        <v>49</v>
      </c>
      <c r="O7" s="51">
        <f t="shared" ref="O7:P7" si="14">D7/7</f>
        <v>0.2857142857142857</v>
      </c>
      <c r="P7" s="51">
        <f t="shared" si="14"/>
        <v>0</v>
      </c>
      <c r="Q7" s="51">
        <f t="shared" si="7"/>
        <v>171</v>
      </c>
      <c r="R7" s="55">
        <v>528</v>
      </c>
      <c r="S7" s="53">
        <v>152</v>
      </c>
      <c r="T7" s="54">
        <v>43884</v>
      </c>
      <c r="U7" s="55">
        <v>0</v>
      </c>
      <c r="V7" s="55">
        <f t="shared" si="8"/>
        <v>0</v>
      </c>
      <c r="W7" s="55">
        <f t="shared" si="9"/>
        <v>0</v>
      </c>
      <c r="X7" s="55">
        <v>0</v>
      </c>
      <c r="Y7" s="55" t="s">
        <v>35</v>
      </c>
      <c r="Z7" s="56">
        <f t="shared" si="10"/>
        <v>-0.69</v>
      </c>
      <c r="AA7" s="55">
        <v>0.17283333333333331</v>
      </c>
      <c r="AB7" s="55">
        <f t="shared" si="11"/>
        <v>-1.4608737499999997</v>
      </c>
      <c r="AC7" s="55">
        <v>-7.16</v>
      </c>
      <c r="AD7" s="55">
        <v>-4.102027435897436</v>
      </c>
      <c r="AE7" s="55">
        <v>0</v>
      </c>
      <c r="AF7" s="55"/>
    </row>
    <row r="8" spans="1:32" s="57" customFormat="1" ht="15.75" customHeight="1">
      <c r="A8" s="2" t="s">
        <v>54</v>
      </c>
      <c r="B8" s="2" t="s">
        <v>810</v>
      </c>
      <c r="C8" s="51">
        <v>14.99</v>
      </c>
      <c r="D8" s="51">
        <v>4</v>
      </c>
      <c r="E8" s="51">
        <v>0</v>
      </c>
      <c r="F8" s="51">
        <v>59.96</v>
      </c>
      <c r="G8" s="51">
        <v>0</v>
      </c>
      <c r="H8" s="51">
        <f t="shared" si="1"/>
        <v>0</v>
      </c>
      <c r="I8" s="51">
        <f t="shared" si="2"/>
        <v>7.5824845837395946E-2</v>
      </c>
      <c r="J8" s="51">
        <f t="shared" si="4"/>
        <v>4.5464577564102608</v>
      </c>
      <c r="K8" s="51">
        <f t="shared" si="3"/>
        <v>1.1366144391025652</v>
      </c>
      <c r="L8" s="51">
        <v>12</v>
      </c>
      <c r="M8" s="51">
        <f t="shared" si="5"/>
        <v>0.33333333333333331</v>
      </c>
      <c r="N8" s="51">
        <v>46</v>
      </c>
      <c r="O8" s="51">
        <f t="shared" ref="O8:P8" si="15">D8/7</f>
        <v>0.5714285714285714</v>
      </c>
      <c r="P8" s="51">
        <f t="shared" si="15"/>
        <v>0</v>
      </c>
      <c r="Q8" s="51">
        <f t="shared" si="7"/>
        <v>80</v>
      </c>
      <c r="R8" s="55">
        <v>528</v>
      </c>
      <c r="S8" s="53">
        <v>152</v>
      </c>
      <c r="T8" s="54">
        <v>43884</v>
      </c>
      <c r="U8" s="55">
        <v>0</v>
      </c>
      <c r="V8" s="55">
        <f t="shared" si="8"/>
        <v>0</v>
      </c>
      <c r="W8" s="55">
        <f t="shared" si="9"/>
        <v>0</v>
      </c>
      <c r="X8" s="55">
        <v>0</v>
      </c>
      <c r="Y8" s="55" t="s">
        <v>35</v>
      </c>
      <c r="Z8" s="56">
        <f t="shared" si="10"/>
        <v>-0.69</v>
      </c>
      <c r="AA8" s="55">
        <v>0.17283333333333331</v>
      </c>
      <c r="AB8" s="55">
        <f t="shared" si="11"/>
        <v>-1.3714324999999996</v>
      </c>
      <c r="AC8" s="55">
        <v>-7.16</v>
      </c>
      <c r="AD8" s="55">
        <v>-4.102027435897436</v>
      </c>
      <c r="AE8" s="55">
        <v>0</v>
      </c>
      <c r="AF8" s="55"/>
    </row>
    <row r="9" spans="1:32" s="57" customFormat="1" ht="15.75" customHeight="1">
      <c r="A9" s="2" t="s">
        <v>56</v>
      </c>
      <c r="B9" s="2" t="s">
        <v>810</v>
      </c>
      <c r="C9" s="51">
        <v>14.99</v>
      </c>
      <c r="D9" s="51">
        <v>1</v>
      </c>
      <c r="E9" s="51">
        <v>0</v>
      </c>
      <c r="F9" s="51">
        <v>14.99</v>
      </c>
      <c r="G9" s="51">
        <v>0</v>
      </c>
      <c r="H9" s="51">
        <f t="shared" si="1"/>
        <v>0</v>
      </c>
      <c r="I9" s="51">
        <f t="shared" si="2"/>
        <v>9.1963851969690032E-3</v>
      </c>
      <c r="J9" s="51">
        <f t="shared" si="4"/>
        <v>0.13785381410256536</v>
      </c>
      <c r="K9" s="51">
        <f t="shared" si="3"/>
        <v>0.13785381410256536</v>
      </c>
      <c r="L9" s="51">
        <v>11</v>
      </c>
      <c r="M9" s="51">
        <f t="shared" si="5"/>
        <v>9.0909090909090912E-2</v>
      </c>
      <c r="N9" s="51">
        <v>45</v>
      </c>
      <c r="O9" s="51">
        <f t="shared" ref="O9:P9" si="16">D9/7</f>
        <v>0.14285714285714285</v>
      </c>
      <c r="P9" s="51">
        <f t="shared" si="16"/>
        <v>0</v>
      </c>
      <c r="Q9" s="51">
        <f t="shared" si="7"/>
        <v>315</v>
      </c>
      <c r="R9" s="55">
        <v>376</v>
      </c>
      <c r="S9" s="53">
        <v>152</v>
      </c>
      <c r="T9" s="54">
        <v>43881</v>
      </c>
      <c r="U9" s="55">
        <v>0</v>
      </c>
      <c r="V9" s="55">
        <f t="shared" si="8"/>
        <v>0</v>
      </c>
      <c r="W9" s="55">
        <f t="shared" si="9"/>
        <v>0</v>
      </c>
      <c r="X9" s="55">
        <v>0</v>
      </c>
      <c r="Y9" s="55" t="s">
        <v>35</v>
      </c>
      <c r="Z9" s="56">
        <f t="shared" si="10"/>
        <v>-0.69</v>
      </c>
      <c r="AA9" s="55">
        <v>0.17283333333333331</v>
      </c>
      <c r="AB9" s="55">
        <f t="shared" si="11"/>
        <v>-1.3416187499999996</v>
      </c>
      <c r="AC9" s="55">
        <v>-7.16</v>
      </c>
      <c r="AD9" s="55">
        <v>-4.102027435897436</v>
      </c>
      <c r="AE9" s="55">
        <v>0</v>
      </c>
      <c r="AF9" s="55"/>
    </row>
    <row r="10" spans="1:32" s="57" customFormat="1" ht="15.75" customHeight="1">
      <c r="A10" s="2" t="s">
        <v>58</v>
      </c>
      <c r="B10" s="2" t="s">
        <v>1057</v>
      </c>
      <c r="C10" s="51">
        <v>14.99</v>
      </c>
      <c r="D10" s="51">
        <v>2</v>
      </c>
      <c r="E10" s="51">
        <v>0</v>
      </c>
      <c r="F10" s="51">
        <v>29.98</v>
      </c>
      <c r="G10" s="51">
        <v>0</v>
      </c>
      <c r="H10" s="51">
        <f t="shared" si="1"/>
        <v>0</v>
      </c>
      <c r="I10" s="51">
        <f t="shared" si="2"/>
        <v>5.5935753108910281E-2</v>
      </c>
      <c r="J10" s="51">
        <f t="shared" si="4"/>
        <v>1.6769538782051303</v>
      </c>
      <c r="K10" s="51">
        <f t="shared" si="3"/>
        <v>0.83847693910256516</v>
      </c>
      <c r="L10" s="51">
        <v>12</v>
      </c>
      <c r="M10" s="51">
        <f t="shared" si="5"/>
        <v>0.16666666666666666</v>
      </c>
      <c r="N10" s="51">
        <v>43</v>
      </c>
      <c r="O10" s="51">
        <f t="shared" ref="O10:P10" si="17">D10/7</f>
        <v>0.2857142857142857</v>
      </c>
      <c r="P10" s="51">
        <f t="shared" si="17"/>
        <v>0</v>
      </c>
      <c r="Q10" s="51">
        <f t="shared" si="7"/>
        <v>150</v>
      </c>
      <c r="R10" s="55">
        <v>376</v>
      </c>
      <c r="S10" s="53">
        <v>152</v>
      </c>
      <c r="T10" s="54">
        <v>43885</v>
      </c>
      <c r="U10" s="55">
        <v>0</v>
      </c>
      <c r="V10" s="55">
        <f t="shared" si="8"/>
        <v>0</v>
      </c>
      <c r="W10" s="55">
        <f t="shared" si="9"/>
        <v>0</v>
      </c>
      <c r="X10" s="55">
        <v>0</v>
      </c>
      <c r="Y10" s="55" t="s">
        <v>35</v>
      </c>
      <c r="Z10" s="56">
        <f t="shared" si="10"/>
        <v>-0.69</v>
      </c>
      <c r="AA10" s="55">
        <v>0.17283333333333331</v>
      </c>
      <c r="AB10" s="55">
        <f t="shared" si="11"/>
        <v>-1.2819912499999997</v>
      </c>
      <c r="AC10" s="55">
        <v>-7.16</v>
      </c>
      <c r="AD10" s="55">
        <v>-4.102027435897436</v>
      </c>
      <c r="AE10" s="55">
        <v>0</v>
      </c>
      <c r="AF10" s="55"/>
    </row>
    <row r="11" spans="1:32" s="57" customFormat="1" ht="15.75" customHeight="1">
      <c r="A11" s="2" t="s">
        <v>60</v>
      </c>
      <c r="B11" s="2" t="s">
        <v>1067</v>
      </c>
      <c r="C11" s="51">
        <v>14.99</v>
      </c>
      <c r="D11" s="51">
        <v>0</v>
      </c>
      <c r="E11" s="51">
        <v>0</v>
      </c>
      <c r="F11" s="51">
        <v>0</v>
      </c>
      <c r="G11" s="51">
        <v>0</v>
      </c>
      <c r="H11" s="51" t="e">
        <f t="shared" si="1"/>
        <v>#DIV/0!</v>
      </c>
      <c r="I11" s="51" t="e">
        <f t="shared" si="2"/>
        <v>#DIV/0!</v>
      </c>
      <c r="J11" s="51">
        <f t="shared" si="4"/>
        <v>-1.3934687499999998</v>
      </c>
      <c r="K11" s="51" t="e">
        <f t="shared" si="3"/>
        <v>#DIV/0!</v>
      </c>
      <c r="L11" s="51">
        <v>8</v>
      </c>
      <c r="M11" s="51">
        <f t="shared" si="5"/>
        <v>0</v>
      </c>
      <c r="N11" s="51">
        <v>43</v>
      </c>
      <c r="O11" s="51">
        <f t="shared" ref="O11:P11" si="18">D11/7</f>
        <v>0</v>
      </c>
      <c r="P11" s="51">
        <f t="shared" si="18"/>
        <v>0</v>
      </c>
      <c r="Q11" s="51" t="e">
        <f t="shared" si="7"/>
        <v>#DIV/0!</v>
      </c>
      <c r="R11" s="55">
        <v>224</v>
      </c>
      <c r="S11" s="53" t="s">
        <v>34</v>
      </c>
      <c r="T11" s="54" t="s">
        <v>34</v>
      </c>
      <c r="U11" s="55">
        <v>0</v>
      </c>
      <c r="V11" s="55">
        <f t="shared" si="8"/>
        <v>0</v>
      </c>
      <c r="W11" s="55">
        <f t="shared" si="9"/>
        <v>0</v>
      </c>
      <c r="X11" s="55">
        <v>0</v>
      </c>
      <c r="Y11" s="55" t="s">
        <v>35</v>
      </c>
      <c r="Z11" s="56">
        <f t="shared" ref="Z11:Z39" si="19">IF(OR(Y11="UsLargeStandardSize",Y11="UsSmallStandardSize"),-0.75,-0.48)</f>
        <v>-0.75</v>
      </c>
      <c r="AA11" s="55">
        <v>0.17283333333333331</v>
      </c>
      <c r="AB11" s="55">
        <f t="shared" si="11"/>
        <v>-1.3934687499999998</v>
      </c>
      <c r="AC11" s="55">
        <v>-7.32</v>
      </c>
      <c r="AD11" s="55">
        <v>-4.102027435897436</v>
      </c>
      <c r="AE11" s="55">
        <v>0</v>
      </c>
      <c r="AF11" s="55"/>
    </row>
    <row r="12" spans="1:32" s="57" customFormat="1" ht="15.75" customHeight="1">
      <c r="A12" s="2" t="s">
        <v>62</v>
      </c>
      <c r="B12" s="2" t="s">
        <v>810</v>
      </c>
      <c r="C12" s="51">
        <v>14.99</v>
      </c>
      <c r="D12" s="51">
        <v>3</v>
      </c>
      <c r="E12" s="51">
        <v>0</v>
      </c>
      <c r="F12" s="51">
        <v>44.97</v>
      </c>
      <c r="G12" s="51">
        <v>0</v>
      </c>
      <c r="H12" s="51">
        <f t="shared" si="1"/>
        <v>0</v>
      </c>
      <c r="I12" s="51">
        <f t="shared" si="2"/>
        <v>-4.817352807854812E-2</v>
      </c>
      <c r="J12" s="51">
        <f t="shared" si="4"/>
        <v>-2.1663635576923088</v>
      </c>
      <c r="K12" s="51">
        <f t="shared" si="3"/>
        <v>-0.72212118589743624</v>
      </c>
      <c r="L12" s="51">
        <v>16</v>
      </c>
      <c r="M12" s="51">
        <f t="shared" si="5"/>
        <v>0.1875</v>
      </c>
      <c r="N12" s="51">
        <v>189</v>
      </c>
      <c r="O12" s="51">
        <f t="shared" ref="O12:P12" si="20">D12/7</f>
        <v>0.42857142857142855</v>
      </c>
      <c r="P12" s="51">
        <f t="shared" si="20"/>
        <v>0</v>
      </c>
      <c r="Q12" s="51">
        <f t="shared" si="7"/>
        <v>441</v>
      </c>
      <c r="R12" s="55">
        <v>224</v>
      </c>
      <c r="S12" s="53" t="s">
        <v>34</v>
      </c>
      <c r="T12" s="54" t="s">
        <v>34</v>
      </c>
      <c r="U12" s="55">
        <v>0</v>
      </c>
      <c r="V12" s="55">
        <f t="shared" si="8"/>
        <v>0</v>
      </c>
      <c r="W12" s="55">
        <f t="shared" si="9"/>
        <v>0</v>
      </c>
      <c r="X12" s="55">
        <v>0</v>
      </c>
      <c r="Y12" s="55" t="s">
        <v>35</v>
      </c>
      <c r="Z12" s="56">
        <f t="shared" si="19"/>
        <v>-0.75</v>
      </c>
      <c r="AA12" s="55">
        <v>0.17283333333333331</v>
      </c>
      <c r="AB12" s="55">
        <f t="shared" si="11"/>
        <v>-6.1247812499999998</v>
      </c>
      <c r="AC12" s="55">
        <v>-7.32</v>
      </c>
      <c r="AD12" s="55">
        <v>-4.102027435897436</v>
      </c>
      <c r="AE12" s="55">
        <v>0</v>
      </c>
      <c r="AF12" s="55"/>
    </row>
    <row r="13" spans="1:32" s="57" customFormat="1" ht="15.75" customHeight="1">
      <c r="A13" s="2" t="s">
        <v>63</v>
      </c>
      <c r="B13" s="2" t="s">
        <v>1068</v>
      </c>
      <c r="C13" s="51">
        <v>14.99</v>
      </c>
      <c r="D13" s="51">
        <v>9</v>
      </c>
      <c r="E13" s="51">
        <v>0</v>
      </c>
      <c r="F13" s="51">
        <v>134.91</v>
      </c>
      <c r="G13" s="51">
        <v>0</v>
      </c>
      <c r="H13" s="51">
        <f t="shared" si="1"/>
        <v>0</v>
      </c>
      <c r="I13" s="51">
        <f t="shared" si="2"/>
        <v>4.4065742546312903E-2</v>
      </c>
      <c r="J13" s="51">
        <f t="shared" si="4"/>
        <v>5.9449093269230735</v>
      </c>
      <c r="K13" s="51">
        <f t="shared" si="3"/>
        <v>0.66054548076923036</v>
      </c>
      <c r="L13" s="51">
        <v>27</v>
      </c>
      <c r="M13" s="51">
        <f t="shared" si="5"/>
        <v>0.33333333333333331</v>
      </c>
      <c r="N13" s="51">
        <v>183</v>
      </c>
      <c r="O13" s="51">
        <f t="shared" ref="O13:P13" si="21">D13/7</f>
        <v>1.2857142857142858</v>
      </c>
      <c r="P13" s="51">
        <f t="shared" si="21"/>
        <v>0</v>
      </c>
      <c r="Q13" s="51">
        <f t="shared" si="7"/>
        <v>142</v>
      </c>
      <c r="R13" s="55">
        <v>224</v>
      </c>
      <c r="S13" s="53" t="s">
        <v>34</v>
      </c>
      <c r="T13" s="54" t="s">
        <v>34</v>
      </c>
      <c r="U13" s="55">
        <v>0</v>
      </c>
      <c r="V13" s="55">
        <f t="shared" si="8"/>
        <v>0</v>
      </c>
      <c r="W13" s="55">
        <f t="shared" si="9"/>
        <v>0</v>
      </c>
      <c r="X13" s="55">
        <v>0</v>
      </c>
      <c r="Y13" s="55" t="s">
        <v>35</v>
      </c>
      <c r="Z13" s="56">
        <f t="shared" si="19"/>
        <v>-0.75</v>
      </c>
      <c r="AA13" s="55">
        <v>0.17283333333333331</v>
      </c>
      <c r="AB13" s="55">
        <f t="shared" si="11"/>
        <v>-5.9303437499999996</v>
      </c>
      <c r="AC13" s="55">
        <v>-7.32</v>
      </c>
      <c r="AD13" s="55">
        <v>-4.102027435897436</v>
      </c>
      <c r="AE13" s="55">
        <v>0</v>
      </c>
      <c r="AF13" s="55"/>
    </row>
    <row r="14" spans="1:32" s="57" customFormat="1" ht="15.75" customHeight="1">
      <c r="A14" s="2" t="s">
        <v>64</v>
      </c>
      <c r="B14" s="2"/>
      <c r="C14" s="51">
        <v>14.99</v>
      </c>
      <c r="D14" s="51">
        <v>11</v>
      </c>
      <c r="E14" s="51">
        <v>0</v>
      </c>
      <c r="F14" s="51">
        <v>165.8</v>
      </c>
      <c r="G14" s="51">
        <v>0</v>
      </c>
      <c r="H14" s="51">
        <f t="shared" si="1"/>
        <v>0</v>
      </c>
      <c r="I14" s="51">
        <f t="shared" si="2"/>
        <v>5.9369410163620066E-2</v>
      </c>
      <c r="J14" s="51">
        <f t="shared" si="4"/>
        <v>9.8434482051282082</v>
      </c>
      <c r="K14" s="51">
        <f t="shared" si="3"/>
        <v>0.89485892773892806</v>
      </c>
      <c r="L14" s="51">
        <v>27</v>
      </c>
      <c r="M14" s="51">
        <f t="shared" si="5"/>
        <v>0.40740740740740738</v>
      </c>
      <c r="N14" s="51">
        <v>168</v>
      </c>
      <c r="O14" s="51">
        <f t="shared" ref="O14:P14" si="22">D14/7</f>
        <v>1.5714285714285714</v>
      </c>
      <c r="P14" s="51">
        <f t="shared" si="22"/>
        <v>0</v>
      </c>
      <c r="Q14" s="51">
        <f t="shared" si="7"/>
        <v>106</v>
      </c>
      <c r="R14" s="55">
        <v>224</v>
      </c>
      <c r="S14" s="53" t="s">
        <v>34</v>
      </c>
      <c r="T14" s="54" t="s">
        <v>34</v>
      </c>
      <c r="U14" s="55">
        <v>0</v>
      </c>
      <c r="V14" s="55">
        <f t="shared" si="8"/>
        <v>0</v>
      </c>
      <c r="W14" s="55">
        <f t="shared" si="9"/>
        <v>0</v>
      </c>
      <c r="X14" s="55">
        <v>0</v>
      </c>
      <c r="Y14" s="55" t="s">
        <v>35</v>
      </c>
      <c r="Z14" s="56">
        <f t="shared" si="19"/>
        <v>-0.75</v>
      </c>
      <c r="AA14" s="55">
        <v>0.17283333333333331</v>
      </c>
      <c r="AB14" s="55">
        <f t="shared" si="11"/>
        <v>-5.4442499999999994</v>
      </c>
      <c r="AC14" s="55">
        <v>-7.32</v>
      </c>
      <c r="AD14" s="55">
        <v>-4.102027435897436</v>
      </c>
      <c r="AE14" s="55">
        <v>0</v>
      </c>
      <c r="AF14" s="55"/>
    </row>
    <row r="15" spans="1:32" s="57" customFormat="1" ht="15.75" customHeight="1">
      <c r="A15" s="2" t="s">
        <v>65</v>
      </c>
      <c r="B15" s="2" t="s">
        <v>1069</v>
      </c>
      <c r="C15" s="51">
        <v>14</v>
      </c>
      <c r="D15" s="51">
        <v>7</v>
      </c>
      <c r="E15" s="51">
        <v>0</v>
      </c>
      <c r="F15" s="51">
        <v>104.77000000000001</v>
      </c>
      <c r="G15" s="51">
        <v>0</v>
      </c>
      <c r="H15" s="51">
        <f t="shared" si="1"/>
        <v>0</v>
      </c>
      <c r="I15" s="51">
        <f t="shared" si="2"/>
        <v>3.5514655423479501E-2</v>
      </c>
      <c r="J15" s="51">
        <f t="shared" si="4"/>
        <v>3.7208704487179478</v>
      </c>
      <c r="K15" s="51">
        <f t="shared" si="3"/>
        <v>0.53155292124542108</v>
      </c>
      <c r="L15" s="51">
        <v>21</v>
      </c>
      <c r="M15" s="51">
        <f t="shared" si="5"/>
        <v>0.33333333333333331</v>
      </c>
      <c r="N15" s="51">
        <v>166</v>
      </c>
      <c r="O15" s="51">
        <f t="shared" ref="O15:P15" si="23">D15/7</f>
        <v>1</v>
      </c>
      <c r="P15" s="51">
        <f t="shared" si="23"/>
        <v>0</v>
      </c>
      <c r="Q15" s="51">
        <f t="shared" si="7"/>
        <v>166</v>
      </c>
      <c r="R15" s="55">
        <v>224</v>
      </c>
      <c r="S15" s="53" t="s">
        <v>34</v>
      </c>
      <c r="T15" s="54" t="s">
        <v>34</v>
      </c>
      <c r="U15" s="55">
        <v>0</v>
      </c>
      <c r="V15" s="55">
        <f t="shared" si="8"/>
        <v>0</v>
      </c>
      <c r="W15" s="55">
        <f t="shared" si="9"/>
        <v>0</v>
      </c>
      <c r="X15" s="55">
        <v>0</v>
      </c>
      <c r="Y15" s="55" t="s">
        <v>35</v>
      </c>
      <c r="Z15" s="56">
        <f t="shared" si="19"/>
        <v>-0.75</v>
      </c>
      <c r="AA15" s="55">
        <v>0.17283333333333331</v>
      </c>
      <c r="AB15" s="55">
        <f t="shared" si="11"/>
        <v>-5.3794374999999999</v>
      </c>
      <c r="AC15" s="55">
        <v>-7.32</v>
      </c>
      <c r="AD15" s="55">
        <v>-4.102027435897436</v>
      </c>
      <c r="AE15" s="55">
        <v>0</v>
      </c>
      <c r="AF15" s="55"/>
    </row>
    <row r="16" spans="1:32" s="57" customFormat="1" ht="15.75" customHeight="1">
      <c r="A16" s="2" t="s">
        <v>66</v>
      </c>
      <c r="B16" s="2" t="s">
        <v>983</v>
      </c>
      <c r="C16" s="51">
        <v>14</v>
      </c>
      <c r="D16" s="51">
        <v>7</v>
      </c>
      <c r="E16" s="51">
        <v>0</v>
      </c>
      <c r="F16" s="51">
        <v>101.96000000000001</v>
      </c>
      <c r="G16" s="51">
        <v>0</v>
      </c>
      <c r="H16" s="51">
        <f t="shared" si="1"/>
        <v>0</v>
      </c>
      <c r="I16" s="51">
        <f t="shared" si="2"/>
        <v>1.5928076684169814E-2</v>
      </c>
      <c r="J16" s="51">
        <f t="shared" si="4"/>
        <v>1.6240266987179544</v>
      </c>
      <c r="K16" s="51">
        <f t="shared" si="3"/>
        <v>0.2320038141025649</v>
      </c>
      <c r="L16" s="51">
        <v>36</v>
      </c>
      <c r="M16" s="51">
        <f t="shared" si="5"/>
        <v>0.19444444444444445</v>
      </c>
      <c r="N16" s="51">
        <v>157</v>
      </c>
      <c r="O16" s="51">
        <f t="shared" ref="O16:P16" si="24">D16/7</f>
        <v>1</v>
      </c>
      <c r="P16" s="51">
        <f t="shared" si="24"/>
        <v>0</v>
      </c>
      <c r="Q16" s="51">
        <f t="shared" si="7"/>
        <v>157</v>
      </c>
      <c r="R16" s="55">
        <v>224</v>
      </c>
      <c r="S16" s="53" t="s">
        <v>34</v>
      </c>
      <c r="T16" s="54" t="s">
        <v>34</v>
      </c>
      <c r="U16" s="55">
        <v>0</v>
      </c>
      <c r="V16" s="55">
        <f t="shared" si="8"/>
        <v>0</v>
      </c>
      <c r="W16" s="55">
        <f t="shared" si="9"/>
        <v>0</v>
      </c>
      <c r="X16" s="55">
        <v>0</v>
      </c>
      <c r="Y16" s="55" t="s">
        <v>35</v>
      </c>
      <c r="Z16" s="56">
        <f t="shared" si="19"/>
        <v>-0.75</v>
      </c>
      <c r="AA16" s="55">
        <v>0.17283333333333331</v>
      </c>
      <c r="AB16" s="55">
        <f t="shared" si="11"/>
        <v>-5.0877812499999999</v>
      </c>
      <c r="AC16" s="55">
        <v>-7.32</v>
      </c>
      <c r="AD16" s="55">
        <v>-4.102027435897436</v>
      </c>
      <c r="AE16" s="55">
        <v>0</v>
      </c>
      <c r="AF16" s="55"/>
    </row>
    <row r="17" spans="1:32" s="57" customFormat="1" ht="15.75" customHeight="1">
      <c r="A17" s="2" t="s">
        <v>67</v>
      </c>
      <c r="B17" s="2" t="s">
        <v>1070</v>
      </c>
      <c r="C17" s="51">
        <v>14.99</v>
      </c>
      <c r="D17" s="51">
        <v>2</v>
      </c>
      <c r="E17" s="51">
        <v>0</v>
      </c>
      <c r="F17" s="51">
        <v>28.990000000000002</v>
      </c>
      <c r="G17" s="51">
        <v>0</v>
      </c>
      <c r="H17" s="51">
        <f t="shared" si="1"/>
        <v>0</v>
      </c>
      <c r="I17" s="51">
        <f t="shared" si="2"/>
        <v>-0.10120273790254823</v>
      </c>
      <c r="J17" s="51">
        <f t="shared" si="4"/>
        <v>-2.9338673717948733</v>
      </c>
      <c r="K17" s="51">
        <f t="shared" si="3"/>
        <v>-1.4669336858974367</v>
      </c>
      <c r="L17" s="51">
        <v>40</v>
      </c>
      <c r="M17" s="51">
        <f t="shared" si="5"/>
        <v>0.05</v>
      </c>
      <c r="N17" s="51">
        <v>146</v>
      </c>
      <c r="O17" s="51">
        <f t="shared" ref="O17:P17" si="25">D17/7</f>
        <v>0.2857142857142857</v>
      </c>
      <c r="P17" s="51">
        <f t="shared" si="25"/>
        <v>0</v>
      </c>
      <c r="Q17" s="51">
        <f t="shared" si="7"/>
        <v>511</v>
      </c>
      <c r="R17" s="55">
        <v>224</v>
      </c>
      <c r="S17" s="53" t="s">
        <v>34</v>
      </c>
      <c r="T17" s="54" t="s">
        <v>34</v>
      </c>
      <c r="U17" s="55">
        <v>0</v>
      </c>
      <c r="V17" s="55">
        <f t="shared" si="8"/>
        <v>0</v>
      </c>
      <c r="W17" s="55">
        <f t="shared" si="9"/>
        <v>0</v>
      </c>
      <c r="X17" s="55">
        <v>0</v>
      </c>
      <c r="Y17" s="55" t="s">
        <v>35</v>
      </c>
      <c r="Z17" s="56">
        <f t="shared" si="19"/>
        <v>-0.75</v>
      </c>
      <c r="AA17" s="55">
        <v>0.17283333333333331</v>
      </c>
      <c r="AB17" s="55">
        <f t="shared" si="11"/>
        <v>-4.7313124999999996</v>
      </c>
      <c r="AC17" s="55">
        <v>-7.32</v>
      </c>
      <c r="AD17" s="55">
        <v>-4.102027435897436</v>
      </c>
      <c r="AE17" s="55">
        <v>0</v>
      </c>
      <c r="AF17" s="55"/>
    </row>
    <row r="18" spans="1:32" s="57" customFormat="1" ht="15.75" customHeight="1">
      <c r="A18" s="2" t="s">
        <v>69</v>
      </c>
      <c r="B18" s="2" t="s">
        <v>810</v>
      </c>
      <c r="C18" s="51">
        <v>15</v>
      </c>
      <c r="D18" s="51">
        <v>6</v>
      </c>
      <c r="E18" s="51">
        <v>0</v>
      </c>
      <c r="F18" s="51">
        <v>87.99</v>
      </c>
      <c r="G18" s="51">
        <v>0</v>
      </c>
      <c r="H18" s="51">
        <f t="shared" si="1"/>
        <v>0</v>
      </c>
      <c r="I18" s="51">
        <f t="shared" si="2"/>
        <v>4.4619677061204496E-2</v>
      </c>
      <c r="J18" s="51">
        <f t="shared" si="4"/>
        <v>3.9260853846153836</v>
      </c>
      <c r="K18" s="51">
        <f t="shared" si="3"/>
        <v>0.65434756410256389</v>
      </c>
      <c r="L18" s="51">
        <v>98</v>
      </c>
      <c r="M18" s="51">
        <f t="shared" si="5"/>
        <v>6.1224489795918366E-2</v>
      </c>
      <c r="N18" s="51">
        <v>127</v>
      </c>
      <c r="O18" s="51">
        <f t="shared" ref="O18:P18" si="26">D18/7</f>
        <v>0.8571428571428571</v>
      </c>
      <c r="P18" s="51">
        <f t="shared" si="26"/>
        <v>0</v>
      </c>
      <c r="Q18" s="51">
        <f t="shared" si="7"/>
        <v>148</v>
      </c>
      <c r="R18" s="55">
        <v>224</v>
      </c>
      <c r="S18" s="53" t="s">
        <v>34</v>
      </c>
      <c r="T18" s="54" t="s">
        <v>34</v>
      </c>
      <c r="U18" s="55">
        <v>0</v>
      </c>
      <c r="V18" s="55">
        <f t="shared" si="8"/>
        <v>0</v>
      </c>
      <c r="W18" s="55">
        <f t="shared" si="9"/>
        <v>0</v>
      </c>
      <c r="X18" s="55">
        <v>0</v>
      </c>
      <c r="Y18" s="55" t="s">
        <v>35</v>
      </c>
      <c r="Z18" s="56">
        <f t="shared" si="19"/>
        <v>-0.75</v>
      </c>
      <c r="AA18" s="55">
        <v>0.17283333333333331</v>
      </c>
      <c r="AB18" s="58">
        <f t="shared" ref="AB18:AB39" si="27">IFERROR(Z18*AA18*D18*3,0)</f>
        <v>-2.3332499999999996</v>
      </c>
      <c r="AC18" s="55">
        <v>-7.32</v>
      </c>
      <c r="AD18" s="55">
        <v>-4.102027435897436</v>
      </c>
      <c r="AE18" s="55">
        <v>0</v>
      </c>
      <c r="AF18" s="55"/>
    </row>
    <row r="19" spans="1:32" s="57" customFormat="1" ht="15.75" customHeight="1">
      <c r="A19" s="2" t="s">
        <v>71</v>
      </c>
      <c r="B19" s="2" t="s">
        <v>1071</v>
      </c>
      <c r="C19" s="51">
        <v>15</v>
      </c>
      <c r="D19" s="51">
        <v>25</v>
      </c>
      <c r="E19" s="51">
        <v>0</v>
      </c>
      <c r="F19" s="51">
        <v>353.53</v>
      </c>
      <c r="G19" s="51">
        <v>0</v>
      </c>
      <c r="H19" s="51">
        <f t="shared" si="1"/>
        <v>0</v>
      </c>
      <c r="I19" s="51">
        <f t="shared" si="2"/>
        <v>1.478782310571689E-2</v>
      </c>
      <c r="J19" s="51">
        <f t="shared" si="4"/>
        <v>5.2279391025640916</v>
      </c>
      <c r="K19" s="51">
        <f t="shared" si="3"/>
        <v>0.20911756410256366</v>
      </c>
      <c r="L19" s="51">
        <v>80</v>
      </c>
      <c r="M19" s="51">
        <f t="shared" si="5"/>
        <v>0.3125</v>
      </c>
      <c r="N19" s="51">
        <v>120</v>
      </c>
      <c r="O19" s="51">
        <f t="shared" ref="O19:P19" si="28">D19/7</f>
        <v>3.5714285714285716</v>
      </c>
      <c r="P19" s="51">
        <f t="shared" si="28"/>
        <v>0</v>
      </c>
      <c r="Q19" s="51">
        <f t="shared" si="7"/>
        <v>33</v>
      </c>
      <c r="R19" s="55">
        <v>364</v>
      </c>
      <c r="S19" s="53">
        <v>140</v>
      </c>
      <c r="T19" s="54">
        <v>43990</v>
      </c>
      <c r="U19" s="55">
        <v>0</v>
      </c>
      <c r="V19" s="55">
        <f t="shared" si="8"/>
        <v>0</v>
      </c>
      <c r="W19" s="55">
        <f t="shared" si="9"/>
        <v>0</v>
      </c>
      <c r="X19" s="55">
        <v>0</v>
      </c>
      <c r="Y19" s="55" t="s">
        <v>35</v>
      </c>
      <c r="Z19" s="56">
        <f t="shared" si="19"/>
        <v>-0.75</v>
      </c>
      <c r="AA19" s="55">
        <v>0.17283333333333331</v>
      </c>
      <c r="AB19" s="55">
        <f t="shared" si="27"/>
        <v>-9.7218749999999989</v>
      </c>
      <c r="AC19" s="55">
        <v>-7.32</v>
      </c>
      <c r="AD19" s="55">
        <v>-4.102027435897436</v>
      </c>
      <c r="AE19" s="55">
        <v>0</v>
      </c>
      <c r="AF19" s="55"/>
    </row>
    <row r="20" spans="1:32" s="57" customFormat="1" ht="15.75" customHeight="1">
      <c r="A20" s="2" t="s">
        <v>73</v>
      </c>
      <c r="B20" s="2" t="s">
        <v>954</v>
      </c>
      <c r="C20" s="51">
        <v>17</v>
      </c>
      <c r="D20" s="51">
        <v>16</v>
      </c>
      <c r="E20" s="51">
        <v>0</v>
      </c>
      <c r="F20" s="51">
        <v>238.98000000000002</v>
      </c>
      <c r="G20" s="51">
        <v>0</v>
      </c>
      <c r="H20" s="51">
        <f t="shared" si="1"/>
        <v>0</v>
      </c>
      <c r="I20" s="51">
        <f t="shared" si="2"/>
        <v>5.9245798918909708E-2</v>
      </c>
      <c r="J20" s="51">
        <f t="shared" si="4"/>
        <v>14.158561025641044</v>
      </c>
      <c r="K20" s="51">
        <f t="shared" si="3"/>
        <v>0.88491006410256523</v>
      </c>
      <c r="L20" s="51">
        <v>61</v>
      </c>
      <c r="M20" s="51">
        <f t="shared" si="5"/>
        <v>0.26229508196721313</v>
      </c>
      <c r="N20" s="51">
        <v>98</v>
      </c>
      <c r="O20" s="51">
        <f t="shared" ref="O20:P20" si="29">D20/7</f>
        <v>2.2857142857142856</v>
      </c>
      <c r="P20" s="51">
        <f t="shared" si="29"/>
        <v>0</v>
      </c>
      <c r="Q20" s="51">
        <f t="shared" si="7"/>
        <v>42</v>
      </c>
      <c r="R20" s="55">
        <v>224</v>
      </c>
      <c r="S20" s="53">
        <v>140</v>
      </c>
      <c r="T20" s="54">
        <v>43990</v>
      </c>
      <c r="U20" s="55">
        <v>0</v>
      </c>
      <c r="V20" s="55">
        <f t="shared" si="8"/>
        <v>0</v>
      </c>
      <c r="W20" s="55">
        <f t="shared" si="9"/>
        <v>0</v>
      </c>
      <c r="X20" s="55">
        <v>0</v>
      </c>
      <c r="Y20" s="55" t="s">
        <v>35</v>
      </c>
      <c r="Z20" s="56">
        <f t="shared" si="19"/>
        <v>-0.75</v>
      </c>
      <c r="AA20" s="55">
        <v>0.17283333333333331</v>
      </c>
      <c r="AB20" s="55">
        <f t="shared" si="27"/>
        <v>-6.2219999999999995</v>
      </c>
      <c r="AC20" s="55">
        <v>-7.32</v>
      </c>
      <c r="AD20" s="55">
        <v>-4.102027435897436</v>
      </c>
      <c r="AE20" s="55">
        <v>0</v>
      </c>
      <c r="AF20" s="55"/>
    </row>
    <row r="21" spans="1:32" s="57" customFormat="1" ht="15.75" customHeight="1">
      <c r="A21" s="2" t="s">
        <v>75</v>
      </c>
      <c r="B21" s="2" t="s">
        <v>1072</v>
      </c>
      <c r="C21" s="51">
        <v>18.02</v>
      </c>
      <c r="D21" s="51">
        <v>14</v>
      </c>
      <c r="E21" s="51">
        <v>0</v>
      </c>
      <c r="F21" s="51">
        <v>222.99</v>
      </c>
      <c r="G21" s="51">
        <v>-0.08</v>
      </c>
      <c r="H21" s="51">
        <f t="shared" si="1"/>
        <v>3.5876048253284898E-4</v>
      </c>
      <c r="I21" s="51">
        <f t="shared" si="2"/>
        <v>0.10811635453354808</v>
      </c>
      <c r="J21" s="51">
        <f t="shared" si="4"/>
        <v>24.108865897435887</v>
      </c>
      <c r="K21" s="51">
        <f t="shared" si="3"/>
        <v>1.7220618498168492</v>
      </c>
      <c r="L21" s="51">
        <v>40</v>
      </c>
      <c r="M21" s="51">
        <f t="shared" si="5"/>
        <v>0.35</v>
      </c>
      <c r="N21" s="51">
        <v>92</v>
      </c>
      <c r="O21" s="51">
        <f t="shared" ref="O21:P21" si="30">D21/7</f>
        <v>2</v>
      </c>
      <c r="P21" s="51">
        <f t="shared" si="30"/>
        <v>0</v>
      </c>
      <c r="Q21" s="51">
        <f t="shared" si="7"/>
        <v>46</v>
      </c>
      <c r="R21" s="55">
        <v>224</v>
      </c>
      <c r="S21" s="53">
        <v>140</v>
      </c>
      <c r="T21" s="54">
        <v>43990</v>
      </c>
      <c r="U21" s="55">
        <v>0</v>
      </c>
      <c r="V21" s="55">
        <f t="shared" si="8"/>
        <v>0</v>
      </c>
      <c r="W21" s="55">
        <f t="shared" si="9"/>
        <v>0</v>
      </c>
      <c r="X21" s="55">
        <v>0</v>
      </c>
      <c r="Y21" s="55" t="s">
        <v>35</v>
      </c>
      <c r="Z21" s="56">
        <f t="shared" si="19"/>
        <v>-0.75</v>
      </c>
      <c r="AA21" s="55">
        <v>0.17283333333333331</v>
      </c>
      <c r="AB21" s="55">
        <f t="shared" si="27"/>
        <v>-5.4442499999999994</v>
      </c>
      <c r="AC21" s="55">
        <v>-7.32</v>
      </c>
      <c r="AD21" s="55">
        <v>-4.102027435897436</v>
      </c>
      <c r="AE21" s="55">
        <v>0</v>
      </c>
      <c r="AF21" s="55"/>
    </row>
    <row r="22" spans="1:32" s="57" customFormat="1" ht="15.75" customHeight="1">
      <c r="A22" s="2" t="s">
        <v>77</v>
      </c>
      <c r="B22" s="2" t="s">
        <v>810</v>
      </c>
      <c r="C22" s="51">
        <v>18.02</v>
      </c>
      <c r="D22" s="51">
        <v>7</v>
      </c>
      <c r="E22" s="51">
        <v>0</v>
      </c>
      <c r="F22" s="51">
        <v>125.02</v>
      </c>
      <c r="G22" s="51">
        <v>-0.24</v>
      </c>
      <c r="H22" s="51">
        <f t="shared" si="1"/>
        <v>1.9196928491441369E-3</v>
      </c>
      <c r="I22" s="51">
        <f t="shared" si="2"/>
        <v>0.18677557949702406</v>
      </c>
      <c r="J22" s="51">
        <f t="shared" si="4"/>
        <v>23.350682948717946</v>
      </c>
      <c r="K22" s="51">
        <f t="shared" si="3"/>
        <v>3.3358118498168494</v>
      </c>
      <c r="L22" s="51">
        <v>29</v>
      </c>
      <c r="M22" s="51">
        <f t="shared" si="5"/>
        <v>0.2413793103448276</v>
      </c>
      <c r="N22" s="51">
        <v>85</v>
      </c>
      <c r="O22" s="51">
        <f t="shared" ref="O22:P22" si="31">D22/7</f>
        <v>1</v>
      </c>
      <c r="P22" s="51">
        <f t="shared" si="31"/>
        <v>0</v>
      </c>
      <c r="Q22" s="51">
        <f t="shared" si="7"/>
        <v>85</v>
      </c>
      <c r="R22" s="55">
        <v>224</v>
      </c>
      <c r="S22" s="53">
        <v>140</v>
      </c>
      <c r="T22" s="54">
        <v>43992</v>
      </c>
      <c r="U22" s="55">
        <v>0</v>
      </c>
      <c r="V22" s="55">
        <f t="shared" si="8"/>
        <v>0</v>
      </c>
      <c r="W22" s="55">
        <f t="shared" si="9"/>
        <v>0.12</v>
      </c>
      <c r="X22" s="55">
        <v>2</v>
      </c>
      <c r="Y22" s="55" t="s">
        <v>35</v>
      </c>
      <c r="Z22" s="56">
        <f t="shared" si="19"/>
        <v>-0.75</v>
      </c>
      <c r="AA22" s="55">
        <v>0.17283333333333331</v>
      </c>
      <c r="AB22" s="55">
        <f t="shared" si="27"/>
        <v>-2.7221249999999997</v>
      </c>
      <c r="AC22" s="55">
        <v>-7.32</v>
      </c>
      <c r="AD22" s="55">
        <v>-4.102027435897436</v>
      </c>
      <c r="AE22" s="55">
        <v>0</v>
      </c>
      <c r="AF22" s="55"/>
    </row>
    <row r="23" spans="1:32" s="57" customFormat="1" ht="15.75" customHeight="1">
      <c r="A23" s="2" t="s">
        <v>79</v>
      </c>
      <c r="B23" s="2" t="s">
        <v>957</v>
      </c>
      <c r="C23" s="51">
        <v>18.02</v>
      </c>
      <c r="D23" s="51">
        <v>2</v>
      </c>
      <c r="E23" s="51">
        <v>0</v>
      </c>
      <c r="F23" s="51">
        <v>36</v>
      </c>
      <c r="G23" s="51">
        <v>0</v>
      </c>
      <c r="H23" s="51">
        <f t="shared" si="1"/>
        <v>0</v>
      </c>
      <c r="I23" s="51">
        <f t="shared" si="2"/>
        <v>0.19383875356125352</v>
      </c>
      <c r="J23" s="51">
        <f t="shared" si="4"/>
        <v>6.9781951282051269</v>
      </c>
      <c r="K23" s="51">
        <f t="shared" si="3"/>
        <v>3.4890975641025634</v>
      </c>
      <c r="L23" s="51">
        <v>0</v>
      </c>
      <c r="M23" s="51" t="str">
        <f t="shared" si="5"/>
        <v>-</v>
      </c>
      <c r="N23" s="51">
        <v>84</v>
      </c>
      <c r="O23" s="51">
        <f t="shared" ref="O23:P23" si="32">D23/7</f>
        <v>0.2857142857142857</v>
      </c>
      <c r="P23" s="51">
        <f t="shared" si="32"/>
        <v>0</v>
      </c>
      <c r="Q23" s="51">
        <f t="shared" si="7"/>
        <v>294</v>
      </c>
      <c r="R23" s="55">
        <v>224</v>
      </c>
      <c r="S23" s="53">
        <v>140</v>
      </c>
      <c r="T23" s="54">
        <v>43992</v>
      </c>
      <c r="U23" s="55">
        <v>0</v>
      </c>
      <c r="V23" s="55">
        <f t="shared" si="8"/>
        <v>0</v>
      </c>
      <c r="W23" s="55">
        <f t="shared" si="9"/>
        <v>0</v>
      </c>
      <c r="X23" s="55">
        <v>0</v>
      </c>
      <c r="Y23" s="55" t="s">
        <v>35</v>
      </c>
      <c r="Z23" s="56">
        <f t="shared" si="19"/>
        <v>-0.75</v>
      </c>
      <c r="AA23" s="55">
        <v>0.17283333333333331</v>
      </c>
      <c r="AB23" s="55">
        <f t="shared" si="27"/>
        <v>-0.77774999999999994</v>
      </c>
      <c r="AC23" s="55">
        <v>-7.32</v>
      </c>
      <c r="AD23" s="55">
        <v>-4.102027435897436</v>
      </c>
      <c r="AE23" s="55">
        <v>0</v>
      </c>
      <c r="AF23" s="55"/>
    </row>
    <row r="24" spans="1:32" s="57" customFormat="1" ht="15.75" customHeight="1">
      <c r="A24" s="2" t="s">
        <v>80</v>
      </c>
      <c r="B24" s="2" t="s">
        <v>1073</v>
      </c>
      <c r="C24" s="51">
        <v>18.02</v>
      </c>
      <c r="D24" s="51">
        <v>0</v>
      </c>
      <c r="E24" s="51">
        <v>0</v>
      </c>
      <c r="F24" s="51">
        <v>0</v>
      </c>
      <c r="G24" s="51">
        <v>0</v>
      </c>
      <c r="H24" s="51" t="e">
        <f t="shared" si="1"/>
        <v>#DIV/0!</v>
      </c>
      <c r="I24" s="51" t="e">
        <f t="shared" si="2"/>
        <v>#DIV/0!</v>
      </c>
      <c r="J24" s="51">
        <f t="shared" si="4"/>
        <v>0</v>
      </c>
      <c r="K24" s="51" t="e">
        <f t="shared" si="3"/>
        <v>#DIV/0!</v>
      </c>
      <c r="L24" s="51">
        <v>0</v>
      </c>
      <c r="M24" s="51" t="str">
        <f t="shared" si="5"/>
        <v>-</v>
      </c>
      <c r="N24" s="51">
        <v>84</v>
      </c>
      <c r="O24" s="51">
        <f t="shared" ref="O24:P24" si="33">D24/7</f>
        <v>0</v>
      </c>
      <c r="P24" s="51">
        <f t="shared" si="33"/>
        <v>0</v>
      </c>
      <c r="Q24" s="51" t="e">
        <f t="shared" si="7"/>
        <v>#DIV/0!</v>
      </c>
      <c r="R24" s="55">
        <v>224</v>
      </c>
      <c r="S24" s="53">
        <v>140</v>
      </c>
      <c r="T24" s="54">
        <v>43992</v>
      </c>
      <c r="U24" s="55">
        <v>0</v>
      </c>
      <c r="V24" s="55">
        <f t="shared" si="8"/>
        <v>0</v>
      </c>
      <c r="W24" s="55">
        <f t="shared" si="9"/>
        <v>0</v>
      </c>
      <c r="X24" s="55">
        <v>0</v>
      </c>
      <c r="Y24" s="55" t="e">
        <v>#N/A</v>
      </c>
      <c r="Z24" s="56" t="e">
        <f t="shared" si="19"/>
        <v>#N/A</v>
      </c>
      <c r="AA24" s="55" t="e">
        <v>#N/A</v>
      </c>
      <c r="AB24" s="55">
        <f t="shared" si="27"/>
        <v>0</v>
      </c>
      <c r="AC24" s="55">
        <v>0</v>
      </c>
      <c r="AD24" s="55">
        <v>-4.102027435897436</v>
      </c>
      <c r="AE24" s="55">
        <v>0</v>
      </c>
      <c r="AF24" s="55"/>
    </row>
    <row r="25" spans="1:32" s="57" customFormat="1" ht="15.75" customHeight="1">
      <c r="A25" s="2" t="s">
        <v>81</v>
      </c>
      <c r="B25" s="2"/>
      <c r="C25" s="51"/>
      <c r="D25" s="51">
        <v>0</v>
      </c>
      <c r="E25" s="51">
        <v>0</v>
      </c>
      <c r="F25" s="51">
        <v>0</v>
      </c>
      <c r="G25" s="51">
        <v>0</v>
      </c>
      <c r="H25" s="51" t="e">
        <f t="shared" si="1"/>
        <v>#DIV/0!</v>
      </c>
      <c r="I25" s="51" t="e">
        <f t="shared" si="2"/>
        <v>#DIV/0!</v>
      </c>
      <c r="J25" s="51">
        <f t="shared" si="4"/>
        <v>0</v>
      </c>
      <c r="K25" s="51" t="e">
        <f t="shared" si="3"/>
        <v>#DIV/0!</v>
      </c>
      <c r="L25" s="51">
        <v>0</v>
      </c>
      <c r="M25" s="51" t="str">
        <f t="shared" si="5"/>
        <v>-</v>
      </c>
      <c r="N25" s="51">
        <v>84</v>
      </c>
      <c r="O25" s="51">
        <f t="shared" ref="O25:P25" si="34">D25/7</f>
        <v>0</v>
      </c>
      <c r="P25" s="51">
        <f t="shared" si="34"/>
        <v>0</v>
      </c>
      <c r="Q25" s="51" t="e">
        <f t="shared" si="7"/>
        <v>#DIV/0!</v>
      </c>
      <c r="R25" s="55">
        <v>224</v>
      </c>
      <c r="S25" s="53">
        <v>140</v>
      </c>
      <c r="T25" s="54">
        <v>43990</v>
      </c>
      <c r="U25" s="55">
        <v>0</v>
      </c>
      <c r="V25" s="55">
        <f t="shared" si="8"/>
        <v>0</v>
      </c>
      <c r="W25" s="55">
        <f t="shared" si="9"/>
        <v>0</v>
      </c>
      <c r="X25" s="55">
        <v>0</v>
      </c>
      <c r="Y25" s="55" t="e">
        <v>#N/A</v>
      </c>
      <c r="Z25" s="56" t="e">
        <f t="shared" si="19"/>
        <v>#N/A</v>
      </c>
      <c r="AA25" s="55" t="e">
        <v>#N/A</v>
      </c>
      <c r="AB25" s="55">
        <f t="shared" si="27"/>
        <v>0</v>
      </c>
      <c r="AC25" s="55">
        <v>0</v>
      </c>
      <c r="AD25" s="55">
        <v>-4.102027435897436</v>
      </c>
      <c r="AE25" s="55">
        <v>0</v>
      </c>
      <c r="AF25" s="55"/>
    </row>
    <row r="26" spans="1:32" s="57" customFormat="1" ht="15.75" customHeight="1">
      <c r="A26" s="2" t="s">
        <v>83</v>
      </c>
      <c r="B26" s="2" t="s">
        <v>1074</v>
      </c>
      <c r="C26" s="51">
        <f t="shared" ref="C26:C39" si="35">IFERROR(F26/D26," - ")</f>
        <v>20</v>
      </c>
      <c r="D26" s="51">
        <v>10</v>
      </c>
      <c r="E26" s="51">
        <v>0</v>
      </c>
      <c r="F26" s="51">
        <v>200</v>
      </c>
      <c r="G26" s="51">
        <v>-38.640000000000008</v>
      </c>
      <c r="H26" s="51">
        <f t="shared" si="1"/>
        <v>0.19320000000000004</v>
      </c>
      <c r="I26" s="51">
        <f t="shared" si="2"/>
        <v>6.6254878205128098E-2</v>
      </c>
      <c r="J26" s="51">
        <f t="shared" si="4"/>
        <v>13.250975641025621</v>
      </c>
      <c r="K26" s="51">
        <f t="shared" si="3"/>
        <v>1.325097564102562</v>
      </c>
      <c r="L26" s="51">
        <v>59</v>
      </c>
      <c r="M26" s="51">
        <f t="shared" si="5"/>
        <v>0.16949152542372881</v>
      </c>
      <c r="N26" s="51">
        <v>62</v>
      </c>
      <c r="O26" s="51">
        <f t="shared" ref="O26:P26" si="36">D26/7</f>
        <v>1.4285714285714286</v>
      </c>
      <c r="P26" s="51">
        <f t="shared" si="36"/>
        <v>0</v>
      </c>
      <c r="Q26" s="51">
        <f t="shared" si="7"/>
        <v>43</v>
      </c>
      <c r="R26" s="55">
        <v>224</v>
      </c>
      <c r="S26" s="53">
        <v>140</v>
      </c>
      <c r="T26" s="54">
        <v>43990</v>
      </c>
      <c r="U26" s="55">
        <v>2</v>
      </c>
      <c r="V26" s="55">
        <f t="shared" si="8"/>
        <v>0.2</v>
      </c>
      <c r="W26" s="55">
        <f t="shared" si="9"/>
        <v>4.830000000000001</v>
      </c>
      <c r="X26" s="55">
        <v>6</v>
      </c>
      <c r="Y26" s="55" t="s">
        <v>35</v>
      </c>
      <c r="Z26" s="56">
        <f t="shared" si="19"/>
        <v>-0.75</v>
      </c>
      <c r="AA26" s="55">
        <v>0.17283333333333331</v>
      </c>
      <c r="AB26" s="55">
        <f t="shared" si="27"/>
        <v>-3.8887499999999999</v>
      </c>
      <c r="AC26" s="55">
        <v>-7.32</v>
      </c>
      <c r="AD26" s="55">
        <v>-4.102027435897436</v>
      </c>
      <c r="AE26" s="55">
        <v>0</v>
      </c>
      <c r="AF26" s="55"/>
    </row>
    <row r="27" spans="1:32" s="57" customFormat="1" ht="15.75" customHeight="1">
      <c r="A27" s="2" t="s">
        <v>84</v>
      </c>
      <c r="B27" s="2" t="s">
        <v>1061</v>
      </c>
      <c r="C27" s="51">
        <f t="shared" si="35"/>
        <v>20.046875</v>
      </c>
      <c r="D27" s="51">
        <v>32</v>
      </c>
      <c r="E27" s="51">
        <v>0</v>
      </c>
      <c r="F27" s="51">
        <v>641.5</v>
      </c>
      <c r="G27" s="51">
        <v>-37.480000000000004</v>
      </c>
      <c r="H27" s="51">
        <f t="shared" si="1"/>
        <v>5.8425565081839444E-2</v>
      </c>
      <c r="I27" s="51">
        <f t="shared" si="2"/>
        <v>0.20241016687651128</v>
      </c>
      <c r="J27" s="51">
        <f t="shared" si="4"/>
        <v>129.84612205128198</v>
      </c>
      <c r="K27" s="51">
        <f t="shared" si="3"/>
        <v>4.0576913141025619</v>
      </c>
      <c r="L27" s="51">
        <v>124</v>
      </c>
      <c r="M27" s="51">
        <f t="shared" si="5"/>
        <v>0.25806451612903225</v>
      </c>
      <c r="N27" s="51">
        <v>179</v>
      </c>
      <c r="O27" s="51">
        <f t="shared" ref="O27:P27" si="37">D27/7</f>
        <v>4.5714285714285712</v>
      </c>
      <c r="P27" s="51">
        <f t="shared" si="37"/>
        <v>0</v>
      </c>
      <c r="Q27" s="51">
        <f t="shared" si="7"/>
        <v>39</v>
      </c>
      <c r="R27" s="55">
        <v>84</v>
      </c>
      <c r="S27" s="53" t="s">
        <v>34</v>
      </c>
      <c r="T27" s="54" t="s">
        <v>34</v>
      </c>
      <c r="U27" s="55">
        <v>9</v>
      </c>
      <c r="V27" s="55">
        <f t="shared" si="8"/>
        <v>0.28125</v>
      </c>
      <c r="W27" s="55">
        <f t="shared" si="9"/>
        <v>1.784761904761905</v>
      </c>
      <c r="X27" s="55">
        <v>12</v>
      </c>
      <c r="Y27" s="55" t="s">
        <v>35</v>
      </c>
      <c r="Z27" s="56">
        <f t="shared" si="19"/>
        <v>-0.75</v>
      </c>
      <c r="AA27" s="55">
        <v>0.17283333333333331</v>
      </c>
      <c r="AB27" s="55">
        <f t="shared" si="27"/>
        <v>-12.443999999999999</v>
      </c>
      <c r="AC27" s="55">
        <v>-7.32</v>
      </c>
      <c r="AD27" s="55">
        <v>-4.102027435897436</v>
      </c>
      <c r="AE27" s="55">
        <v>0</v>
      </c>
      <c r="AF27" s="55"/>
    </row>
    <row r="28" spans="1:32" s="57" customFormat="1" ht="15.75" customHeight="1">
      <c r="A28" s="2" t="s">
        <v>86</v>
      </c>
      <c r="B28" s="2" t="s">
        <v>1011</v>
      </c>
      <c r="C28" s="51">
        <f t="shared" si="35"/>
        <v>20.721754385964903</v>
      </c>
      <c r="D28" s="51">
        <v>57</v>
      </c>
      <c r="E28" s="51">
        <v>0</v>
      </c>
      <c r="F28" s="51">
        <v>1181.1399999999994</v>
      </c>
      <c r="G28" s="51">
        <v>-42.400000000000006</v>
      </c>
      <c r="H28" s="51">
        <f t="shared" si="1"/>
        <v>3.5897522732275623E-2</v>
      </c>
      <c r="I28" s="51">
        <f t="shared" si="2"/>
        <v>0.24412648894614167</v>
      </c>
      <c r="J28" s="51">
        <f t="shared" si="4"/>
        <v>288.34756115384562</v>
      </c>
      <c r="K28" s="51">
        <f t="shared" si="3"/>
        <v>5.0587291430499235</v>
      </c>
      <c r="L28" s="51">
        <v>282</v>
      </c>
      <c r="M28" s="51">
        <f t="shared" si="5"/>
        <v>0.20212765957446807</v>
      </c>
      <c r="N28" s="51">
        <v>102</v>
      </c>
      <c r="O28" s="51">
        <f t="shared" ref="O28:P28" si="38">D28/7</f>
        <v>8.1428571428571423</v>
      </c>
      <c r="P28" s="51">
        <f t="shared" si="38"/>
        <v>0</v>
      </c>
      <c r="Q28" s="51">
        <f t="shared" si="7"/>
        <v>12</v>
      </c>
      <c r="R28" s="55">
        <v>84</v>
      </c>
      <c r="S28" s="53" t="s">
        <v>34</v>
      </c>
      <c r="T28" s="54" t="s">
        <v>34</v>
      </c>
      <c r="U28" s="55">
        <v>9</v>
      </c>
      <c r="V28" s="55">
        <f t="shared" si="8"/>
        <v>0.15789473684210525</v>
      </c>
      <c r="W28" s="55">
        <f t="shared" si="9"/>
        <v>1.7666666666666668</v>
      </c>
      <c r="X28" s="55">
        <v>15</v>
      </c>
      <c r="Y28" s="55" t="s">
        <v>35</v>
      </c>
      <c r="Z28" s="56">
        <f t="shared" si="19"/>
        <v>-0.75</v>
      </c>
      <c r="AA28" s="55">
        <v>0.17283333333333331</v>
      </c>
      <c r="AB28" s="55">
        <f t="shared" si="27"/>
        <v>-22.165875</v>
      </c>
      <c r="AC28" s="55">
        <v>-7.32</v>
      </c>
      <c r="AD28" s="55">
        <v>-4.102027435897436</v>
      </c>
      <c r="AE28" s="55">
        <v>0</v>
      </c>
      <c r="AF28" s="55"/>
    </row>
    <row r="29" spans="1:32" s="57" customFormat="1" ht="15.75" customHeight="1">
      <c r="A29" s="2" t="s">
        <v>87</v>
      </c>
      <c r="B29" s="2" t="s">
        <v>921</v>
      </c>
      <c r="C29" s="51">
        <f t="shared" si="35"/>
        <v>22.612151898734147</v>
      </c>
      <c r="D29" s="51">
        <v>79</v>
      </c>
      <c r="E29" s="51">
        <v>1</v>
      </c>
      <c r="F29" s="51">
        <v>1786.3599999999976</v>
      </c>
      <c r="G29" s="51">
        <v>-46.09</v>
      </c>
      <c r="H29" s="51">
        <f t="shared" si="1"/>
        <v>2.5801070332967635E-2</v>
      </c>
      <c r="I29" s="51">
        <f t="shared" si="2"/>
        <v>0.30187347878596765</v>
      </c>
      <c r="J29" s="51">
        <f t="shared" si="4"/>
        <v>539.2547075641005</v>
      </c>
      <c r="K29" s="51">
        <f t="shared" si="3"/>
        <v>6.826008956507601</v>
      </c>
      <c r="L29" s="51">
        <v>367</v>
      </c>
      <c r="M29" s="51">
        <f t="shared" si="5"/>
        <v>0.21525885558583105</v>
      </c>
      <c r="N29" s="51">
        <v>38</v>
      </c>
      <c r="O29" s="51">
        <f t="shared" ref="O29:P29" si="39">D29/7</f>
        <v>11.285714285714286</v>
      </c>
      <c r="P29" s="51">
        <f t="shared" si="39"/>
        <v>0.14285714285714285</v>
      </c>
      <c r="Q29" s="51">
        <f t="shared" si="7"/>
        <v>3</v>
      </c>
      <c r="R29" s="55">
        <v>84</v>
      </c>
      <c r="S29" s="53" t="s">
        <v>34</v>
      </c>
      <c r="T29" s="54" t="s">
        <v>34</v>
      </c>
      <c r="U29" s="55">
        <v>13</v>
      </c>
      <c r="V29" s="55">
        <f t="shared" si="8"/>
        <v>0.16455696202531644</v>
      </c>
      <c r="W29" s="55">
        <f t="shared" si="9"/>
        <v>2.0950000000000002</v>
      </c>
      <c r="X29" s="55">
        <v>9</v>
      </c>
      <c r="Y29" s="55" t="s">
        <v>35</v>
      </c>
      <c r="Z29" s="56">
        <f t="shared" si="19"/>
        <v>-0.75</v>
      </c>
      <c r="AA29" s="55">
        <v>0.17283333333333331</v>
      </c>
      <c r="AB29" s="55">
        <f t="shared" si="27"/>
        <v>-30.721124999999994</v>
      </c>
      <c r="AC29" s="55">
        <v>-7.32</v>
      </c>
      <c r="AD29" s="55">
        <v>-4.102027435897436</v>
      </c>
      <c r="AE29" s="55">
        <v>0</v>
      </c>
      <c r="AF29" s="55"/>
    </row>
    <row r="30" spans="1:32" s="57" customFormat="1" ht="15.75" customHeight="1">
      <c r="A30" s="2" t="s">
        <v>89</v>
      </c>
      <c r="B30" s="2"/>
      <c r="C30" s="51">
        <f t="shared" si="35"/>
        <v>23.656451612903229</v>
      </c>
      <c r="D30" s="51">
        <v>31</v>
      </c>
      <c r="E30" s="51">
        <v>0</v>
      </c>
      <c r="F30" s="51">
        <v>733.35000000000014</v>
      </c>
      <c r="G30" s="51">
        <v>-42.259999999999991</v>
      </c>
      <c r="H30" s="51">
        <f t="shared" si="1"/>
        <v>5.762596304629438E-2</v>
      </c>
      <c r="I30" s="51">
        <f t="shared" si="2"/>
        <v>0.29310632642964413</v>
      </c>
      <c r="J30" s="51">
        <f t="shared" si="4"/>
        <v>214.94952448717956</v>
      </c>
      <c r="K30" s="51">
        <f t="shared" si="3"/>
        <v>6.9338556286186952</v>
      </c>
      <c r="L30" s="51">
        <v>237</v>
      </c>
      <c r="M30" s="51">
        <f t="shared" si="5"/>
        <v>0.13080168776371309</v>
      </c>
      <c r="N30" s="51">
        <v>2</v>
      </c>
      <c r="O30" s="51">
        <f t="shared" ref="O30:P30" si="40">D30/7</f>
        <v>4.4285714285714288</v>
      </c>
      <c r="P30" s="51">
        <f t="shared" si="40"/>
        <v>0</v>
      </c>
      <c r="Q30" s="51">
        <f t="shared" si="7"/>
        <v>0</v>
      </c>
      <c r="R30" s="55">
        <v>244</v>
      </c>
      <c r="S30" s="53">
        <v>60</v>
      </c>
      <c r="T30" s="54">
        <v>44058</v>
      </c>
      <c r="U30" s="55">
        <v>9</v>
      </c>
      <c r="V30" s="55">
        <f t="shared" si="8"/>
        <v>0.29032258064516131</v>
      </c>
      <c r="W30" s="55">
        <f t="shared" si="9"/>
        <v>4.2259999999999991</v>
      </c>
      <c r="X30" s="55">
        <v>1</v>
      </c>
      <c r="Y30" s="55" t="s">
        <v>35</v>
      </c>
      <c r="Z30" s="56">
        <f t="shared" si="19"/>
        <v>-0.75</v>
      </c>
      <c r="AA30" s="55">
        <v>0.17283333333333331</v>
      </c>
      <c r="AB30" s="55">
        <f t="shared" si="27"/>
        <v>-12.055125</v>
      </c>
      <c r="AC30" s="55">
        <v>-7.32</v>
      </c>
      <c r="AD30" s="55">
        <v>-4.102027435897436</v>
      </c>
      <c r="AE30" s="55">
        <v>0</v>
      </c>
      <c r="AF30" s="55"/>
    </row>
    <row r="31" spans="1:32" s="57" customFormat="1" ht="15.75" customHeight="1">
      <c r="A31" s="2" t="s">
        <v>90</v>
      </c>
      <c r="B31" s="2"/>
      <c r="C31" s="51">
        <f t="shared" si="35"/>
        <v>24.47</v>
      </c>
      <c r="D31" s="51">
        <v>5</v>
      </c>
      <c r="E31" s="51">
        <v>0</v>
      </c>
      <c r="F31" s="51">
        <v>122.35</v>
      </c>
      <c r="G31" s="51">
        <v>0</v>
      </c>
      <c r="H31" s="51">
        <f t="shared" si="1"/>
        <v>0</v>
      </c>
      <c r="I31" s="51">
        <f t="shared" si="2"/>
        <v>0.36733132668992891</v>
      </c>
      <c r="J31" s="51">
        <f t="shared" si="4"/>
        <v>44.942987820512798</v>
      </c>
      <c r="K31" s="51">
        <f t="shared" si="3"/>
        <v>8.9885975641025588</v>
      </c>
      <c r="L31" s="51">
        <v>0</v>
      </c>
      <c r="M31" s="51" t="str">
        <f t="shared" si="5"/>
        <v>-</v>
      </c>
      <c r="N31" s="51">
        <v>0</v>
      </c>
      <c r="O31" s="51">
        <f t="shared" ref="O31:P31" si="41">D31/7</f>
        <v>0.7142857142857143</v>
      </c>
      <c r="P31" s="51">
        <f t="shared" si="41"/>
        <v>0</v>
      </c>
      <c r="Q31" s="51">
        <f t="shared" si="7"/>
        <v>0</v>
      </c>
      <c r="R31" s="55">
        <v>184</v>
      </c>
      <c r="S31" s="53">
        <v>60</v>
      </c>
      <c r="T31" s="54">
        <v>44058</v>
      </c>
      <c r="U31" s="55">
        <v>0</v>
      </c>
      <c r="V31" s="55">
        <f t="shared" si="8"/>
        <v>0</v>
      </c>
      <c r="W31" s="55">
        <f t="shared" si="9"/>
        <v>0</v>
      </c>
      <c r="X31" s="55">
        <v>0</v>
      </c>
      <c r="Y31" s="55" t="s">
        <v>35</v>
      </c>
      <c r="Z31" s="56">
        <f t="shared" si="19"/>
        <v>-0.75</v>
      </c>
      <c r="AA31" s="55">
        <v>0.17283333333333331</v>
      </c>
      <c r="AB31" s="55">
        <f t="shared" si="27"/>
        <v>-1.944375</v>
      </c>
      <c r="AC31" s="55">
        <v>-7.32</v>
      </c>
      <c r="AD31" s="55">
        <v>-4.102027435897436</v>
      </c>
      <c r="AE31" s="55">
        <v>0</v>
      </c>
      <c r="AF31" s="55"/>
    </row>
    <row r="32" spans="1:32" s="57" customFormat="1" ht="15.75" customHeight="1">
      <c r="A32" s="2" t="s">
        <v>92</v>
      </c>
      <c r="B32" s="2"/>
      <c r="C32" s="51">
        <f t="shared" si="35"/>
        <v>24.930000000000003</v>
      </c>
      <c r="D32" s="51">
        <v>8</v>
      </c>
      <c r="E32" s="51">
        <v>0</v>
      </c>
      <c r="F32" s="51">
        <v>199.44000000000003</v>
      </c>
      <c r="G32" s="51">
        <v>-6.79</v>
      </c>
      <c r="H32" s="51">
        <f t="shared" si="1"/>
        <v>3.4045326915363015E-2</v>
      </c>
      <c r="I32" s="51">
        <f t="shared" si="2"/>
        <v>0.34219204027687788</v>
      </c>
      <c r="J32" s="51">
        <f t="shared" si="4"/>
        <v>68.246780512820536</v>
      </c>
      <c r="K32" s="51">
        <f t="shared" si="3"/>
        <v>8.5308475641025669</v>
      </c>
      <c r="L32" s="51">
        <v>44</v>
      </c>
      <c r="M32" s="51">
        <f t="shared" si="5"/>
        <v>0.18181818181818182</v>
      </c>
      <c r="N32" s="51">
        <v>0</v>
      </c>
      <c r="O32" s="51">
        <f t="shared" ref="O32:P32" si="42">D32/7</f>
        <v>1.1428571428571428</v>
      </c>
      <c r="P32" s="51">
        <f t="shared" si="42"/>
        <v>0</v>
      </c>
      <c r="Q32" s="51">
        <f t="shared" si="7"/>
        <v>0</v>
      </c>
      <c r="R32" s="55">
        <v>160</v>
      </c>
      <c r="S32" s="53" t="s">
        <v>34</v>
      </c>
      <c r="T32" s="54" t="s">
        <v>34</v>
      </c>
      <c r="U32" s="55">
        <v>1</v>
      </c>
      <c r="V32" s="55">
        <f t="shared" si="8"/>
        <v>0.125</v>
      </c>
      <c r="W32" s="55">
        <f t="shared" si="9"/>
        <v>6.79</v>
      </c>
      <c r="X32" s="55">
        <v>0</v>
      </c>
      <c r="Y32" s="55" t="s">
        <v>35</v>
      </c>
      <c r="Z32" s="56">
        <f t="shared" si="19"/>
        <v>-0.75</v>
      </c>
      <c r="AA32" s="55">
        <v>0.17283333333333331</v>
      </c>
      <c r="AB32" s="55">
        <f t="shared" si="27"/>
        <v>-3.1109999999999998</v>
      </c>
      <c r="AC32" s="55">
        <v>-7.32</v>
      </c>
      <c r="AD32" s="55">
        <v>-4.102027435897436</v>
      </c>
      <c r="AE32" s="55">
        <v>0</v>
      </c>
      <c r="AF32" s="52">
        <v>2.8337874659400502</v>
      </c>
    </row>
    <row r="33" spans="1:32" s="57" customFormat="1" ht="15.75" customHeight="1">
      <c r="A33" s="2" t="s">
        <v>94</v>
      </c>
      <c r="B33" s="2"/>
      <c r="C33" s="51" t="str">
        <f t="shared" si="35"/>
        <v xml:space="preserve"> - </v>
      </c>
      <c r="D33" s="51">
        <v>0</v>
      </c>
      <c r="E33" s="51">
        <v>0</v>
      </c>
      <c r="F33" s="51">
        <v>0</v>
      </c>
      <c r="G33" s="51">
        <v>0</v>
      </c>
      <c r="H33" s="51" t="e">
        <f t="shared" si="1"/>
        <v>#DIV/0!</v>
      </c>
      <c r="I33" s="51" t="e">
        <f t="shared" si="2"/>
        <v>#DIV/0!</v>
      </c>
      <c r="J33" s="51">
        <f t="shared" si="4"/>
        <v>0</v>
      </c>
      <c r="K33" s="51" t="e">
        <f t="shared" si="3"/>
        <v>#DIV/0!</v>
      </c>
      <c r="L33" s="51">
        <v>0</v>
      </c>
      <c r="M33" s="51" t="str">
        <f t="shared" si="5"/>
        <v>-</v>
      </c>
      <c r="N33" s="51">
        <v>0</v>
      </c>
      <c r="O33" s="51">
        <f t="shared" ref="O33:P33" si="43">D33/7</f>
        <v>0</v>
      </c>
      <c r="P33" s="51">
        <f t="shared" si="43"/>
        <v>0</v>
      </c>
      <c r="Q33" s="51" t="e">
        <f t="shared" si="7"/>
        <v>#DIV/0!</v>
      </c>
      <c r="R33" s="55">
        <v>160</v>
      </c>
      <c r="S33" s="53" t="s">
        <v>34</v>
      </c>
      <c r="T33" s="54">
        <v>44058</v>
      </c>
      <c r="U33" s="55">
        <v>0</v>
      </c>
      <c r="V33" s="55">
        <f t="shared" si="8"/>
        <v>0</v>
      </c>
      <c r="W33" s="55">
        <f t="shared" si="9"/>
        <v>0</v>
      </c>
      <c r="X33" s="55">
        <v>0</v>
      </c>
      <c r="Y33" s="55" t="e">
        <v>#N/A</v>
      </c>
      <c r="Z33" s="56" t="e">
        <f t="shared" si="19"/>
        <v>#N/A</v>
      </c>
      <c r="AA33" s="55" t="e">
        <v>#N/A</v>
      </c>
      <c r="AB33" s="55">
        <f t="shared" si="27"/>
        <v>0</v>
      </c>
      <c r="AC33" s="55">
        <v>0</v>
      </c>
      <c r="AD33" s="55">
        <v>-4.102027435897436</v>
      </c>
      <c r="AE33" s="55">
        <v>0</v>
      </c>
      <c r="AF33" s="55" t="e">
        <v>#N/A</v>
      </c>
    </row>
    <row r="34" spans="1:32" s="57" customFormat="1" ht="15.75" customHeight="1">
      <c r="A34" s="2" t="s">
        <v>95</v>
      </c>
      <c r="B34" s="2"/>
      <c r="C34" s="51" t="str">
        <f t="shared" si="35"/>
        <v xml:space="preserve"> - </v>
      </c>
      <c r="D34" s="51">
        <v>0</v>
      </c>
      <c r="E34" s="51">
        <v>0</v>
      </c>
      <c r="F34" s="51">
        <v>0</v>
      </c>
      <c r="G34" s="51">
        <v>0</v>
      </c>
      <c r="H34" s="51" t="e">
        <f t="shared" si="1"/>
        <v>#DIV/0!</v>
      </c>
      <c r="I34" s="51" t="e">
        <f t="shared" si="2"/>
        <v>#DIV/0!</v>
      </c>
      <c r="J34" s="51">
        <f t="shared" si="4"/>
        <v>0</v>
      </c>
      <c r="K34" s="51" t="e">
        <f t="shared" si="3"/>
        <v>#DIV/0!</v>
      </c>
      <c r="L34" s="51">
        <v>0</v>
      </c>
      <c r="M34" s="51" t="str">
        <f t="shared" si="5"/>
        <v>-</v>
      </c>
      <c r="N34" s="51">
        <v>0</v>
      </c>
      <c r="O34" s="51">
        <f t="shared" ref="O34:P34" si="44">D34/7</f>
        <v>0</v>
      </c>
      <c r="P34" s="51">
        <f t="shared" si="44"/>
        <v>0</v>
      </c>
      <c r="Q34" s="51" t="e">
        <f t="shared" si="7"/>
        <v>#DIV/0!</v>
      </c>
      <c r="R34" s="55">
        <v>244</v>
      </c>
      <c r="S34" s="53">
        <v>60</v>
      </c>
      <c r="T34" s="54">
        <v>44058</v>
      </c>
      <c r="U34" s="55">
        <v>0</v>
      </c>
      <c r="V34" s="55">
        <f t="shared" si="8"/>
        <v>0</v>
      </c>
      <c r="W34" s="55">
        <f t="shared" si="9"/>
        <v>0</v>
      </c>
      <c r="X34" s="55">
        <v>0</v>
      </c>
      <c r="Y34" s="55" t="e">
        <v>#N/A</v>
      </c>
      <c r="Z34" s="56" t="e">
        <f t="shared" si="19"/>
        <v>#N/A</v>
      </c>
      <c r="AA34" s="55" t="e">
        <v>#N/A</v>
      </c>
      <c r="AB34" s="55">
        <f t="shared" si="27"/>
        <v>0</v>
      </c>
      <c r="AC34" s="55">
        <v>0</v>
      </c>
      <c r="AD34" s="55">
        <v>-4.102027435897436</v>
      </c>
      <c r="AE34" s="55">
        <v>0</v>
      </c>
      <c r="AF34" s="55" t="e">
        <v>#N/A</v>
      </c>
    </row>
    <row r="35" spans="1:32" s="57" customFormat="1" ht="15.75" customHeight="1">
      <c r="A35" s="2" t="s">
        <v>96</v>
      </c>
      <c r="B35" s="2"/>
      <c r="C35" s="51" t="str">
        <f t="shared" si="35"/>
        <v xml:space="preserve"> - </v>
      </c>
      <c r="D35" s="51">
        <v>0</v>
      </c>
      <c r="E35" s="51">
        <v>0</v>
      </c>
      <c r="F35" s="51">
        <v>0</v>
      </c>
      <c r="G35" s="51">
        <v>0</v>
      </c>
      <c r="H35" s="51" t="e">
        <f t="shared" si="1"/>
        <v>#DIV/0!</v>
      </c>
      <c r="I35" s="51" t="e">
        <f t="shared" si="2"/>
        <v>#DIV/0!</v>
      </c>
      <c r="J35" s="51">
        <f t="shared" si="4"/>
        <v>0</v>
      </c>
      <c r="K35" s="51" t="e">
        <f t="shared" si="3"/>
        <v>#DIV/0!</v>
      </c>
      <c r="L35" s="51">
        <v>0</v>
      </c>
      <c r="M35" s="51" t="str">
        <f t="shared" si="5"/>
        <v>-</v>
      </c>
      <c r="N35" s="51">
        <v>0</v>
      </c>
      <c r="O35" s="51">
        <f t="shared" ref="O35:P35" si="45">D35/7</f>
        <v>0</v>
      </c>
      <c r="P35" s="51">
        <f t="shared" si="45"/>
        <v>0</v>
      </c>
      <c r="Q35" s="51" t="e">
        <f t="shared" si="7"/>
        <v>#DIV/0!</v>
      </c>
      <c r="R35" s="55">
        <v>184</v>
      </c>
      <c r="S35" s="53">
        <v>84</v>
      </c>
      <c r="T35" s="54">
        <v>44070</v>
      </c>
      <c r="U35" s="55">
        <v>0</v>
      </c>
      <c r="V35" s="55">
        <f t="shared" si="8"/>
        <v>0</v>
      </c>
      <c r="W35" s="55">
        <f t="shared" si="9"/>
        <v>0</v>
      </c>
      <c r="X35" s="55">
        <v>0</v>
      </c>
      <c r="Y35" s="55" t="e">
        <v>#N/A</v>
      </c>
      <c r="Z35" s="56" t="e">
        <f t="shared" si="19"/>
        <v>#N/A</v>
      </c>
      <c r="AA35" s="55" t="e">
        <v>#N/A</v>
      </c>
      <c r="AB35" s="55">
        <f t="shared" si="27"/>
        <v>0</v>
      </c>
      <c r="AC35" s="55">
        <v>0</v>
      </c>
      <c r="AD35" s="55">
        <v>-4.102027435897436</v>
      </c>
      <c r="AE35" s="55">
        <v>0</v>
      </c>
      <c r="AF35" s="55" t="e">
        <v>#N/A</v>
      </c>
    </row>
    <row r="36" spans="1:32" s="57" customFormat="1" ht="15.75" customHeight="1">
      <c r="A36" s="2" t="s">
        <v>98</v>
      </c>
      <c r="B36" s="2"/>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v>184</v>
      </c>
      <c r="S36" s="53"/>
      <c r="T36" s="54">
        <v>44070</v>
      </c>
      <c r="U36" s="55"/>
      <c r="V36" s="55">
        <f t="shared" si="8"/>
        <v>0</v>
      </c>
      <c r="W36" s="55">
        <f t="shared" si="9"/>
        <v>0</v>
      </c>
      <c r="X36" s="55"/>
      <c r="Y36" s="55" t="e">
        <v>#N/A</v>
      </c>
      <c r="Z36" s="56" t="e">
        <f t="shared" si="19"/>
        <v>#N/A</v>
      </c>
      <c r="AA36" s="55" t="e">
        <v>#N/A</v>
      </c>
      <c r="AB36" s="55">
        <f t="shared" si="27"/>
        <v>0</v>
      </c>
      <c r="AC36" s="55">
        <v>0</v>
      </c>
      <c r="AD36" s="55">
        <v>-4.2326774358974362</v>
      </c>
      <c r="AE36" s="55">
        <v>0</v>
      </c>
      <c r="AF36" s="55" t="e">
        <v>#N/A</v>
      </c>
    </row>
    <row r="37" spans="1:32" s="57" customFormat="1" ht="15.75" customHeight="1">
      <c r="A37" s="2" t="s">
        <v>99</v>
      </c>
      <c r="B37" s="2"/>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v>184</v>
      </c>
      <c r="S37" s="53">
        <v>84</v>
      </c>
      <c r="T37" s="54">
        <v>44070</v>
      </c>
      <c r="U37" s="55">
        <v>0</v>
      </c>
      <c r="V37" s="55">
        <f t="shared" si="8"/>
        <v>0</v>
      </c>
      <c r="W37" s="55">
        <f t="shared" si="9"/>
        <v>0</v>
      </c>
      <c r="X37" s="55">
        <v>0</v>
      </c>
      <c r="Y37" s="55" t="e">
        <v>#N/A</v>
      </c>
      <c r="Z37" s="56" t="e">
        <f t="shared" si="19"/>
        <v>#N/A</v>
      </c>
      <c r="AA37" s="55" t="e">
        <v>#N/A</v>
      </c>
      <c r="AB37" s="55">
        <f t="shared" si="27"/>
        <v>0</v>
      </c>
      <c r="AC37" s="55">
        <v>0</v>
      </c>
      <c r="AD37" s="55">
        <v>-4.2326774358974362</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5">
        <v>100</v>
      </c>
      <c r="S38" s="53"/>
      <c r="T38" s="54" t="s">
        <v>34</v>
      </c>
      <c r="U38" s="55">
        <v>0</v>
      </c>
      <c r="V38" s="55">
        <f t="shared" si="8"/>
        <v>0</v>
      </c>
      <c r="W38" s="55">
        <f t="shared" si="9"/>
        <v>0</v>
      </c>
      <c r="X38" s="55">
        <v>0</v>
      </c>
      <c r="Y38" s="55" t="e">
        <v>#N/A</v>
      </c>
      <c r="Z38" s="56" t="e">
        <f t="shared" si="19"/>
        <v>#N/A</v>
      </c>
      <c r="AA38" s="55" t="e">
        <v>#N/A</v>
      </c>
      <c r="AB38" s="55">
        <f t="shared" si="27"/>
        <v>0</v>
      </c>
      <c r="AC38" s="55">
        <v>0</v>
      </c>
      <c r="AD38" s="55">
        <v>-4.2326774358974362</v>
      </c>
      <c r="AE38" s="55">
        <v>0</v>
      </c>
      <c r="AF38" s="55" t="e">
        <v>#N/A</v>
      </c>
    </row>
    <row r="39" spans="1:32" s="57" customFormat="1" ht="15.75" customHeight="1">
      <c r="A39" s="2" t="s">
        <v>101</v>
      </c>
      <c r="B39" s="2" t="s">
        <v>1075</v>
      </c>
      <c r="C39" s="51" t="str">
        <f t="shared" si="35"/>
        <v xml:space="preserve"> - </v>
      </c>
      <c r="D39" s="51">
        <v>0</v>
      </c>
      <c r="E39" s="51">
        <v>0</v>
      </c>
      <c r="F39" s="51">
        <v>0</v>
      </c>
      <c r="G39" s="51">
        <v>-12.27</v>
      </c>
      <c r="H39" s="51" t="e">
        <f t="shared" si="1"/>
        <v>#DIV/0!</v>
      </c>
      <c r="I39" s="51" t="e">
        <f t="shared" si="2"/>
        <v>#DIV/0!</v>
      </c>
      <c r="J39" s="51">
        <f>F39*0.85+G39+AD39*D39+D39*AC39+AE40+AB39</f>
        <v>-12.27</v>
      </c>
      <c r="K39" s="51" t="e">
        <f t="shared" si="3"/>
        <v>#DIV/0!</v>
      </c>
      <c r="L39" s="51">
        <v>0</v>
      </c>
      <c r="M39" s="51" t="str">
        <f t="shared" si="5"/>
        <v>-</v>
      </c>
      <c r="N39" s="51">
        <v>80</v>
      </c>
      <c r="O39" s="51">
        <f t="shared" ref="O39:P39" si="49">D39/7</f>
        <v>0</v>
      </c>
      <c r="P39" s="51">
        <f t="shared" si="49"/>
        <v>0</v>
      </c>
      <c r="Q39" s="51" t="e">
        <f t="shared" si="7"/>
        <v>#DIV/0!</v>
      </c>
      <c r="R39" s="55">
        <v>100</v>
      </c>
      <c r="S39" s="53" t="s">
        <v>34</v>
      </c>
      <c r="T39" s="54" t="s">
        <v>34</v>
      </c>
      <c r="U39" s="55">
        <v>0</v>
      </c>
      <c r="V39" s="55">
        <f t="shared" si="8"/>
        <v>0</v>
      </c>
      <c r="W39" s="55">
        <f t="shared" si="9"/>
        <v>12.27</v>
      </c>
      <c r="X39" s="55">
        <v>1</v>
      </c>
      <c r="Y39" s="55" t="s">
        <v>35</v>
      </c>
      <c r="Z39" s="56">
        <f t="shared" si="19"/>
        <v>-0.75</v>
      </c>
      <c r="AA39" s="55">
        <v>0.17283333333333331</v>
      </c>
      <c r="AB39" s="55">
        <f t="shared" si="27"/>
        <v>0</v>
      </c>
      <c r="AC39" s="55">
        <v>-7.32</v>
      </c>
      <c r="AD39" s="55">
        <v>-4.23267743589743</v>
      </c>
      <c r="AE39" s="55">
        <v>0</v>
      </c>
      <c r="AF39" s="55">
        <v>5.3691275167785202</v>
      </c>
    </row>
    <row r="40" spans="1:32" s="57" customFormat="1" ht="15.75" customHeight="1">
      <c r="A40" s="2" t="s">
        <v>102</v>
      </c>
      <c r="B40" s="2" t="s">
        <v>1076</v>
      </c>
      <c r="C40" s="51">
        <v>24.93</v>
      </c>
      <c r="D40" s="51">
        <v>1</v>
      </c>
      <c r="E40" s="51">
        <v>0</v>
      </c>
      <c r="F40" s="51">
        <v>24.93</v>
      </c>
      <c r="G40" s="51">
        <v>-15.350000000000001</v>
      </c>
      <c r="H40" s="51">
        <v>0.61572402727637388</v>
      </c>
      <c r="I40" s="51">
        <v>-0.24472733397101609</v>
      </c>
      <c r="J40" s="51">
        <v>-6.1010524358974312</v>
      </c>
      <c r="K40" s="51">
        <v>-6.1010524358974312</v>
      </c>
      <c r="L40" s="51">
        <v>16</v>
      </c>
      <c r="M40" s="51">
        <v>6.25E-2</v>
      </c>
      <c r="N40" s="51">
        <v>83</v>
      </c>
      <c r="O40" s="51">
        <v>0.14285714285714285</v>
      </c>
      <c r="P40" s="51">
        <v>0</v>
      </c>
      <c r="Q40" s="51">
        <v>581</v>
      </c>
      <c r="R40" s="55">
        <v>100</v>
      </c>
      <c r="S40" s="53" t="s">
        <v>34</v>
      </c>
      <c r="T40" s="54" t="s">
        <v>34</v>
      </c>
      <c r="U40" s="55">
        <v>1</v>
      </c>
      <c r="V40" s="55">
        <v>1</v>
      </c>
      <c r="W40" s="55">
        <v>15.350000000000001</v>
      </c>
      <c r="X40" s="55">
        <v>0</v>
      </c>
      <c r="Y40" s="55" t="s">
        <v>35</v>
      </c>
      <c r="Z40" s="56">
        <v>-0.75</v>
      </c>
      <c r="AA40" s="55">
        <v>0.17283333333333331</v>
      </c>
      <c r="AB40" s="55">
        <v>-0.38887499999999997</v>
      </c>
      <c r="AC40" s="55">
        <v>-7.32</v>
      </c>
      <c r="AD40" s="55">
        <v>-4.23267743589743</v>
      </c>
      <c r="AE40" s="55">
        <v>0</v>
      </c>
      <c r="AF40" s="55">
        <v>2.5899280575539501</v>
      </c>
    </row>
    <row r="41" spans="1:32" s="57" customFormat="1" ht="15.75" customHeight="1">
      <c r="A41" s="2" t="s">
        <v>105</v>
      </c>
      <c r="B41" s="2" t="s">
        <v>1077</v>
      </c>
      <c r="C41" s="51">
        <f t="shared" ref="C41:C56" si="50">IFERROR(F41/D41," - ")</f>
        <v>24.93</v>
      </c>
      <c r="D41" s="51">
        <v>1</v>
      </c>
      <c r="E41" s="51">
        <v>0</v>
      </c>
      <c r="F41" s="51">
        <v>24.93</v>
      </c>
      <c r="G41" s="51">
        <v>-9.98</v>
      </c>
      <c r="H41" s="51">
        <f t="shared" ref="H41:H56" si="51">G41/F41*-1</f>
        <v>0.4003208985158444</v>
      </c>
      <c r="I41" s="51">
        <f t="shared" ref="I41:I56" si="52">J41/F41</f>
        <v>-2.9324205210486582E-2</v>
      </c>
      <c r="J41" s="51">
        <f t="shared" ref="J41:J48" si="53">F41*0.85+G41+AD41*D41+D41*AC41+AE42+AB41</f>
        <v>-0.73105243589743052</v>
      </c>
      <c r="K41" s="51">
        <f t="shared" ref="K41:K56" si="54">J41/D41</f>
        <v>-0.73105243589743052</v>
      </c>
      <c r="L41" s="51">
        <v>8</v>
      </c>
      <c r="M41" s="51">
        <f t="shared" ref="M41:M56" si="55">IFERROR(D41/L41,"-")</f>
        <v>0.125</v>
      </c>
      <c r="N41" s="51">
        <v>81</v>
      </c>
      <c r="O41" s="51">
        <f t="shared" ref="O41:P41" si="56">D41/7</f>
        <v>0.14285714285714285</v>
      </c>
      <c r="P41" s="51">
        <f t="shared" si="56"/>
        <v>0</v>
      </c>
      <c r="Q41" s="51">
        <f t="shared" ref="Q41:Q56" si="57">ROUNDDOWN(N41/(O41+P41),0)</f>
        <v>567</v>
      </c>
      <c r="R41" s="55">
        <v>100</v>
      </c>
      <c r="S41" s="53" t="s">
        <v>34</v>
      </c>
      <c r="T41" s="54" t="s">
        <v>34</v>
      </c>
      <c r="U41" s="55">
        <v>0</v>
      </c>
      <c r="V41" s="55">
        <f t="shared" ref="V41:V56" si="58">IFERROR(U41/D41,0)</f>
        <v>0</v>
      </c>
      <c r="W41" s="55">
        <f t="shared" ref="W41:W56" si="59">IFERROR(G41/(U41+X41)*-1,0)</f>
        <v>0</v>
      </c>
      <c r="X41" s="55">
        <v>0</v>
      </c>
      <c r="Y41" s="52" t="s">
        <v>35</v>
      </c>
      <c r="Z41" s="56">
        <f t="shared" ref="Z41:Z43" si="60">IF(OR(Y41="UsLargeStandardSize",Y41="UsSmallStandardSize"),-0.75,-0.48)</f>
        <v>-0.75</v>
      </c>
      <c r="AA41" s="55">
        <v>0.17283333333333331</v>
      </c>
      <c r="AB41" s="55">
        <f t="shared" ref="AB41:AB56" si="61">IFERROR(Z41*AA41*D41*3,0)</f>
        <v>-0.38887499999999997</v>
      </c>
      <c r="AC41" s="55">
        <v>-7.32</v>
      </c>
      <c r="AD41" s="55">
        <v>-4.23267743589743</v>
      </c>
      <c r="AE41" s="55">
        <v>0</v>
      </c>
      <c r="AF41" s="55">
        <v>2.2110552763819</v>
      </c>
    </row>
    <row r="42" spans="1:32" s="57" customFormat="1" ht="15.75" customHeight="1">
      <c r="A42" s="2" t="s">
        <v>106</v>
      </c>
      <c r="B42" s="2" t="s">
        <v>927</v>
      </c>
      <c r="C42" s="51">
        <f t="shared" si="50"/>
        <v>24.93</v>
      </c>
      <c r="D42" s="51">
        <v>2</v>
      </c>
      <c r="E42" s="51">
        <v>0</v>
      </c>
      <c r="F42" s="51">
        <v>49.86</v>
      </c>
      <c r="G42" s="51">
        <v>-11.44</v>
      </c>
      <c r="H42" s="51">
        <f t="shared" si="51"/>
        <v>0.2294424388287204</v>
      </c>
      <c r="I42" s="51">
        <f t="shared" si="52"/>
        <v>0.14155425447663747</v>
      </c>
      <c r="J42" s="51">
        <f t="shared" si="53"/>
        <v>7.0578951282051436</v>
      </c>
      <c r="K42" s="51">
        <f t="shared" si="54"/>
        <v>3.5289475641025718</v>
      </c>
      <c r="L42" s="51">
        <v>22</v>
      </c>
      <c r="M42" s="51">
        <f t="shared" si="55"/>
        <v>9.0909090909090912E-2</v>
      </c>
      <c r="N42" s="51">
        <v>80</v>
      </c>
      <c r="O42" s="51">
        <f t="shared" ref="O42:P42" si="62">D42/7</f>
        <v>0.2857142857142857</v>
      </c>
      <c r="P42" s="51">
        <f t="shared" si="62"/>
        <v>0</v>
      </c>
      <c r="Q42" s="51">
        <f t="shared" si="57"/>
        <v>280</v>
      </c>
      <c r="R42" s="55">
        <f ca="1">IFERROR(__xludf.DUMMYFUNCTION("IFERROR(VLOOKUP($B$2,IMPORTRANGE(""https://docs.google.com/spreadsheets/d/1iVgg6Mw12RULLujzHmfOFIY8Q_KaAD8anoZzgtVAQ74/edit#gid=1503384807"",""Second Star - Summary!A1:AD2000""),9,FALSE),"""")"),124)</f>
        <v>124</v>
      </c>
      <c r="S42" s="53">
        <f ca="1">IFERROR(__xludf.DUMMYFUNCTION("IFERROR(VLOOKUP($B$2,IMPORTRANGE(""https://docs.google.com/spreadsheets/d/1iVgg6Mw12RULLujzHmfOFIY8Q_KaAD8anoZzgtVAQ74/edit#gid=1503384807"",""Second Star - Summary!A1:AD2000""),28,FALSE),"""")"),60)</f>
        <v>60</v>
      </c>
      <c r="T42" s="54">
        <f ca="1">IFERROR(__xludf.DUMMYFUNCTION("IFERROR(VLOOKUP($B$2,IMPORTRANGE(""https://docs.google.com/spreadsheets/d/1iVgg6Mw12RULLujzHmfOFIY8Q_KaAD8anoZzgtVAQ74/edit#gid=1503384807"",""Second Star - Summary!A1:AD2000""),29,FALSE),"""")"),44322)</f>
        <v>44322</v>
      </c>
      <c r="U42" s="55">
        <v>0</v>
      </c>
      <c r="V42" s="55">
        <f t="shared" si="58"/>
        <v>0</v>
      </c>
      <c r="W42" s="55">
        <f t="shared" si="59"/>
        <v>0</v>
      </c>
      <c r="X42" s="55">
        <v>0</v>
      </c>
      <c r="Y42" s="55" t="s">
        <v>35</v>
      </c>
      <c r="Z42" s="56">
        <f t="shared" si="60"/>
        <v>-0.75</v>
      </c>
      <c r="AA42" s="55">
        <v>0.17283333333333331</v>
      </c>
      <c r="AB42" s="55">
        <f t="shared" si="61"/>
        <v>-0.77774999999999994</v>
      </c>
      <c r="AC42" s="55">
        <v>-7.32</v>
      </c>
      <c r="AD42" s="55">
        <v>-4.23267743589743</v>
      </c>
      <c r="AE42" s="55">
        <v>0</v>
      </c>
      <c r="AF42" s="55">
        <v>0.96153846153846101</v>
      </c>
    </row>
    <row r="43" spans="1:32" s="57" customFormat="1" ht="15.75" customHeight="1">
      <c r="A43" s="2" t="s">
        <v>107</v>
      </c>
      <c r="B43" s="2" t="s">
        <v>810</v>
      </c>
      <c r="C43" s="51">
        <f t="shared" si="50"/>
        <v>24.93</v>
      </c>
      <c r="D43" s="51">
        <v>5</v>
      </c>
      <c r="E43" s="51">
        <v>0</v>
      </c>
      <c r="F43" s="51">
        <v>124.65</v>
      </c>
      <c r="G43" s="51">
        <v>-40.239999999999995</v>
      </c>
      <c r="H43" s="51">
        <f t="shared" si="51"/>
        <v>0.32282390693943036</v>
      </c>
      <c r="I43" s="51">
        <f t="shared" si="52"/>
        <v>4.8172786365927464E-2</v>
      </c>
      <c r="J43" s="51">
        <f t="shared" si="53"/>
        <v>6.004737820512859</v>
      </c>
      <c r="K43" s="51">
        <f t="shared" si="54"/>
        <v>1.2009475641025718</v>
      </c>
      <c r="L43" s="51">
        <v>38</v>
      </c>
      <c r="M43" s="51">
        <f t="shared" si="55"/>
        <v>0.13157894736842105</v>
      </c>
      <c r="N43" s="51">
        <v>73</v>
      </c>
      <c r="O43" s="51">
        <f t="shared" ref="O43:P43" si="63">D43/7</f>
        <v>0.7142857142857143</v>
      </c>
      <c r="P43" s="51">
        <f t="shared" si="63"/>
        <v>0</v>
      </c>
      <c r="Q43" s="51">
        <f t="shared" si="57"/>
        <v>102</v>
      </c>
      <c r="R43" s="55">
        <v>100</v>
      </c>
      <c r="S43" s="53" t="s">
        <v>34</v>
      </c>
      <c r="T43" s="54" t="s">
        <v>34</v>
      </c>
      <c r="U43" s="55">
        <v>5</v>
      </c>
      <c r="V43" s="55">
        <f t="shared" si="58"/>
        <v>1</v>
      </c>
      <c r="W43" s="55">
        <f t="shared" si="59"/>
        <v>5.0299999999999994</v>
      </c>
      <c r="X43" s="55">
        <v>3</v>
      </c>
      <c r="Y43" s="55" t="s">
        <v>35</v>
      </c>
      <c r="Z43" s="56">
        <f t="shared" si="60"/>
        <v>-0.75</v>
      </c>
      <c r="AA43" s="55">
        <v>0.17283333333333331</v>
      </c>
      <c r="AB43" s="55">
        <f t="shared" si="61"/>
        <v>-1.944375</v>
      </c>
      <c r="AC43" s="55">
        <v>-7.32</v>
      </c>
      <c r="AD43" s="55">
        <v>-4.23267743589743</v>
      </c>
      <c r="AE43" s="55">
        <v>0</v>
      </c>
      <c r="AF43" s="55">
        <v>0.48192771084337299</v>
      </c>
    </row>
    <row r="44" spans="1:32" s="57" customFormat="1" ht="15.75" customHeight="1">
      <c r="A44" s="2" t="s">
        <v>108</v>
      </c>
      <c r="B44" s="2" t="s">
        <v>1078</v>
      </c>
      <c r="C44" s="51">
        <f t="shared" si="50"/>
        <v>24.93</v>
      </c>
      <c r="D44" s="51">
        <v>4</v>
      </c>
      <c r="E44" s="51">
        <v>0</v>
      </c>
      <c r="F44" s="51">
        <v>99.72</v>
      </c>
      <c r="G44" s="51">
        <v>-75.849999999999994</v>
      </c>
      <c r="H44" s="51">
        <f t="shared" si="51"/>
        <v>0.76062976333734456</v>
      </c>
      <c r="I44" s="51">
        <f t="shared" si="52"/>
        <v>-0.42395015787795537</v>
      </c>
      <c r="J44" s="51">
        <f t="shared" si="53"/>
        <v>-42.276309743589707</v>
      </c>
      <c r="K44" s="51">
        <f t="shared" si="54"/>
        <v>-10.569077435897427</v>
      </c>
      <c r="L44" s="51">
        <v>37</v>
      </c>
      <c r="M44" s="51">
        <f t="shared" si="55"/>
        <v>0.10810810810810811</v>
      </c>
      <c r="N44" s="51">
        <v>71</v>
      </c>
      <c r="O44" s="51">
        <f t="shared" ref="O44:P44" si="64">D44/7</f>
        <v>0.5714285714285714</v>
      </c>
      <c r="P44" s="51">
        <f t="shared" si="64"/>
        <v>0</v>
      </c>
      <c r="Q44" s="51">
        <f t="shared" si="57"/>
        <v>124</v>
      </c>
      <c r="R44" s="55">
        <v>100</v>
      </c>
      <c r="S44" s="53" t="s">
        <v>34</v>
      </c>
      <c r="T44" s="54" t="s">
        <v>34</v>
      </c>
      <c r="U44" s="55">
        <v>1</v>
      </c>
      <c r="V44" s="55">
        <f t="shared" si="58"/>
        <v>0.25</v>
      </c>
      <c r="W44" s="55">
        <f t="shared" si="59"/>
        <v>15.169999999999998</v>
      </c>
      <c r="X44" s="55">
        <v>4</v>
      </c>
      <c r="Y44" s="55" t="s">
        <v>35</v>
      </c>
      <c r="Z44" s="56">
        <f t="shared" ref="Z44:Z56" si="65">IF(OR(Y44="UsLargeStandardSize",Y44="UsSmallStandardSize"),-2.4,-1.2)</f>
        <v>-2.4</v>
      </c>
      <c r="AA44" s="55">
        <v>0.17283333333333331</v>
      </c>
      <c r="AB44" s="55">
        <f t="shared" si="61"/>
        <v>-4.9775999999999989</v>
      </c>
      <c r="AC44" s="55">
        <v>-7.32</v>
      </c>
      <c r="AD44" s="55">
        <v>-4.23267743589743</v>
      </c>
      <c r="AE44" s="55">
        <v>0</v>
      </c>
      <c r="AF44" s="55">
        <v>0.5</v>
      </c>
    </row>
    <row r="45" spans="1:32" s="57" customFormat="1" ht="15.75" customHeight="1">
      <c r="A45" s="2" t="s">
        <v>109</v>
      </c>
      <c r="B45" s="2" t="s">
        <v>1079</v>
      </c>
      <c r="C45" s="51" t="str">
        <f t="shared" si="50"/>
        <v xml:space="preserve"> - </v>
      </c>
      <c r="D45" s="51">
        <v>0</v>
      </c>
      <c r="E45" s="51">
        <v>0</v>
      </c>
      <c r="F45" s="51">
        <v>0</v>
      </c>
      <c r="G45" s="51">
        <v>-77.89</v>
      </c>
      <c r="H45" s="51" t="e">
        <f t="shared" si="51"/>
        <v>#DIV/0!</v>
      </c>
      <c r="I45" s="51" t="e">
        <f t="shared" si="52"/>
        <v>#DIV/0!</v>
      </c>
      <c r="J45" s="51">
        <f t="shared" si="53"/>
        <v>-77.89</v>
      </c>
      <c r="K45" s="51" t="e">
        <f t="shared" si="54"/>
        <v>#DIV/0!</v>
      </c>
      <c r="L45" s="51">
        <v>0</v>
      </c>
      <c r="M45" s="51" t="str">
        <f t="shared" si="55"/>
        <v>-</v>
      </c>
      <c r="N45" s="51">
        <v>70</v>
      </c>
      <c r="O45" s="51">
        <f t="shared" ref="O45:P45" si="66">D45/7</f>
        <v>0</v>
      </c>
      <c r="P45" s="51">
        <f t="shared" si="66"/>
        <v>0</v>
      </c>
      <c r="Q45" s="51" t="e">
        <f t="shared" si="57"/>
        <v>#DIV/0!</v>
      </c>
      <c r="R45" s="55">
        <v>132</v>
      </c>
      <c r="S45" s="53">
        <v>32</v>
      </c>
      <c r="T45" s="54">
        <v>44166</v>
      </c>
      <c r="U45" s="55">
        <v>0</v>
      </c>
      <c r="V45" s="55">
        <f t="shared" si="58"/>
        <v>0</v>
      </c>
      <c r="W45" s="55">
        <f t="shared" si="59"/>
        <v>9.7362500000000001</v>
      </c>
      <c r="X45" s="55">
        <v>8</v>
      </c>
      <c r="Y45" s="55" t="e">
        <v>#N/A</v>
      </c>
      <c r="Z45" s="56" t="e">
        <f t="shared" si="65"/>
        <v>#N/A</v>
      </c>
      <c r="AA45" s="55" t="e">
        <v>#N/A</v>
      </c>
      <c r="AB45" s="55">
        <f t="shared" si="61"/>
        <v>0</v>
      </c>
      <c r="AC45" s="55">
        <v>0</v>
      </c>
      <c r="AD45" s="55">
        <v>-4.23267743589743</v>
      </c>
      <c r="AE45" s="55">
        <v>0</v>
      </c>
      <c r="AF45" s="55">
        <v>0.33333333333333298</v>
      </c>
    </row>
    <row r="46" spans="1:32" s="57" customFormat="1" ht="15.75" customHeight="1">
      <c r="A46" s="2" t="s">
        <v>111</v>
      </c>
      <c r="B46" s="2" t="s">
        <v>1080</v>
      </c>
      <c r="C46" s="51">
        <f t="shared" si="50"/>
        <v>16.05</v>
      </c>
      <c r="D46" s="51">
        <v>1</v>
      </c>
      <c r="E46" s="51">
        <v>0</v>
      </c>
      <c r="F46" s="51">
        <v>16.05</v>
      </c>
      <c r="G46" s="51">
        <v>-20.05</v>
      </c>
      <c r="H46" s="51">
        <f t="shared" si="51"/>
        <v>1.2492211838006231</v>
      </c>
      <c r="I46" s="51">
        <f t="shared" si="52"/>
        <v>-0.66293940410575891</v>
      </c>
      <c r="J46" s="51">
        <f t="shared" si="53"/>
        <v>-10.640177435897431</v>
      </c>
      <c r="K46" s="51">
        <f t="shared" si="54"/>
        <v>-10.640177435897431</v>
      </c>
      <c r="L46" s="51">
        <v>11</v>
      </c>
      <c r="M46" s="51">
        <f t="shared" si="55"/>
        <v>9.0909090909090912E-2</v>
      </c>
      <c r="N46" s="51">
        <v>70</v>
      </c>
      <c r="O46" s="51">
        <f t="shared" ref="O46:P46" si="67">D46/7</f>
        <v>0.14285714285714285</v>
      </c>
      <c r="P46" s="51">
        <f t="shared" si="67"/>
        <v>0</v>
      </c>
      <c r="Q46" s="51">
        <f t="shared" si="57"/>
        <v>490</v>
      </c>
      <c r="R46" s="55">
        <v>100</v>
      </c>
      <c r="S46" s="53">
        <v>32</v>
      </c>
      <c r="T46" s="54">
        <v>44163</v>
      </c>
      <c r="U46" s="55">
        <v>1</v>
      </c>
      <c r="V46" s="55">
        <f t="shared" si="58"/>
        <v>1</v>
      </c>
      <c r="W46" s="55">
        <f t="shared" si="59"/>
        <v>5.0125000000000002</v>
      </c>
      <c r="X46" s="55">
        <v>3</v>
      </c>
      <c r="Y46" s="55" t="e">
        <v>#N/A</v>
      </c>
      <c r="Z46" s="56" t="e">
        <f t="shared" si="65"/>
        <v>#N/A</v>
      </c>
      <c r="AA46" s="55" t="e">
        <v>#N/A</v>
      </c>
      <c r="AB46" s="55">
        <f t="shared" si="61"/>
        <v>0</v>
      </c>
      <c r="AC46" s="55">
        <v>0</v>
      </c>
      <c r="AD46" s="55">
        <v>-4.23267743589743</v>
      </c>
      <c r="AE46" s="55">
        <v>0</v>
      </c>
      <c r="AF46" s="55">
        <v>0.36363636363636298</v>
      </c>
    </row>
    <row r="47" spans="1:32" s="57" customFormat="1" ht="15.75" customHeight="1">
      <c r="A47" s="2" t="s">
        <v>113</v>
      </c>
      <c r="B47" s="2" t="s">
        <v>810</v>
      </c>
      <c r="C47" s="51">
        <f t="shared" si="50"/>
        <v>14.08</v>
      </c>
      <c r="D47" s="51">
        <v>2</v>
      </c>
      <c r="E47" s="51">
        <v>0</v>
      </c>
      <c r="F47" s="51">
        <v>28.16</v>
      </c>
      <c r="G47" s="51">
        <v>-39.5</v>
      </c>
      <c r="H47" s="51">
        <f t="shared" si="51"/>
        <v>1.4026988636363635</v>
      </c>
      <c r="I47" s="51">
        <f t="shared" si="52"/>
        <v>-1.4615822042540787</v>
      </c>
      <c r="J47" s="51">
        <f t="shared" si="53"/>
        <v>-41.158154871794856</v>
      </c>
      <c r="K47" s="51">
        <f t="shared" si="54"/>
        <v>-20.579077435897428</v>
      </c>
      <c r="L47" s="51">
        <v>18</v>
      </c>
      <c r="M47" s="51">
        <f t="shared" si="55"/>
        <v>0.1111111111111111</v>
      </c>
      <c r="N47" s="51">
        <v>56</v>
      </c>
      <c r="O47" s="51">
        <f t="shared" ref="O47:P47" si="68">D47/7</f>
        <v>0.2857142857142857</v>
      </c>
      <c r="P47" s="51">
        <f t="shared" si="68"/>
        <v>0</v>
      </c>
      <c r="Q47" s="51">
        <f t="shared" si="57"/>
        <v>196</v>
      </c>
      <c r="R47" s="55">
        <v>100</v>
      </c>
      <c r="S47" s="53">
        <v>32</v>
      </c>
      <c r="T47" s="54">
        <v>44163</v>
      </c>
      <c r="U47" s="55">
        <v>2</v>
      </c>
      <c r="V47" s="55">
        <f t="shared" si="58"/>
        <v>1</v>
      </c>
      <c r="W47" s="55">
        <f t="shared" si="59"/>
        <v>9.875</v>
      </c>
      <c r="X47" s="55">
        <v>2</v>
      </c>
      <c r="Y47" s="55" t="s">
        <v>35</v>
      </c>
      <c r="Z47" s="56">
        <f t="shared" si="65"/>
        <v>-2.4</v>
      </c>
      <c r="AA47" s="55">
        <v>0.17283333333333331</v>
      </c>
      <c r="AB47" s="55">
        <f t="shared" si="61"/>
        <v>-2.4887999999999995</v>
      </c>
      <c r="AC47" s="55">
        <v>-7.32</v>
      </c>
      <c r="AD47" s="55">
        <v>-4.23267743589743</v>
      </c>
      <c r="AE47" s="55">
        <v>0</v>
      </c>
      <c r="AF47" s="55">
        <v>0.497695852534562</v>
      </c>
    </row>
    <row r="48" spans="1:32" s="57" customFormat="1" ht="15.75" customHeight="1">
      <c r="A48" s="2" t="s">
        <v>115</v>
      </c>
      <c r="B48" s="2" t="s">
        <v>940</v>
      </c>
      <c r="C48" s="51">
        <f t="shared" si="50"/>
        <v>14.002941176470589</v>
      </c>
      <c r="D48" s="51">
        <v>17</v>
      </c>
      <c r="E48" s="51">
        <v>0</v>
      </c>
      <c r="F48" s="51">
        <v>238.05</v>
      </c>
      <c r="G48" s="51">
        <v>-98.03</v>
      </c>
      <c r="H48" s="51">
        <f t="shared" si="51"/>
        <v>0.41180424280613315</v>
      </c>
      <c r="I48" s="51">
        <f t="shared" si="52"/>
        <v>-0.47568920987295232</v>
      </c>
      <c r="J48" s="51">
        <f t="shared" si="53"/>
        <v>-113.2378164102563</v>
      </c>
      <c r="K48" s="51">
        <f t="shared" si="54"/>
        <v>-6.6610480241327235</v>
      </c>
      <c r="L48" s="51">
        <v>35</v>
      </c>
      <c r="M48" s="51">
        <f t="shared" si="55"/>
        <v>0.48571428571428571</v>
      </c>
      <c r="N48" s="51">
        <v>50</v>
      </c>
      <c r="O48" s="51">
        <f t="shared" ref="O48:P48" si="69">D48/7</f>
        <v>2.4285714285714284</v>
      </c>
      <c r="P48" s="51">
        <f t="shared" si="69"/>
        <v>0</v>
      </c>
      <c r="Q48" s="51">
        <f t="shared" si="57"/>
        <v>20</v>
      </c>
      <c r="R48" s="55">
        <f ca="1">IFERROR(__xludf.DUMMYFUNCTION("IFERROR(VLOOKUP($B$2,IMPORTRANGE(""https://docs.google.com/spreadsheets/d/1iVgg6Mw12RULLujzHmfOFIY8Q_KaAD8anoZzgtVAQ74/edit#gid=1503384807"",""Second Star - Summary!A1:AD2000""),9,FALSE),"""")"),124)</f>
        <v>124</v>
      </c>
      <c r="S48" s="53">
        <f ca="1">IFERROR(__xludf.DUMMYFUNCTION("IFERROR(VLOOKUP($B$2,IMPORTRANGE(""https://docs.google.com/spreadsheets/d/1iVgg6Mw12RULLujzHmfOFIY8Q_KaAD8anoZzgtVAQ74/edit#gid=1503384807"",""Second Star - Summary!A1:AD2000""),28,FALSE),"""")"),60)</f>
        <v>60</v>
      </c>
      <c r="T48" s="54">
        <f ca="1">IFERROR(__xludf.DUMMYFUNCTION("IFERROR(VLOOKUP($B$2,IMPORTRANGE(""https://docs.google.com/spreadsheets/d/1iVgg6Mw12RULLujzHmfOFIY8Q_KaAD8anoZzgtVAQ74/edit#gid=1503384807"",""Second Star - Summary!A1:AD2000""),29,FALSE),"""")"),44322)</f>
        <v>44322</v>
      </c>
      <c r="U48" s="55">
        <v>13</v>
      </c>
      <c r="V48" s="55">
        <f t="shared" si="58"/>
        <v>0.76470588235294112</v>
      </c>
      <c r="W48" s="55">
        <f t="shared" si="59"/>
        <v>7.5407692307692304</v>
      </c>
      <c r="X48" s="55">
        <v>0</v>
      </c>
      <c r="Y48" s="55" t="s">
        <v>35</v>
      </c>
      <c r="Z48" s="56">
        <f t="shared" si="65"/>
        <v>-2.4</v>
      </c>
      <c r="AA48" s="55">
        <v>0.17283333333333331</v>
      </c>
      <c r="AB48" s="55">
        <f t="shared" si="61"/>
        <v>-21.154799999999994</v>
      </c>
      <c r="AC48" s="55">
        <v>-7.32</v>
      </c>
      <c r="AD48" s="55">
        <v>-4.23267743589743</v>
      </c>
      <c r="AE48" s="55">
        <v>0</v>
      </c>
      <c r="AF48" s="55">
        <v>0.60377358490566002</v>
      </c>
    </row>
    <row r="49" spans="1:32" s="57" customFormat="1" ht="15.75" customHeight="1">
      <c r="A49" s="2" t="s">
        <v>117</v>
      </c>
      <c r="B49" s="2" t="s">
        <v>1081</v>
      </c>
      <c r="C49" s="51">
        <f t="shared" si="50"/>
        <v>14.018000000000001</v>
      </c>
      <c r="D49" s="51">
        <v>10</v>
      </c>
      <c r="E49" s="51">
        <v>0</v>
      </c>
      <c r="F49" s="51">
        <v>140.18</v>
      </c>
      <c r="G49" s="51">
        <v>-82.210000000000008</v>
      </c>
      <c r="H49" s="51">
        <f t="shared" si="51"/>
        <v>0.58646026537309182</v>
      </c>
      <c r="I49" s="51">
        <f t="shared" si="52"/>
        <v>-0.64936349235963975</v>
      </c>
      <c r="J49" s="51">
        <f t="shared" ref="J49:J56" si="70">F49*0.85+G49+AD49*D49+D49*AC49+AE49+AB49</f>
        <v>-91.027774358974298</v>
      </c>
      <c r="K49" s="51">
        <f t="shared" si="54"/>
        <v>-9.1027774358974298</v>
      </c>
      <c r="L49" s="51">
        <v>43</v>
      </c>
      <c r="M49" s="51">
        <f t="shared" si="55"/>
        <v>0.23255813953488372</v>
      </c>
      <c r="N49" s="51">
        <v>41</v>
      </c>
      <c r="O49" s="51">
        <f t="shared" ref="O49:P49" si="71">D49/7</f>
        <v>1.4285714285714286</v>
      </c>
      <c r="P49" s="51">
        <f t="shared" si="71"/>
        <v>0</v>
      </c>
      <c r="Q49" s="51">
        <f t="shared" si="57"/>
        <v>28</v>
      </c>
      <c r="R49" s="55">
        <f ca="1">IFERROR(__xludf.DUMMYFUNCTION("IFERROR(VLOOKUP($B$2,IMPORTRANGE(""https://docs.google.com/spreadsheets/d/1iVgg6Mw12RULLujzHmfOFIY8Q_KaAD8anoZzgtVAQ74/edit#gid=1503384807"",""Second Star - Summary!A1:AD2000""),9,FALSE),"""")"),124)</f>
        <v>124</v>
      </c>
      <c r="S49" s="53">
        <f ca="1">IFERROR(__xludf.DUMMYFUNCTION("IFERROR(VLOOKUP($B$2,IMPORTRANGE(""https://docs.google.com/spreadsheets/d/1iVgg6Mw12RULLujzHmfOFIY8Q_KaAD8anoZzgtVAQ74/edit#gid=1503384807"",""Second Star - Summary!A1:AD2000""),28,FALSE),"""")"),60)</f>
        <v>60</v>
      </c>
      <c r="T49" s="54">
        <f ca="1">IFERROR(__xludf.DUMMYFUNCTION("IFERROR(VLOOKUP($B$2,IMPORTRANGE(""https://docs.google.com/spreadsheets/d/1iVgg6Mw12RULLujzHmfOFIY8Q_KaAD8anoZzgtVAQ74/edit#gid=1503384807"",""Second Star - Summary!A1:AD2000""),29,FALSE),"""")"),44322)</f>
        <v>44322</v>
      </c>
      <c r="U49" s="55">
        <v>2</v>
      </c>
      <c r="V49" s="55">
        <f t="shared" si="58"/>
        <v>0.2</v>
      </c>
      <c r="W49" s="55">
        <f t="shared" si="59"/>
        <v>16.442</v>
      </c>
      <c r="X49" s="55">
        <v>3</v>
      </c>
      <c r="Y49" s="55" t="s">
        <v>35</v>
      </c>
      <c r="Z49" s="56">
        <f t="shared" si="65"/>
        <v>-2.4</v>
      </c>
      <c r="AA49" s="55">
        <v>0.17283333333333331</v>
      </c>
      <c r="AB49" s="55">
        <f t="shared" si="61"/>
        <v>-12.443999999999999</v>
      </c>
      <c r="AC49" s="55">
        <v>-7.32</v>
      </c>
      <c r="AD49" s="55">
        <v>-4.23267743589743</v>
      </c>
      <c r="AE49" s="55"/>
      <c r="AF49" s="55">
        <v>0.82412060301507495</v>
      </c>
    </row>
    <row r="50" spans="1:32" s="57" customFormat="1" ht="15.75" customHeight="1">
      <c r="A50" s="2" t="s">
        <v>119</v>
      </c>
      <c r="B50" s="2" t="s">
        <v>1082</v>
      </c>
      <c r="C50" s="51">
        <f t="shared" si="50"/>
        <v>14</v>
      </c>
      <c r="D50" s="51">
        <v>5</v>
      </c>
      <c r="E50" s="51">
        <v>0</v>
      </c>
      <c r="F50" s="51">
        <v>70</v>
      </c>
      <c r="G50" s="51">
        <v>-2.16</v>
      </c>
      <c r="H50" s="51">
        <f t="shared" si="51"/>
        <v>3.0857142857142861E-2</v>
      </c>
      <c r="I50" s="51">
        <f t="shared" si="52"/>
        <v>-9.4934102564102035E-2</v>
      </c>
      <c r="J50" s="51">
        <f t="shared" si="70"/>
        <v>-6.6453871794871429</v>
      </c>
      <c r="K50" s="51">
        <f t="shared" si="54"/>
        <v>-1.3290774358974287</v>
      </c>
      <c r="L50" s="51">
        <v>28</v>
      </c>
      <c r="M50" s="51">
        <f t="shared" si="55"/>
        <v>0.17857142857142858</v>
      </c>
      <c r="N50" s="51">
        <v>35</v>
      </c>
      <c r="O50" s="51">
        <f t="shared" ref="O50:P50" si="72">D50/7</f>
        <v>0.7142857142857143</v>
      </c>
      <c r="P50" s="51">
        <f t="shared" si="72"/>
        <v>0</v>
      </c>
      <c r="Q50" s="51">
        <f t="shared" si="57"/>
        <v>49</v>
      </c>
      <c r="R50" s="55">
        <f ca="1">IFERROR(__xludf.DUMMYFUNCTION("IFERROR(VLOOKUP($B$2,IMPORTRANGE(""https://docs.google.com/spreadsheets/d/1iVgg6Mw12RULLujzHmfOFIY8Q_KaAD8anoZzgtVAQ74/edit#gid=1503384807"",""Second Star - Summary!A1:AD2000""),9,FALSE),"""")"),124)</f>
        <v>124</v>
      </c>
      <c r="S50" s="53">
        <f ca="1">IFERROR(__xludf.DUMMYFUNCTION("IFERROR(VLOOKUP($B$2,IMPORTRANGE(""https://docs.google.com/spreadsheets/d/1iVgg6Mw12RULLujzHmfOFIY8Q_KaAD8anoZzgtVAQ74/edit#gid=1503384807"",""Second Star - Summary!A1:AD2000""),28,FALSE),"""")"),60)</f>
        <v>60</v>
      </c>
      <c r="T50" s="54">
        <f ca="1">IFERROR(__xludf.DUMMYFUNCTION("IFERROR(VLOOKUP($B$2,IMPORTRANGE(""https://docs.google.com/spreadsheets/d/1iVgg6Mw12RULLujzHmfOFIY8Q_KaAD8anoZzgtVAQ74/edit#gid=1503384807"",""Second Star - Summary!A1:AD2000""),29,FALSE),"""")"),44322)</f>
        <v>44322</v>
      </c>
      <c r="U50" s="55">
        <v>0</v>
      </c>
      <c r="V50" s="55">
        <f t="shared" si="58"/>
        <v>0</v>
      </c>
      <c r="W50" s="55">
        <f t="shared" si="59"/>
        <v>0</v>
      </c>
      <c r="X50" s="55">
        <v>0</v>
      </c>
      <c r="Y50" s="55" t="s">
        <v>35</v>
      </c>
      <c r="Z50" s="56">
        <f t="shared" si="65"/>
        <v>-2.4</v>
      </c>
      <c r="AA50" s="55">
        <v>0.17283333333333331</v>
      </c>
      <c r="AB50" s="55">
        <f t="shared" si="61"/>
        <v>-6.2219999999999995</v>
      </c>
      <c r="AC50" s="55">
        <v>-7.32</v>
      </c>
      <c r="AD50" s="55">
        <v>-4.23267743589743</v>
      </c>
      <c r="AE50" s="55">
        <v>0</v>
      </c>
      <c r="AF50" s="55">
        <v>0.932642487046632</v>
      </c>
    </row>
    <row r="51" spans="1:32" s="57" customFormat="1" ht="15.75" customHeight="1">
      <c r="A51" s="2" t="s">
        <v>121</v>
      </c>
      <c r="B51" s="2" t="s">
        <v>983</v>
      </c>
      <c r="C51" s="51">
        <f t="shared" si="50"/>
        <v>14</v>
      </c>
      <c r="D51" s="51">
        <v>3</v>
      </c>
      <c r="E51" s="51">
        <v>0</v>
      </c>
      <c r="F51" s="51">
        <v>42</v>
      </c>
      <c r="G51" s="51">
        <v>0</v>
      </c>
      <c r="H51" s="51">
        <f t="shared" si="51"/>
        <v>0</v>
      </c>
      <c r="I51" s="51">
        <f t="shared" si="52"/>
        <v>-6.407695970695941E-2</v>
      </c>
      <c r="J51" s="51">
        <f t="shared" si="70"/>
        <v>-2.691232307692295</v>
      </c>
      <c r="K51" s="51">
        <f t="shared" si="54"/>
        <v>-0.89707743589743172</v>
      </c>
      <c r="L51" s="51">
        <v>28</v>
      </c>
      <c r="M51" s="51">
        <f t="shared" si="55"/>
        <v>0.10714285714285714</v>
      </c>
      <c r="N51" s="51">
        <v>31</v>
      </c>
      <c r="O51" s="51">
        <f t="shared" ref="O51:P51" si="73">D51/7</f>
        <v>0.42857142857142855</v>
      </c>
      <c r="P51" s="51">
        <f t="shared" si="73"/>
        <v>0</v>
      </c>
      <c r="Q51" s="51">
        <f t="shared" si="57"/>
        <v>72</v>
      </c>
      <c r="R51" s="55">
        <f ca="1">IFERROR(__xludf.DUMMYFUNCTION("IFERROR(VLOOKUP($B$2,IMPORTRANGE(""https://docs.google.com/spreadsheets/d/1iVgg6Mw12RULLujzHmfOFIY8Q_KaAD8anoZzgtVAQ74/edit#gid=1503384807"",""Second Star - Summary!A1:AD2000""),9,FALSE),"""")"),124)</f>
        <v>124</v>
      </c>
      <c r="S51" s="53">
        <f ca="1">IFERROR(__xludf.DUMMYFUNCTION("IFERROR(VLOOKUP($B$2,IMPORTRANGE(""https://docs.google.com/spreadsheets/d/1iVgg6Mw12RULLujzHmfOFIY8Q_KaAD8anoZzgtVAQ74/edit#gid=1503384807"",""Second Star - Summary!A1:AD2000""),28,FALSE),"""")"),60)</f>
        <v>60</v>
      </c>
      <c r="T51" s="54">
        <f ca="1">IFERROR(__xludf.DUMMYFUNCTION("IFERROR(VLOOKUP($B$2,IMPORTRANGE(""https://docs.google.com/spreadsheets/d/1iVgg6Mw12RULLujzHmfOFIY8Q_KaAD8anoZzgtVAQ74/edit#gid=1503384807"",""Second Star - Summary!A1:AD2000""),29,FALSE),"""")"),44322)</f>
        <v>44322</v>
      </c>
      <c r="U51" s="55">
        <v>0</v>
      </c>
      <c r="V51" s="55">
        <f t="shared" si="58"/>
        <v>0</v>
      </c>
      <c r="W51" s="55">
        <f t="shared" si="59"/>
        <v>0</v>
      </c>
      <c r="X51" s="55">
        <v>0</v>
      </c>
      <c r="Y51" s="55" t="s">
        <v>35</v>
      </c>
      <c r="Z51" s="56">
        <f t="shared" si="65"/>
        <v>-2.4</v>
      </c>
      <c r="AA51" s="55">
        <v>0.17283333333333331</v>
      </c>
      <c r="AB51" s="55">
        <f t="shared" si="61"/>
        <v>-3.7331999999999992</v>
      </c>
      <c r="AC51" s="55">
        <v>-7.32</v>
      </c>
      <c r="AD51" s="55">
        <v>-4.23267743589743</v>
      </c>
      <c r="AE51" s="55">
        <v>0</v>
      </c>
      <c r="AF51" s="55">
        <v>1.0967741935483799</v>
      </c>
    </row>
    <row r="52" spans="1:32" s="57" customFormat="1" ht="15.75" customHeight="1">
      <c r="A52" s="2" t="s">
        <v>123</v>
      </c>
      <c r="B52" s="2" t="s">
        <v>983</v>
      </c>
      <c r="C52" s="51">
        <f t="shared" si="50"/>
        <v>15</v>
      </c>
      <c r="D52" s="51">
        <v>3</v>
      </c>
      <c r="E52" s="51">
        <v>0</v>
      </c>
      <c r="F52" s="51">
        <v>45</v>
      </c>
      <c r="G52" s="51">
        <v>0</v>
      </c>
      <c r="H52" s="51">
        <f t="shared" si="51"/>
        <v>0</v>
      </c>
      <c r="I52" s="51">
        <f t="shared" si="52"/>
        <v>-3.1384957264953507E-3</v>
      </c>
      <c r="J52" s="51">
        <f t="shared" si="70"/>
        <v>-0.14123230769229078</v>
      </c>
      <c r="K52" s="51">
        <f t="shared" si="54"/>
        <v>-4.7077435897430263E-2</v>
      </c>
      <c r="L52" s="51">
        <v>12</v>
      </c>
      <c r="M52" s="51">
        <f t="shared" si="55"/>
        <v>0.25</v>
      </c>
      <c r="N52" s="51">
        <v>60</v>
      </c>
      <c r="O52" s="51">
        <f t="shared" ref="O52:P52" si="74">D52/7</f>
        <v>0.42857142857142855</v>
      </c>
      <c r="P52" s="51">
        <f t="shared" si="74"/>
        <v>0</v>
      </c>
      <c r="Q52" s="51">
        <f t="shared" si="57"/>
        <v>140</v>
      </c>
      <c r="R52" s="55">
        <f ca="1">IFERROR(__xludf.DUMMYFUNCTION("IFERROR(VLOOKUP($B$2,IMPORTRANGE(""https://docs.google.com/spreadsheets/d/1iVgg6Mw12RULLujzHmfOFIY8Q_KaAD8anoZzgtVAQ74/edit#gid=1503384807"",""Second Star - Summary!A1:AD2000""),9,FALSE),"""")"),124)</f>
        <v>124</v>
      </c>
      <c r="S52" s="53">
        <f ca="1">IFERROR(__xludf.DUMMYFUNCTION("IFERROR(VLOOKUP($B$2,IMPORTRANGE(""https://docs.google.com/spreadsheets/d/1iVgg6Mw12RULLujzHmfOFIY8Q_KaAD8anoZzgtVAQ74/edit#gid=1503384807"",""Second Star - Summary!A1:AD2000""),28,FALSE),"""")"),60)</f>
        <v>60</v>
      </c>
      <c r="T52" s="54">
        <f ca="1">IFERROR(__xludf.DUMMYFUNCTION("IFERROR(VLOOKUP($B$2,IMPORTRANGE(""https://docs.google.com/spreadsheets/d/1iVgg6Mw12RULLujzHmfOFIY8Q_KaAD8anoZzgtVAQ74/edit#gid=1503384807"",""Second Star - Summary!A1:AD2000""),29,FALSE),"""")"),44322)</f>
        <v>44322</v>
      </c>
      <c r="U52" s="55">
        <v>0</v>
      </c>
      <c r="V52" s="55">
        <f t="shared" si="58"/>
        <v>0</v>
      </c>
      <c r="W52" s="55">
        <f t="shared" si="59"/>
        <v>0</v>
      </c>
      <c r="X52" s="55">
        <v>0</v>
      </c>
      <c r="Y52" s="55" t="s">
        <v>35</v>
      </c>
      <c r="Z52" s="56">
        <f t="shared" si="65"/>
        <v>-2.4</v>
      </c>
      <c r="AA52" s="55">
        <v>0.17283333333333331</v>
      </c>
      <c r="AB52" s="55">
        <f t="shared" si="61"/>
        <v>-3.7331999999999992</v>
      </c>
      <c r="AC52" s="55">
        <v>-7.32</v>
      </c>
      <c r="AD52" s="55">
        <v>-4.23267743589743</v>
      </c>
      <c r="AE52" s="55">
        <v>0</v>
      </c>
      <c r="AF52" s="55">
        <v>1.0434782608695601</v>
      </c>
    </row>
    <row r="53" spans="1:32" s="57" customFormat="1">
      <c r="A53" s="2" t="s">
        <v>38</v>
      </c>
      <c r="B53" s="2" t="s">
        <v>1083</v>
      </c>
      <c r="C53" s="51">
        <f t="shared" si="50"/>
        <v>15</v>
      </c>
      <c r="D53" s="51">
        <v>2</v>
      </c>
      <c r="E53" s="51">
        <v>0</v>
      </c>
      <c r="F53" s="51">
        <v>30</v>
      </c>
      <c r="G53" s="51">
        <v>-0.08</v>
      </c>
      <c r="H53" s="51">
        <f t="shared" si="51"/>
        <v>2.6666666666666666E-3</v>
      </c>
      <c r="I53" s="51">
        <f t="shared" si="52"/>
        <v>-5.8051623931618815E-3</v>
      </c>
      <c r="J53" s="51">
        <f t="shared" si="70"/>
        <v>-0.17415487179485645</v>
      </c>
      <c r="K53" s="51">
        <f t="shared" si="54"/>
        <v>-8.7077435897428224E-2</v>
      </c>
      <c r="L53" s="51">
        <v>21</v>
      </c>
      <c r="M53" s="51">
        <f t="shared" si="55"/>
        <v>9.5238095238095233E-2</v>
      </c>
      <c r="N53" s="51">
        <v>58</v>
      </c>
      <c r="O53" s="51">
        <f t="shared" ref="O53:P53" si="75">D53/7</f>
        <v>0.2857142857142857</v>
      </c>
      <c r="P53" s="51">
        <f t="shared" si="75"/>
        <v>0</v>
      </c>
      <c r="Q53" s="51">
        <f t="shared" si="57"/>
        <v>203</v>
      </c>
      <c r="R53" s="55">
        <f ca="1">IFERROR(__xludf.DUMMYFUNCTION("IFERROR(VLOOKUP($B$2,IMPORTRANGE(""https://docs.google.com/spreadsheets/d/1iVgg6Mw12RULLujzHmfOFIY8Q_KaAD8anoZzgtVAQ74/edit#gid=1503384807"",""Second Star - Summary!A1:AD2000""),9,FALSE),"""")"),124)</f>
        <v>124</v>
      </c>
      <c r="S53" s="53">
        <f ca="1">IFERROR(__xludf.DUMMYFUNCTION("IFERROR(VLOOKUP($B$2,IMPORTRANGE(""https://docs.google.com/spreadsheets/d/1iVgg6Mw12RULLujzHmfOFIY8Q_KaAD8anoZzgtVAQ74/edit#gid=1503384807"",""Second Star - Summary!A1:AD2000""),28,FALSE),"""")"),60)</f>
        <v>60</v>
      </c>
      <c r="T53" s="54">
        <f ca="1">IFERROR(__xludf.DUMMYFUNCTION("IFERROR(VLOOKUP($B$2,IMPORTRANGE(""https://docs.google.com/spreadsheets/d/1iVgg6Mw12RULLujzHmfOFIY8Q_KaAD8anoZzgtVAQ74/edit#gid=1503384807"",""Second Star - Summary!A1:AD2000""),29,FALSE),"""")"),44322)</f>
        <v>44322</v>
      </c>
      <c r="U53" s="55">
        <v>0</v>
      </c>
      <c r="V53" s="55">
        <f t="shared" si="58"/>
        <v>0</v>
      </c>
      <c r="W53" s="55">
        <f t="shared" si="59"/>
        <v>0</v>
      </c>
      <c r="X53" s="55">
        <v>0</v>
      </c>
      <c r="Y53" s="55" t="s">
        <v>35</v>
      </c>
      <c r="Z53" s="56">
        <f t="shared" si="65"/>
        <v>-2.4</v>
      </c>
      <c r="AA53" s="55">
        <v>0.17283333333333331</v>
      </c>
      <c r="AB53" s="55">
        <f t="shared" si="61"/>
        <v>-2.4887999999999995</v>
      </c>
      <c r="AC53" s="55">
        <v>-7.32</v>
      </c>
      <c r="AD53" s="55">
        <v>-4.23267743589743</v>
      </c>
      <c r="AE53" s="55">
        <v>0</v>
      </c>
      <c r="AF53" s="55">
        <v>0.84758364312267598</v>
      </c>
    </row>
    <row r="54" spans="1:32" s="57" customFormat="1">
      <c r="A54" s="2" t="s">
        <v>40</v>
      </c>
      <c r="B54" s="2" t="s">
        <v>1084</v>
      </c>
      <c r="C54" s="51">
        <f t="shared" si="50"/>
        <v>13.684666666666667</v>
      </c>
      <c r="D54" s="51">
        <v>15</v>
      </c>
      <c r="E54" s="51">
        <v>0</v>
      </c>
      <c r="F54" s="51">
        <v>205.27</v>
      </c>
      <c r="G54" s="51">
        <v>-0.02</v>
      </c>
      <c r="H54" s="51">
        <f t="shared" si="51"/>
        <v>9.7432649680908069E-5</v>
      </c>
      <c r="I54" s="51">
        <f t="shared" si="52"/>
        <v>-8.5237304713116704E-2</v>
      </c>
      <c r="J54" s="51">
        <f t="shared" si="70"/>
        <v>-17.496661538461467</v>
      </c>
      <c r="K54" s="51">
        <f t="shared" si="54"/>
        <v>-1.1664441025640977</v>
      </c>
      <c r="L54" s="51">
        <v>43</v>
      </c>
      <c r="M54" s="51">
        <f t="shared" si="55"/>
        <v>0.34883720930232559</v>
      </c>
      <c r="N54" s="51">
        <v>41</v>
      </c>
      <c r="O54" s="51">
        <f t="shared" ref="O54:P54" si="76">D54/7</f>
        <v>2.1428571428571428</v>
      </c>
      <c r="P54" s="51">
        <f t="shared" si="76"/>
        <v>0</v>
      </c>
      <c r="Q54" s="51">
        <f t="shared" si="57"/>
        <v>19</v>
      </c>
      <c r="R54" s="55">
        <f ca="1">IFERROR(__xludf.DUMMYFUNCTION("IFERROR(VLOOKUP($B$2,IMPORTRANGE(""https://docs.google.com/spreadsheets/d/1iVgg6Mw12RULLujzHmfOFIY8Q_KaAD8anoZzgtVAQ74/edit#gid=1503384807"",""Second Star - Summary!A1:AD2000""),9,FALSE),"""")"),124)</f>
        <v>124</v>
      </c>
      <c r="S54" s="53">
        <f ca="1">IFERROR(__xludf.DUMMYFUNCTION("IFERROR(VLOOKUP($B$2,IMPORTRANGE(""https://docs.google.com/spreadsheets/d/1iVgg6Mw12RULLujzHmfOFIY8Q_KaAD8anoZzgtVAQ74/edit#gid=1503384807"",""Second Star - Summary!A1:AD2000""),28,FALSE),"""")"),60)</f>
        <v>60</v>
      </c>
      <c r="T54" s="54">
        <f ca="1">IFERROR(__xludf.DUMMYFUNCTION("IFERROR(VLOOKUP($B$2,IMPORTRANGE(""https://docs.google.com/spreadsheets/d/1iVgg6Mw12RULLujzHmfOFIY8Q_KaAD8anoZzgtVAQ74/edit#gid=1503384807"",""Second Star - Summary!A1:AD2000""),29,FALSE),"""")"),44322)</f>
        <v>44322</v>
      </c>
      <c r="U54" s="55">
        <v>0</v>
      </c>
      <c r="V54" s="55">
        <f t="shared" si="58"/>
        <v>0</v>
      </c>
      <c r="W54" s="55">
        <f t="shared" si="59"/>
        <v>0</v>
      </c>
      <c r="X54" s="55">
        <v>0</v>
      </c>
      <c r="Y54" s="55" t="s">
        <v>35</v>
      </c>
      <c r="Z54" s="56">
        <f t="shared" si="65"/>
        <v>-2.4</v>
      </c>
      <c r="AA54" s="55">
        <v>0.17283333333333331</v>
      </c>
      <c r="AB54" s="55">
        <f t="shared" si="61"/>
        <v>-18.665999999999997</v>
      </c>
      <c r="AC54" s="55">
        <v>-7.32</v>
      </c>
      <c r="AD54" s="55">
        <v>-4.23267743589743</v>
      </c>
      <c r="AE54" s="55">
        <v>0</v>
      </c>
      <c r="AF54" s="55">
        <v>1.2255319148936099</v>
      </c>
    </row>
    <row r="55" spans="1:32" s="57" customFormat="1" ht="15.75" customHeight="1">
      <c r="A55" s="2" t="s">
        <v>32</v>
      </c>
      <c r="B55" s="2"/>
      <c r="C55" s="51">
        <f t="shared" si="50"/>
        <v>13.16818181818182</v>
      </c>
      <c r="D55" s="51">
        <v>11</v>
      </c>
      <c r="E55" s="51">
        <v>0</v>
      </c>
      <c r="F55" s="51">
        <v>144.85000000000002</v>
      </c>
      <c r="G55" s="51">
        <v>0</v>
      </c>
      <c r="H55" s="51">
        <f t="shared" si="51"/>
        <v>0</v>
      </c>
      <c r="I55" s="51">
        <f t="shared" si="52"/>
        <v>-0.12181810006815125</v>
      </c>
      <c r="J55" s="51">
        <f t="shared" si="70"/>
        <v>-17.645351794871711</v>
      </c>
      <c r="K55" s="51">
        <f t="shared" si="54"/>
        <v>-1.6041228904428828</v>
      </c>
      <c r="L55" s="51">
        <v>23</v>
      </c>
      <c r="M55" s="51">
        <f t="shared" si="55"/>
        <v>0.47826086956521741</v>
      </c>
      <c r="N55" s="51">
        <v>31</v>
      </c>
      <c r="O55" s="51">
        <f t="shared" ref="O55:P55" si="77">D55/7</f>
        <v>1.5714285714285714</v>
      </c>
      <c r="P55" s="51">
        <f t="shared" si="77"/>
        <v>0</v>
      </c>
      <c r="Q55" s="51">
        <f t="shared" si="57"/>
        <v>19</v>
      </c>
      <c r="R55" s="55">
        <v>60</v>
      </c>
      <c r="S55" s="53" t="s">
        <v>34</v>
      </c>
      <c r="T55" s="54" t="s">
        <v>34</v>
      </c>
      <c r="U55" s="55">
        <v>0</v>
      </c>
      <c r="V55" s="55">
        <f t="shared" si="58"/>
        <v>0</v>
      </c>
      <c r="W55" s="55">
        <f t="shared" si="59"/>
        <v>0</v>
      </c>
      <c r="X55" s="55">
        <v>0</v>
      </c>
      <c r="Y55" s="55" t="s">
        <v>35</v>
      </c>
      <c r="Z55" s="56">
        <f t="shared" si="65"/>
        <v>-2.4</v>
      </c>
      <c r="AA55" s="55">
        <v>0.17283333333333331</v>
      </c>
      <c r="AB55" s="55">
        <f t="shared" si="61"/>
        <v>-13.688399999999998</v>
      </c>
      <c r="AC55" s="55">
        <v>-7.32</v>
      </c>
      <c r="AD55" s="55">
        <v>-4.23267743589743</v>
      </c>
      <c r="AE55" s="55">
        <v>0</v>
      </c>
      <c r="AF55" s="55">
        <v>1.6267942583732</v>
      </c>
    </row>
    <row r="56" spans="1:32" s="57" customFormat="1" ht="15.75" customHeight="1">
      <c r="A56" s="2" t="s">
        <v>36</v>
      </c>
      <c r="B56" s="31" t="s">
        <v>810</v>
      </c>
      <c r="C56" s="51">
        <f t="shared" si="50"/>
        <v>13</v>
      </c>
      <c r="D56" s="51">
        <v>3</v>
      </c>
      <c r="E56" s="51">
        <v>0</v>
      </c>
      <c r="F56" s="51">
        <v>39</v>
      </c>
      <c r="G56" s="51">
        <v>0</v>
      </c>
      <c r="H56" s="51">
        <f t="shared" si="51"/>
        <v>0</v>
      </c>
      <c r="I56" s="51">
        <f t="shared" si="52"/>
        <v>-0.13439057199211005</v>
      </c>
      <c r="J56" s="51">
        <f t="shared" si="70"/>
        <v>-5.2412323076922922</v>
      </c>
      <c r="K56" s="51">
        <f t="shared" si="54"/>
        <v>-1.7470774358974308</v>
      </c>
      <c r="L56" s="51">
        <v>16</v>
      </c>
      <c r="M56" s="51">
        <f t="shared" si="55"/>
        <v>0.1875</v>
      </c>
      <c r="N56" s="51">
        <v>26</v>
      </c>
      <c r="O56" s="51">
        <f t="shared" ref="O56:P56" si="78">D56/7</f>
        <v>0.42857142857142855</v>
      </c>
      <c r="P56" s="51">
        <f t="shared" si="78"/>
        <v>0</v>
      </c>
      <c r="Q56" s="51">
        <f t="shared" si="57"/>
        <v>60</v>
      </c>
      <c r="R56" s="55">
        <f ca="1">IFERROR(__xludf.DUMMYFUNCTION("IFERROR(VLOOKUP($B$2,IMPORTRANGE(""https://docs.google.com/spreadsheets/d/1iVgg6Mw12RULLujzHmfOFIY8Q_KaAD8anoZzgtVAQ74/edit#gid=1503384807"",""Second Star - Summary!A1:AD2000""),9,FALSE),"""")"),124)</f>
        <v>124</v>
      </c>
      <c r="S56" s="53">
        <f ca="1">IFERROR(__xludf.DUMMYFUNCTION("IFERROR(VLOOKUP($B$2,IMPORTRANGE(""https://docs.google.com/spreadsheets/d/1iVgg6Mw12RULLujzHmfOFIY8Q_KaAD8anoZzgtVAQ74/edit#gid=1503384807"",""Second Star - Summary!A1:AD2000""),28,FALSE),"""")"),60)</f>
        <v>60</v>
      </c>
      <c r="T56" s="54">
        <f ca="1">IFERROR(__xludf.DUMMYFUNCTION("IFERROR(VLOOKUP($B$2,IMPORTRANGE(""https://docs.google.com/spreadsheets/d/1iVgg6Mw12RULLujzHmfOFIY8Q_KaAD8anoZzgtVAQ74/edit#gid=1503384807"",""Second Star - Summary!A1:AD2000""),29,FALSE),"""")"),44322)</f>
        <v>44322</v>
      </c>
      <c r="U56" s="55">
        <v>0</v>
      </c>
      <c r="V56" s="55">
        <f t="shared" si="58"/>
        <v>0</v>
      </c>
      <c r="W56" s="55">
        <f t="shared" si="59"/>
        <v>0</v>
      </c>
      <c r="X56" s="55">
        <v>0</v>
      </c>
      <c r="Y56" s="55" t="s">
        <v>35</v>
      </c>
      <c r="Z56" s="56">
        <f t="shared" si="65"/>
        <v>-2.4</v>
      </c>
      <c r="AA56" s="55">
        <v>0.17283333333333331</v>
      </c>
      <c r="AB56" s="55">
        <f t="shared" si="61"/>
        <v>-3.7331999999999992</v>
      </c>
      <c r="AC56" s="55">
        <v>-7.32</v>
      </c>
      <c r="AD56" s="55">
        <v>-4.23267743589743</v>
      </c>
      <c r="AE56" s="55">
        <v>0</v>
      </c>
      <c r="AF56" s="55">
        <v>1.48837209302325</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131" priority="1" operator="lessThan">
      <formula>100</formula>
    </cfRule>
  </conditionalFormatting>
  <conditionalFormatting sqref="Q1:Q3 Q57:Q1000">
    <cfRule type="cellIs" dxfId="130" priority="2" operator="lessThan">
      <formula>100</formula>
    </cfRule>
  </conditionalFormatting>
  <conditionalFormatting sqref="I1:I3 I57:I1000">
    <cfRule type="cellIs" dxfId="129" priority="3" operator="lessThan">
      <formula>0.05</formula>
    </cfRule>
  </conditionalFormatting>
  <conditionalFormatting sqref="I4:I17">
    <cfRule type="cellIs" dxfId="128" priority="4" operator="lessThan">
      <formula>0.05</formula>
    </cfRule>
  </conditionalFormatting>
  <conditionalFormatting sqref="I18:I56">
    <cfRule type="cellIs" dxfId="127" priority="5" operator="lessThan">
      <formula>0.05</formula>
    </cfRule>
  </conditionalFormatting>
  <conditionalFormatting sqref="Q4:Q56">
    <cfRule type="cellIs" dxfId="126" priority="6" operator="lessThan">
      <formula>100</formula>
    </cfRule>
  </conditionalFormatting>
  <conditionalFormatting sqref="Q4:Q56">
    <cfRule type="cellIs" dxfId="125" priority="7" operator="lessThan">
      <formula>100</formula>
    </cfRule>
  </conditionalFormatting>
  <pageMargins left="0.7" right="0.7" top="0.75" bottom="0.75" header="0" footer="0"/>
  <pageSetup orientation="portrait"/>
  <legacy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7.332031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8.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Info!B1:BJ5000""),4,FALSE),"""")"),"All Weather Cornhole Bean Bags - Set of 8 American Flag Bags for Corn Hole Toss Game - Regulation Size &amp; Weight - 4 Silver &amp; 4 Black")</f>
        <v>All Weather Cornhole Bean Bags - Set of 8 American Flag Bags for Corn Hole Toss Game - Regulation Size &amp; Weight - 4 Silver &amp; 4 Black</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Info!B1:BJ5000""),3,FALSE),"""")"),"B07VRVSNGP")</f>
        <v>B07VRVSNGP</v>
      </c>
      <c r="B2" s="4" t="s">
        <v>1085</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4.9796205128205058</v>
      </c>
      <c r="D3" s="8">
        <f>SUM(D4:D99819)</f>
        <v>680</v>
      </c>
      <c r="E3" s="8"/>
      <c r="F3" s="9">
        <f t="shared" ref="F3:G3" si="0">SUM(F4:F99819)</f>
        <v>12606.18</v>
      </c>
      <c r="G3" s="9">
        <f t="shared" si="0"/>
        <v>-523.17999999999984</v>
      </c>
      <c r="H3" s="10">
        <f t="shared" ref="H3:H39" si="1">G3/F3*-1</f>
        <v>4.1501866544821651E-2</v>
      </c>
      <c r="I3" s="11">
        <f t="shared" ref="I3:I39" si="2">J3/F3</f>
        <v>0.16061866984471743</v>
      </c>
      <c r="J3" s="9">
        <f>SUM(J4:J99819)</f>
        <v>2024.7878634230801</v>
      </c>
      <c r="K3" s="9">
        <f t="shared" ref="K3:K39" si="3">J3/D3</f>
        <v>2.9776292109162945</v>
      </c>
      <c r="L3" s="8"/>
      <c r="M3" s="12"/>
      <c r="N3" s="13"/>
      <c r="O3" s="8" t="str">
        <f ca="1">IFERROR(__xludf.DUMMYFUNCTION("IFERROR(VLOOKUP(B2,IMPORTRANGE(""https://docs.google.com/spreadsheets/d/1owCo6kL_VFQ5nPTdNogErmCBLjNiktT1m3SzTrxu3R0/edit#gid=2146806407"",""Second Star - Compiled!b1:g5000""),2,FALSE),"""")"),"3 - March
3 - April
3 - May
3 - Jun
3 - Jul
3 - Aug
3 - Sept
3 - Oct
3 - Nov
3 - Dec
3 - Jan
3 - Feb")</f>
        <v>3 - March
3 - April
3 - May
3 - Jun
3 - Jul
3 - Aug
3 - Sept
3 - Oct
3 - Nov
3 - Dec
3 - Jan
3 - Feb</v>
      </c>
      <c r="P3" s="8"/>
      <c r="Q3" s="14"/>
      <c r="R3" s="13"/>
      <c r="S3" s="13"/>
      <c r="T3" s="13"/>
      <c r="U3" s="8">
        <f>SUM(U4:U99819)</f>
        <v>128</v>
      </c>
      <c r="V3" s="10">
        <f>AVERAGE(V4:V99819)</f>
        <v>0.1048921235329201</v>
      </c>
      <c r="W3" s="9">
        <f>ROUND(AVERAGE(W4:W99819),2)</f>
        <v>2.09</v>
      </c>
      <c r="X3" s="8"/>
      <c r="Y3" s="8"/>
      <c r="Z3" s="8"/>
      <c r="AA3" s="8"/>
      <c r="AB3" s="8"/>
      <c r="AC3" s="15"/>
      <c r="AD3" s="9"/>
      <c r="AE3" s="9">
        <f>SUM(AE4:AE99819)</f>
        <v>-4</v>
      </c>
      <c r="AF3" s="16"/>
    </row>
    <row r="4" spans="1:32" s="57" customFormat="1">
      <c r="A4" s="17" t="s">
        <v>48</v>
      </c>
      <c r="B4" s="17"/>
      <c r="C4" s="50">
        <v>14.99</v>
      </c>
      <c r="D4" s="51">
        <v>0</v>
      </c>
      <c r="E4" s="51">
        <v>0</v>
      </c>
      <c r="F4" s="51">
        <v>0</v>
      </c>
      <c r="G4" s="51">
        <v>0</v>
      </c>
      <c r="H4" s="51" t="e">
        <f t="shared" si="1"/>
        <v>#DIV/0!</v>
      </c>
      <c r="I4" s="51" t="e">
        <f t="shared" si="2"/>
        <v>#DIV/0!</v>
      </c>
      <c r="J4" s="51">
        <f t="shared" ref="J4:J38" si="4">F4*0.85+G4+AD4*D4+D4*AC4+AE4+AB4</f>
        <v>0</v>
      </c>
      <c r="K4" s="51" t="e">
        <f t="shared" si="3"/>
        <v>#DIV/0!</v>
      </c>
      <c r="L4" s="51">
        <v>0</v>
      </c>
      <c r="M4" s="51" t="str">
        <f t="shared" ref="M4:M39" si="5">IFERROR(D4/L4,"-")</f>
        <v>-</v>
      </c>
      <c r="N4" s="51">
        <v>5</v>
      </c>
      <c r="O4" s="51">
        <f t="shared" ref="O4:P4" si="6">D4/7</f>
        <v>0</v>
      </c>
      <c r="P4" s="51">
        <f t="shared" si="6"/>
        <v>0</v>
      </c>
      <c r="Q4" s="51" t="e">
        <f t="shared" ref="Q4:Q39" si="7">ROUNDDOWN(N4/(O4+P4),0)</f>
        <v>#DIV/0!</v>
      </c>
      <c r="R4" s="52">
        <v>1052</v>
      </c>
      <c r="S4" s="53">
        <v>300</v>
      </c>
      <c r="T4" s="54">
        <v>43876</v>
      </c>
      <c r="U4" s="52">
        <v>0</v>
      </c>
      <c r="V4" s="55">
        <f t="shared" ref="V4:V39" si="8">IFERROR(U4/D4,0)</f>
        <v>0</v>
      </c>
      <c r="W4" s="55">
        <f t="shared" ref="W4:W39" si="9">IFERROR(G4/(U4+X4)*-1,0)</f>
        <v>0</v>
      </c>
      <c r="X4" s="52">
        <v>0</v>
      </c>
      <c r="Y4" s="56" t="e">
        <v>#N/A</v>
      </c>
      <c r="Z4" s="56" t="e">
        <f t="shared" ref="Z4:Z10" si="10">IF(OR(Y4="UsLargeStandardSize",Y4="UsSmallStandardSize"),-0.69,-0.48)</f>
        <v>#N/A</v>
      </c>
      <c r="AA4" s="55" t="e">
        <v>#N/A</v>
      </c>
      <c r="AB4" s="55">
        <f t="shared" ref="AB4:AB17" si="11">IFERROR((Z4*AA4*N4)/4,0)</f>
        <v>0</v>
      </c>
      <c r="AC4" s="55">
        <v>0</v>
      </c>
      <c r="AD4" s="55">
        <v>-4.102027435897436</v>
      </c>
      <c r="AE4" s="55">
        <v>0</v>
      </c>
      <c r="AF4" s="55"/>
    </row>
    <row r="5" spans="1:32" s="57" customFormat="1" ht="15.75" customHeight="1">
      <c r="A5" s="2" t="s">
        <v>49</v>
      </c>
      <c r="B5" s="2" t="s">
        <v>969</v>
      </c>
      <c r="C5" s="51">
        <v>14.99</v>
      </c>
      <c r="D5" s="51">
        <v>5</v>
      </c>
      <c r="E5" s="51">
        <v>0</v>
      </c>
      <c r="F5" s="51">
        <v>74.95</v>
      </c>
      <c r="G5" s="51">
        <v>-20.11</v>
      </c>
      <c r="H5" s="51">
        <f t="shared" si="1"/>
        <v>0.26831220813875917</v>
      </c>
      <c r="I5" s="51">
        <f t="shared" si="2"/>
        <v>-0.16961490566360471</v>
      </c>
      <c r="J5" s="51">
        <f t="shared" si="4"/>
        <v>-12.712637179487174</v>
      </c>
      <c r="K5" s="51">
        <f t="shared" si="3"/>
        <v>-2.5425274358974348</v>
      </c>
      <c r="L5" s="51">
        <v>16</v>
      </c>
      <c r="M5" s="51">
        <f t="shared" si="5"/>
        <v>0.3125</v>
      </c>
      <c r="N5" s="51">
        <v>0</v>
      </c>
      <c r="O5" s="51">
        <f t="shared" ref="O5:P5" si="12">D5/7</f>
        <v>0.7142857142857143</v>
      </c>
      <c r="P5" s="51">
        <f t="shared" si="12"/>
        <v>0</v>
      </c>
      <c r="Q5" s="51">
        <f t="shared" si="7"/>
        <v>0</v>
      </c>
      <c r="R5" s="55">
        <v>1052</v>
      </c>
      <c r="S5" s="53">
        <v>300</v>
      </c>
      <c r="T5" s="54">
        <v>43876</v>
      </c>
      <c r="U5" s="55">
        <v>1</v>
      </c>
      <c r="V5" s="55">
        <f t="shared" si="8"/>
        <v>0.2</v>
      </c>
      <c r="W5" s="55">
        <f t="shared" si="9"/>
        <v>20.11</v>
      </c>
      <c r="X5" s="55">
        <v>0</v>
      </c>
      <c r="Y5" s="55" t="s">
        <v>35</v>
      </c>
      <c r="Z5" s="56">
        <f t="shared" si="10"/>
        <v>-0.69</v>
      </c>
      <c r="AA5" s="55">
        <v>0.15751555555555558</v>
      </c>
      <c r="AB5" s="55">
        <f t="shared" si="11"/>
        <v>0</v>
      </c>
      <c r="AC5" s="55">
        <v>-7.16</v>
      </c>
      <c r="AD5" s="55">
        <v>-4.102027435897436</v>
      </c>
      <c r="AE5" s="55">
        <v>0</v>
      </c>
      <c r="AF5" s="55"/>
    </row>
    <row r="6" spans="1:32" s="57" customFormat="1" ht="15.75" customHeight="1">
      <c r="A6" s="2" t="s">
        <v>51</v>
      </c>
      <c r="B6" s="2" t="s">
        <v>944</v>
      </c>
      <c r="C6" s="51">
        <v>14.99</v>
      </c>
      <c r="D6" s="51">
        <v>4</v>
      </c>
      <c r="E6" s="51">
        <v>0</v>
      </c>
      <c r="F6" s="51">
        <v>59.96</v>
      </c>
      <c r="G6" s="51">
        <v>-37.160000000000004</v>
      </c>
      <c r="H6" s="51">
        <f t="shared" si="1"/>
        <v>0.61974649766511014</v>
      </c>
      <c r="I6" s="51">
        <f t="shared" si="2"/>
        <v>-0.52104919518995574</v>
      </c>
      <c r="J6" s="51">
        <f t="shared" si="4"/>
        <v>-31.242109743589747</v>
      </c>
      <c r="K6" s="51">
        <f t="shared" si="3"/>
        <v>-7.8105274358974368</v>
      </c>
      <c r="L6" s="51">
        <v>23</v>
      </c>
      <c r="M6" s="51">
        <f t="shared" si="5"/>
        <v>0.17391304347826086</v>
      </c>
      <c r="N6" s="51">
        <v>0</v>
      </c>
      <c r="O6" s="51">
        <f t="shared" ref="O6:P6" si="13">D6/7</f>
        <v>0.5714285714285714</v>
      </c>
      <c r="P6" s="51">
        <f t="shared" si="13"/>
        <v>0</v>
      </c>
      <c r="Q6" s="51">
        <f t="shared" si="7"/>
        <v>0</v>
      </c>
      <c r="R6" s="55">
        <v>1052</v>
      </c>
      <c r="S6" s="53">
        <v>300</v>
      </c>
      <c r="T6" s="54">
        <v>43884</v>
      </c>
      <c r="U6" s="55">
        <v>4</v>
      </c>
      <c r="V6" s="55">
        <f t="shared" si="8"/>
        <v>1</v>
      </c>
      <c r="W6" s="55">
        <f t="shared" si="9"/>
        <v>9.2900000000000009</v>
      </c>
      <c r="X6" s="55">
        <v>0</v>
      </c>
      <c r="Y6" s="55" t="s">
        <v>35</v>
      </c>
      <c r="Z6" s="56">
        <f t="shared" si="10"/>
        <v>-0.69</v>
      </c>
      <c r="AA6" s="55">
        <v>0.15751555555555558</v>
      </c>
      <c r="AB6" s="55">
        <f t="shared" si="11"/>
        <v>0</v>
      </c>
      <c r="AC6" s="55">
        <v>-7.16</v>
      </c>
      <c r="AD6" s="55">
        <v>-4.102027435897436</v>
      </c>
      <c r="AE6" s="55">
        <v>0</v>
      </c>
      <c r="AF6" s="55"/>
    </row>
    <row r="7" spans="1:32" s="57" customFormat="1" ht="15.75" customHeight="1">
      <c r="A7" s="2" t="s">
        <v>53</v>
      </c>
      <c r="B7" s="2"/>
      <c r="C7" s="51">
        <v>14.99</v>
      </c>
      <c r="D7" s="51">
        <v>1</v>
      </c>
      <c r="E7" s="51">
        <v>0</v>
      </c>
      <c r="F7" s="51">
        <v>14.99</v>
      </c>
      <c r="G7" s="51">
        <v>0</v>
      </c>
      <c r="H7" s="51">
        <f t="shared" si="1"/>
        <v>0</v>
      </c>
      <c r="I7" s="51">
        <f t="shared" si="2"/>
        <v>9.869730247515443E-2</v>
      </c>
      <c r="J7" s="51">
        <f t="shared" si="4"/>
        <v>1.479472564102565</v>
      </c>
      <c r="K7" s="51">
        <f t="shared" si="3"/>
        <v>1.479472564102565</v>
      </c>
      <c r="L7" s="51">
        <v>0</v>
      </c>
      <c r="M7" s="51" t="str">
        <f t="shared" si="5"/>
        <v>-</v>
      </c>
      <c r="N7" s="51">
        <v>0</v>
      </c>
      <c r="O7" s="51">
        <f t="shared" ref="O7:P7" si="14">D7/7</f>
        <v>0.14285714285714285</v>
      </c>
      <c r="P7" s="51">
        <f t="shared" si="14"/>
        <v>0</v>
      </c>
      <c r="Q7" s="51">
        <f t="shared" si="7"/>
        <v>0</v>
      </c>
      <c r="R7" s="55">
        <v>1052</v>
      </c>
      <c r="S7" s="53">
        <v>300</v>
      </c>
      <c r="T7" s="54">
        <v>43884</v>
      </c>
      <c r="U7" s="55">
        <v>0</v>
      </c>
      <c r="V7" s="55">
        <f t="shared" si="8"/>
        <v>0</v>
      </c>
      <c r="W7" s="55">
        <f t="shared" si="9"/>
        <v>0</v>
      </c>
      <c r="X7" s="55">
        <v>0</v>
      </c>
      <c r="Y7" s="55" t="s">
        <v>35</v>
      </c>
      <c r="Z7" s="56">
        <f t="shared" si="10"/>
        <v>-0.69</v>
      </c>
      <c r="AA7" s="55">
        <v>0.15751555555555558</v>
      </c>
      <c r="AB7" s="55">
        <f t="shared" si="11"/>
        <v>0</v>
      </c>
      <c r="AC7" s="55">
        <v>-7.16</v>
      </c>
      <c r="AD7" s="55">
        <v>-4.102027435897436</v>
      </c>
      <c r="AE7" s="55">
        <v>0</v>
      </c>
      <c r="AF7" s="55"/>
    </row>
    <row r="8" spans="1:32" s="57" customFormat="1" ht="15.75" customHeight="1">
      <c r="A8" s="2" t="s">
        <v>54</v>
      </c>
      <c r="B8" s="2"/>
      <c r="C8" s="51" t="s">
        <v>397</v>
      </c>
      <c r="D8" s="51">
        <v>0</v>
      </c>
      <c r="E8" s="51">
        <v>0</v>
      </c>
      <c r="F8" s="51">
        <v>0</v>
      </c>
      <c r="G8" s="51">
        <v>0</v>
      </c>
      <c r="H8" s="51" t="e">
        <f t="shared" si="1"/>
        <v>#DIV/0!</v>
      </c>
      <c r="I8" s="51" t="e">
        <f t="shared" si="2"/>
        <v>#DIV/0!</v>
      </c>
      <c r="J8" s="51">
        <f t="shared" si="4"/>
        <v>0</v>
      </c>
      <c r="K8" s="51" t="e">
        <f t="shared" si="3"/>
        <v>#DIV/0!</v>
      </c>
      <c r="L8" s="51">
        <v>0</v>
      </c>
      <c r="M8" s="51" t="str">
        <f t="shared" si="5"/>
        <v>-</v>
      </c>
      <c r="N8" s="51">
        <v>0</v>
      </c>
      <c r="O8" s="51">
        <f t="shared" ref="O8:P8" si="15">D8/7</f>
        <v>0</v>
      </c>
      <c r="P8" s="51">
        <f t="shared" si="15"/>
        <v>0</v>
      </c>
      <c r="Q8" s="51" t="e">
        <f t="shared" si="7"/>
        <v>#DIV/0!</v>
      </c>
      <c r="R8" s="55">
        <v>1052</v>
      </c>
      <c r="S8" s="53">
        <v>300</v>
      </c>
      <c r="T8" s="54">
        <v>43884</v>
      </c>
      <c r="U8" s="55">
        <v>0</v>
      </c>
      <c r="V8" s="55">
        <f t="shared" si="8"/>
        <v>0</v>
      </c>
      <c r="W8" s="55">
        <f t="shared" si="9"/>
        <v>0</v>
      </c>
      <c r="X8" s="55">
        <v>0</v>
      </c>
      <c r="Y8" s="55" t="e">
        <v>#N/A</v>
      </c>
      <c r="Z8" s="56" t="e">
        <f t="shared" si="10"/>
        <v>#N/A</v>
      </c>
      <c r="AA8" s="55" t="e">
        <v>#N/A</v>
      </c>
      <c r="AB8" s="55">
        <f t="shared" si="11"/>
        <v>0</v>
      </c>
      <c r="AC8" s="55">
        <v>0</v>
      </c>
      <c r="AD8" s="55">
        <v>-4.102027435897436</v>
      </c>
      <c r="AE8" s="55">
        <v>0</v>
      </c>
      <c r="AF8" s="55"/>
    </row>
    <row r="9" spans="1:32" s="57" customFormat="1" ht="15.75" customHeight="1">
      <c r="A9" s="2" t="s">
        <v>56</v>
      </c>
      <c r="B9" s="2"/>
      <c r="C9" s="51" t="s">
        <v>397</v>
      </c>
      <c r="D9" s="51">
        <v>0</v>
      </c>
      <c r="E9" s="51">
        <v>0</v>
      </c>
      <c r="F9" s="51">
        <v>0</v>
      </c>
      <c r="G9" s="51">
        <v>0</v>
      </c>
      <c r="H9" s="51" t="e">
        <f t="shared" si="1"/>
        <v>#DIV/0!</v>
      </c>
      <c r="I9" s="51" t="e">
        <f t="shared" si="2"/>
        <v>#DIV/0!</v>
      </c>
      <c r="J9" s="51">
        <f t="shared" si="4"/>
        <v>0</v>
      </c>
      <c r="K9" s="51" t="e">
        <f t="shared" si="3"/>
        <v>#DIV/0!</v>
      </c>
      <c r="L9" s="51">
        <v>0</v>
      </c>
      <c r="M9" s="51" t="str">
        <f t="shared" si="5"/>
        <v>-</v>
      </c>
      <c r="N9" s="51">
        <v>0</v>
      </c>
      <c r="O9" s="51">
        <f t="shared" ref="O9:P9" si="16">D9/7</f>
        <v>0</v>
      </c>
      <c r="P9" s="51">
        <f t="shared" si="16"/>
        <v>0</v>
      </c>
      <c r="Q9" s="51" t="e">
        <f t="shared" si="7"/>
        <v>#DIV/0!</v>
      </c>
      <c r="R9" s="55">
        <v>752</v>
      </c>
      <c r="S9" s="53">
        <v>300</v>
      </c>
      <c r="T9" s="54">
        <v>43881</v>
      </c>
      <c r="U9" s="55">
        <v>0</v>
      </c>
      <c r="V9" s="55">
        <f t="shared" si="8"/>
        <v>0</v>
      </c>
      <c r="W9" s="55">
        <f t="shared" si="9"/>
        <v>0</v>
      </c>
      <c r="X9" s="55">
        <v>0</v>
      </c>
      <c r="Y9" s="55" t="e">
        <v>#N/A</v>
      </c>
      <c r="Z9" s="56" t="e">
        <f t="shared" si="10"/>
        <v>#N/A</v>
      </c>
      <c r="AA9" s="55" t="e">
        <v>#N/A</v>
      </c>
      <c r="AB9" s="55">
        <f t="shared" si="11"/>
        <v>0</v>
      </c>
      <c r="AC9" s="55">
        <v>0</v>
      </c>
      <c r="AD9" s="55">
        <v>-4.102027435897436</v>
      </c>
      <c r="AE9" s="55">
        <v>0</v>
      </c>
      <c r="AF9" s="55"/>
    </row>
    <row r="10" spans="1:32" s="57" customFormat="1" ht="15.75" customHeight="1">
      <c r="A10" s="2" t="s">
        <v>58</v>
      </c>
      <c r="B10" s="2"/>
      <c r="C10" s="51" t="s">
        <v>397</v>
      </c>
      <c r="D10" s="51">
        <v>0</v>
      </c>
      <c r="E10" s="51">
        <v>0</v>
      </c>
      <c r="F10" s="51">
        <v>0</v>
      </c>
      <c r="G10" s="51">
        <v>0</v>
      </c>
      <c r="H10" s="51" t="e">
        <f t="shared" si="1"/>
        <v>#DIV/0!</v>
      </c>
      <c r="I10" s="51" t="e">
        <f t="shared" si="2"/>
        <v>#DIV/0!</v>
      </c>
      <c r="J10" s="51">
        <f t="shared" si="4"/>
        <v>0</v>
      </c>
      <c r="K10" s="51" t="e">
        <f t="shared" si="3"/>
        <v>#DIV/0!</v>
      </c>
      <c r="L10" s="51">
        <v>0</v>
      </c>
      <c r="M10" s="51" t="str">
        <f t="shared" si="5"/>
        <v>-</v>
      </c>
      <c r="N10" s="51">
        <v>0</v>
      </c>
      <c r="O10" s="51">
        <f t="shared" ref="O10:P10" si="17">D10/7</f>
        <v>0</v>
      </c>
      <c r="P10" s="51">
        <f t="shared" si="17"/>
        <v>0</v>
      </c>
      <c r="Q10" s="51" t="e">
        <f t="shared" si="7"/>
        <v>#DIV/0!</v>
      </c>
      <c r="R10" s="55">
        <v>752</v>
      </c>
      <c r="S10" s="53">
        <v>300</v>
      </c>
      <c r="T10" s="54">
        <v>43885</v>
      </c>
      <c r="U10" s="55">
        <v>0</v>
      </c>
      <c r="V10" s="55">
        <f t="shared" si="8"/>
        <v>0</v>
      </c>
      <c r="W10" s="55">
        <f t="shared" si="9"/>
        <v>0</v>
      </c>
      <c r="X10" s="55">
        <v>0</v>
      </c>
      <c r="Y10" s="55" t="e">
        <v>#N/A</v>
      </c>
      <c r="Z10" s="56" t="e">
        <f t="shared" si="10"/>
        <v>#N/A</v>
      </c>
      <c r="AA10" s="55" t="e">
        <v>#N/A</v>
      </c>
      <c r="AB10" s="55">
        <f t="shared" si="11"/>
        <v>0</v>
      </c>
      <c r="AC10" s="55">
        <v>0</v>
      </c>
      <c r="AD10" s="55">
        <v>-4.102027435897436</v>
      </c>
      <c r="AE10" s="55">
        <v>0</v>
      </c>
      <c r="AF10" s="55"/>
    </row>
    <row r="11" spans="1:32" s="57" customFormat="1" ht="15.75" customHeight="1">
      <c r="A11" s="2" t="s">
        <v>60</v>
      </c>
      <c r="B11" s="2" t="s">
        <v>1086</v>
      </c>
      <c r="C11" s="51" t="s">
        <v>397</v>
      </c>
      <c r="D11" s="51">
        <v>0</v>
      </c>
      <c r="E11" s="51">
        <v>0</v>
      </c>
      <c r="F11" s="51">
        <v>0</v>
      </c>
      <c r="G11" s="51">
        <v>0</v>
      </c>
      <c r="H11" s="51" t="e">
        <f t="shared" si="1"/>
        <v>#DIV/0!</v>
      </c>
      <c r="I11" s="51" t="e">
        <f t="shared" si="2"/>
        <v>#DIV/0!</v>
      </c>
      <c r="J11" s="51">
        <f t="shared" si="4"/>
        <v>0</v>
      </c>
      <c r="K11" s="51" t="e">
        <f t="shared" si="3"/>
        <v>#DIV/0!</v>
      </c>
      <c r="L11" s="51">
        <v>0</v>
      </c>
      <c r="M11" s="51" t="str">
        <f t="shared" si="5"/>
        <v>-</v>
      </c>
      <c r="N11" s="51">
        <v>0</v>
      </c>
      <c r="O11" s="51">
        <f t="shared" ref="O11:P11" si="18">D11/7</f>
        <v>0</v>
      </c>
      <c r="P11" s="51">
        <f t="shared" si="18"/>
        <v>0</v>
      </c>
      <c r="Q11" s="51" t="e">
        <f t="shared" si="7"/>
        <v>#DIV/0!</v>
      </c>
      <c r="R11" s="55">
        <v>452</v>
      </c>
      <c r="S11" s="53" t="s">
        <v>34</v>
      </c>
      <c r="T11" s="54" t="s">
        <v>34</v>
      </c>
      <c r="U11" s="55">
        <v>0</v>
      </c>
      <c r="V11" s="55">
        <f t="shared" si="8"/>
        <v>0</v>
      </c>
      <c r="W11" s="55">
        <f t="shared" si="9"/>
        <v>0</v>
      </c>
      <c r="X11" s="55">
        <v>0</v>
      </c>
      <c r="Y11" s="55" t="e">
        <v>#N/A</v>
      </c>
      <c r="Z11" s="56" t="e">
        <f t="shared" ref="Z11:Z39" si="19">IF(OR(Y11="UsLargeStandardSize",Y11="UsSmallStandardSize"),-0.75,-0.48)</f>
        <v>#N/A</v>
      </c>
      <c r="AA11" s="55" t="e">
        <v>#N/A</v>
      </c>
      <c r="AB11" s="55">
        <f t="shared" si="11"/>
        <v>0</v>
      </c>
      <c r="AC11" s="55">
        <v>0</v>
      </c>
      <c r="AD11" s="55">
        <v>-4.102027435897436</v>
      </c>
      <c r="AE11" s="55">
        <v>0</v>
      </c>
      <c r="AF11" s="55"/>
    </row>
    <row r="12" spans="1:32" s="57" customFormat="1" ht="15.75" customHeight="1">
      <c r="A12" s="2" t="s">
        <v>62</v>
      </c>
      <c r="B12" s="2" t="s">
        <v>1087</v>
      </c>
      <c r="C12" s="51">
        <v>14.99</v>
      </c>
      <c r="D12" s="51">
        <v>4</v>
      </c>
      <c r="E12" s="51">
        <v>0</v>
      </c>
      <c r="F12" s="51">
        <v>59.96</v>
      </c>
      <c r="G12" s="51">
        <v>-18.419999999999998</v>
      </c>
      <c r="H12" s="51">
        <f t="shared" si="1"/>
        <v>0.30720480320213472</v>
      </c>
      <c r="I12" s="51">
        <f t="shared" si="2"/>
        <v>-0.36399524255486559</v>
      </c>
      <c r="J12" s="51">
        <f t="shared" si="4"/>
        <v>-21.825154743589742</v>
      </c>
      <c r="K12" s="51">
        <f t="shared" si="3"/>
        <v>-5.4562886858974355</v>
      </c>
      <c r="L12" s="51">
        <v>24</v>
      </c>
      <c r="M12" s="51">
        <f t="shared" si="5"/>
        <v>0.16666666666666666</v>
      </c>
      <c r="N12" s="51">
        <v>294</v>
      </c>
      <c r="O12" s="51">
        <f t="shared" ref="O12:P12" si="20">D12/7</f>
        <v>0.5714285714285714</v>
      </c>
      <c r="P12" s="51">
        <f t="shared" si="20"/>
        <v>0</v>
      </c>
      <c r="Q12" s="51">
        <f t="shared" si="7"/>
        <v>514</v>
      </c>
      <c r="R12" s="55">
        <v>452</v>
      </c>
      <c r="S12" s="53" t="s">
        <v>34</v>
      </c>
      <c r="T12" s="54" t="s">
        <v>34</v>
      </c>
      <c r="U12" s="55">
        <v>1</v>
      </c>
      <c r="V12" s="55">
        <f t="shared" si="8"/>
        <v>0.25</v>
      </c>
      <c r="W12" s="55">
        <f t="shared" si="9"/>
        <v>18.419999999999998</v>
      </c>
      <c r="X12" s="55">
        <v>0</v>
      </c>
      <c r="Y12" s="55" t="s">
        <v>35</v>
      </c>
      <c r="Z12" s="56">
        <f t="shared" si="19"/>
        <v>-0.75</v>
      </c>
      <c r="AA12" s="55">
        <v>0.15751555555555558</v>
      </c>
      <c r="AB12" s="55">
        <f t="shared" si="11"/>
        <v>-8.6830450000000017</v>
      </c>
      <c r="AC12" s="55">
        <v>-7.32</v>
      </c>
      <c r="AD12" s="55">
        <v>-4.102027435897436</v>
      </c>
      <c r="AE12" s="55">
        <v>0</v>
      </c>
      <c r="AF12" s="55"/>
    </row>
    <row r="13" spans="1:32" s="57" customFormat="1" ht="15.75" customHeight="1">
      <c r="A13" s="2" t="s">
        <v>63</v>
      </c>
      <c r="B13" s="2" t="s">
        <v>1088</v>
      </c>
      <c r="C13" s="51">
        <v>14.99</v>
      </c>
      <c r="D13" s="51">
        <v>17</v>
      </c>
      <c r="E13" s="51">
        <v>0</v>
      </c>
      <c r="F13" s="51">
        <v>254.83000000000007</v>
      </c>
      <c r="G13" s="51">
        <v>-33.050000000000004</v>
      </c>
      <c r="H13" s="51">
        <f t="shared" si="1"/>
        <v>0.12969430600792684</v>
      </c>
      <c r="I13" s="51">
        <f t="shared" si="2"/>
        <v>-7.4701581094283862E-2</v>
      </c>
      <c r="J13" s="51">
        <f t="shared" si="4"/>
        <v>-19.036203910256361</v>
      </c>
      <c r="K13" s="51">
        <f t="shared" si="3"/>
        <v>-1.1197767006033155</v>
      </c>
      <c r="L13" s="51">
        <v>47</v>
      </c>
      <c r="M13" s="51">
        <f t="shared" si="5"/>
        <v>0.36170212765957449</v>
      </c>
      <c r="N13" s="51">
        <v>285</v>
      </c>
      <c r="O13" s="51">
        <f t="shared" ref="O13:P13" si="21">D13/7</f>
        <v>2.4285714285714284</v>
      </c>
      <c r="P13" s="51">
        <f t="shared" si="21"/>
        <v>0</v>
      </c>
      <c r="Q13" s="51">
        <f t="shared" si="7"/>
        <v>117</v>
      </c>
      <c r="R13" s="55">
        <v>452</v>
      </c>
      <c r="S13" s="53" t="s">
        <v>34</v>
      </c>
      <c r="T13" s="54" t="s">
        <v>34</v>
      </c>
      <c r="U13" s="55">
        <v>2</v>
      </c>
      <c r="V13" s="55">
        <f t="shared" si="8"/>
        <v>0.11764705882352941</v>
      </c>
      <c r="W13" s="55">
        <f t="shared" si="9"/>
        <v>5.5083333333333337</v>
      </c>
      <c r="X13" s="55">
        <v>4</v>
      </c>
      <c r="Y13" s="55" t="s">
        <v>35</v>
      </c>
      <c r="Z13" s="56">
        <f t="shared" si="19"/>
        <v>-0.75</v>
      </c>
      <c r="AA13" s="55">
        <v>0.15751555555555558</v>
      </c>
      <c r="AB13" s="55">
        <f t="shared" si="11"/>
        <v>-8.4172375000000006</v>
      </c>
      <c r="AC13" s="55">
        <v>-7.32</v>
      </c>
      <c r="AD13" s="55">
        <v>-4.102027435897436</v>
      </c>
      <c r="AE13" s="55">
        <v>0</v>
      </c>
      <c r="AF13" s="55"/>
    </row>
    <row r="14" spans="1:32" s="57" customFormat="1" ht="15.75" customHeight="1">
      <c r="A14" s="2" t="s">
        <v>64</v>
      </c>
      <c r="B14" s="2"/>
      <c r="C14" s="51">
        <v>17.989999999999998</v>
      </c>
      <c r="D14" s="51">
        <v>47</v>
      </c>
      <c r="E14" s="51">
        <v>0</v>
      </c>
      <c r="F14" s="51">
        <v>704.53000000000031</v>
      </c>
      <c r="G14" s="51">
        <v>-43.01</v>
      </c>
      <c r="H14" s="51">
        <f t="shared" si="1"/>
        <v>6.1047790725732021E-2</v>
      </c>
      <c r="I14" s="51">
        <f t="shared" si="2"/>
        <v>1.8046687881028086E-2</v>
      </c>
      <c r="J14" s="51">
        <f t="shared" si="4"/>
        <v>12.714433012820724</v>
      </c>
      <c r="K14" s="51">
        <f t="shared" si="3"/>
        <v>0.27051985133661116</v>
      </c>
      <c r="L14" s="51">
        <v>153</v>
      </c>
      <c r="M14" s="51">
        <f t="shared" si="5"/>
        <v>0.30718954248366015</v>
      </c>
      <c r="N14" s="51">
        <v>213</v>
      </c>
      <c r="O14" s="51">
        <f t="shared" ref="O14:P14" si="22">D14/7</f>
        <v>6.7142857142857144</v>
      </c>
      <c r="P14" s="51">
        <f t="shared" si="22"/>
        <v>0</v>
      </c>
      <c r="Q14" s="51">
        <f t="shared" si="7"/>
        <v>31</v>
      </c>
      <c r="R14" s="55">
        <v>452</v>
      </c>
      <c r="S14" s="53" t="s">
        <v>34</v>
      </c>
      <c r="T14" s="54" t="s">
        <v>34</v>
      </c>
      <c r="U14" s="55">
        <v>11</v>
      </c>
      <c r="V14" s="55">
        <f t="shared" si="8"/>
        <v>0.23404255319148937</v>
      </c>
      <c r="W14" s="55">
        <f t="shared" si="9"/>
        <v>3.5841666666666665</v>
      </c>
      <c r="X14" s="55">
        <v>1</v>
      </c>
      <c r="Y14" s="55" t="s">
        <v>35</v>
      </c>
      <c r="Z14" s="56">
        <f t="shared" si="19"/>
        <v>-0.75</v>
      </c>
      <c r="AA14" s="55">
        <v>0.15751555555555558</v>
      </c>
      <c r="AB14" s="55">
        <f t="shared" si="11"/>
        <v>-6.2907775000000008</v>
      </c>
      <c r="AC14" s="55">
        <v>-7.32</v>
      </c>
      <c r="AD14" s="55">
        <v>-4.102027435897436</v>
      </c>
      <c r="AE14" s="55">
        <v>0</v>
      </c>
      <c r="AF14" s="55"/>
    </row>
    <row r="15" spans="1:32" s="57" customFormat="1" ht="15.75" customHeight="1">
      <c r="A15" s="2" t="s">
        <v>65</v>
      </c>
      <c r="B15" s="2" t="s">
        <v>983</v>
      </c>
      <c r="C15" s="51">
        <v>16.989999999999998</v>
      </c>
      <c r="D15" s="51">
        <v>26</v>
      </c>
      <c r="E15" s="51">
        <v>0</v>
      </c>
      <c r="F15" s="51">
        <v>447.74000000000012</v>
      </c>
      <c r="G15" s="51">
        <v>-24.07</v>
      </c>
      <c r="H15" s="51">
        <f t="shared" si="1"/>
        <v>5.3758877920221541E-2</v>
      </c>
      <c r="I15" s="51">
        <f t="shared" si="2"/>
        <v>0.1196461897529819</v>
      </c>
      <c r="J15" s="51">
        <f t="shared" si="4"/>
        <v>53.57038500000013</v>
      </c>
      <c r="K15" s="51">
        <f t="shared" si="3"/>
        <v>2.060399423076928</v>
      </c>
      <c r="L15" s="51">
        <v>97</v>
      </c>
      <c r="M15" s="51">
        <f t="shared" si="5"/>
        <v>0.26804123711340205</v>
      </c>
      <c r="N15" s="51">
        <v>202</v>
      </c>
      <c r="O15" s="51">
        <f t="shared" ref="O15:P15" si="23">D15/7</f>
        <v>3.7142857142857144</v>
      </c>
      <c r="P15" s="51">
        <f t="shared" si="23"/>
        <v>0</v>
      </c>
      <c r="Q15" s="51">
        <f t="shared" si="7"/>
        <v>54</v>
      </c>
      <c r="R15" s="55">
        <v>452</v>
      </c>
      <c r="S15" s="53" t="s">
        <v>34</v>
      </c>
      <c r="T15" s="54" t="s">
        <v>34</v>
      </c>
      <c r="U15" s="55">
        <v>4</v>
      </c>
      <c r="V15" s="55">
        <f t="shared" si="8"/>
        <v>0.15384615384615385</v>
      </c>
      <c r="W15" s="55">
        <f t="shared" si="9"/>
        <v>3.00875</v>
      </c>
      <c r="X15" s="55">
        <v>4</v>
      </c>
      <c r="Y15" s="55" t="s">
        <v>35</v>
      </c>
      <c r="Z15" s="56">
        <f t="shared" si="19"/>
        <v>-0.75</v>
      </c>
      <c r="AA15" s="55">
        <v>0.15751555555555558</v>
      </c>
      <c r="AB15" s="55">
        <f t="shared" si="11"/>
        <v>-5.9659016666666673</v>
      </c>
      <c r="AC15" s="55">
        <v>-7.32</v>
      </c>
      <c r="AD15" s="55">
        <v>-4.102027435897436</v>
      </c>
      <c r="AE15" s="55">
        <v>0</v>
      </c>
      <c r="AF15" s="55"/>
    </row>
    <row r="16" spans="1:32" s="57" customFormat="1" ht="15.75" customHeight="1">
      <c r="A16" s="2" t="s">
        <v>66</v>
      </c>
      <c r="B16" s="2" t="s">
        <v>1089</v>
      </c>
      <c r="C16" s="51">
        <v>16</v>
      </c>
      <c r="D16" s="51">
        <v>30</v>
      </c>
      <c r="E16" s="51">
        <v>0</v>
      </c>
      <c r="F16" s="51">
        <v>490.93000000000006</v>
      </c>
      <c r="G16" s="51">
        <v>-28.629999999999995</v>
      </c>
      <c r="H16" s="51">
        <f t="shared" si="1"/>
        <v>5.8317886460391488E-2</v>
      </c>
      <c r="I16" s="51">
        <f t="shared" si="2"/>
        <v>8.359223702580193E-2</v>
      </c>
      <c r="J16" s="51">
        <f t="shared" si="4"/>
        <v>41.037936923076948</v>
      </c>
      <c r="K16" s="51">
        <f t="shared" si="3"/>
        <v>1.3679312307692315</v>
      </c>
      <c r="L16" s="51">
        <v>151</v>
      </c>
      <c r="M16" s="51">
        <f t="shared" si="5"/>
        <v>0.19867549668874171</v>
      </c>
      <c r="N16" s="51">
        <v>168</v>
      </c>
      <c r="O16" s="51">
        <f t="shared" ref="O16:P16" si="24">D16/7</f>
        <v>4.2857142857142856</v>
      </c>
      <c r="P16" s="51">
        <f t="shared" si="24"/>
        <v>0</v>
      </c>
      <c r="Q16" s="51">
        <f t="shared" si="7"/>
        <v>39</v>
      </c>
      <c r="R16" s="55">
        <v>452</v>
      </c>
      <c r="S16" s="53" t="s">
        <v>34</v>
      </c>
      <c r="T16" s="54" t="s">
        <v>34</v>
      </c>
      <c r="U16" s="55">
        <v>4</v>
      </c>
      <c r="V16" s="55">
        <f t="shared" si="8"/>
        <v>0.13333333333333333</v>
      </c>
      <c r="W16" s="55">
        <f t="shared" si="9"/>
        <v>5.7259999999999991</v>
      </c>
      <c r="X16" s="55">
        <v>1</v>
      </c>
      <c r="Y16" s="55" t="s">
        <v>35</v>
      </c>
      <c r="Z16" s="56">
        <f t="shared" si="19"/>
        <v>-0.75</v>
      </c>
      <c r="AA16" s="55">
        <v>0.15751555555555558</v>
      </c>
      <c r="AB16" s="55">
        <f t="shared" si="11"/>
        <v>-4.9617400000000007</v>
      </c>
      <c r="AC16" s="55">
        <v>-7.32</v>
      </c>
      <c r="AD16" s="55">
        <v>-4.102027435897436</v>
      </c>
      <c r="AE16" s="55">
        <v>0</v>
      </c>
      <c r="AF16" s="55"/>
    </row>
    <row r="17" spans="1:32" s="57" customFormat="1" ht="15.75" customHeight="1">
      <c r="A17" s="2" t="s">
        <v>67</v>
      </c>
      <c r="B17" s="2" t="s">
        <v>810</v>
      </c>
      <c r="C17" s="51">
        <v>17.989999999999998</v>
      </c>
      <c r="D17" s="51">
        <v>13</v>
      </c>
      <c r="E17" s="51">
        <v>0</v>
      </c>
      <c r="F17" s="51">
        <v>215.95999999999998</v>
      </c>
      <c r="G17" s="51">
        <v>0</v>
      </c>
      <c r="H17" s="51">
        <f t="shared" si="1"/>
        <v>0</v>
      </c>
      <c r="I17" s="51">
        <f t="shared" si="2"/>
        <v>0.14069138189170824</v>
      </c>
      <c r="J17" s="51">
        <f t="shared" si="4"/>
        <v>30.383710833333307</v>
      </c>
      <c r="K17" s="51">
        <f t="shared" si="3"/>
        <v>2.3372085256410235</v>
      </c>
      <c r="L17" s="51">
        <v>159</v>
      </c>
      <c r="M17" s="51">
        <f t="shared" si="5"/>
        <v>8.1761006289308172E-2</v>
      </c>
      <c r="N17" s="51">
        <v>159</v>
      </c>
      <c r="O17" s="51">
        <f t="shared" ref="O17:P17" si="25">D17/7</f>
        <v>1.8571428571428572</v>
      </c>
      <c r="P17" s="51">
        <f t="shared" si="25"/>
        <v>0</v>
      </c>
      <c r="Q17" s="51">
        <f t="shared" si="7"/>
        <v>85</v>
      </c>
      <c r="R17" s="55">
        <v>452</v>
      </c>
      <c r="S17" s="53" t="s">
        <v>34</v>
      </c>
      <c r="T17" s="54" t="s">
        <v>34</v>
      </c>
      <c r="U17" s="55">
        <v>0</v>
      </c>
      <c r="V17" s="55">
        <f t="shared" si="8"/>
        <v>0</v>
      </c>
      <c r="W17" s="55">
        <f t="shared" si="9"/>
        <v>0</v>
      </c>
      <c r="X17" s="55">
        <v>0</v>
      </c>
      <c r="Y17" s="55" t="s">
        <v>35</v>
      </c>
      <c r="Z17" s="56">
        <f t="shared" si="19"/>
        <v>-0.75</v>
      </c>
      <c r="AA17" s="55">
        <v>0.15751555555555558</v>
      </c>
      <c r="AB17" s="55">
        <f t="shared" si="11"/>
        <v>-4.6959325000000005</v>
      </c>
      <c r="AC17" s="55">
        <v>-7.32</v>
      </c>
      <c r="AD17" s="55">
        <v>-4.102027435897436</v>
      </c>
      <c r="AE17" s="55">
        <v>0</v>
      </c>
      <c r="AF17" s="55"/>
    </row>
    <row r="18" spans="1:32" s="57" customFormat="1" ht="15.75" customHeight="1">
      <c r="A18" s="2" t="s">
        <v>69</v>
      </c>
      <c r="B18" s="2" t="s">
        <v>810</v>
      </c>
      <c r="C18" s="51">
        <v>16.989999999999998</v>
      </c>
      <c r="D18" s="51">
        <v>15</v>
      </c>
      <c r="E18" s="51">
        <v>0</v>
      </c>
      <c r="F18" s="51">
        <v>245.94</v>
      </c>
      <c r="G18" s="51">
        <v>-0.22000000000000003</v>
      </c>
      <c r="H18" s="51">
        <f t="shared" si="1"/>
        <v>8.9452712043587882E-4</v>
      </c>
      <c r="I18" s="51">
        <f t="shared" si="2"/>
        <v>0.13085483638911297</v>
      </c>
      <c r="J18" s="51">
        <f t="shared" si="4"/>
        <v>32.182438461538446</v>
      </c>
      <c r="K18" s="51">
        <f t="shared" si="3"/>
        <v>2.1454958974358962</v>
      </c>
      <c r="L18" s="51">
        <v>138</v>
      </c>
      <c r="M18" s="51">
        <f t="shared" si="5"/>
        <v>0.10869565217391304</v>
      </c>
      <c r="N18" s="51">
        <v>134</v>
      </c>
      <c r="O18" s="51">
        <f t="shared" ref="O18:P18" si="26">D18/7</f>
        <v>2.1428571428571428</v>
      </c>
      <c r="P18" s="51">
        <f t="shared" si="26"/>
        <v>0</v>
      </c>
      <c r="Q18" s="51">
        <f t="shared" si="7"/>
        <v>62</v>
      </c>
      <c r="R18" s="55">
        <v>452</v>
      </c>
      <c r="S18" s="53" t="s">
        <v>34</v>
      </c>
      <c r="T18" s="54" t="s">
        <v>34</v>
      </c>
      <c r="U18" s="55">
        <v>0</v>
      </c>
      <c r="V18" s="55">
        <f t="shared" si="8"/>
        <v>0</v>
      </c>
      <c r="W18" s="55">
        <f t="shared" si="9"/>
        <v>0</v>
      </c>
      <c r="X18" s="55">
        <v>0</v>
      </c>
      <c r="Y18" s="55" t="s">
        <v>35</v>
      </c>
      <c r="Z18" s="56">
        <f t="shared" si="19"/>
        <v>-0.75</v>
      </c>
      <c r="AA18" s="55">
        <v>0.15751555555555558</v>
      </c>
      <c r="AB18" s="58">
        <f t="shared" ref="AB18:AB39" si="27">IFERROR(Z18*AA18*D18*3,0)</f>
        <v>-5.3161500000000004</v>
      </c>
      <c r="AC18" s="55">
        <v>-7.32</v>
      </c>
      <c r="AD18" s="55">
        <v>-4.102027435897436</v>
      </c>
      <c r="AE18" s="55">
        <v>0</v>
      </c>
      <c r="AF18" s="55"/>
    </row>
    <row r="19" spans="1:32" s="57" customFormat="1" ht="15.75" customHeight="1">
      <c r="A19" s="2" t="s">
        <v>71</v>
      </c>
      <c r="B19" s="2" t="s">
        <v>987</v>
      </c>
      <c r="C19" s="51">
        <v>16</v>
      </c>
      <c r="D19" s="51">
        <v>22</v>
      </c>
      <c r="E19" s="51">
        <v>0</v>
      </c>
      <c r="F19" s="51">
        <v>372.86</v>
      </c>
      <c r="G19" s="51">
        <v>-0.14000000000000001</v>
      </c>
      <c r="H19" s="51">
        <f t="shared" si="1"/>
        <v>3.7547604999195412E-4</v>
      </c>
      <c r="I19" s="51">
        <f t="shared" si="2"/>
        <v>0.1547749193001566</v>
      </c>
      <c r="J19" s="51">
        <f t="shared" si="4"/>
        <v>57.709376410256397</v>
      </c>
      <c r="K19" s="51">
        <f t="shared" si="3"/>
        <v>2.6231534731934727</v>
      </c>
      <c r="L19" s="51">
        <v>88</v>
      </c>
      <c r="M19" s="51">
        <f t="shared" si="5"/>
        <v>0.25</v>
      </c>
      <c r="N19" s="51">
        <v>124</v>
      </c>
      <c r="O19" s="51">
        <f t="shared" ref="O19:P19" si="28">D19/7</f>
        <v>3.1428571428571428</v>
      </c>
      <c r="P19" s="51">
        <f t="shared" si="28"/>
        <v>0</v>
      </c>
      <c r="Q19" s="51">
        <f t="shared" si="7"/>
        <v>39</v>
      </c>
      <c r="R19" s="55">
        <v>612</v>
      </c>
      <c r="S19" s="53">
        <v>160</v>
      </c>
      <c r="T19" s="54">
        <v>43990</v>
      </c>
      <c r="U19" s="55">
        <v>0</v>
      </c>
      <c r="V19" s="55">
        <f t="shared" si="8"/>
        <v>0</v>
      </c>
      <c r="W19" s="55">
        <f t="shared" si="9"/>
        <v>0</v>
      </c>
      <c r="X19" s="55">
        <v>0</v>
      </c>
      <c r="Y19" s="55" t="s">
        <v>35</v>
      </c>
      <c r="Z19" s="56">
        <f t="shared" si="19"/>
        <v>-0.75</v>
      </c>
      <c r="AA19" s="55">
        <v>0.15751555555555558</v>
      </c>
      <c r="AB19" s="55">
        <f t="shared" si="27"/>
        <v>-7.7970200000000007</v>
      </c>
      <c r="AC19" s="55">
        <v>-7.32</v>
      </c>
      <c r="AD19" s="55">
        <v>-4.102027435897436</v>
      </c>
      <c r="AE19" s="55">
        <v>0</v>
      </c>
      <c r="AF19" s="55"/>
    </row>
    <row r="20" spans="1:32" s="57" customFormat="1" ht="15.75" customHeight="1">
      <c r="A20" s="2" t="s">
        <v>73</v>
      </c>
      <c r="B20" s="2" t="s">
        <v>983</v>
      </c>
      <c r="C20" s="51">
        <v>19.989999999999998</v>
      </c>
      <c r="D20" s="51">
        <v>16</v>
      </c>
      <c r="E20" s="51">
        <v>0</v>
      </c>
      <c r="F20" s="51">
        <v>263.95999999999998</v>
      </c>
      <c r="G20" s="51">
        <v>-0.24</v>
      </c>
      <c r="H20" s="51">
        <f t="shared" si="1"/>
        <v>9.0922867101075921E-4</v>
      </c>
      <c r="I20" s="51">
        <f t="shared" si="2"/>
        <v>0.13525913405683052</v>
      </c>
      <c r="J20" s="51">
        <f t="shared" si="4"/>
        <v>35.70300102564098</v>
      </c>
      <c r="K20" s="51">
        <f t="shared" si="3"/>
        <v>2.2314375641025612</v>
      </c>
      <c r="L20" s="51">
        <v>68</v>
      </c>
      <c r="M20" s="51">
        <f t="shared" si="5"/>
        <v>0.23529411764705882</v>
      </c>
      <c r="N20" s="51">
        <v>85</v>
      </c>
      <c r="O20" s="51">
        <f t="shared" ref="O20:P20" si="29">D20/7</f>
        <v>2.2857142857142856</v>
      </c>
      <c r="P20" s="51">
        <f t="shared" si="29"/>
        <v>0</v>
      </c>
      <c r="Q20" s="51">
        <f t="shared" si="7"/>
        <v>37</v>
      </c>
      <c r="R20" s="55">
        <v>452</v>
      </c>
      <c r="S20" s="53">
        <v>160</v>
      </c>
      <c r="T20" s="54">
        <v>43990</v>
      </c>
      <c r="U20" s="55">
        <v>0</v>
      </c>
      <c r="V20" s="55">
        <f t="shared" si="8"/>
        <v>0</v>
      </c>
      <c r="W20" s="55">
        <f t="shared" si="9"/>
        <v>0</v>
      </c>
      <c r="X20" s="55">
        <v>0</v>
      </c>
      <c r="Y20" s="55" t="s">
        <v>35</v>
      </c>
      <c r="Z20" s="56">
        <f t="shared" si="19"/>
        <v>-0.75</v>
      </c>
      <c r="AA20" s="55">
        <v>0.15751555555555558</v>
      </c>
      <c r="AB20" s="55">
        <f t="shared" si="27"/>
        <v>-5.6705600000000009</v>
      </c>
      <c r="AC20" s="55">
        <v>-7.32</v>
      </c>
      <c r="AD20" s="55">
        <v>-4.102027435897436</v>
      </c>
      <c r="AE20" s="55">
        <v>0</v>
      </c>
      <c r="AF20" s="55"/>
    </row>
    <row r="21" spans="1:32" s="57" customFormat="1" ht="15.75" customHeight="1">
      <c r="A21" s="2" t="s">
        <v>75</v>
      </c>
      <c r="B21" s="2" t="s">
        <v>1072</v>
      </c>
      <c r="C21" s="51">
        <v>19</v>
      </c>
      <c r="D21" s="51">
        <v>29</v>
      </c>
      <c r="E21" s="51">
        <v>0</v>
      </c>
      <c r="F21" s="51">
        <v>514.93000000000006</v>
      </c>
      <c r="G21" s="51">
        <v>-0.32</v>
      </c>
      <c r="H21" s="51">
        <f t="shared" si="1"/>
        <v>6.2144369137552666E-4</v>
      </c>
      <c r="I21" s="51">
        <f t="shared" si="2"/>
        <v>0.18614921321145478</v>
      </c>
      <c r="J21" s="51">
        <f t="shared" si="4"/>
        <v>95.853814358974418</v>
      </c>
      <c r="K21" s="51">
        <f t="shared" si="3"/>
        <v>3.3053039434129108</v>
      </c>
      <c r="L21" s="51">
        <v>35</v>
      </c>
      <c r="M21" s="51">
        <f t="shared" si="5"/>
        <v>0.82857142857142863</v>
      </c>
      <c r="N21" s="51">
        <v>76</v>
      </c>
      <c r="O21" s="51">
        <f t="shared" ref="O21:P21" si="30">D21/7</f>
        <v>4.1428571428571432</v>
      </c>
      <c r="P21" s="51">
        <f t="shared" si="30"/>
        <v>0</v>
      </c>
      <c r="Q21" s="51">
        <f t="shared" si="7"/>
        <v>18</v>
      </c>
      <c r="R21" s="55">
        <v>452</v>
      </c>
      <c r="S21" s="53">
        <v>160</v>
      </c>
      <c r="T21" s="54">
        <v>43990</v>
      </c>
      <c r="U21" s="55">
        <v>0</v>
      </c>
      <c r="V21" s="55">
        <f t="shared" si="8"/>
        <v>0</v>
      </c>
      <c r="W21" s="55">
        <f t="shared" si="9"/>
        <v>0</v>
      </c>
      <c r="X21" s="55">
        <v>0</v>
      </c>
      <c r="Y21" s="55" t="s">
        <v>35</v>
      </c>
      <c r="Z21" s="56">
        <f t="shared" si="19"/>
        <v>-0.75</v>
      </c>
      <c r="AA21" s="55">
        <v>0.15751555555555558</v>
      </c>
      <c r="AB21" s="55">
        <f t="shared" si="27"/>
        <v>-10.277890000000001</v>
      </c>
      <c r="AC21" s="55">
        <v>-7.32</v>
      </c>
      <c r="AD21" s="55">
        <v>-4.102027435897436</v>
      </c>
      <c r="AE21" s="55">
        <v>0</v>
      </c>
      <c r="AF21" s="55"/>
    </row>
    <row r="22" spans="1:32" s="57" customFormat="1" ht="15.75" customHeight="1">
      <c r="A22" s="2" t="s">
        <v>77</v>
      </c>
      <c r="B22" s="2" t="s">
        <v>810</v>
      </c>
      <c r="C22" s="51">
        <v>19</v>
      </c>
      <c r="D22" s="51">
        <v>17</v>
      </c>
      <c r="E22" s="51">
        <v>0</v>
      </c>
      <c r="F22" s="51">
        <v>336.90000000000003</v>
      </c>
      <c r="G22" s="51">
        <v>-0.63</v>
      </c>
      <c r="H22" s="51">
        <f t="shared" si="1"/>
        <v>1.8699910952804984E-3</v>
      </c>
      <c r="I22" s="51">
        <f t="shared" si="2"/>
        <v>0.2538900670517768</v>
      </c>
      <c r="J22" s="51">
        <f t="shared" si="4"/>
        <v>85.535563589743617</v>
      </c>
      <c r="K22" s="51">
        <f t="shared" si="3"/>
        <v>5.0315037405731537</v>
      </c>
      <c r="L22" s="51">
        <v>18</v>
      </c>
      <c r="M22" s="51">
        <f t="shared" si="5"/>
        <v>0.94444444444444442</v>
      </c>
      <c r="N22" s="51">
        <v>66</v>
      </c>
      <c r="O22" s="51">
        <f t="shared" ref="O22:P22" si="31">D22/7</f>
        <v>2.4285714285714284</v>
      </c>
      <c r="P22" s="51">
        <f t="shared" si="31"/>
        <v>0</v>
      </c>
      <c r="Q22" s="51">
        <f t="shared" si="7"/>
        <v>27</v>
      </c>
      <c r="R22" s="55">
        <v>452</v>
      </c>
      <c r="S22" s="53">
        <v>160</v>
      </c>
      <c r="T22" s="54">
        <v>43992</v>
      </c>
      <c r="U22" s="55">
        <v>1</v>
      </c>
      <c r="V22" s="55">
        <f t="shared" si="8"/>
        <v>5.8823529411764705E-2</v>
      </c>
      <c r="W22" s="55">
        <f t="shared" si="9"/>
        <v>0.315</v>
      </c>
      <c r="X22" s="55">
        <v>1</v>
      </c>
      <c r="Y22" s="55" t="s">
        <v>35</v>
      </c>
      <c r="Z22" s="56">
        <f t="shared" si="19"/>
        <v>-0.75</v>
      </c>
      <c r="AA22" s="55">
        <v>0.15751555555555558</v>
      </c>
      <c r="AB22" s="55">
        <f t="shared" si="27"/>
        <v>-6.0249700000000015</v>
      </c>
      <c r="AC22" s="55">
        <v>-7.32</v>
      </c>
      <c r="AD22" s="55">
        <v>-4.102027435897436</v>
      </c>
      <c r="AE22" s="55">
        <v>0</v>
      </c>
      <c r="AF22" s="55"/>
    </row>
    <row r="23" spans="1:32" s="57" customFormat="1" ht="15.75" customHeight="1">
      <c r="A23" s="2" t="s">
        <v>79</v>
      </c>
      <c r="B23" s="2" t="s">
        <v>810</v>
      </c>
      <c r="C23" s="51">
        <v>19</v>
      </c>
      <c r="D23" s="51">
        <v>3</v>
      </c>
      <c r="E23" s="51">
        <v>0</v>
      </c>
      <c r="F23" s="51">
        <v>56.989999999999995</v>
      </c>
      <c r="G23" s="51">
        <v>0</v>
      </c>
      <c r="H23" s="51">
        <f t="shared" si="1"/>
        <v>0</v>
      </c>
      <c r="I23" s="51">
        <f t="shared" si="2"/>
        <v>0.23007874525895228</v>
      </c>
      <c r="J23" s="51">
        <f t="shared" si="4"/>
        <v>13.112187692307689</v>
      </c>
      <c r="K23" s="51">
        <f t="shared" si="3"/>
        <v>4.3707292307692294</v>
      </c>
      <c r="L23" s="51">
        <v>0</v>
      </c>
      <c r="M23" s="51" t="str">
        <f t="shared" si="5"/>
        <v>-</v>
      </c>
      <c r="N23" s="51">
        <v>63</v>
      </c>
      <c r="O23" s="51">
        <f t="shared" ref="O23:P23" si="32">D23/7</f>
        <v>0.42857142857142855</v>
      </c>
      <c r="P23" s="51">
        <f t="shared" si="32"/>
        <v>0</v>
      </c>
      <c r="Q23" s="51">
        <f t="shared" si="7"/>
        <v>147</v>
      </c>
      <c r="R23" s="55">
        <v>452</v>
      </c>
      <c r="S23" s="53">
        <v>160</v>
      </c>
      <c r="T23" s="54">
        <v>43992</v>
      </c>
      <c r="U23" s="55">
        <v>0</v>
      </c>
      <c r="V23" s="55">
        <f t="shared" si="8"/>
        <v>0</v>
      </c>
      <c r="W23" s="55">
        <f t="shared" si="9"/>
        <v>0</v>
      </c>
      <c r="X23" s="55">
        <v>0</v>
      </c>
      <c r="Y23" s="55" t="s">
        <v>35</v>
      </c>
      <c r="Z23" s="56">
        <f t="shared" si="19"/>
        <v>-0.75</v>
      </c>
      <c r="AA23" s="55">
        <v>0.15751555555555558</v>
      </c>
      <c r="AB23" s="55">
        <f t="shared" si="27"/>
        <v>-1.0632300000000001</v>
      </c>
      <c r="AC23" s="55">
        <v>-7.32</v>
      </c>
      <c r="AD23" s="55">
        <v>-4.102027435897436</v>
      </c>
      <c r="AE23" s="55">
        <v>0</v>
      </c>
      <c r="AF23" s="55"/>
    </row>
    <row r="24" spans="1:32" s="57" customFormat="1" ht="15.75" customHeight="1">
      <c r="A24" s="2" t="s">
        <v>80</v>
      </c>
      <c r="B24" s="2" t="s">
        <v>1090</v>
      </c>
      <c r="C24" s="51">
        <v>19</v>
      </c>
      <c r="D24" s="51">
        <v>0</v>
      </c>
      <c r="E24" s="51">
        <v>0</v>
      </c>
      <c r="F24" s="51">
        <v>0</v>
      </c>
      <c r="G24" s="51">
        <v>0</v>
      </c>
      <c r="H24" s="51" t="e">
        <f t="shared" si="1"/>
        <v>#DIV/0!</v>
      </c>
      <c r="I24" s="51" t="e">
        <f t="shared" si="2"/>
        <v>#DIV/0!</v>
      </c>
      <c r="J24" s="51">
        <f t="shared" si="4"/>
        <v>0</v>
      </c>
      <c r="K24" s="51" t="e">
        <f t="shared" si="3"/>
        <v>#DIV/0!</v>
      </c>
      <c r="L24" s="51">
        <v>0</v>
      </c>
      <c r="M24" s="51" t="str">
        <f t="shared" si="5"/>
        <v>-</v>
      </c>
      <c r="N24" s="51">
        <v>63</v>
      </c>
      <c r="O24" s="51">
        <f t="shared" ref="O24:P24" si="33">D24/7</f>
        <v>0</v>
      </c>
      <c r="P24" s="51">
        <f t="shared" si="33"/>
        <v>0</v>
      </c>
      <c r="Q24" s="51" t="e">
        <f t="shared" si="7"/>
        <v>#DIV/0!</v>
      </c>
      <c r="R24" s="55">
        <v>452</v>
      </c>
      <c r="S24" s="53">
        <v>160</v>
      </c>
      <c r="T24" s="54">
        <v>43992</v>
      </c>
      <c r="U24" s="55">
        <v>0</v>
      </c>
      <c r="V24" s="55">
        <f t="shared" si="8"/>
        <v>0</v>
      </c>
      <c r="W24" s="55">
        <f t="shared" si="9"/>
        <v>0</v>
      </c>
      <c r="X24" s="55">
        <v>0</v>
      </c>
      <c r="Y24" s="55" t="e">
        <v>#N/A</v>
      </c>
      <c r="Z24" s="56" t="e">
        <f t="shared" si="19"/>
        <v>#N/A</v>
      </c>
      <c r="AA24" s="55" t="e">
        <v>#N/A</v>
      </c>
      <c r="AB24" s="55">
        <f t="shared" si="27"/>
        <v>0</v>
      </c>
      <c r="AC24" s="55">
        <v>0</v>
      </c>
      <c r="AD24" s="55">
        <v>-4.102027435897436</v>
      </c>
      <c r="AE24" s="55">
        <v>0</v>
      </c>
      <c r="AF24" s="55"/>
    </row>
    <row r="25" spans="1:32" s="57" customFormat="1" ht="15.75" customHeight="1">
      <c r="A25" s="2" t="s">
        <v>81</v>
      </c>
      <c r="B25" s="2" t="s">
        <v>957</v>
      </c>
      <c r="C25" s="51"/>
      <c r="D25" s="51">
        <v>0</v>
      </c>
      <c r="E25" s="51">
        <v>0</v>
      </c>
      <c r="F25" s="51">
        <v>0</v>
      </c>
      <c r="G25" s="51">
        <v>0</v>
      </c>
      <c r="H25" s="51" t="e">
        <f t="shared" si="1"/>
        <v>#DIV/0!</v>
      </c>
      <c r="I25" s="51" t="e">
        <f t="shared" si="2"/>
        <v>#DIV/0!</v>
      </c>
      <c r="J25" s="51">
        <f t="shared" si="4"/>
        <v>0</v>
      </c>
      <c r="K25" s="51" t="e">
        <f t="shared" si="3"/>
        <v>#DIV/0!</v>
      </c>
      <c r="L25" s="51">
        <v>0</v>
      </c>
      <c r="M25" s="51" t="str">
        <f t="shared" si="5"/>
        <v>-</v>
      </c>
      <c r="N25" s="51">
        <v>63</v>
      </c>
      <c r="O25" s="51">
        <f t="shared" ref="O25:P25" si="34">D25/7</f>
        <v>0</v>
      </c>
      <c r="P25" s="51">
        <f t="shared" si="34"/>
        <v>0</v>
      </c>
      <c r="Q25" s="51" t="e">
        <f t="shared" si="7"/>
        <v>#DIV/0!</v>
      </c>
      <c r="R25" s="55">
        <v>452</v>
      </c>
      <c r="S25" s="53">
        <v>160</v>
      </c>
      <c r="T25" s="54">
        <v>43990</v>
      </c>
      <c r="U25" s="55">
        <v>0</v>
      </c>
      <c r="V25" s="55">
        <f t="shared" si="8"/>
        <v>0</v>
      </c>
      <c r="W25" s="55">
        <f t="shared" si="9"/>
        <v>0</v>
      </c>
      <c r="X25" s="55">
        <v>0</v>
      </c>
      <c r="Y25" s="55" t="e">
        <v>#N/A</v>
      </c>
      <c r="Z25" s="56" t="e">
        <f t="shared" si="19"/>
        <v>#N/A</v>
      </c>
      <c r="AA25" s="55" t="e">
        <v>#N/A</v>
      </c>
      <c r="AB25" s="55">
        <f t="shared" si="27"/>
        <v>0</v>
      </c>
      <c r="AC25" s="55">
        <v>0</v>
      </c>
      <c r="AD25" s="55">
        <v>-4.102027435897436</v>
      </c>
      <c r="AE25" s="55">
        <v>0</v>
      </c>
      <c r="AF25" s="55"/>
    </row>
    <row r="26" spans="1:32" s="57" customFormat="1" ht="15.75" customHeight="1">
      <c r="A26" s="2" t="s">
        <v>83</v>
      </c>
      <c r="B26" s="2" t="s">
        <v>1032</v>
      </c>
      <c r="C26" s="51">
        <f t="shared" ref="C26:C39" si="35">IFERROR(F26/D26," - ")</f>
        <v>18.990000000000002</v>
      </c>
      <c r="D26" s="51">
        <v>17</v>
      </c>
      <c r="E26" s="51">
        <v>0</v>
      </c>
      <c r="F26" s="51">
        <v>322.83000000000004</v>
      </c>
      <c r="G26" s="51">
        <v>-1.29</v>
      </c>
      <c r="H26" s="51">
        <f t="shared" si="1"/>
        <v>3.9959111606727993E-3</v>
      </c>
      <c r="I26" s="51">
        <f t="shared" si="2"/>
        <v>0.2258652033260341</v>
      </c>
      <c r="J26" s="51">
        <f t="shared" si="4"/>
        <v>72.916063589743601</v>
      </c>
      <c r="K26" s="51">
        <f t="shared" si="3"/>
        <v>4.2891802111613879</v>
      </c>
      <c r="L26" s="51">
        <v>56</v>
      </c>
      <c r="M26" s="51">
        <f t="shared" si="5"/>
        <v>0.30357142857142855</v>
      </c>
      <c r="N26" s="51">
        <v>34</v>
      </c>
      <c r="O26" s="51">
        <f t="shared" ref="O26:P26" si="36">D26/7</f>
        <v>2.4285714285714284</v>
      </c>
      <c r="P26" s="51">
        <f t="shared" si="36"/>
        <v>0</v>
      </c>
      <c r="Q26" s="51">
        <f t="shared" si="7"/>
        <v>14</v>
      </c>
      <c r="R26" s="55">
        <v>452</v>
      </c>
      <c r="S26" s="53">
        <v>160</v>
      </c>
      <c r="T26" s="54">
        <v>43990</v>
      </c>
      <c r="U26" s="55">
        <v>1</v>
      </c>
      <c r="V26" s="55">
        <f t="shared" si="8"/>
        <v>5.8823529411764705E-2</v>
      </c>
      <c r="W26" s="55">
        <f t="shared" si="9"/>
        <v>0.215</v>
      </c>
      <c r="X26" s="55">
        <v>5</v>
      </c>
      <c r="Y26" s="55" t="s">
        <v>35</v>
      </c>
      <c r="Z26" s="56">
        <f t="shared" si="19"/>
        <v>-0.75</v>
      </c>
      <c r="AA26" s="55">
        <v>0.15751555555555558</v>
      </c>
      <c r="AB26" s="55">
        <f t="shared" si="27"/>
        <v>-6.0249700000000015</v>
      </c>
      <c r="AC26" s="55">
        <v>-7.32</v>
      </c>
      <c r="AD26" s="55">
        <v>-4.102027435897436</v>
      </c>
      <c r="AE26" s="55">
        <v>0</v>
      </c>
      <c r="AF26" s="55"/>
    </row>
    <row r="27" spans="1:32" s="57" customFormat="1" ht="15.75" customHeight="1">
      <c r="A27" s="2" t="s">
        <v>84</v>
      </c>
      <c r="B27" s="2" t="s">
        <v>1061</v>
      </c>
      <c r="C27" s="51">
        <f t="shared" si="35"/>
        <v>19.035454545454549</v>
      </c>
      <c r="D27" s="51">
        <v>44</v>
      </c>
      <c r="E27" s="51">
        <v>0</v>
      </c>
      <c r="F27" s="51">
        <v>837.56000000000017</v>
      </c>
      <c r="G27" s="51">
        <v>-1.02</v>
      </c>
      <c r="H27" s="51">
        <f t="shared" si="1"/>
        <v>1.2178232007259179E-3</v>
      </c>
      <c r="I27" s="51">
        <f t="shared" si="2"/>
        <v>0.23012411387902112</v>
      </c>
      <c r="J27" s="51">
        <f t="shared" si="4"/>
        <v>192.74275282051298</v>
      </c>
      <c r="K27" s="51">
        <f t="shared" si="3"/>
        <v>4.3805171095571129</v>
      </c>
      <c r="L27" s="51">
        <v>84</v>
      </c>
      <c r="M27" s="51">
        <f t="shared" si="5"/>
        <v>0.52380952380952384</v>
      </c>
      <c r="N27" s="51">
        <v>160</v>
      </c>
      <c r="O27" s="51">
        <f t="shared" ref="O27:P27" si="37">D27/7</f>
        <v>6.2857142857142856</v>
      </c>
      <c r="P27" s="51">
        <f t="shared" si="37"/>
        <v>0</v>
      </c>
      <c r="Q27" s="51">
        <f t="shared" si="7"/>
        <v>25</v>
      </c>
      <c r="R27" s="55">
        <v>292</v>
      </c>
      <c r="S27" s="53" t="s">
        <v>34</v>
      </c>
      <c r="T27" s="54" t="s">
        <v>34</v>
      </c>
      <c r="U27" s="55">
        <v>2</v>
      </c>
      <c r="V27" s="55">
        <f t="shared" si="8"/>
        <v>4.5454545454545456E-2</v>
      </c>
      <c r="W27" s="55">
        <f t="shared" si="9"/>
        <v>0.51</v>
      </c>
      <c r="X27" s="55">
        <v>0</v>
      </c>
      <c r="Y27" s="55" t="s">
        <v>35</v>
      </c>
      <c r="Z27" s="56">
        <f t="shared" si="19"/>
        <v>-0.75</v>
      </c>
      <c r="AA27" s="55">
        <v>0.15751555555555558</v>
      </c>
      <c r="AB27" s="55">
        <f t="shared" si="27"/>
        <v>-15.594040000000001</v>
      </c>
      <c r="AC27" s="55">
        <v>-7.32</v>
      </c>
      <c r="AD27" s="55">
        <v>-4.102027435897436</v>
      </c>
      <c r="AE27" s="55">
        <v>0</v>
      </c>
      <c r="AF27" s="55"/>
    </row>
    <row r="28" spans="1:32" s="57" customFormat="1" ht="15.75" customHeight="1">
      <c r="A28" s="2" t="s">
        <v>86</v>
      </c>
      <c r="B28" s="2" t="s">
        <v>1015</v>
      </c>
      <c r="C28" s="51">
        <f t="shared" si="35"/>
        <v>21.468873239436626</v>
      </c>
      <c r="D28" s="51">
        <v>71</v>
      </c>
      <c r="E28" s="51">
        <v>0</v>
      </c>
      <c r="F28" s="51">
        <v>1524.2900000000004</v>
      </c>
      <c r="G28" s="51">
        <v>-12.58</v>
      </c>
      <c r="H28" s="51">
        <f t="shared" si="1"/>
        <v>8.2530227187739835E-3</v>
      </c>
      <c r="I28" s="51">
        <f t="shared" si="2"/>
        <v>0.29321155557753592</v>
      </c>
      <c r="J28" s="51">
        <f t="shared" si="4"/>
        <v>446.93944205128236</v>
      </c>
      <c r="K28" s="51">
        <f t="shared" si="3"/>
        <v>6.2949217190321463</v>
      </c>
      <c r="L28" s="51">
        <v>304</v>
      </c>
      <c r="M28" s="51">
        <f t="shared" si="5"/>
        <v>0.23355263157894737</v>
      </c>
      <c r="N28" s="51">
        <v>45</v>
      </c>
      <c r="O28" s="51">
        <f t="shared" ref="O28:P28" si="38">D28/7</f>
        <v>10.142857142857142</v>
      </c>
      <c r="P28" s="51">
        <f t="shared" si="38"/>
        <v>0</v>
      </c>
      <c r="Q28" s="51">
        <f t="shared" si="7"/>
        <v>4</v>
      </c>
      <c r="R28" s="55">
        <v>452</v>
      </c>
      <c r="S28" s="53">
        <v>160</v>
      </c>
      <c r="T28" s="54">
        <v>44042</v>
      </c>
      <c r="U28" s="55">
        <v>19</v>
      </c>
      <c r="V28" s="55">
        <f t="shared" si="8"/>
        <v>0.26760563380281688</v>
      </c>
      <c r="W28" s="55">
        <f t="shared" si="9"/>
        <v>0.38121212121212122</v>
      </c>
      <c r="X28" s="55">
        <v>14</v>
      </c>
      <c r="Y28" s="55" t="s">
        <v>35</v>
      </c>
      <c r="Z28" s="56">
        <f t="shared" si="19"/>
        <v>-0.75</v>
      </c>
      <c r="AA28" s="55">
        <v>0.15751555555555558</v>
      </c>
      <c r="AB28" s="55">
        <f t="shared" si="27"/>
        <v>-25.163110000000003</v>
      </c>
      <c r="AC28" s="55">
        <v>-7.32</v>
      </c>
      <c r="AD28" s="55">
        <v>-4.102027435897436</v>
      </c>
      <c r="AE28" s="55">
        <v>0</v>
      </c>
      <c r="AF28" s="55"/>
    </row>
    <row r="29" spans="1:32" s="57" customFormat="1" ht="15.75" customHeight="1">
      <c r="A29" s="2" t="s">
        <v>87</v>
      </c>
      <c r="B29" s="2" t="s">
        <v>921</v>
      </c>
      <c r="C29" s="51">
        <f t="shared" si="35"/>
        <v>23.590133333333341</v>
      </c>
      <c r="D29" s="51">
        <v>75</v>
      </c>
      <c r="E29" s="51">
        <v>0</v>
      </c>
      <c r="F29" s="51">
        <v>1769.2600000000007</v>
      </c>
      <c r="G29" s="51">
        <v>-21.809999999999992</v>
      </c>
      <c r="H29" s="51">
        <f t="shared" si="1"/>
        <v>1.2327187637769453E-2</v>
      </c>
      <c r="I29" s="51">
        <f t="shared" si="2"/>
        <v>0.338462516706246</v>
      </c>
      <c r="J29" s="51">
        <f t="shared" si="4"/>
        <v>598.82819230769303</v>
      </c>
      <c r="K29" s="51">
        <f t="shared" si="3"/>
        <v>7.9843758974359069</v>
      </c>
      <c r="L29" s="51">
        <v>304</v>
      </c>
      <c r="M29" s="51">
        <f t="shared" si="5"/>
        <v>0.24671052631578946</v>
      </c>
      <c r="N29" s="51">
        <v>1</v>
      </c>
      <c r="O29" s="51">
        <f t="shared" ref="O29:P29" si="39">D29/7</f>
        <v>10.714285714285714</v>
      </c>
      <c r="P29" s="51">
        <f t="shared" si="39"/>
        <v>0</v>
      </c>
      <c r="Q29" s="51">
        <f t="shared" si="7"/>
        <v>0</v>
      </c>
      <c r="R29" s="55">
        <v>452</v>
      </c>
      <c r="S29" s="53">
        <v>160</v>
      </c>
      <c r="T29" s="54">
        <v>44042</v>
      </c>
      <c r="U29" s="55">
        <v>22</v>
      </c>
      <c r="V29" s="55">
        <f t="shared" si="8"/>
        <v>0.29333333333333333</v>
      </c>
      <c r="W29" s="55">
        <f t="shared" si="9"/>
        <v>0.41942307692307679</v>
      </c>
      <c r="X29" s="55">
        <v>30</v>
      </c>
      <c r="Y29" s="55" t="s">
        <v>35</v>
      </c>
      <c r="Z29" s="56">
        <f t="shared" si="19"/>
        <v>-0.75</v>
      </c>
      <c r="AA29" s="55">
        <v>0.15751555555555558</v>
      </c>
      <c r="AB29" s="55">
        <f t="shared" si="27"/>
        <v>-26.580750000000002</v>
      </c>
      <c r="AC29" s="55">
        <v>-7.32</v>
      </c>
      <c r="AD29" s="55">
        <v>-4.102027435897436</v>
      </c>
      <c r="AE29" s="55">
        <v>0</v>
      </c>
      <c r="AF29" s="55"/>
    </row>
    <row r="30" spans="1:32" s="57" customFormat="1" ht="15.75" customHeight="1">
      <c r="A30" s="2" t="s">
        <v>89</v>
      </c>
      <c r="B30" s="2"/>
      <c r="C30" s="51">
        <f t="shared" si="35"/>
        <v>23.33</v>
      </c>
      <c r="D30" s="51">
        <v>6</v>
      </c>
      <c r="E30" s="51">
        <v>0</v>
      </c>
      <c r="F30" s="51">
        <v>139.97999999999999</v>
      </c>
      <c r="G30" s="51">
        <v>-0.16</v>
      </c>
      <c r="H30" s="51">
        <f t="shared" si="1"/>
        <v>1.1430204314902129E-3</v>
      </c>
      <c r="I30" s="51">
        <f t="shared" si="2"/>
        <v>0.34408040709112286</v>
      </c>
      <c r="J30" s="51">
        <f t="shared" si="4"/>
        <v>48.164375384615376</v>
      </c>
      <c r="K30" s="51">
        <f t="shared" si="3"/>
        <v>8.0273958974358965</v>
      </c>
      <c r="L30" s="51">
        <v>0</v>
      </c>
      <c r="M30" s="51" t="str">
        <f t="shared" si="5"/>
        <v>-</v>
      </c>
      <c r="N30" s="51">
        <v>0</v>
      </c>
      <c r="O30" s="51">
        <f t="shared" ref="O30:P30" si="40">D30/7</f>
        <v>0.8571428571428571</v>
      </c>
      <c r="P30" s="51">
        <f t="shared" si="40"/>
        <v>0</v>
      </c>
      <c r="Q30" s="51">
        <f t="shared" si="7"/>
        <v>0</v>
      </c>
      <c r="R30" s="55">
        <v>512</v>
      </c>
      <c r="S30" s="53">
        <v>160</v>
      </c>
      <c r="T30" s="54">
        <v>44042</v>
      </c>
      <c r="U30" s="55">
        <v>0</v>
      </c>
      <c r="V30" s="55">
        <f t="shared" si="8"/>
        <v>0</v>
      </c>
      <c r="W30" s="55">
        <f t="shared" si="9"/>
        <v>0</v>
      </c>
      <c r="X30" s="55">
        <v>0</v>
      </c>
      <c r="Y30" s="55" t="s">
        <v>35</v>
      </c>
      <c r="Z30" s="56">
        <f t="shared" si="19"/>
        <v>-0.75</v>
      </c>
      <c r="AA30" s="55">
        <v>0.15751555555555558</v>
      </c>
      <c r="AB30" s="55">
        <f t="shared" si="27"/>
        <v>-2.1264600000000002</v>
      </c>
      <c r="AC30" s="55">
        <v>-7.32</v>
      </c>
      <c r="AD30" s="55">
        <v>-4.102027435897436</v>
      </c>
      <c r="AE30" s="55">
        <v>0</v>
      </c>
      <c r="AF30" s="55"/>
    </row>
    <row r="31" spans="1:32" s="57" customFormat="1" ht="15.75" customHeight="1">
      <c r="A31" s="2" t="s">
        <v>90</v>
      </c>
      <c r="B31" s="2"/>
      <c r="C31" s="51" t="str">
        <f t="shared" si="35"/>
        <v xml:space="preserve"> - </v>
      </c>
      <c r="D31" s="51">
        <v>0</v>
      </c>
      <c r="E31" s="51">
        <v>0</v>
      </c>
      <c r="F31" s="51">
        <v>0</v>
      </c>
      <c r="G31" s="51">
        <v>0</v>
      </c>
      <c r="H31" s="51" t="e">
        <f t="shared" si="1"/>
        <v>#DIV/0!</v>
      </c>
      <c r="I31" s="51" t="e">
        <f t="shared" si="2"/>
        <v>#DIV/0!</v>
      </c>
      <c r="J31" s="51">
        <f t="shared" si="4"/>
        <v>0</v>
      </c>
      <c r="K31" s="51" t="e">
        <f t="shared" si="3"/>
        <v>#DIV/0!</v>
      </c>
      <c r="L31" s="51">
        <v>0</v>
      </c>
      <c r="M31" s="51" t="str">
        <f t="shared" si="5"/>
        <v>-</v>
      </c>
      <c r="N31" s="51">
        <v>0</v>
      </c>
      <c r="O31" s="51">
        <f t="shared" ref="O31:P31" si="41">D31/7</f>
        <v>0</v>
      </c>
      <c r="P31" s="51">
        <f t="shared" si="41"/>
        <v>0</v>
      </c>
      <c r="Q31" s="51" t="e">
        <f t="shared" si="7"/>
        <v>#DIV/0!</v>
      </c>
      <c r="R31" s="55">
        <v>132</v>
      </c>
      <c r="S31" s="53">
        <v>60</v>
      </c>
      <c r="T31" s="54">
        <v>44058</v>
      </c>
      <c r="U31" s="55">
        <v>0</v>
      </c>
      <c r="V31" s="55">
        <f t="shared" si="8"/>
        <v>0</v>
      </c>
      <c r="W31" s="55">
        <f t="shared" si="9"/>
        <v>0</v>
      </c>
      <c r="X31" s="55">
        <v>0</v>
      </c>
      <c r="Y31" s="55" t="s">
        <v>35</v>
      </c>
      <c r="Z31" s="56">
        <f t="shared" si="19"/>
        <v>-0.75</v>
      </c>
      <c r="AA31" s="55">
        <v>0.15751555555555558</v>
      </c>
      <c r="AB31" s="55">
        <f t="shared" si="27"/>
        <v>0</v>
      </c>
      <c r="AC31" s="55">
        <v>-7.32</v>
      </c>
      <c r="AD31" s="55">
        <v>-4.102027435897436</v>
      </c>
      <c r="AE31" s="55">
        <v>0</v>
      </c>
      <c r="AF31" s="55"/>
    </row>
    <row r="32" spans="1:32" s="57" customFormat="1" ht="15.75" customHeight="1">
      <c r="A32" s="2" t="s">
        <v>92</v>
      </c>
      <c r="B32" s="2"/>
      <c r="C32" s="51">
        <f t="shared" si="35"/>
        <v>24.768888888888892</v>
      </c>
      <c r="D32" s="51">
        <v>9</v>
      </c>
      <c r="E32" s="51">
        <v>0</v>
      </c>
      <c r="F32" s="51">
        <v>222.92000000000002</v>
      </c>
      <c r="G32" s="51">
        <v>-1.9200000000000002</v>
      </c>
      <c r="H32" s="51">
        <f t="shared" si="1"/>
        <v>8.6129553202942757E-3</v>
      </c>
      <c r="I32" s="51">
        <f t="shared" si="2"/>
        <v>0.36593425030021121</v>
      </c>
      <c r="J32" s="51">
        <f t="shared" si="4"/>
        <v>81.574063076923082</v>
      </c>
      <c r="K32" s="51">
        <f t="shared" si="3"/>
        <v>9.0637847863247867</v>
      </c>
      <c r="L32" s="51">
        <v>43</v>
      </c>
      <c r="M32" s="51">
        <f t="shared" si="5"/>
        <v>0.20930232558139536</v>
      </c>
      <c r="N32" s="51">
        <v>0</v>
      </c>
      <c r="O32" s="51">
        <f t="shared" ref="O32:P32" si="42">D32/7</f>
        <v>1.2857142857142858</v>
      </c>
      <c r="P32" s="51">
        <f t="shared" si="42"/>
        <v>0</v>
      </c>
      <c r="Q32" s="51">
        <f t="shared" si="7"/>
        <v>0</v>
      </c>
      <c r="R32" s="55">
        <v>60</v>
      </c>
      <c r="S32" s="53" t="s">
        <v>34</v>
      </c>
      <c r="T32" s="54" t="s">
        <v>34</v>
      </c>
      <c r="U32" s="55">
        <v>0</v>
      </c>
      <c r="V32" s="55">
        <f t="shared" si="8"/>
        <v>0</v>
      </c>
      <c r="W32" s="55">
        <f t="shared" si="9"/>
        <v>0</v>
      </c>
      <c r="X32" s="55">
        <v>0</v>
      </c>
      <c r="Y32" s="55" t="s">
        <v>35</v>
      </c>
      <c r="Z32" s="56">
        <f t="shared" si="19"/>
        <v>-0.75</v>
      </c>
      <c r="AA32" s="55">
        <v>0.15751555555555558</v>
      </c>
      <c r="AB32" s="55">
        <f t="shared" si="27"/>
        <v>-3.1896900000000006</v>
      </c>
      <c r="AC32" s="55">
        <v>-7.32</v>
      </c>
      <c r="AD32" s="55">
        <v>-4.102027435897436</v>
      </c>
      <c r="AE32" s="55">
        <v>0</v>
      </c>
      <c r="AF32" s="52" t="e">
        <v>#N/A</v>
      </c>
    </row>
    <row r="33" spans="1:32" s="57" customFormat="1" ht="15.75" customHeight="1">
      <c r="A33" s="2" t="s">
        <v>94</v>
      </c>
      <c r="B33" s="2"/>
      <c r="C33" s="51" t="str">
        <f t="shared" si="35"/>
        <v xml:space="preserve"> - </v>
      </c>
      <c r="D33" s="51">
        <v>0</v>
      </c>
      <c r="E33" s="51">
        <v>0</v>
      </c>
      <c r="F33" s="51">
        <v>0</v>
      </c>
      <c r="G33" s="51">
        <v>0</v>
      </c>
      <c r="H33" s="51" t="e">
        <f t="shared" si="1"/>
        <v>#DIV/0!</v>
      </c>
      <c r="I33" s="51" t="e">
        <f t="shared" si="2"/>
        <v>#DIV/0!</v>
      </c>
      <c r="J33" s="51">
        <f t="shared" si="4"/>
        <v>0</v>
      </c>
      <c r="K33" s="51" t="e">
        <f t="shared" si="3"/>
        <v>#DIV/0!</v>
      </c>
      <c r="L33" s="51">
        <v>0</v>
      </c>
      <c r="M33" s="51" t="str">
        <f t="shared" si="5"/>
        <v>-</v>
      </c>
      <c r="N33" s="51">
        <v>0</v>
      </c>
      <c r="O33" s="51">
        <f t="shared" ref="O33:P33" si="43">D33/7</f>
        <v>0</v>
      </c>
      <c r="P33" s="51">
        <f t="shared" si="43"/>
        <v>0</v>
      </c>
      <c r="Q33" s="51" t="e">
        <f t="shared" si="7"/>
        <v>#DIV/0!</v>
      </c>
      <c r="R33" s="55">
        <v>60</v>
      </c>
      <c r="S33" s="53" t="s">
        <v>34</v>
      </c>
      <c r="T33" s="54">
        <v>44058</v>
      </c>
      <c r="U33" s="55">
        <v>0</v>
      </c>
      <c r="V33" s="55">
        <f t="shared" si="8"/>
        <v>0</v>
      </c>
      <c r="W33" s="55">
        <f t="shared" si="9"/>
        <v>0</v>
      </c>
      <c r="X33" s="55">
        <v>0</v>
      </c>
      <c r="Y33" s="55" t="e">
        <v>#N/A</v>
      </c>
      <c r="Z33" s="56" t="e">
        <f t="shared" si="19"/>
        <v>#N/A</v>
      </c>
      <c r="AA33" s="55" t="e">
        <v>#N/A</v>
      </c>
      <c r="AB33" s="55">
        <f t="shared" si="27"/>
        <v>0</v>
      </c>
      <c r="AC33" s="55">
        <v>0</v>
      </c>
      <c r="AD33" s="55">
        <v>-4.102027435897436</v>
      </c>
      <c r="AE33" s="55">
        <v>0</v>
      </c>
      <c r="AF33" s="55" t="e">
        <v>#N/A</v>
      </c>
    </row>
    <row r="34" spans="1:32" s="57" customFormat="1" ht="15.75" customHeight="1">
      <c r="A34" s="2" t="s">
        <v>95</v>
      </c>
      <c r="B34" s="2"/>
      <c r="C34" s="51" t="str">
        <f t="shared" si="35"/>
        <v xml:space="preserve"> - </v>
      </c>
      <c r="D34" s="51">
        <v>0</v>
      </c>
      <c r="E34" s="51">
        <v>0</v>
      </c>
      <c r="F34" s="51">
        <v>0</v>
      </c>
      <c r="G34" s="51">
        <v>0</v>
      </c>
      <c r="H34" s="51" t="e">
        <f t="shared" si="1"/>
        <v>#DIV/0!</v>
      </c>
      <c r="I34" s="51" t="e">
        <f t="shared" si="2"/>
        <v>#DIV/0!</v>
      </c>
      <c r="J34" s="51">
        <f t="shared" si="4"/>
        <v>0</v>
      </c>
      <c r="K34" s="51" t="e">
        <f t="shared" si="3"/>
        <v>#DIV/0!</v>
      </c>
      <c r="L34" s="51">
        <v>0</v>
      </c>
      <c r="M34" s="51" t="str">
        <f t="shared" si="5"/>
        <v>-</v>
      </c>
      <c r="N34" s="51">
        <v>0</v>
      </c>
      <c r="O34" s="51">
        <f t="shared" ref="O34:P34" si="44">D34/7</f>
        <v>0</v>
      </c>
      <c r="P34" s="51">
        <f t="shared" si="44"/>
        <v>0</v>
      </c>
      <c r="Q34" s="51" t="e">
        <f t="shared" si="7"/>
        <v>#DIV/0!</v>
      </c>
      <c r="R34" s="55">
        <v>292</v>
      </c>
      <c r="S34" s="53">
        <v>60</v>
      </c>
      <c r="T34" s="54">
        <v>44058</v>
      </c>
      <c r="U34" s="55">
        <v>0</v>
      </c>
      <c r="V34" s="55">
        <f t="shared" si="8"/>
        <v>0</v>
      </c>
      <c r="W34" s="55">
        <f t="shared" si="9"/>
        <v>0</v>
      </c>
      <c r="X34" s="55">
        <v>0</v>
      </c>
      <c r="Y34" s="55" t="e">
        <v>#N/A</v>
      </c>
      <c r="Z34" s="56" t="e">
        <f t="shared" si="19"/>
        <v>#N/A</v>
      </c>
      <c r="AA34" s="55" t="e">
        <v>#N/A</v>
      </c>
      <c r="AB34" s="55">
        <f t="shared" si="27"/>
        <v>0</v>
      </c>
      <c r="AC34" s="55">
        <v>0</v>
      </c>
      <c r="AD34" s="55">
        <v>-4.102027435897436</v>
      </c>
      <c r="AE34" s="55">
        <v>0</v>
      </c>
      <c r="AF34" s="55" t="e">
        <v>#N/A</v>
      </c>
    </row>
    <row r="35" spans="1:32" s="57" customFormat="1" ht="15.75" customHeight="1">
      <c r="A35" s="2" t="s">
        <v>96</v>
      </c>
      <c r="B35" s="2"/>
      <c r="C35" s="51" t="str">
        <f t="shared" si="35"/>
        <v xml:space="preserve"> - </v>
      </c>
      <c r="D35" s="51">
        <v>0</v>
      </c>
      <c r="E35" s="51">
        <v>0</v>
      </c>
      <c r="F35" s="51">
        <v>0</v>
      </c>
      <c r="G35" s="51">
        <v>0</v>
      </c>
      <c r="H35" s="51" t="e">
        <f t="shared" si="1"/>
        <v>#DIV/0!</v>
      </c>
      <c r="I35" s="51" t="e">
        <f t="shared" si="2"/>
        <v>#DIV/0!</v>
      </c>
      <c r="J35" s="51">
        <f t="shared" si="4"/>
        <v>0</v>
      </c>
      <c r="K35" s="51" t="e">
        <f t="shared" si="3"/>
        <v>#DIV/0!</v>
      </c>
      <c r="L35" s="51">
        <v>0</v>
      </c>
      <c r="M35" s="51" t="str">
        <f t="shared" si="5"/>
        <v>-</v>
      </c>
      <c r="N35" s="51">
        <v>0</v>
      </c>
      <c r="O35" s="51">
        <f t="shared" ref="O35:P35" si="45">D35/7</f>
        <v>0</v>
      </c>
      <c r="P35" s="51">
        <f t="shared" si="45"/>
        <v>0</v>
      </c>
      <c r="Q35" s="51" t="e">
        <f t="shared" si="7"/>
        <v>#DIV/0!</v>
      </c>
      <c r="R35" s="55">
        <v>232</v>
      </c>
      <c r="S35" s="53">
        <v>232</v>
      </c>
      <c r="T35" s="54">
        <v>44070</v>
      </c>
      <c r="U35" s="55">
        <v>0</v>
      </c>
      <c r="V35" s="55">
        <f t="shared" si="8"/>
        <v>0</v>
      </c>
      <c r="W35" s="55">
        <f t="shared" si="9"/>
        <v>0</v>
      </c>
      <c r="X35" s="55">
        <v>0</v>
      </c>
      <c r="Y35" s="55" t="e">
        <v>#N/A</v>
      </c>
      <c r="Z35" s="56" t="e">
        <f t="shared" si="19"/>
        <v>#N/A</v>
      </c>
      <c r="AA35" s="55" t="e">
        <v>#N/A</v>
      </c>
      <c r="AB35" s="55">
        <f t="shared" si="27"/>
        <v>0</v>
      </c>
      <c r="AC35" s="55">
        <v>0</v>
      </c>
      <c r="AD35" s="55">
        <v>-4.102027435897436</v>
      </c>
      <c r="AE35" s="55">
        <v>0</v>
      </c>
      <c r="AF35" s="55" t="e">
        <v>#N/A</v>
      </c>
    </row>
    <row r="36" spans="1:32" s="57" customFormat="1" ht="15.75" customHeight="1">
      <c r="A36" s="2" t="s">
        <v>98</v>
      </c>
      <c r="B36" s="2"/>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v>232</v>
      </c>
      <c r="S36" s="53"/>
      <c r="T36" s="54">
        <v>44070</v>
      </c>
      <c r="U36" s="55"/>
      <c r="V36" s="55">
        <f t="shared" si="8"/>
        <v>0</v>
      </c>
      <c r="W36" s="55">
        <f t="shared" si="9"/>
        <v>0</v>
      </c>
      <c r="X36" s="55"/>
      <c r="Y36" s="55" t="e">
        <v>#N/A</v>
      </c>
      <c r="Z36" s="56" t="e">
        <f t="shared" si="19"/>
        <v>#N/A</v>
      </c>
      <c r="AA36" s="55" t="e">
        <v>#N/A</v>
      </c>
      <c r="AB36" s="55">
        <f t="shared" si="27"/>
        <v>0</v>
      </c>
      <c r="AC36" s="55">
        <v>0</v>
      </c>
      <c r="AD36" s="55">
        <v>-4.2326774358974362</v>
      </c>
      <c r="AE36" s="55">
        <v>0</v>
      </c>
      <c r="AF36" s="55" t="e">
        <v>#N/A</v>
      </c>
    </row>
    <row r="37" spans="1:32" s="57" customFormat="1" ht="15.75" customHeight="1">
      <c r="A37" s="2" t="s">
        <v>99</v>
      </c>
      <c r="B37" s="2"/>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v>232</v>
      </c>
      <c r="S37" s="53">
        <v>232</v>
      </c>
      <c r="T37" s="54">
        <v>44070</v>
      </c>
      <c r="U37" s="55">
        <v>0</v>
      </c>
      <c r="V37" s="55">
        <f t="shared" si="8"/>
        <v>0</v>
      </c>
      <c r="W37" s="55">
        <f t="shared" si="9"/>
        <v>0</v>
      </c>
      <c r="X37" s="55">
        <v>0</v>
      </c>
      <c r="Y37" s="55" t="e">
        <v>#N/A</v>
      </c>
      <c r="Z37" s="56" t="e">
        <f t="shared" si="19"/>
        <v>#N/A</v>
      </c>
      <c r="AA37" s="55" t="e">
        <v>#N/A</v>
      </c>
      <c r="AB37" s="55">
        <f t="shared" si="27"/>
        <v>0</v>
      </c>
      <c r="AC37" s="55">
        <v>0</v>
      </c>
      <c r="AD37" s="55">
        <v>-4.2326774358974362</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5">
        <v>60</v>
      </c>
      <c r="S38" s="53"/>
      <c r="T38" s="54" t="s">
        <v>34</v>
      </c>
      <c r="U38" s="55">
        <v>0</v>
      </c>
      <c r="V38" s="55">
        <f t="shared" si="8"/>
        <v>0</v>
      </c>
      <c r="W38" s="55">
        <f t="shared" si="9"/>
        <v>0</v>
      </c>
      <c r="X38" s="55">
        <v>0</v>
      </c>
      <c r="Y38" s="55" t="e">
        <v>#N/A</v>
      </c>
      <c r="Z38" s="56" t="e">
        <f t="shared" si="19"/>
        <v>#N/A</v>
      </c>
      <c r="AA38" s="55" t="e">
        <v>#N/A</v>
      </c>
      <c r="AB38" s="55">
        <f t="shared" si="27"/>
        <v>0</v>
      </c>
      <c r="AC38" s="55">
        <v>0</v>
      </c>
      <c r="AD38" s="55">
        <v>-4.2326774358974362</v>
      </c>
      <c r="AE38" s="55">
        <v>0</v>
      </c>
      <c r="AF38" s="55" t="e">
        <v>#N/A</v>
      </c>
    </row>
    <row r="39" spans="1:32" s="57" customFormat="1" ht="15.75" customHeight="1">
      <c r="A39" s="2" t="s">
        <v>101</v>
      </c>
      <c r="B39" s="2" t="s">
        <v>1091</v>
      </c>
      <c r="C39" s="51">
        <f t="shared" si="35"/>
        <v>24.99</v>
      </c>
      <c r="D39" s="51">
        <v>1</v>
      </c>
      <c r="E39" s="51">
        <v>0</v>
      </c>
      <c r="F39" s="51">
        <v>24.99</v>
      </c>
      <c r="G39" s="51">
        <v>0</v>
      </c>
      <c r="H39" s="51">
        <f t="shared" si="1"/>
        <v>0</v>
      </c>
      <c r="I39" s="51">
        <f t="shared" si="2"/>
        <v>0.37352591292927451</v>
      </c>
      <c r="J39" s="51">
        <f>F39*0.85+G39+AD39*D39+D39*AC39+AE40+AB39</f>
        <v>9.3344125641025695</v>
      </c>
      <c r="K39" s="51">
        <f t="shared" si="3"/>
        <v>9.3344125641025695</v>
      </c>
      <c r="L39" s="51">
        <v>5</v>
      </c>
      <c r="M39" s="51">
        <f t="shared" si="5"/>
        <v>0.2</v>
      </c>
      <c r="N39" s="51">
        <v>48</v>
      </c>
      <c r="O39" s="51">
        <f t="shared" ref="O39:P39" si="49">D39/7</f>
        <v>0.14285714285714285</v>
      </c>
      <c r="P39" s="51">
        <f t="shared" si="49"/>
        <v>0</v>
      </c>
      <c r="Q39" s="51">
        <f t="shared" si="7"/>
        <v>336</v>
      </c>
      <c r="R39" s="55">
        <v>60</v>
      </c>
      <c r="S39" s="53" t="s">
        <v>34</v>
      </c>
      <c r="T39" s="54" t="s">
        <v>34</v>
      </c>
      <c r="U39" s="55">
        <v>0</v>
      </c>
      <c r="V39" s="55">
        <f t="shared" si="8"/>
        <v>0</v>
      </c>
      <c r="W39" s="55">
        <f t="shared" si="9"/>
        <v>0</v>
      </c>
      <c r="X39" s="55">
        <v>0</v>
      </c>
      <c r="Y39" s="55" t="s">
        <v>35</v>
      </c>
      <c r="Z39" s="56">
        <f t="shared" si="19"/>
        <v>-0.75</v>
      </c>
      <c r="AA39" s="55">
        <v>0.15751555555555558</v>
      </c>
      <c r="AB39" s="55">
        <f t="shared" si="27"/>
        <v>-0.35441000000000006</v>
      </c>
      <c r="AC39" s="55">
        <v>-7.32</v>
      </c>
      <c r="AD39" s="55">
        <v>-4.23267743589743</v>
      </c>
      <c r="AE39" s="55">
        <v>0</v>
      </c>
      <c r="AF39" s="55">
        <v>2.8502024291497898</v>
      </c>
    </row>
    <row r="40" spans="1:32" s="57" customFormat="1" ht="15.75" customHeight="1">
      <c r="A40" s="2" t="s">
        <v>102</v>
      </c>
      <c r="B40" s="2" t="s">
        <v>1092</v>
      </c>
      <c r="C40" s="51" t="s">
        <v>103</v>
      </c>
      <c r="D40" s="51">
        <v>0</v>
      </c>
      <c r="E40" s="51">
        <v>0</v>
      </c>
      <c r="F40" s="51">
        <v>0</v>
      </c>
      <c r="G40" s="51">
        <v>0</v>
      </c>
      <c r="H40" s="51" t="e">
        <v>#DIV/0!</v>
      </c>
      <c r="I40" s="51" t="e">
        <v>#DIV/0!</v>
      </c>
      <c r="J40" s="51">
        <v>0</v>
      </c>
      <c r="K40" s="51" t="e">
        <v>#DIV/0!</v>
      </c>
      <c r="L40" s="51">
        <v>0</v>
      </c>
      <c r="M40" s="51" t="s">
        <v>104</v>
      </c>
      <c r="N40" s="51">
        <v>227</v>
      </c>
      <c r="O40" s="51">
        <v>0</v>
      </c>
      <c r="P40" s="51">
        <v>0</v>
      </c>
      <c r="Q40" s="51" t="e">
        <v>#DIV/0!</v>
      </c>
      <c r="R40" s="55">
        <v>60</v>
      </c>
      <c r="S40" s="53" t="s">
        <v>34</v>
      </c>
      <c r="T40" s="54" t="s">
        <v>34</v>
      </c>
      <c r="U40" s="55">
        <v>0</v>
      </c>
      <c r="V40" s="55">
        <v>0</v>
      </c>
      <c r="W40" s="55">
        <v>0</v>
      </c>
      <c r="X40" s="55">
        <v>0</v>
      </c>
      <c r="Y40" s="55" t="s">
        <v>35</v>
      </c>
      <c r="Z40" s="56">
        <v>-0.75</v>
      </c>
      <c r="AA40" s="55">
        <v>0.15751555555555558</v>
      </c>
      <c r="AB40" s="55">
        <v>0</v>
      </c>
      <c r="AC40" s="55">
        <v>-7.32</v>
      </c>
      <c r="AD40" s="55">
        <v>-4.23267743589743</v>
      </c>
      <c r="AE40" s="55">
        <v>0</v>
      </c>
      <c r="AF40" s="55">
        <v>1.62593516209476</v>
      </c>
    </row>
    <row r="41" spans="1:32" s="57" customFormat="1" ht="15.75" customHeight="1">
      <c r="A41" s="2" t="s">
        <v>105</v>
      </c>
      <c r="B41" s="2"/>
      <c r="C41" s="51" t="str">
        <f t="shared" ref="C41:C56" si="50">IFERROR(F41/D41," - ")</f>
        <v xml:space="preserve"> - </v>
      </c>
      <c r="D41" s="51">
        <v>0</v>
      </c>
      <c r="E41" s="51">
        <v>0</v>
      </c>
      <c r="F41" s="51">
        <v>0</v>
      </c>
      <c r="G41" s="51">
        <v>0</v>
      </c>
      <c r="H41" s="51" t="e">
        <f t="shared" ref="H41:H56" si="51">G41/F41*-1</f>
        <v>#DIV/0!</v>
      </c>
      <c r="I41" s="51" t="e">
        <f t="shared" ref="I41:I56" si="52">J41/F41</f>
        <v>#DIV/0!</v>
      </c>
      <c r="J41" s="51">
        <f t="shared" ref="J41:J48" si="53">F41*0.85+G41+AD41*D41+D41*AC41+AE42+AB41</f>
        <v>-2</v>
      </c>
      <c r="K41" s="51" t="e">
        <f t="shared" ref="K41:K56" si="54">J41/D41</f>
        <v>#DIV/0!</v>
      </c>
      <c r="L41" s="51">
        <v>0</v>
      </c>
      <c r="M41" s="51" t="str">
        <f t="shared" ref="M41:M56" si="55">IFERROR(D41/L41,"-")</f>
        <v>-</v>
      </c>
      <c r="N41" s="51">
        <v>219</v>
      </c>
      <c r="O41" s="51">
        <f t="shared" ref="O41:P41" si="56">D41/7</f>
        <v>0</v>
      </c>
      <c r="P41" s="51">
        <f t="shared" si="56"/>
        <v>0</v>
      </c>
      <c r="Q41" s="51" t="e">
        <f t="shared" ref="Q41:Q56" si="57">ROUNDDOWN(N41/(O41+P41),0)</f>
        <v>#DIV/0!</v>
      </c>
      <c r="R41" s="55">
        <v>60</v>
      </c>
      <c r="S41" s="53" t="s">
        <v>34</v>
      </c>
      <c r="T41" s="54" t="s">
        <v>34</v>
      </c>
      <c r="U41" s="55">
        <v>0</v>
      </c>
      <c r="V41" s="55">
        <f t="shared" ref="V41:V56" si="58">IFERROR(U41/D41,0)</f>
        <v>0</v>
      </c>
      <c r="W41" s="55">
        <f t="shared" ref="W41:W56" si="59">IFERROR(G41/(U41+X41)*-1,0)</f>
        <v>0</v>
      </c>
      <c r="X41" s="55">
        <v>0</v>
      </c>
      <c r="Y41" s="52" t="s">
        <v>35</v>
      </c>
      <c r="Z41" s="56">
        <f t="shared" ref="Z41:Z43" si="60">IF(OR(Y41="UsLargeStandardSize",Y41="UsSmallStandardSize"),-0.75,-0.48)</f>
        <v>-0.75</v>
      </c>
      <c r="AA41" s="55">
        <v>0.15751555555555558</v>
      </c>
      <c r="AB41" s="55">
        <f t="shared" ref="AB41:AB56" si="61">IFERROR(Z41*AA41*D41*3,0)</f>
        <v>0</v>
      </c>
      <c r="AC41" s="55">
        <v>-7.32</v>
      </c>
      <c r="AD41" s="55">
        <v>-4.23267743589743</v>
      </c>
      <c r="AE41" s="55">
        <v>0</v>
      </c>
      <c r="AF41" s="55">
        <v>0.94520547945205402</v>
      </c>
    </row>
    <row r="42" spans="1:32" s="57" customFormat="1" ht="15.75" customHeight="1">
      <c r="A42" s="2" t="s">
        <v>106</v>
      </c>
      <c r="B42" s="2" t="s">
        <v>810</v>
      </c>
      <c r="C42" s="51">
        <f t="shared" si="50"/>
        <v>19.190000000000001</v>
      </c>
      <c r="D42" s="51">
        <v>15</v>
      </c>
      <c r="E42" s="51">
        <v>0</v>
      </c>
      <c r="F42" s="51">
        <v>287.85000000000002</v>
      </c>
      <c r="G42" s="51">
        <v>-49.64</v>
      </c>
      <c r="H42" s="51">
        <f t="shared" si="51"/>
        <v>0.17245092930345665</v>
      </c>
      <c r="I42" s="51">
        <f t="shared" si="52"/>
        <v>5.011703478040147E-2</v>
      </c>
      <c r="J42" s="51">
        <f t="shared" si="53"/>
        <v>14.426188461538565</v>
      </c>
      <c r="K42" s="51">
        <f t="shared" si="54"/>
        <v>0.96174589743590433</v>
      </c>
      <c r="L42" s="51">
        <v>34</v>
      </c>
      <c r="M42" s="51">
        <f t="shared" si="55"/>
        <v>0.44117647058823528</v>
      </c>
      <c r="N42" s="51">
        <v>217</v>
      </c>
      <c r="O42" s="51">
        <f t="shared" ref="O42:P42" si="62">D42/7</f>
        <v>2.1428571428571428</v>
      </c>
      <c r="P42" s="51">
        <f t="shared" si="62"/>
        <v>0</v>
      </c>
      <c r="Q42" s="51">
        <f t="shared" si="57"/>
        <v>101</v>
      </c>
      <c r="R42" s="55">
        <f ca="1">IFERROR(__xludf.DUMMYFUNCTION("IFERROR(VLOOKUP($B$2,IMPORTRANGE(""https://docs.google.com/spreadsheets/d/1iVgg6Mw12RULLujzHmfOFIY8Q_KaAD8anoZzgtVAQ74/edit#gid=1503384807"",""Second Star - Summary!A1:AD2000""),9,FALSE),"""")"),308)</f>
        <v>308</v>
      </c>
      <c r="S42" s="53">
        <f ca="1">IFERROR(__xludf.DUMMYFUNCTION("IFERROR(VLOOKUP($B$2,IMPORTRANGE(""https://docs.google.com/spreadsheets/d/1iVgg6Mw12RULLujzHmfOFIY8Q_KaAD8anoZzgtVAQ74/edit#gid=1503384807"",""Second Star - Summary!A1:AD2000""),28,FALSE),"""")"),176)</f>
        <v>176</v>
      </c>
      <c r="T42" s="54">
        <f ca="1">IFERROR(__xludf.DUMMYFUNCTION("IFERROR(VLOOKUP($B$2,IMPORTRANGE(""https://docs.google.com/spreadsheets/d/1iVgg6Mw12RULLujzHmfOFIY8Q_KaAD8anoZzgtVAQ74/edit#gid=1503384807"",""Second Star - Summary!A1:AD2000""),29,FALSE),"""")"),44324)</f>
        <v>44324</v>
      </c>
      <c r="U42" s="55">
        <v>11</v>
      </c>
      <c r="V42" s="55">
        <f t="shared" si="58"/>
        <v>0.73333333333333328</v>
      </c>
      <c r="W42" s="55">
        <f t="shared" si="59"/>
        <v>3.5457142857142858</v>
      </c>
      <c r="X42" s="55">
        <v>3</v>
      </c>
      <c r="Y42" s="52" t="s">
        <v>35</v>
      </c>
      <c r="Z42" s="56">
        <f t="shared" si="60"/>
        <v>-0.75</v>
      </c>
      <c r="AA42" s="55">
        <v>0.15751555555555558</v>
      </c>
      <c r="AB42" s="55">
        <f t="shared" si="61"/>
        <v>-5.3161500000000004</v>
      </c>
      <c r="AC42" s="55">
        <v>-7.32</v>
      </c>
      <c r="AD42" s="55">
        <v>-4.23267743589743</v>
      </c>
      <c r="AE42" s="55">
        <v>-2</v>
      </c>
      <c r="AF42" s="55">
        <v>0.48868778280542902</v>
      </c>
    </row>
    <row r="43" spans="1:32" s="57" customFormat="1" ht="15.75" customHeight="1">
      <c r="A43" s="2" t="s">
        <v>107</v>
      </c>
      <c r="B43" s="2" t="s">
        <v>1093</v>
      </c>
      <c r="C43" s="51">
        <f t="shared" si="50"/>
        <v>16.990000000000002</v>
      </c>
      <c r="D43" s="51">
        <v>10</v>
      </c>
      <c r="E43" s="51">
        <v>0</v>
      </c>
      <c r="F43" s="51">
        <v>169.9</v>
      </c>
      <c r="G43" s="51">
        <v>-23.83</v>
      </c>
      <c r="H43" s="51">
        <f t="shared" si="51"/>
        <v>0.14025897586815772</v>
      </c>
      <c r="I43" s="51">
        <f t="shared" si="52"/>
        <v>8.9118636905572996E-3</v>
      </c>
      <c r="J43" s="51">
        <f t="shared" si="53"/>
        <v>1.5141256410256854</v>
      </c>
      <c r="K43" s="51">
        <f t="shared" si="54"/>
        <v>0.15141256410256854</v>
      </c>
      <c r="L43" s="51">
        <v>36</v>
      </c>
      <c r="M43" s="51">
        <f t="shared" si="55"/>
        <v>0.27777777777777779</v>
      </c>
      <c r="N43" s="51">
        <v>195</v>
      </c>
      <c r="O43" s="51">
        <f t="shared" ref="O43:P43" si="63">D43/7</f>
        <v>1.4285714285714286</v>
      </c>
      <c r="P43" s="51">
        <f t="shared" si="63"/>
        <v>0</v>
      </c>
      <c r="Q43" s="51">
        <f t="shared" si="57"/>
        <v>136</v>
      </c>
      <c r="R43" s="55">
        <v>60</v>
      </c>
      <c r="S43" s="53" t="s">
        <v>34</v>
      </c>
      <c r="T43" s="54" t="s">
        <v>34</v>
      </c>
      <c r="U43" s="55">
        <v>2</v>
      </c>
      <c r="V43" s="55">
        <f t="shared" si="58"/>
        <v>0.2</v>
      </c>
      <c r="W43" s="55">
        <f t="shared" si="59"/>
        <v>5.9574999999999996</v>
      </c>
      <c r="X43" s="55">
        <v>2</v>
      </c>
      <c r="Y43" s="55" t="s">
        <v>35</v>
      </c>
      <c r="Z43" s="56">
        <f t="shared" si="60"/>
        <v>-0.75</v>
      </c>
      <c r="AA43" s="55">
        <v>0.15751555555555558</v>
      </c>
      <c r="AB43" s="55">
        <f t="shared" si="61"/>
        <v>-3.5441000000000007</v>
      </c>
      <c r="AC43" s="55">
        <v>-7.32</v>
      </c>
      <c r="AD43" s="55">
        <v>-4.23267743589743</v>
      </c>
      <c r="AE43" s="55">
        <v>-2</v>
      </c>
      <c r="AF43" s="55">
        <v>0.38799076212471101</v>
      </c>
    </row>
    <row r="44" spans="1:32" s="57" customFormat="1" ht="15.75" customHeight="1">
      <c r="A44" s="2" t="s">
        <v>108</v>
      </c>
      <c r="B44" s="2" t="s">
        <v>940</v>
      </c>
      <c r="C44" s="51">
        <f t="shared" si="50"/>
        <v>17.619629629629635</v>
      </c>
      <c r="D44" s="51">
        <v>27</v>
      </c>
      <c r="E44" s="51">
        <v>0</v>
      </c>
      <c r="F44" s="51">
        <v>475.73000000000013</v>
      </c>
      <c r="G44" s="51">
        <v>-48.21</v>
      </c>
      <c r="H44" s="51">
        <f t="shared" si="51"/>
        <v>0.1013389948079793</v>
      </c>
      <c r="I44" s="51">
        <f t="shared" si="52"/>
        <v>2.8623768168434833E-2</v>
      </c>
      <c r="J44" s="51">
        <f t="shared" si="53"/>
        <v>13.617185230769508</v>
      </c>
      <c r="K44" s="51">
        <f t="shared" si="54"/>
        <v>0.50434019373220396</v>
      </c>
      <c r="L44" s="51">
        <v>69</v>
      </c>
      <c r="M44" s="51">
        <f t="shared" si="55"/>
        <v>0.39130434782608697</v>
      </c>
      <c r="N44" s="51">
        <v>170</v>
      </c>
      <c r="O44" s="51">
        <f t="shared" ref="O44:P44" si="64">D44/7</f>
        <v>3.8571428571428572</v>
      </c>
      <c r="P44" s="51">
        <f t="shared" si="64"/>
        <v>0</v>
      </c>
      <c r="Q44" s="51">
        <f t="shared" si="57"/>
        <v>44</v>
      </c>
      <c r="R44" s="55">
        <v>60</v>
      </c>
      <c r="S44" s="53" t="s">
        <v>34</v>
      </c>
      <c r="T44" s="54" t="s">
        <v>34</v>
      </c>
      <c r="U44" s="55">
        <v>10</v>
      </c>
      <c r="V44" s="55">
        <f t="shared" si="58"/>
        <v>0.37037037037037035</v>
      </c>
      <c r="W44" s="55">
        <f t="shared" si="59"/>
        <v>4.0175000000000001</v>
      </c>
      <c r="X44" s="55">
        <v>2</v>
      </c>
      <c r="Y44" s="55" t="s">
        <v>35</v>
      </c>
      <c r="Z44" s="56">
        <f t="shared" ref="Z44:Z56" si="65">IF(OR(Y44="UsLargeStandardSize",Y44="UsSmallStandardSize"),-2.4,-1.2)</f>
        <v>-2.4</v>
      </c>
      <c r="AA44" s="55">
        <v>0.15751555555555558</v>
      </c>
      <c r="AB44" s="55">
        <f t="shared" si="61"/>
        <v>-30.621024000000006</v>
      </c>
      <c r="AC44" s="55">
        <v>-7.32</v>
      </c>
      <c r="AD44" s="55">
        <v>-4.23267743589743</v>
      </c>
      <c r="AE44" s="55">
        <v>0</v>
      </c>
      <c r="AF44" s="55">
        <v>0.647342995169082</v>
      </c>
    </row>
    <row r="45" spans="1:32" s="57" customFormat="1" ht="15.75" customHeight="1">
      <c r="A45" s="2" t="s">
        <v>109</v>
      </c>
      <c r="B45" s="2" t="s">
        <v>1094</v>
      </c>
      <c r="C45" s="51">
        <f t="shared" si="50"/>
        <v>18.621578947368423</v>
      </c>
      <c r="D45" s="51">
        <v>19</v>
      </c>
      <c r="E45" s="51">
        <v>0</v>
      </c>
      <c r="F45" s="51">
        <v>353.81000000000006</v>
      </c>
      <c r="G45" s="51">
        <v>-30.519999999999996</v>
      </c>
      <c r="H45" s="51">
        <f t="shared" si="51"/>
        <v>8.6260987535682968E-2</v>
      </c>
      <c r="I45" s="51">
        <f t="shared" si="52"/>
        <v>8.2443969130179692E-2</v>
      </c>
      <c r="J45" s="51">
        <f t="shared" si="53"/>
        <v>29.169500717948882</v>
      </c>
      <c r="K45" s="51">
        <f t="shared" si="54"/>
        <v>1.5352368798920464</v>
      </c>
      <c r="L45" s="51">
        <v>40</v>
      </c>
      <c r="M45" s="51">
        <f t="shared" si="55"/>
        <v>0.47499999999999998</v>
      </c>
      <c r="N45" s="51">
        <v>159</v>
      </c>
      <c r="O45" s="51">
        <f t="shared" ref="O45:P45" si="66">D45/7</f>
        <v>2.7142857142857144</v>
      </c>
      <c r="P45" s="51">
        <f t="shared" si="66"/>
        <v>0</v>
      </c>
      <c r="Q45" s="51">
        <f t="shared" si="57"/>
        <v>58</v>
      </c>
      <c r="R45" s="55">
        <v>60</v>
      </c>
      <c r="S45" s="53" t="s">
        <v>34</v>
      </c>
      <c r="T45" s="54" t="s">
        <v>34</v>
      </c>
      <c r="U45" s="55">
        <v>4</v>
      </c>
      <c r="V45" s="55">
        <f t="shared" si="58"/>
        <v>0.21052631578947367</v>
      </c>
      <c r="W45" s="55">
        <f t="shared" si="59"/>
        <v>4.3599999999999994</v>
      </c>
      <c r="X45" s="55">
        <v>3</v>
      </c>
      <c r="Y45" s="55" t="s">
        <v>35</v>
      </c>
      <c r="Z45" s="56">
        <f t="shared" si="65"/>
        <v>-2.4</v>
      </c>
      <c r="AA45" s="55">
        <v>0.15751555555555558</v>
      </c>
      <c r="AB45" s="55">
        <f t="shared" si="61"/>
        <v>-21.548128000000002</v>
      </c>
      <c r="AC45" s="55">
        <v>-7.32</v>
      </c>
      <c r="AD45" s="55">
        <v>-4.23267743589743</v>
      </c>
      <c r="AE45" s="55">
        <v>0</v>
      </c>
      <c r="AF45" s="55">
        <v>0.76092544987146504</v>
      </c>
    </row>
    <row r="46" spans="1:32" s="57" customFormat="1" ht="15.75" customHeight="1">
      <c r="A46" s="2" t="s">
        <v>111</v>
      </c>
      <c r="B46" s="2" t="s">
        <v>983</v>
      </c>
      <c r="C46" s="51">
        <f t="shared" si="50"/>
        <v>18.740000000000006</v>
      </c>
      <c r="D46" s="51">
        <v>12</v>
      </c>
      <c r="E46" s="51">
        <v>0</v>
      </c>
      <c r="F46" s="51">
        <v>224.88000000000005</v>
      </c>
      <c r="G46" s="51">
        <v>-0.08</v>
      </c>
      <c r="H46" s="51">
        <f t="shared" si="51"/>
        <v>3.5574528637495546E-4</v>
      </c>
      <c r="I46" s="51">
        <f t="shared" si="52"/>
        <v>0.17265442355581143</v>
      </c>
      <c r="J46" s="51">
        <f t="shared" si="53"/>
        <v>38.826526769230881</v>
      </c>
      <c r="K46" s="51">
        <f t="shared" si="54"/>
        <v>3.2355438974359068</v>
      </c>
      <c r="L46" s="51">
        <v>35</v>
      </c>
      <c r="M46" s="51">
        <f t="shared" si="55"/>
        <v>0.34285714285714286</v>
      </c>
      <c r="N46" s="51">
        <v>146</v>
      </c>
      <c r="O46" s="51">
        <f t="shared" ref="O46:P46" si="67">D46/7</f>
        <v>1.7142857142857142</v>
      </c>
      <c r="P46" s="51">
        <f t="shared" si="67"/>
        <v>0</v>
      </c>
      <c r="Q46" s="51">
        <f t="shared" si="57"/>
        <v>85</v>
      </c>
      <c r="R46" s="55">
        <v>60</v>
      </c>
      <c r="S46" s="53" t="s">
        <v>34</v>
      </c>
      <c r="T46" s="54" t="s">
        <v>34</v>
      </c>
      <c r="U46" s="55">
        <v>0</v>
      </c>
      <c r="V46" s="55">
        <f t="shared" si="58"/>
        <v>0</v>
      </c>
      <c r="W46" s="55">
        <f t="shared" si="59"/>
        <v>0</v>
      </c>
      <c r="X46" s="55">
        <v>0</v>
      </c>
      <c r="Y46" s="55" t="s">
        <v>35</v>
      </c>
      <c r="Z46" s="56">
        <f t="shared" si="65"/>
        <v>-2.4</v>
      </c>
      <c r="AA46" s="55">
        <v>0.15751555555555558</v>
      </c>
      <c r="AB46" s="55">
        <f t="shared" si="61"/>
        <v>-13.609344000000004</v>
      </c>
      <c r="AC46" s="55">
        <v>-7.32</v>
      </c>
      <c r="AD46" s="55">
        <v>-4.23267743589743</v>
      </c>
      <c r="AE46" s="55">
        <v>0</v>
      </c>
      <c r="AF46" s="55">
        <v>0.97237569060773399</v>
      </c>
    </row>
    <row r="47" spans="1:32" s="57" customFormat="1" ht="15.75" customHeight="1">
      <c r="A47" s="2" t="s">
        <v>113</v>
      </c>
      <c r="B47" s="2" t="s">
        <v>983</v>
      </c>
      <c r="C47" s="51">
        <f t="shared" si="50"/>
        <v>18.990000000000002</v>
      </c>
      <c r="D47" s="51">
        <v>10</v>
      </c>
      <c r="E47" s="51">
        <v>0</v>
      </c>
      <c r="F47" s="51">
        <v>189.9</v>
      </c>
      <c r="G47" s="51">
        <v>0</v>
      </c>
      <c r="H47" s="51">
        <f t="shared" si="51"/>
        <v>0</v>
      </c>
      <c r="I47" s="51">
        <f t="shared" si="52"/>
        <v>0.18192262054252603</v>
      </c>
      <c r="J47" s="51">
        <f t="shared" si="53"/>
        <v>34.547105641025695</v>
      </c>
      <c r="K47" s="51">
        <f t="shared" si="54"/>
        <v>3.4547105641025695</v>
      </c>
      <c r="L47" s="51">
        <v>48</v>
      </c>
      <c r="M47" s="51">
        <f t="shared" si="55"/>
        <v>0.20833333333333334</v>
      </c>
      <c r="N47" s="51">
        <v>137</v>
      </c>
      <c r="O47" s="51">
        <f t="shared" ref="O47:P47" si="68">D47/7</f>
        <v>1.4285714285714286</v>
      </c>
      <c r="P47" s="51">
        <f t="shared" si="68"/>
        <v>0</v>
      </c>
      <c r="Q47" s="51">
        <f t="shared" si="57"/>
        <v>95</v>
      </c>
      <c r="R47" s="55">
        <v>60</v>
      </c>
      <c r="S47" s="53" t="s">
        <v>34</v>
      </c>
      <c r="T47" s="54" t="s">
        <v>34</v>
      </c>
      <c r="U47" s="55">
        <v>0</v>
      </c>
      <c r="V47" s="55">
        <f t="shared" si="58"/>
        <v>0</v>
      </c>
      <c r="W47" s="55">
        <f t="shared" si="59"/>
        <v>0</v>
      </c>
      <c r="X47" s="55">
        <v>0</v>
      </c>
      <c r="Y47" s="55" t="s">
        <v>35</v>
      </c>
      <c r="Z47" s="56">
        <f t="shared" si="65"/>
        <v>-2.4</v>
      </c>
      <c r="AA47" s="55">
        <v>0.15751555555555558</v>
      </c>
      <c r="AB47" s="55">
        <f t="shared" si="61"/>
        <v>-11.341120000000002</v>
      </c>
      <c r="AC47" s="55">
        <v>-7.32</v>
      </c>
      <c r="AD47" s="55">
        <v>-4.23267743589743</v>
      </c>
      <c r="AE47" s="55">
        <v>0</v>
      </c>
      <c r="AF47" s="55">
        <v>0.771371769383697</v>
      </c>
    </row>
    <row r="48" spans="1:32" s="57" customFormat="1" ht="15.75" customHeight="1">
      <c r="A48" s="2" t="s">
        <v>115</v>
      </c>
      <c r="B48" s="2" t="s">
        <v>964</v>
      </c>
      <c r="C48" s="51">
        <f t="shared" si="50"/>
        <v>18.389999999999997</v>
      </c>
      <c r="D48" s="51">
        <v>5</v>
      </c>
      <c r="E48" s="51">
        <v>0</v>
      </c>
      <c r="F48" s="51">
        <v>91.949999999999989</v>
      </c>
      <c r="G48" s="51">
        <v>0</v>
      </c>
      <c r="H48" s="51">
        <f t="shared" si="51"/>
        <v>0</v>
      </c>
      <c r="I48" s="51">
        <f t="shared" si="52"/>
        <v>0.16012564241993299</v>
      </c>
      <c r="J48" s="51">
        <f t="shared" si="53"/>
        <v>14.723552820512836</v>
      </c>
      <c r="K48" s="51">
        <f t="shared" si="54"/>
        <v>2.944710564102567</v>
      </c>
      <c r="L48" s="51">
        <v>21</v>
      </c>
      <c r="M48" s="51">
        <f t="shared" si="55"/>
        <v>0.23809523809523808</v>
      </c>
      <c r="N48" s="51">
        <v>135</v>
      </c>
      <c r="O48" s="51">
        <f t="shared" ref="O48:P48" si="69">D48/7</f>
        <v>0.7142857142857143</v>
      </c>
      <c r="P48" s="51">
        <f t="shared" si="69"/>
        <v>0</v>
      </c>
      <c r="Q48" s="51">
        <f t="shared" si="57"/>
        <v>189</v>
      </c>
      <c r="R48" s="55">
        <f ca="1">IFERROR(__xludf.DUMMYFUNCTION("IFERROR(VLOOKUP($B$2,IMPORTRANGE(""https://docs.google.com/spreadsheets/d/1iVgg6Mw12RULLujzHmfOFIY8Q_KaAD8anoZzgtVAQ74/edit#gid=1503384807"",""Second Star - Summary!A1:AD2000""),9,FALSE),"""")"),308)</f>
        <v>308</v>
      </c>
      <c r="S48" s="53">
        <f ca="1">IFERROR(__xludf.DUMMYFUNCTION("IFERROR(VLOOKUP($B$2,IMPORTRANGE(""https://docs.google.com/spreadsheets/d/1iVgg6Mw12RULLujzHmfOFIY8Q_KaAD8anoZzgtVAQ74/edit#gid=1503384807"",""Second Star - Summary!A1:AD2000""),28,FALSE),"""")"),176)</f>
        <v>176</v>
      </c>
      <c r="T48" s="54">
        <f ca="1">IFERROR(__xludf.DUMMYFUNCTION("IFERROR(VLOOKUP($B$2,IMPORTRANGE(""https://docs.google.com/spreadsheets/d/1iVgg6Mw12RULLujzHmfOFIY8Q_KaAD8anoZzgtVAQ74/edit#gid=1503384807"",""Second Star - Summary!A1:AD2000""),29,FALSE),"""")"),44324)</f>
        <v>44324</v>
      </c>
      <c r="U48" s="55">
        <v>0</v>
      </c>
      <c r="V48" s="55">
        <f t="shared" si="58"/>
        <v>0</v>
      </c>
      <c r="W48" s="55">
        <f t="shared" si="59"/>
        <v>0</v>
      </c>
      <c r="X48" s="55">
        <v>0</v>
      </c>
      <c r="Y48" s="55" t="s">
        <v>35</v>
      </c>
      <c r="Z48" s="56">
        <f t="shared" si="65"/>
        <v>-2.4</v>
      </c>
      <c r="AA48" s="55">
        <v>0.15751555555555558</v>
      </c>
      <c r="AB48" s="55">
        <f t="shared" si="61"/>
        <v>-5.6705600000000009</v>
      </c>
      <c r="AC48" s="55">
        <v>-7.32</v>
      </c>
      <c r="AD48" s="55">
        <v>-4.23267743589743</v>
      </c>
      <c r="AE48" s="55">
        <v>0</v>
      </c>
      <c r="AF48" s="55">
        <v>0.69875222816399196</v>
      </c>
    </row>
    <row r="49" spans="1:32" s="57" customFormat="1" ht="15.75" customHeight="1">
      <c r="A49" s="2" t="s">
        <v>117</v>
      </c>
      <c r="B49" s="2"/>
      <c r="C49" s="51">
        <f t="shared" si="50"/>
        <v>17.739999999999998</v>
      </c>
      <c r="D49" s="51">
        <v>4</v>
      </c>
      <c r="E49" s="51">
        <v>0</v>
      </c>
      <c r="F49" s="51">
        <v>70.959999999999994</v>
      </c>
      <c r="G49" s="51">
        <v>-0.08</v>
      </c>
      <c r="H49" s="51">
        <f t="shared" si="51"/>
        <v>1.1273957158962798E-3</v>
      </c>
      <c r="I49" s="51">
        <f t="shared" si="52"/>
        <v>0.13372100135865661</v>
      </c>
      <c r="J49" s="51">
        <f t="shared" ref="J49:J56" si="70">F49*0.85+G49+AD49*D49+D49*AC49+AE49+AB49</f>
        <v>9.4888422564102726</v>
      </c>
      <c r="K49" s="51">
        <f t="shared" si="54"/>
        <v>2.3722105641025681</v>
      </c>
      <c r="L49" s="51">
        <v>28</v>
      </c>
      <c r="M49" s="51">
        <f t="shared" si="55"/>
        <v>0.14285714285714285</v>
      </c>
      <c r="N49" s="51">
        <v>132</v>
      </c>
      <c r="O49" s="51">
        <f t="shared" ref="O49:P49" si="71">D49/7</f>
        <v>0.5714285714285714</v>
      </c>
      <c r="P49" s="51">
        <f t="shared" si="71"/>
        <v>0</v>
      </c>
      <c r="Q49" s="51">
        <f t="shared" si="57"/>
        <v>231</v>
      </c>
      <c r="R49" s="55">
        <f ca="1">IFERROR(__xludf.DUMMYFUNCTION("IFERROR(VLOOKUP($B$2,IMPORTRANGE(""https://docs.google.com/spreadsheets/d/1iVgg6Mw12RULLujzHmfOFIY8Q_KaAD8anoZzgtVAQ74/edit#gid=1503384807"",""Second Star - Summary!A1:AD2000""),9,FALSE),"""")"),308)</f>
        <v>308</v>
      </c>
      <c r="S49" s="53">
        <f ca="1">IFERROR(__xludf.DUMMYFUNCTION("IFERROR(VLOOKUP($B$2,IMPORTRANGE(""https://docs.google.com/spreadsheets/d/1iVgg6Mw12RULLujzHmfOFIY8Q_KaAD8anoZzgtVAQ74/edit#gid=1503384807"",""Second Star - Summary!A1:AD2000""),28,FALSE),"""")"),176)</f>
        <v>176</v>
      </c>
      <c r="T49" s="54">
        <f ca="1">IFERROR(__xludf.DUMMYFUNCTION("IFERROR(VLOOKUP($B$2,IMPORTRANGE(""https://docs.google.com/spreadsheets/d/1iVgg6Mw12RULLujzHmfOFIY8Q_KaAD8anoZzgtVAQ74/edit#gid=1503384807"",""Second Star - Summary!A1:AD2000""),29,FALSE),"""")"),44324)</f>
        <v>44324</v>
      </c>
      <c r="U49" s="55">
        <v>0</v>
      </c>
      <c r="V49" s="55">
        <f t="shared" si="58"/>
        <v>0</v>
      </c>
      <c r="W49" s="55">
        <f t="shared" si="59"/>
        <v>0</v>
      </c>
      <c r="X49" s="55">
        <v>0</v>
      </c>
      <c r="Y49" s="55" t="s">
        <v>35</v>
      </c>
      <c r="Z49" s="56">
        <f t="shared" si="65"/>
        <v>-2.4</v>
      </c>
      <c r="AA49" s="55">
        <v>0.15751555555555558</v>
      </c>
      <c r="AB49" s="55">
        <f t="shared" si="61"/>
        <v>-4.5364480000000009</v>
      </c>
      <c r="AC49" s="55">
        <v>-7.32</v>
      </c>
      <c r="AD49" s="55">
        <v>-4.23267743589743</v>
      </c>
      <c r="AE49" s="55"/>
      <c r="AF49" s="55">
        <v>0.77882797731568998</v>
      </c>
    </row>
    <row r="50" spans="1:32" s="57" customFormat="1" ht="15.75" customHeight="1">
      <c r="A50" s="2" t="s">
        <v>119</v>
      </c>
      <c r="B50" s="2" t="s">
        <v>1095</v>
      </c>
      <c r="C50" s="51">
        <f t="shared" si="50"/>
        <v>16.989999999999998</v>
      </c>
      <c r="D50" s="51">
        <v>1</v>
      </c>
      <c r="E50" s="51">
        <v>0</v>
      </c>
      <c r="F50" s="51">
        <v>16.989999999999998</v>
      </c>
      <c r="G50" s="51">
        <v>0</v>
      </c>
      <c r="H50" s="51">
        <f t="shared" si="51"/>
        <v>0</v>
      </c>
      <c r="I50" s="51">
        <f t="shared" si="52"/>
        <v>0.10327902084182274</v>
      </c>
      <c r="J50" s="51">
        <f t="shared" si="70"/>
        <v>1.7547105641025682</v>
      </c>
      <c r="K50" s="51">
        <f t="shared" si="54"/>
        <v>1.7547105641025682</v>
      </c>
      <c r="L50" s="51">
        <v>1</v>
      </c>
      <c r="M50" s="51">
        <f t="shared" si="55"/>
        <v>1</v>
      </c>
      <c r="N50" s="51">
        <v>131</v>
      </c>
      <c r="O50" s="51">
        <f t="shared" ref="O50:P50" si="72">D50/7</f>
        <v>0.14285714285714285</v>
      </c>
      <c r="P50" s="51">
        <f t="shared" si="72"/>
        <v>0</v>
      </c>
      <c r="Q50" s="51">
        <f t="shared" si="57"/>
        <v>917</v>
      </c>
      <c r="R50" s="55">
        <f ca="1">IFERROR(__xludf.DUMMYFUNCTION("IFERROR(VLOOKUP($B$2,IMPORTRANGE(""https://docs.google.com/spreadsheets/d/1iVgg6Mw12RULLujzHmfOFIY8Q_KaAD8anoZzgtVAQ74/edit#gid=1503384807"",""Second Star - Summary!A1:AD2000""),9,FALSE),"""")"),308)</f>
        <v>308</v>
      </c>
      <c r="S50" s="53">
        <f ca="1">IFERROR(__xludf.DUMMYFUNCTION("IFERROR(VLOOKUP($B$2,IMPORTRANGE(""https://docs.google.com/spreadsheets/d/1iVgg6Mw12RULLujzHmfOFIY8Q_KaAD8anoZzgtVAQ74/edit#gid=1503384807"",""Second Star - Summary!A1:AD2000""),28,FALSE),"""")"),176)</f>
        <v>176</v>
      </c>
      <c r="T50" s="54">
        <f ca="1">IFERROR(__xludf.DUMMYFUNCTION("IFERROR(VLOOKUP($B$2,IMPORTRANGE(""https://docs.google.com/spreadsheets/d/1iVgg6Mw12RULLujzHmfOFIY8Q_KaAD8anoZzgtVAQ74/edit#gid=1503384807"",""Second Star - Summary!A1:AD2000""),29,FALSE),"""")"),44324)</f>
        <v>44324</v>
      </c>
      <c r="U50" s="55">
        <v>0</v>
      </c>
      <c r="V50" s="55">
        <f t="shared" si="58"/>
        <v>0</v>
      </c>
      <c r="W50" s="55">
        <f t="shared" si="59"/>
        <v>0</v>
      </c>
      <c r="X50" s="55">
        <v>0</v>
      </c>
      <c r="Y50" s="55" t="s">
        <v>35</v>
      </c>
      <c r="Z50" s="56">
        <f t="shared" si="65"/>
        <v>-2.4</v>
      </c>
      <c r="AA50" s="55">
        <v>0.15751555555555558</v>
      </c>
      <c r="AB50" s="55">
        <f t="shared" si="61"/>
        <v>-1.1341120000000002</v>
      </c>
      <c r="AC50" s="55">
        <v>-7.32</v>
      </c>
      <c r="AD50" s="55">
        <v>-4.23267743589743</v>
      </c>
      <c r="AE50" s="55">
        <v>0</v>
      </c>
      <c r="AF50" s="55">
        <v>0.80154142581888199</v>
      </c>
    </row>
    <row r="51" spans="1:32" s="57" customFormat="1" ht="15.75" customHeight="1">
      <c r="A51" s="2" t="s">
        <v>121</v>
      </c>
      <c r="B51" s="2" t="s">
        <v>1096</v>
      </c>
      <c r="C51" s="51">
        <f t="shared" si="50"/>
        <v>14.99</v>
      </c>
      <c r="D51" s="51">
        <v>6</v>
      </c>
      <c r="E51" s="51">
        <v>0</v>
      </c>
      <c r="F51" s="51">
        <v>89.94</v>
      </c>
      <c r="G51" s="51">
        <v>0</v>
      </c>
      <c r="H51" s="51">
        <f t="shared" si="51"/>
        <v>0</v>
      </c>
      <c r="I51" s="51">
        <f t="shared" si="52"/>
        <v>3.6498041429332117E-3</v>
      </c>
      <c r="J51" s="51">
        <f t="shared" si="70"/>
        <v>0.32826338461541305</v>
      </c>
      <c r="K51" s="51">
        <f t="shared" si="54"/>
        <v>5.4710564102568839E-2</v>
      </c>
      <c r="L51" s="51">
        <v>12</v>
      </c>
      <c r="M51" s="51">
        <f t="shared" si="55"/>
        <v>0.5</v>
      </c>
      <c r="N51" s="51">
        <v>121</v>
      </c>
      <c r="O51" s="51">
        <f t="shared" ref="O51:P51" si="73">D51/7</f>
        <v>0.8571428571428571</v>
      </c>
      <c r="P51" s="51">
        <f t="shared" si="73"/>
        <v>0</v>
      </c>
      <c r="Q51" s="51">
        <f t="shared" si="57"/>
        <v>141</v>
      </c>
      <c r="R51" s="55">
        <f ca="1">IFERROR(__xludf.DUMMYFUNCTION("IFERROR(VLOOKUP($B$2,IMPORTRANGE(""https://docs.google.com/spreadsheets/d/1iVgg6Mw12RULLujzHmfOFIY8Q_KaAD8anoZzgtVAQ74/edit#gid=1503384807"",""Second Star - Summary!A1:AD2000""),9,FALSE),"""")"),308)</f>
        <v>308</v>
      </c>
      <c r="S51" s="53">
        <f ca="1">IFERROR(__xludf.DUMMYFUNCTION("IFERROR(VLOOKUP($B$2,IMPORTRANGE(""https://docs.google.com/spreadsheets/d/1iVgg6Mw12RULLujzHmfOFIY8Q_KaAD8anoZzgtVAQ74/edit#gid=1503384807"",""Second Star - Summary!A1:AD2000""),28,FALSE),"""")"),176)</f>
        <v>176</v>
      </c>
      <c r="T51" s="54">
        <f ca="1">IFERROR(__xludf.DUMMYFUNCTION("IFERROR(VLOOKUP($B$2,IMPORTRANGE(""https://docs.google.com/spreadsheets/d/1iVgg6Mw12RULLujzHmfOFIY8Q_KaAD8anoZzgtVAQ74/edit#gid=1503384807"",""Second Star - Summary!A1:AD2000""),29,FALSE),"""")"),44324)</f>
        <v>44324</v>
      </c>
      <c r="U51" s="55">
        <v>1</v>
      </c>
      <c r="V51" s="55">
        <f t="shared" si="58"/>
        <v>0.16666666666666666</v>
      </c>
      <c r="W51" s="55">
        <f t="shared" si="59"/>
        <v>0</v>
      </c>
      <c r="X51" s="55">
        <v>0</v>
      </c>
      <c r="Y51" s="55" t="s">
        <v>35</v>
      </c>
      <c r="Z51" s="56">
        <f t="shared" si="65"/>
        <v>-2.4</v>
      </c>
      <c r="AA51" s="55">
        <v>0.15751555555555558</v>
      </c>
      <c r="AB51" s="55">
        <f t="shared" si="61"/>
        <v>-6.8046720000000018</v>
      </c>
      <c r="AC51" s="55">
        <v>-7.32</v>
      </c>
      <c r="AD51" s="55">
        <v>-4.23267743589743</v>
      </c>
      <c r="AE51" s="55">
        <v>0</v>
      </c>
      <c r="AF51" s="55">
        <v>0.85365853658536495</v>
      </c>
    </row>
    <row r="52" spans="1:32" s="57" customFormat="1" ht="15.75" customHeight="1">
      <c r="A52" s="2" t="s">
        <v>123</v>
      </c>
      <c r="B52" s="2"/>
      <c r="C52" s="51">
        <f t="shared" si="50"/>
        <v>15.045555555555556</v>
      </c>
      <c r="D52" s="51">
        <v>18</v>
      </c>
      <c r="E52" s="51">
        <v>0</v>
      </c>
      <c r="F52" s="51">
        <v>270.82</v>
      </c>
      <c r="G52" s="51">
        <v>-40.28</v>
      </c>
      <c r="H52" s="51">
        <f t="shared" si="51"/>
        <v>0.14873347610959309</v>
      </c>
      <c r="I52" s="51">
        <f t="shared" si="52"/>
        <v>-0.14195853277510434</v>
      </c>
      <c r="J52" s="51">
        <f t="shared" si="70"/>
        <v>-38.445209846153759</v>
      </c>
      <c r="K52" s="51">
        <f t="shared" si="54"/>
        <v>-2.1358449914529865</v>
      </c>
      <c r="L52" s="51">
        <v>48</v>
      </c>
      <c r="M52" s="51">
        <f t="shared" si="55"/>
        <v>0.375</v>
      </c>
      <c r="N52" s="51">
        <v>105</v>
      </c>
      <c r="O52" s="51">
        <f t="shared" ref="O52:P52" si="74">D52/7</f>
        <v>2.5714285714285716</v>
      </c>
      <c r="P52" s="51">
        <f t="shared" si="74"/>
        <v>0</v>
      </c>
      <c r="Q52" s="51">
        <f t="shared" si="57"/>
        <v>40</v>
      </c>
      <c r="R52" s="55">
        <f ca="1">IFERROR(__xludf.DUMMYFUNCTION("IFERROR(VLOOKUP($B$2,IMPORTRANGE(""https://docs.google.com/spreadsheets/d/1iVgg6Mw12RULLujzHmfOFIY8Q_KaAD8anoZzgtVAQ74/edit#gid=1503384807"",""Second Star - Summary!A1:AD2000""),9,FALSE),"""")"),308)</f>
        <v>308</v>
      </c>
      <c r="S52" s="53">
        <f ca="1">IFERROR(__xludf.DUMMYFUNCTION("IFERROR(VLOOKUP($B$2,IMPORTRANGE(""https://docs.google.com/spreadsheets/d/1iVgg6Mw12RULLujzHmfOFIY8Q_KaAD8anoZzgtVAQ74/edit#gid=1503384807"",""Second Star - Summary!A1:AD2000""),28,FALSE),"""")"),176)</f>
        <v>176</v>
      </c>
      <c r="T52" s="54">
        <f ca="1">IFERROR(__xludf.DUMMYFUNCTION("IFERROR(VLOOKUP($B$2,IMPORTRANGE(""https://docs.google.com/spreadsheets/d/1iVgg6Mw12RULLujzHmfOFIY8Q_KaAD8anoZzgtVAQ74/edit#gid=1503384807"",""Second Star - Summary!A1:AD2000""),29,FALSE),"""")"),44324)</f>
        <v>44324</v>
      </c>
      <c r="U52" s="55">
        <v>0</v>
      </c>
      <c r="V52" s="55">
        <f t="shared" si="58"/>
        <v>0</v>
      </c>
      <c r="W52" s="55">
        <f t="shared" si="59"/>
        <v>20.14</v>
      </c>
      <c r="X52" s="55">
        <v>2</v>
      </c>
      <c r="Y52" s="55" t="s">
        <v>35</v>
      </c>
      <c r="Z52" s="56">
        <f t="shared" si="65"/>
        <v>-2.4</v>
      </c>
      <c r="AA52" s="55">
        <v>0.15751555555555558</v>
      </c>
      <c r="AB52" s="55">
        <f t="shared" si="61"/>
        <v>-20.414016000000004</v>
      </c>
      <c r="AC52" s="55">
        <v>-7.32</v>
      </c>
      <c r="AD52" s="55">
        <v>-4.23267743589743</v>
      </c>
      <c r="AE52" s="55">
        <v>0</v>
      </c>
      <c r="AF52" s="55">
        <v>0.99363057324840698</v>
      </c>
    </row>
    <row r="53" spans="1:32" s="57" customFormat="1">
      <c r="A53" s="2" t="s">
        <v>38</v>
      </c>
      <c r="B53" s="2"/>
      <c r="C53" s="51">
        <f t="shared" si="50"/>
        <v>17.15666666666667</v>
      </c>
      <c r="D53" s="51">
        <v>24</v>
      </c>
      <c r="E53" s="51">
        <v>0</v>
      </c>
      <c r="F53" s="51">
        <v>411.7600000000001</v>
      </c>
      <c r="G53" s="51">
        <v>-38.880000000000003</v>
      </c>
      <c r="H53" s="51">
        <f t="shared" si="51"/>
        <v>9.4423936273557399E-2</v>
      </c>
      <c r="I53" s="51">
        <f t="shared" si="52"/>
        <v>1.6109028410874679E-2</v>
      </c>
      <c r="J53" s="51">
        <f t="shared" si="70"/>
        <v>6.633053538461759</v>
      </c>
      <c r="K53" s="51">
        <f t="shared" si="54"/>
        <v>0.27637723076923998</v>
      </c>
      <c r="L53" s="51">
        <v>75</v>
      </c>
      <c r="M53" s="51">
        <f t="shared" si="55"/>
        <v>0.32</v>
      </c>
      <c r="N53" s="51">
        <v>79</v>
      </c>
      <c r="O53" s="51">
        <f t="shared" ref="O53:P53" si="75">D53/7</f>
        <v>3.4285714285714284</v>
      </c>
      <c r="P53" s="51">
        <f t="shared" si="75"/>
        <v>0</v>
      </c>
      <c r="Q53" s="51">
        <f t="shared" si="57"/>
        <v>23</v>
      </c>
      <c r="R53" s="55">
        <f ca="1">IFERROR(__xludf.DUMMYFUNCTION("IFERROR(VLOOKUP($B$2,IMPORTRANGE(""https://docs.google.com/spreadsheets/d/1iVgg6Mw12RULLujzHmfOFIY8Q_KaAD8anoZzgtVAQ74/edit#gid=1503384807"",""Second Star - Summary!A1:AD2000""),9,FALSE),"""")"),308)</f>
        <v>308</v>
      </c>
      <c r="S53" s="53">
        <f ca="1">IFERROR(__xludf.DUMMYFUNCTION("IFERROR(VLOOKUP($B$2,IMPORTRANGE(""https://docs.google.com/spreadsheets/d/1iVgg6Mw12RULLujzHmfOFIY8Q_KaAD8anoZzgtVAQ74/edit#gid=1503384807"",""Second Star - Summary!A1:AD2000""),28,FALSE),"""")"),176)</f>
        <v>176</v>
      </c>
      <c r="T53" s="54">
        <f ca="1">IFERROR(__xludf.DUMMYFUNCTION("IFERROR(VLOOKUP($B$2,IMPORTRANGE(""https://docs.google.com/spreadsheets/d/1iVgg6Mw12RULLujzHmfOFIY8Q_KaAD8anoZzgtVAQ74/edit#gid=1503384807"",""Second Star - Summary!A1:AD2000""),29,FALSE),"""")"),44324)</f>
        <v>44324</v>
      </c>
      <c r="U53" s="55">
        <v>15</v>
      </c>
      <c r="V53" s="55">
        <f t="shared" si="58"/>
        <v>0.625</v>
      </c>
      <c r="W53" s="55">
        <f t="shared" si="59"/>
        <v>1.9440000000000002</v>
      </c>
      <c r="X53" s="55">
        <v>5</v>
      </c>
      <c r="Y53" s="55" t="s">
        <v>35</v>
      </c>
      <c r="Z53" s="56">
        <f t="shared" si="65"/>
        <v>-2.4</v>
      </c>
      <c r="AA53" s="55">
        <v>0.15751555555555558</v>
      </c>
      <c r="AB53" s="55">
        <f t="shared" si="61"/>
        <v>-27.218688000000007</v>
      </c>
      <c r="AC53" s="55">
        <v>-7.32</v>
      </c>
      <c r="AD53" s="55">
        <v>-4.23267743589743</v>
      </c>
      <c r="AE53" s="55">
        <v>0</v>
      </c>
      <c r="AF53" s="55">
        <v>0.90566037735849003</v>
      </c>
    </row>
    <row r="54" spans="1:32" s="57" customFormat="1">
      <c r="A54" s="2" t="s">
        <v>40</v>
      </c>
      <c r="B54" s="2" t="s">
        <v>810</v>
      </c>
      <c r="C54" s="51">
        <f t="shared" si="50"/>
        <v>17.267777777777784</v>
      </c>
      <c r="D54" s="51">
        <v>36</v>
      </c>
      <c r="E54" s="51">
        <v>0</v>
      </c>
      <c r="F54" s="51">
        <v>621.64000000000021</v>
      </c>
      <c r="G54" s="51">
        <v>-28.03</v>
      </c>
      <c r="H54" s="51">
        <f t="shared" si="51"/>
        <v>4.5090406022778445E-2</v>
      </c>
      <c r="I54" s="51">
        <f t="shared" si="52"/>
        <v>7.0200727603906832E-2</v>
      </c>
      <c r="J54" s="51">
        <f t="shared" si="70"/>
        <v>43.639580307692654</v>
      </c>
      <c r="K54" s="51">
        <f t="shared" si="54"/>
        <v>1.2122105641025738</v>
      </c>
      <c r="L54" s="51">
        <v>115</v>
      </c>
      <c r="M54" s="51">
        <f t="shared" si="55"/>
        <v>0.31304347826086959</v>
      </c>
      <c r="N54" s="51">
        <v>30</v>
      </c>
      <c r="O54" s="51">
        <f t="shared" ref="O54:P54" si="76">D54/7</f>
        <v>5.1428571428571432</v>
      </c>
      <c r="P54" s="51">
        <f t="shared" si="76"/>
        <v>0</v>
      </c>
      <c r="Q54" s="51">
        <f t="shared" si="57"/>
        <v>5</v>
      </c>
      <c r="R54" s="55">
        <f ca="1">IFERROR(__xludf.DUMMYFUNCTION("IFERROR(VLOOKUP($B$2,IMPORTRANGE(""https://docs.google.com/spreadsheets/d/1iVgg6Mw12RULLujzHmfOFIY8Q_KaAD8anoZzgtVAQ74/edit#gid=1503384807"",""Second Star - Summary!A1:AD2000""),9,FALSE),"""")"),308)</f>
        <v>308</v>
      </c>
      <c r="S54" s="53">
        <f ca="1">IFERROR(__xludf.DUMMYFUNCTION("IFERROR(VLOOKUP($B$2,IMPORTRANGE(""https://docs.google.com/spreadsheets/d/1iVgg6Mw12RULLujzHmfOFIY8Q_KaAD8anoZzgtVAQ74/edit#gid=1503384807"",""Second Star - Summary!A1:AD2000""),28,FALSE),"""")"),176)</f>
        <v>176</v>
      </c>
      <c r="T54" s="54">
        <f ca="1">IFERROR(__xludf.DUMMYFUNCTION("IFERROR(VLOOKUP($B$2,IMPORTRANGE(""https://docs.google.com/spreadsheets/d/1iVgg6Mw12RULLujzHmfOFIY8Q_KaAD8anoZzgtVAQ74/edit#gid=1503384807"",""Second Star - Summary!A1:AD2000""),29,FALSE),"""")"),44324)</f>
        <v>44324</v>
      </c>
      <c r="U54" s="55">
        <v>9</v>
      </c>
      <c r="V54" s="55">
        <f t="shared" si="58"/>
        <v>0.25</v>
      </c>
      <c r="W54" s="55">
        <f t="shared" si="59"/>
        <v>1.4015</v>
      </c>
      <c r="X54" s="55">
        <v>11</v>
      </c>
      <c r="Y54" s="55" t="s">
        <v>35</v>
      </c>
      <c r="Z54" s="56">
        <f t="shared" si="65"/>
        <v>-2.4</v>
      </c>
      <c r="AA54" s="55">
        <v>0.15751555555555558</v>
      </c>
      <c r="AB54" s="55">
        <f t="shared" si="61"/>
        <v>-40.828032000000007</v>
      </c>
      <c r="AC54" s="55">
        <v>-7.32</v>
      </c>
      <c r="AD54" s="55">
        <v>-4.23267743589743</v>
      </c>
      <c r="AE54" s="55">
        <v>0</v>
      </c>
      <c r="AF54" s="55">
        <v>1.44404332129963</v>
      </c>
    </row>
    <row r="55" spans="1:32" s="57" customFormat="1" ht="15.75" customHeight="1">
      <c r="A55" s="2" t="s">
        <v>32</v>
      </c>
      <c r="B55" s="2"/>
      <c r="C55" s="51">
        <f t="shared" si="50"/>
        <v>17.751904761904765</v>
      </c>
      <c r="D55" s="51">
        <v>21</v>
      </c>
      <c r="E55" s="51">
        <v>0</v>
      </c>
      <c r="F55" s="51">
        <v>372.79000000000008</v>
      </c>
      <c r="G55" s="51">
        <v>-18.77</v>
      </c>
      <c r="H55" s="51">
        <f t="shared" si="51"/>
        <v>5.0350063038171612E-2</v>
      </c>
      <c r="I55" s="51">
        <f t="shared" si="52"/>
        <v>8.4977928179817239E-2</v>
      </c>
      <c r="J55" s="51">
        <f t="shared" si="70"/>
        <v>31.678921846154076</v>
      </c>
      <c r="K55" s="51">
        <f t="shared" si="54"/>
        <v>1.5085200879120988</v>
      </c>
      <c r="L55" s="51">
        <v>51</v>
      </c>
      <c r="M55" s="51">
        <f t="shared" si="55"/>
        <v>0.41176470588235292</v>
      </c>
      <c r="N55" s="51">
        <v>12</v>
      </c>
      <c r="O55" s="51">
        <f t="shared" ref="O55:P55" si="77">D55/7</f>
        <v>3</v>
      </c>
      <c r="P55" s="51">
        <f t="shared" si="77"/>
        <v>0</v>
      </c>
      <c r="Q55" s="51">
        <f t="shared" si="57"/>
        <v>4</v>
      </c>
      <c r="R55" s="55">
        <v>176</v>
      </c>
      <c r="S55" s="53" t="s">
        <v>34</v>
      </c>
      <c r="T55" s="54" t="s">
        <v>34</v>
      </c>
      <c r="U55" s="55">
        <v>4</v>
      </c>
      <c r="V55" s="55">
        <f t="shared" si="58"/>
        <v>0.19047619047619047</v>
      </c>
      <c r="W55" s="55">
        <f t="shared" si="59"/>
        <v>2.0855555555555556</v>
      </c>
      <c r="X55" s="55">
        <v>5</v>
      </c>
      <c r="Y55" s="55" t="s">
        <v>35</v>
      </c>
      <c r="Z55" s="56">
        <f t="shared" si="65"/>
        <v>-2.4</v>
      </c>
      <c r="AA55" s="55">
        <v>0.15751555555555558</v>
      </c>
      <c r="AB55" s="55">
        <f t="shared" si="61"/>
        <v>-23.816352000000002</v>
      </c>
      <c r="AC55" s="55">
        <v>-7.32</v>
      </c>
      <c r="AD55" s="55">
        <v>-4.23267743589743</v>
      </c>
      <c r="AE55" s="55">
        <v>0</v>
      </c>
      <c r="AF55" s="55">
        <v>1.7398373983739801</v>
      </c>
    </row>
    <row r="56" spans="1:32" s="57" customFormat="1" ht="15.75" customHeight="1">
      <c r="A56" s="2" t="s">
        <v>36</v>
      </c>
      <c r="B56" s="31" t="s">
        <v>1097</v>
      </c>
      <c r="C56" s="51" t="str">
        <f t="shared" si="50"/>
        <v xml:space="preserve"> - </v>
      </c>
      <c r="D56" s="51">
        <v>0</v>
      </c>
      <c r="E56" s="51">
        <v>0</v>
      </c>
      <c r="F56" s="51">
        <v>0</v>
      </c>
      <c r="G56" s="51">
        <v>-0.08</v>
      </c>
      <c r="H56" s="51" t="e">
        <f t="shared" si="51"/>
        <v>#DIV/0!</v>
      </c>
      <c r="I56" s="51" t="e">
        <f t="shared" si="52"/>
        <v>#DIV/0!</v>
      </c>
      <c r="J56" s="51">
        <f t="shared" si="70"/>
        <v>-0.08</v>
      </c>
      <c r="K56" s="51" t="e">
        <f t="shared" si="54"/>
        <v>#DIV/0!</v>
      </c>
      <c r="L56" s="51">
        <v>0</v>
      </c>
      <c r="M56" s="51" t="str">
        <f t="shared" si="55"/>
        <v>-</v>
      </c>
      <c r="N56" s="51">
        <v>2</v>
      </c>
      <c r="O56" s="51">
        <f t="shared" ref="O56:P56" si="78">D56/7</f>
        <v>0</v>
      </c>
      <c r="P56" s="51">
        <f t="shared" si="78"/>
        <v>0</v>
      </c>
      <c r="Q56" s="51" t="e">
        <f t="shared" si="57"/>
        <v>#DIV/0!</v>
      </c>
      <c r="R56" s="55">
        <f ca="1">IFERROR(__xludf.DUMMYFUNCTION("IFERROR(VLOOKUP($B$2,IMPORTRANGE(""https://docs.google.com/spreadsheets/d/1iVgg6Mw12RULLujzHmfOFIY8Q_KaAD8anoZzgtVAQ74/edit#gid=1503384807"",""Second Star - Summary!A1:AD2000""),9,FALSE),"""")"),308)</f>
        <v>308</v>
      </c>
      <c r="S56" s="53">
        <f ca="1">IFERROR(__xludf.DUMMYFUNCTION("IFERROR(VLOOKUP($B$2,IMPORTRANGE(""https://docs.google.com/spreadsheets/d/1iVgg6Mw12RULLujzHmfOFIY8Q_KaAD8anoZzgtVAQ74/edit#gid=1503384807"",""Second Star - Summary!A1:AD2000""),28,FALSE),"""")"),176)</f>
        <v>176</v>
      </c>
      <c r="T56" s="54">
        <f ca="1">IFERROR(__xludf.DUMMYFUNCTION("IFERROR(VLOOKUP($B$2,IMPORTRANGE(""https://docs.google.com/spreadsheets/d/1iVgg6Mw12RULLujzHmfOFIY8Q_KaAD8anoZzgtVAQ74/edit#gid=1503384807"",""Second Star - Summary!A1:AD2000""),29,FALSE),"""")"),44324)</f>
        <v>44324</v>
      </c>
      <c r="U56" s="55">
        <v>0</v>
      </c>
      <c r="V56" s="55">
        <f t="shared" si="58"/>
        <v>0</v>
      </c>
      <c r="W56" s="55">
        <f t="shared" si="59"/>
        <v>0</v>
      </c>
      <c r="X56" s="55">
        <v>0</v>
      </c>
      <c r="Y56" s="55" t="e">
        <v>#N/A</v>
      </c>
      <c r="Z56" s="56" t="e">
        <f t="shared" si="65"/>
        <v>#N/A</v>
      </c>
      <c r="AA56" s="55" t="e">
        <v>#N/A</v>
      </c>
      <c r="AB56" s="55">
        <f t="shared" si="61"/>
        <v>0</v>
      </c>
      <c r="AC56" s="55">
        <v>0</v>
      </c>
      <c r="AD56" s="55">
        <v>-4.23267743589743</v>
      </c>
      <c r="AE56" s="55">
        <v>0</v>
      </c>
      <c r="AF56" s="55">
        <v>1.7567567567567499</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124" priority="1" operator="lessThan">
      <formula>100</formula>
    </cfRule>
  </conditionalFormatting>
  <conditionalFormatting sqref="Q1:Q3 Q57:Q1000">
    <cfRule type="cellIs" dxfId="123" priority="2" operator="lessThan">
      <formula>100</formula>
    </cfRule>
  </conditionalFormatting>
  <conditionalFormatting sqref="I1:I3 I57:I1000">
    <cfRule type="cellIs" dxfId="122" priority="3" operator="lessThan">
      <formula>0.05</formula>
    </cfRule>
  </conditionalFormatting>
  <conditionalFormatting sqref="I4:I17">
    <cfRule type="cellIs" dxfId="121" priority="4" operator="lessThan">
      <formula>0.05</formula>
    </cfRule>
  </conditionalFormatting>
  <conditionalFormatting sqref="I18:I56">
    <cfRule type="cellIs" dxfId="120" priority="5" operator="lessThan">
      <formula>0.05</formula>
    </cfRule>
  </conditionalFormatting>
  <conditionalFormatting sqref="Q4:Q56">
    <cfRule type="cellIs" dxfId="119" priority="6" operator="lessThan">
      <formula>100</formula>
    </cfRule>
  </conditionalFormatting>
  <conditionalFormatting sqref="Q4:Q56">
    <cfRule type="cellIs" dxfId="118" priority="7" operator="lessThan">
      <formula>100</formula>
    </cfRule>
  </conditionalFormatting>
  <pageMargins left="0.7" right="0.7" top="0.75" bottom="0.75" header="0" footer="0"/>
  <pageSetup orientation="portrait"/>
  <legacy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8.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Info!B1:BJ5000""),4,FALSE),"""")"),"Corn Filled Cornhole Bean Bags - Set of 8 Bags for Corn Hole Toss Game - Regulation Size &amp; Weight - 4 Royal Blue and 4 Black")</f>
        <v>Corn Filled Cornhole Bean Bags - Set of 8 Bags for Corn Hole Toss Game - Regulation Size &amp; Weight - 4 Royal Blue and 4 Black</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Info!B1:BJ5000""),3,FALSE),"""")"),"B07VRR4FB3")</f>
        <v>B07VRR4FB3</v>
      </c>
      <c r="B2" s="4" t="s">
        <v>1098</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7.6239087481146237</v>
      </c>
      <c r="D3" s="8">
        <f>SUM(D4:D99819)</f>
        <v>130</v>
      </c>
      <c r="E3" s="8"/>
      <c r="F3" s="9">
        <f t="shared" ref="F3:G3" si="0">SUM(F4:F99819)</f>
        <v>2687.7300000000009</v>
      </c>
      <c r="G3" s="9">
        <f t="shared" si="0"/>
        <v>-98.91</v>
      </c>
      <c r="H3" s="10">
        <f t="shared" ref="H3:H39" si="1">G3/F3*-1</f>
        <v>3.6800571485975139E-2</v>
      </c>
      <c r="I3" s="11">
        <f t="shared" ref="I3:I39" si="2">J3/F3</f>
        <v>0.10888822917611356</v>
      </c>
      <c r="J3" s="9">
        <f>SUM(J4:J99819)</f>
        <v>292.66216020351578</v>
      </c>
      <c r="K3" s="9">
        <f t="shared" ref="K3:K39" si="3">J3/D3</f>
        <v>2.2512473861808906</v>
      </c>
      <c r="L3" s="8"/>
      <c r="M3" s="12"/>
      <c r="N3" s="13"/>
      <c r="O3" s="8" t="str">
        <f ca="1">IFERROR(__xludf.DUMMYFUNCTION("IFERROR(VLOOKUP(B2,IMPORTRANGE(""https://docs.google.com/spreadsheets/d/1owCo6kL_VFQ5nPTdNogErmCBLjNiktT1m3SzTrxu3R0/edit#gid=2146806407"",""Second Star - Compiled!b1:g5000""),2,FALSE),"""")"),"1 - March
1 - April
1 - May
1 - Jun
1 - Jul
1 - Aug
1 - Sept
1 - Oct
1 - Nov
1 - Dec
1 - Jan
1 - Feb")</f>
        <v>1 - March
1 - April
1 - May
1 - Jun
1 - Jul
1 - Aug
1 - Sept
1 - Oct
1 - Nov
1 - Dec
1 - Jan
1 - Feb</v>
      </c>
      <c r="P3" s="8"/>
      <c r="Q3" s="14"/>
      <c r="R3" s="13"/>
      <c r="S3" s="13"/>
      <c r="T3" s="13"/>
      <c r="U3" s="8">
        <f>SUM(U4:U99819)</f>
        <v>15</v>
      </c>
      <c r="V3" s="10">
        <f>AVERAGE(V4:V99819)</f>
        <v>2.5728987993138937E-2</v>
      </c>
      <c r="W3" s="9">
        <f>ROUND(AVERAGE(W4:W99819),2)</f>
        <v>1.19</v>
      </c>
      <c r="X3" s="8"/>
      <c r="Y3" s="8"/>
      <c r="Z3" s="8"/>
      <c r="AA3" s="8"/>
      <c r="AB3" s="8"/>
      <c r="AC3" s="15"/>
      <c r="AD3" s="9"/>
      <c r="AE3" s="9">
        <f>SUM(AE4:AE99819)</f>
        <v>0</v>
      </c>
      <c r="AF3" s="16"/>
    </row>
    <row r="4" spans="1:32" s="57" customFormat="1">
      <c r="A4" s="17" t="s">
        <v>48</v>
      </c>
      <c r="B4" s="2" t="s">
        <v>946</v>
      </c>
      <c r="C4" s="50">
        <v>17.989999999999998</v>
      </c>
      <c r="D4" s="51">
        <v>0</v>
      </c>
      <c r="E4" s="51">
        <v>0</v>
      </c>
      <c r="F4" s="51">
        <v>0</v>
      </c>
      <c r="G4" s="51">
        <v>0</v>
      </c>
      <c r="H4" s="51" t="e">
        <f t="shared" si="1"/>
        <v>#DIV/0!</v>
      </c>
      <c r="I4" s="51" t="e">
        <f t="shared" si="2"/>
        <v>#DIV/0!</v>
      </c>
      <c r="J4" s="51">
        <f t="shared" ref="J4:J38" si="4">F4*0.85+G4+AD4*D4+D4*AC4+AE4+AB4</f>
        <v>-1.374024359817708</v>
      </c>
      <c r="K4" s="51" t="e">
        <f t="shared" si="3"/>
        <v>#DIV/0!</v>
      </c>
      <c r="L4" s="51">
        <v>0</v>
      </c>
      <c r="M4" s="51" t="str">
        <f t="shared" ref="M4:M39" si="5">IFERROR(D4/L4,"-")</f>
        <v>-</v>
      </c>
      <c r="N4" s="51">
        <v>29</v>
      </c>
      <c r="O4" s="51">
        <f t="shared" ref="O4:P4" si="6">D4/7</f>
        <v>0</v>
      </c>
      <c r="P4" s="51">
        <f t="shared" si="6"/>
        <v>0</v>
      </c>
      <c r="Q4" s="51" t="e">
        <f t="shared" ref="Q4:Q39" si="7">ROUNDDOWN(N4/(O4+P4),0)</f>
        <v>#DIV/0!</v>
      </c>
      <c r="R4" s="52">
        <v>352</v>
      </c>
      <c r="S4" s="53">
        <v>100</v>
      </c>
      <c r="T4" s="54">
        <v>43876</v>
      </c>
      <c r="U4" s="52">
        <v>0</v>
      </c>
      <c r="V4" s="55">
        <f t="shared" ref="V4:V39" si="8">IFERROR(U4/D4,0)</f>
        <v>0</v>
      </c>
      <c r="W4" s="55">
        <f t="shared" ref="W4:W39" si="9">IFERROR(G4/(U4+X4)*-1,0)</f>
        <v>0</v>
      </c>
      <c r="X4" s="52">
        <v>0</v>
      </c>
      <c r="Y4" s="56" t="s">
        <v>35</v>
      </c>
      <c r="Z4" s="56">
        <f t="shared" ref="Z4:Z10" si="10">IF(OR(Y4="UsLargeStandardSize",Y4="UsSmallStandardSize"),-0.69,-0.48)</f>
        <v>-0.69</v>
      </c>
      <c r="AA4" s="55">
        <v>0.27466753819444439</v>
      </c>
      <c r="AB4" s="55">
        <f t="shared" ref="AB4:AB17" si="11">IFERROR((Z4*AA4*N4)/4,0)</f>
        <v>-1.374024359817708</v>
      </c>
      <c r="AC4" s="55">
        <v>-7.16</v>
      </c>
      <c r="AD4" s="55">
        <v>-6.4803224358974356</v>
      </c>
      <c r="AE4" s="55">
        <v>0</v>
      </c>
      <c r="AF4" s="55"/>
    </row>
    <row r="5" spans="1:32" s="57" customFormat="1" ht="15.75" customHeight="1">
      <c r="A5" s="2" t="s">
        <v>49</v>
      </c>
      <c r="B5" s="2" t="s">
        <v>810</v>
      </c>
      <c r="C5" s="51">
        <v>17.989999999999998</v>
      </c>
      <c r="D5" s="51">
        <v>11</v>
      </c>
      <c r="E5" s="51">
        <v>0</v>
      </c>
      <c r="F5" s="51">
        <v>197.89</v>
      </c>
      <c r="G5" s="51">
        <v>0</v>
      </c>
      <c r="H5" s="51">
        <f t="shared" si="1"/>
        <v>0</v>
      </c>
      <c r="I5" s="51">
        <f t="shared" si="2"/>
        <v>8.6515690018092173E-2</v>
      </c>
      <c r="J5" s="51">
        <f t="shared" si="4"/>
        <v>17.120589897680258</v>
      </c>
      <c r="K5" s="51">
        <f t="shared" si="3"/>
        <v>1.556417263425478</v>
      </c>
      <c r="L5" s="51">
        <v>10</v>
      </c>
      <c r="M5" s="51">
        <f t="shared" si="5"/>
        <v>1.1000000000000001</v>
      </c>
      <c r="N5" s="51">
        <v>22</v>
      </c>
      <c r="O5" s="51">
        <f t="shared" ref="O5:P5" si="12">D5/7</f>
        <v>1.5714285714285714</v>
      </c>
      <c r="P5" s="51">
        <f t="shared" si="12"/>
        <v>0</v>
      </c>
      <c r="Q5" s="51">
        <f t="shared" si="7"/>
        <v>14</v>
      </c>
      <c r="R5" s="55">
        <v>352</v>
      </c>
      <c r="S5" s="53">
        <v>100</v>
      </c>
      <c r="T5" s="54">
        <v>43876</v>
      </c>
      <c r="U5" s="55">
        <v>0</v>
      </c>
      <c r="V5" s="55">
        <f t="shared" si="8"/>
        <v>0</v>
      </c>
      <c r="W5" s="55">
        <f t="shared" si="9"/>
        <v>0</v>
      </c>
      <c r="X5" s="55">
        <v>0</v>
      </c>
      <c r="Y5" s="55" t="s">
        <v>35</v>
      </c>
      <c r="Z5" s="56">
        <f t="shared" si="10"/>
        <v>-0.69</v>
      </c>
      <c r="AA5" s="55">
        <v>0.27466753819444439</v>
      </c>
      <c r="AB5" s="55">
        <f t="shared" si="11"/>
        <v>-1.0423633074479164</v>
      </c>
      <c r="AC5" s="55">
        <v>-7.16</v>
      </c>
      <c r="AD5" s="55">
        <v>-6.4803224358974356</v>
      </c>
      <c r="AE5" s="55">
        <v>0</v>
      </c>
      <c r="AF5" s="55"/>
    </row>
    <row r="6" spans="1:32" s="57" customFormat="1" ht="15.75" customHeight="1">
      <c r="A6" s="2" t="s">
        <v>51</v>
      </c>
      <c r="B6" s="2" t="s">
        <v>1099</v>
      </c>
      <c r="C6" s="51">
        <v>17.989999999999998</v>
      </c>
      <c r="D6" s="51">
        <v>1</v>
      </c>
      <c r="E6" s="51">
        <v>0</v>
      </c>
      <c r="F6" s="51">
        <v>17.989999999999998</v>
      </c>
      <c r="G6" s="51">
        <v>0</v>
      </c>
      <c r="H6" s="51">
        <f t="shared" si="1"/>
        <v>0</v>
      </c>
      <c r="I6" s="51">
        <f t="shared" si="2"/>
        <v>3.6475509004624013E-2</v>
      </c>
      <c r="J6" s="51">
        <f t="shared" si="4"/>
        <v>0.65619440699318599</v>
      </c>
      <c r="K6" s="51">
        <f t="shared" si="3"/>
        <v>0.65619440699318599</v>
      </c>
      <c r="L6" s="51">
        <v>8</v>
      </c>
      <c r="M6" s="51">
        <f t="shared" si="5"/>
        <v>0.125</v>
      </c>
      <c r="N6" s="51">
        <v>21</v>
      </c>
      <c r="O6" s="51">
        <f t="shared" ref="O6:P6" si="13">D6/7</f>
        <v>0.14285714285714285</v>
      </c>
      <c r="P6" s="51">
        <f t="shared" si="13"/>
        <v>0</v>
      </c>
      <c r="Q6" s="51">
        <f t="shared" si="7"/>
        <v>147</v>
      </c>
      <c r="R6" s="55">
        <v>352</v>
      </c>
      <c r="S6" s="53">
        <v>100</v>
      </c>
      <c r="T6" s="54">
        <v>43884</v>
      </c>
      <c r="U6" s="55">
        <v>0</v>
      </c>
      <c r="V6" s="55">
        <f t="shared" si="8"/>
        <v>0</v>
      </c>
      <c r="W6" s="55">
        <f t="shared" si="9"/>
        <v>0</v>
      </c>
      <c r="X6" s="55">
        <v>0</v>
      </c>
      <c r="Y6" s="55" t="s">
        <v>35</v>
      </c>
      <c r="Z6" s="56">
        <f t="shared" si="10"/>
        <v>-0.69</v>
      </c>
      <c r="AA6" s="55">
        <v>0.27466753819444439</v>
      </c>
      <c r="AB6" s="55">
        <f t="shared" si="11"/>
        <v>-0.99498315710937479</v>
      </c>
      <c r="AC6" s="55">
        <v>-7.16</v>
      </c>
      <c r="AD6" s="55">
        <v>-6.4803224358974356</v>
      </c>
      <c r="AE6" s="55">
        <v>0</v>
      </c>
      <c r="AF6" s="55"/>
    </row>
    <row r="7" spans="1:32" s="57" customFormat="1" ht="15.75" customHeight="1">
      <c r="A7" s="2" t="s">
        <v>53</v>
      </c>
      <c r="B7" s="2" t="s">
        <v>1046</v>
      </c>
      <c r="C7" s="51">
        <v>17.989999999999998</v>
      </c>
      <c r="D7" s="51">
        <v>0</v>
      </c>
      <c r="E7" s="51">
        <v>0</v>
      </c>
      <c r="F7" s="51">
        <v>0</v>
      </c>
      <c r="G7" s="51">
        <v>0</v>
      </c>
      <c r="H7" s="51" t="e">
        <f t="shared" si="1"/>
        <v>#DIV/0!</v>
      </c>
      <c r="I7" s="51" t="e">
        <f t="shared" si="2"/>
        <v>#DIV/0!</v>
      </c>
      <c r="J7" s="51">
        <f t="shared" si="4"/>
        <v>-0.99498315710937479</v>
      </c>
      <c r="K7" s="51" t="e">
        <f t="shared" si="3"/>
        <v>#DIV/0!</v>
      </c>
      <c r="L7" s="51">
        <v>0</v>
      </c>
      <c r="M7" s="51" t="str">
        <f t="shared" si="5"/>
        <v>-</v>
      </c>
      <c r="N7" s="51">
        <v>21</v>
      </c>
      <c r="O7" s="51">
        <f t="shared" ref="O7:P7" si="14">D7/7</f>
        <v>0</v>
      </c>
      <c r="P7" s="51">
        <f t="shared" si="14"/>
        <v>0</v>
      </c>
      <c r="Q7" s="51" t="e">
        <f t="shared" si="7"/>
        <v>#DIV/0!</v>
      </c>
      <c r="R7" s="55">
        <v>352</v>
      </c>
      <c r="S7" s="53">
        <v>100</v>
      </c>
      <c r="T7" s="54">
        <v>43884</v>
      </c>
      <c r="U7" s="55">
        <v>0</v>
      </c>
      <c r="V7" s="55">
        <f t="shared" si="8"/>
        <v>0</v>
      </c>
      <c r="W7" s="55">
        <f t="shared" si="9"/>
        <v>0</v>
      </c>
      <c r="X7" s="55">
        <v>0</v>
      </c>
      <c r="Y7" s="55" t="s">
        <v>35</v>
      </c>
      <c r="Z7" s="56">
        <f t="shared" si="10"/>
        <v>-0.69</v>
      </c>
      <c r="AA7" s="55">
        <v>0.27466753819444439</v>
      </c>
      <c r="AB7" s="55">
        <f t="shared" si="11"/>
        <v>-0.99498315710937479</v>
      </c>
      <c r="AC7" s="55">
        <v>-7.16</v>
      </c>
      <c r="AD7" s="55">
        <v>-6.4803224358974356</v>
      </c>
      <c r="AE7" s="55">
        <v>0</v>
      </c>
      <c r="AF7" s="55"/>
    </row>
    <row r="8" spans="1:32" s="57" customFormat="1" ht="15.75" customHeight="1">
      <c r="A8" s="2" t="s">
        <v>54</v>
      </c>
      <c r="B8" s="2" t="s">
        <v>810</v>
      </c>
      <c r="C8" s="51">
        <v>16.989999999999998</v>
      </c>
      <c r="D8" s="51">
        <v>2</v>
      </c>
      <c r="E8" s="51">
        <v>0</v>
      </c>
      <c r="F8" s="51">
        <v>34.979999999999997</v>
      </c>
      <c r="G8" s="51">
        <v>0</v>
      </c>
      <c r="H8" s="51">
        <f t="shared" si="1"/>
        <v>0</v>
      </c>
      <c r="I8" s="51">
        <f t="shared" si="2"/>
        <v>4.4371991760229726E-2</v>
      </c>
      <c r="J8" s="51">
        <f t="shared" si="4"/>
        <v>1.5521322717728356</v>
      </c>
      <c r="K8" s="51">
        <f t="shared" si="3"/>
        <v>0.77606613588641782</v>
      </c>
      <c r="L8" s="51">
        <v>6</v>
      </c>
      <c r="M8" s="51">
        <f t="shared" si="5"/>
        <v>0.33333333333333331</v>
      </c>
      <c r="N8" s="51">
        <v>19</v>
      </c>
      <c r="O8" s="51">
        <f t="shared" ref="O8:P8" si="15">D8/7</f>
        <v>0.2857142857142857</v>
      </c>
      <c r="P8" s="51">
        <f t="shared" si="15"/>
        <v>0</v>
      </c>
      <c r="Q8" s="51">
        <f t="shared" si="7"/>
        <v>66</v>
      </c>
      <c r="R8" s="55">
        <v>352</v>
      </c>
      <c r="S8" s="53">
        <v>100</v>
      </c>
      <c r="T8" s="54">
        <v>43884</v>
      </c>
      <c r="U8" s="55">
        <v>0</v>
      </c>
      <c r="V8" s="55">
        <f t="shared" si="8"/>
        <v>0</v>
      </c>
      <c r="W8" s="55">
        <f t="shared" si="9"/>
        <v>0</v>
      </c>
      <c r="X8" s="55">
        <v>0</v>
      </c>
      <c r="Y8" s="55" t="s">
        <v>35</v>
      </c>
      <c r="Z8" s="56">
        <f t="shared" si="10"/>
        <v>-0.69</v>
      </c>
      <c r="AA8" s="55">
        <v>0.27466753819444439</v>
      </c>
      <c r="AB8" s="55">
        <f t="shared" si="11"/>
        <v>-0.9002228564322915</v>
      </c>
      <c r="AC8" s="55">
        <v>-7.16</v>
      </c>
      <c r="AD8" s="55">
        <v>-6.4803224358974356</v>
      </c>
      <c r="AE8" s="55">
        <v>0</v>
      </c>
      <c r="AF8" s="55"/>
    </row>
    <row r="9" spans="1:32" s="57" customFormat="1" ht="15.75" customHeight="1">
      <c r="A9" s="2" t="s">
        <v>56</v>
      </c>
      <c r="B9" s="2"/>
      <c r="C9" s="51">
        <v>16.989999999999998</v>
      </c>
      <c r="D9" s="51">
        <v>0</v>
      </c>
      <c r="E9" s="51">
        <v>0</v>
      </c>
      <c r="F9" s="51">
        <v>0</v>
      </c>
      <c r="G9" s="51">
        <v>0</v>
      </c>
      <c r="H9" s="51" t="e">
        <f t="shared" si="1"/>
        <v>#DIV/0!</v>
      </c>
      <c r="I9" s="51" t="e">
        <f t="shared" si="2"/>
        <v>#DIV/0!</v>
      </c>
      <c r="J9" s="51">
        <f t="shared" si="4"/>
        <v>-0.9002228564322915</v>
      </c>
      <c r="K9" s="51" t="e">
        <f t="shared" si="3"/>
        <v>#DIV/0!</v>
      </c>
      <c r="L9" s="51">
        <v>11</v>
      </c>
      <c r="M9" s="51">
        <f t="shared" si="5"/>
        <v>0</v>
      </c>
      <c r="N9" s="51">
        <v>19</v>
      </c>
      <c r="O9" s="51">
        <f t="shared" ref="O9:P9" si="16">D9/7</f>
        <v>0</v>
      </c>
      <c r="P9" s="51">
        <f t="shared" si="16"/>
        <v>0</v>
      </c>
      <c r="Q9" s="51" t="e">
        <f t="shared" si="7"/>
        <v>#DIV/0!</v>
      </c>
      <c r="R9" s="55">
        <v>252</v>
      </c>
      <c r="S9" s="53">
        <v>100</v>
      </c>
      <c r="T9" s="54">
        <v>43881</v>
      </c>
      <c r="U9" s="55">
        <v>0</v>
      </c>
      <c r="V9" s="55">
        <f t="shared" si="8"/>
        <v>0</v>
      </c>
      <c r="W9" s="55">
        <f t="shared" si="9"/>
        <v>0</v>
      </c>
      <c r="X9" s="55">
        <v>0</v>
      </c>
      <c r="Y9" s="55" t="s">
        <v>35</v>
      </c>
      <c r="Z9" s="56">
        <f t="shared" si="10"/>
        <v>-0.69</v>
      </c>
      <c r="AA9" s="55">
        <v>0.27466753819444439</v>
      </c>
      <c r="AB9" s="55">
        <f t="shared" si="11"/>
        <v>-0.9002228564322915</v>
      </c>
      <c r="AC9" s="55">
        <v>-7.16</v>
      </c>
      <c r="AD9" s="55">
        <v>-6.4803224358974356</v>
      </c>
      <c r="AE9" s="55">
        <v>0</v>
      </c>
      <c r="AF9" s="55"/>
    </row>
    <row r="10" spans="1:32" s="57" customFormat="1" ht="15.75" customHeight="1">
      <c r="A10" s="2" t="s">
        <v>58</v>
      </c>
      <c r="B10" s="2" t="s">
        <v>1057</v>
      </c>
      <c r="C10" s="51">
        <v>16.989999999999998</v>
      </c>
      <c r="D10" s="51">
        <v>4</v>
      </c>
      <c r="E10" s="51">
        <v>0</v>
      </c>
      <c r="F10" s="51">
        <v>67.959999999999994</v>
      </c>
      <c r="G10" s="51">
        <v>0</v>
      </c>
      <c r="H10" s="51">
        <f t="shared" si="1"/>
        <v>0</v>
      </c>
      <c r="I10" s="51">
        <f t="shared" si="2"/>
        <v>3.7395352437767294E-2</v>
      </c>
      <c r="J10" s="51">
        <f t="shared" si="4"/>
        <v>2.5413881516706649</v>
      </c>
      <c r="K10" s="51">
        <f t="shared" si="3"/>
        <v>0.63534703791766622</v>
      </c>
      <c r="L10" s="51">
        <v>12</v>
      </c>
      <c r="M10" s="51">
        <f t="shared" si="5"/>
        <v>0.33333333333333331</v>
      </c>
      <c r="N10" s="51">
        <v>14</v>
      </c>
      <c r="O10" s="51">
        <f t="shared" ref="O10:P10" si="17">D10/7</f>
        <v>0.5714285714285714</v>
      </c>
      <c r="P10" s="51">
        <f t="shared" si="17"/>
        <v>0</v>
      </c>
      <c r="Q10" s="51">
        <f t="shared" si="7"/>
        <v>24</v>
      </c>
      <c r="R10" s="55">
        <v>252</v>
      </c>
      <c r="S10" s="53">
        <v>100</v>
      </c>
      <c r="T10" s="54">
        <v>43885</v>
      </c>
      <c r="U10" s="55">
        <v>0</v>
      </c>
      <c r="V10" s="55">
        <f t="shared" si="8"/>
        <v>0</v>
      </c>
      <c r="W10" s="55">
        <f t="shared" si="9"/>
        <v>0</v>
      </c>
      <c r="X10" s="55">
        <v>0</v>
      </c>
      <c r="Y10" s="55" t="s">
        <v>35</v>
      </c>
      <c r="Z10" s="56">
        <f t="shared" si="10"/>
        <v>-0.69</v>
      </c>
      <c r="AA10" s="55">
        <v>0.27466753819444439</v>
      </c>
      <c r="AB10" s="55">
        <f t="shared" si="11"/>
        <v>-0.6633221047395832</v>
      </c>
      <c r="AC10" s="55">
        <v>-7.16</v>
      </c>
      <c r="AD10" s="55">
        <v>-6.4803224358974356</v>
      </c>
      <c r="AE10" s="55">
        <v>0</v>
      </c>
      <c r="AF10" s="55"/>
    </row>
    <row r="11" spans="1:32" s="57" customFormat="1" ht="15.75" customHeight="1">
      <c r="A11" s="2" t="s">
        <v>60</v>
      </c>
      <c r="B11" s="2" t="s">
        <v>1100</v>
      </c>
      <c r="C11" s="51">
        <v>16.989999999999998</v>
      </c>
      <c r="D11" s="51">
        <v>6</v>
      </c>
      <c r="E11" s="51">
        <v>0</v>
      </c>
      <c r="F11" s="51">
        <v>101.93999999999998</v>
      </c>
      <c r="G11" s="51">
        <v>0</v>
      </c>
      <c r="H11" s="51">
        <f t="shared" si="1"/>
        <v>0</v>
      </c>
      <c r="I11" s="51">
        <f t="shared" si="2"/>
        <v>3.3696920515241348E-2</v>
      </c>
      <c r="J11" s="51">
        <f t="shared" si="4"/>
        <v>3.4350640773237027</v>
      </c>
      <c r="K11" s="51">
        <f t="shared" si="3"/>
        <v>0.57251067955395041</v>
      </c>
      <c r="L11" s="51">
        <v>14</v>
      </c>
      <c r="M11" s="51">
        <f t="shared" si="5"/>
        <v>0.42857142857142855</v>
      </c>
      <c r="N11" s="51">
        <v>8</v>
      </c>
      <c r="O11" s="51">
        <f t="shared" ref="O11:P11" si="18">D11/7</f>
        <v>0.8571428571428571</v>
      </c>
      <c r="P11" s="51">
        <f t="shared" si="18"/>
        <v>0</v>
      </c>
      <c r="Q11" s="51">
        <f t="shared" si="7"/>
        <v>9</v>
      </c>
      <c r="R11" s="55">
        <v>152</v>
      </c>
      <c r="S11" s="53" t="s">
        <v>34</v>
      </c>
      <c r="T11" s="54" t="s">
        <v>34</v>
      </c>
      <c r="U11" s="55">
        <v>0</v>
      </c>
      <c r="V11" s="55">
        <f t="shared" si="8"/>
        <v>0</v>
      </c>
      <c r="W11" s="55">
        <f t="shared" si="9"/>
        <v>0</v>
      </c>
      <c r="X11" s="55">
        <v>0</v>
      </c>
      <c r="Y11" s="55" t="s">
        <v>35</v>
      </c>
      <c r="Z11" s="56">
        <f t="shared" ref="Z11:Z39" si="19">IF(OR(Y11="UsLargeStandardSize",Y11="UsSmallStandardSize"),-0.75,-0.48)</f>
        <v>-0.75</v>
      </c>
      <c r="AA11" s="55">
        <v>0.27466753819444439</v>
      </c>
      <c r="AB11" s="55">
        <f t="shared" si="11"/>
        <v>-0.41200130729166662</v>
      </c>
      <c r="AC11" s="55">
        <v>-7.32</v>
      </c>
      <c r="AD11" s="55">
        <v>-6.4803224358974356</v>
      </c>
      <c r="AE11" s="55">
        <v>0</v>
      </c>
      <c r="AF11" s="55"/>
    </row>
    <row r="12" spans="1:32" s="57" customFormat="1" ht="15.75" customHeight="1">
      <c r="A12" s="2" t="s">
        <v>62</v>
      </c>
      <c r="B12" s="2" t="s">
        <v>950</v>
      </c>
      <c r="C12" s="51">
        <v>16.989999999999998</v>
      </c>
      <c r="D12" s="51">
        <v>2</v>
      </c>
      <c r="E12" s="51">
        <v>0</v>
      </c>
      <c r="F12" s="51">
        <v>33.979999999999997</v>
      </c>
      <c r="G12" s="51">
        <v>0</v>
      </c>
      <c r="H12" s="51">
        <f t="shared" si="1"/>
        <v>0</v>
      </c>
      <c r="I12" s="51">
        <f t="shared" si="2"/>
        <v>-0.1229153088113437</v>
      </c>
      <c r="J12" s="51">
        <f t="shared" si="4"/>
        <v>-4.1766621934094585</v>
      </c>
      <c r="K12" s="51">
        <f t="shared" si="3"/>
        <v>-2.0883310967047293</v>
      </c>
      <c r="L12" s="51">
        <v>9</v>
      </c>
      <c r="M12" s="51">
        <f t="shared" si="5"/>
        <v>0.22222222222222221</v>
      </c>
      <c r="N12" s="51">
        <v>106</v>
      </c>
      <c r="O12" s="51">
        <f t="shared" ref="O12:P12" si="20">D12/7</f>
        <v>0.2857142857142857</v>
      </c>
      <c r="P12" s="51">
        <f t="shared" si="20"/>
        <v>0</v>
      </c>
      <c r="Q12" s="51">
        <f t="shared" si="7"/>
        <v>371</v>
      </c>
      <c r="R12" s="55">
        <v>152</v>
      </c>
      <c r="S12" s="53" t="s">
        <v>34</v>
      </c>
      <c r="T12" s="54" t="s">
        <v>34</v>
      </c>
      <c r="U12" s="55">
        <v>0</v>
      </c>
      <c r="V12" s="55">
        <f t="shared" si="8"/>
        <v>0</v>
      </c>
      <c r="W12" s="55">
        <f t="shared" si="9"/>
        <v>0</v>
      </c>
      <c r="X12" s="55">
        <v>0</v>
      </c>
      <c r="Y12" s="55" t="s">
        <v>35</v>
      </c>
      <c r="Z12" s="56">
        <f t="shared" si="19"/>
        <v>-0.75</v>
      </c>
      <c r="AA12" s="55">
        <v>0.27466753819444439</v>
      </c>
      <c r="AB12" s="55">
        <f t="shared" si="11"/>
        <v>-5.4590173216145823</v>
      </c>
      <c r="AC12" s="55">
        <v>-7.32</v>
      </c>
      <c r="AD12" s="55">
        <v>-6.4803224358974356</v>
      </c>
      <c r="AE12" s="55">
        <v>0</v>
      </c>
      <c r="AF12" s="55"/>
    </row>
    <row r="13" spans="1:32" s="57" customFormat="1" ht="15.75" customHeight="1">
      <c r="A13" s="2" t="s">
        <v>63</v>
      </c>
      <c r="B13" s="2" t="s">
        <v>940</v>
      </c>
      <c r="C13" s="51">
        <v>16.989999999999998</v>
      </c>
      <c r="D13" s="51">
        <v>1</v>
      </c>
      <c r="E13" s="51">
        <v>0</v>
      </c>
      <c r="F13" s="51">
        <v>16.989999999999998</v>
      </c>
      <c r="G13" s="51">
        <v>-16.57</v>
      </c>
      <c r="H13" s="51">
        <f t="shared" si="1"/>
        <v>0.97527957622130679</v>
      </c>
      <c r="I13" s="51">
        <f t="shared" si="2"/>
        <v>-1.2558175158387619</v>
      </c>
      <c r="J13" s="51">
        <f t="shared" si="4"/>
        <v>-21.336339594100561</v>
      </c>
      <c r="K13" s="51">
        <f t="shared" si="3"/>
        <v>-21.336339594100561</v>
      </c>
      <c r="L13" s="51">
        <v>19</v>
      </c>
      <c r="M13" s="51">
        <f t="shared" si="5"/>
        <v>5.2631578947368418E-2</v>
      </c>
      <c r="N13" s="51">
        <v>105</v>
      </c>
      <c r="O13" s="51">
        <f t="shared" ref="O13:P13" si="21">D13/7</f>
        <v>0.14285714285714285</v>
      </c>
      <c r="P13" s="51">
        <f t="shared" si="21"/>
        <v>0</v>
      </c>
      <c r="Q13" s="51">
        <f t="shared" si="7"/>
        <v>735</v>
      </c>
      <c r="R13" s="55">
        <v>152</v>
      </c>
      <c r="S13" s="53" t="s">
        <v>34</v>
      </c>
      <c r="T13" s="54" t="s">
        <v>34</v>
      </c>
      <c r="U13" s="55">
        <v>0</v>
      </c>
      <c r="V13" s="55">
        <f t="shared" si="8"/>
        <v>0</v>
      </c>
      <c r="W13" s="55">
        <f t="shared" si="9"/>
        <v>16.57</v>
      </c>
      <c r="X13" s="55">
        <v>1</v>
      </c>
      <c r="Y13" s="55" t="s">
        <v>35</v>
      </c>
      <c r="Z13" s="56">
        <f t="shared" si="19"/>
        <v>-0.75</v>
      </c>
      <c r="AA13" s="55">
        <v>0.27466753819444439</v>
      </c>
      <c r="AB13" s="55">
        <f t="shared" si="11"/>
        <v>-5.4075171582031247</v>
      </c>
      <c r="AC13" s="55">
        <v>-7.32</v>
      </c>
      <c r="AD13" s="55">
        <v>-6.4803224358974356</v>
      </c>
      <c r="AE13" s="55">
        <v>0</v>
      </c>
      <c r="AF13" s="55"/>
    </row>
    <row r="14" spans="1:32" s="57" customFormat="1" ht="15.75" customHeight="1">
      <c r="A14" s="2" t="s">
        <v>64</v>
      </c>
      <c r="B14" s="2"/>
      <c r="C14" s="51">
        <v>15.99</v>
      </c>
      <c r="D14" s="51">
        <v>1</v>
      </c>
      <c r="E14" s="51">
        <v>0</v>
      </c>
      <c r="F14" s="51">
        <v>15.99</v>
      </c>
      <c r="G14" s="51">
        <v>-12.57</v>
      </c>
      <c r="H14" s="51">
        <f t="shared" si="1"/>
        <v>0.78611632270168852</v>
      </c>
      <c r="I14" s="51">
        <f t="shared" si="2"/>
        <v>-1.1341362996053221</v>
      </c>
      <c r="J14" s="51">
        <f t="shared" si="4"/>
        <v>-18.134839430689102</v>
      </c>
      <c r="K14" s="51">
        <f t="shared" si="3"/>
        <v>-18.134839430689102</v>
      </c>
      <c r="L14" s="51">
        <v>15</v>
      </c>
      <c r="M14" s="51">
        <f t="shared" si="5"/>
        <v>6.6666666666666666E-2</v>
      </c>
      <c r="N14" s="51">
        <v>104</v>
      </c>
      <c r="O14" s="51">
        <f t="shared" ref="O14:P14" si="22">D14/7</f>
        <v>0.14285714285714285</v>
      </c>
      <c r="P14" s="51">
        <f t="shared" si="22"/>
        <v>0</v>
      </c>
      <c r="Q14" s="51">
        <f t="shared" si="7"/>
        <v>728</v>
      </c>
      <c r="R14" s="55">
        <v>152</v>
      </c>
      <c r="S14" s="53" t="s">
        <v>34</v>
      </c>
      <c r="T14" s="54" t="s">
        <v>34</v>
      </c>
      <c r="U14" s="55">
        <v>0</v>
      </c>
      <c r="V14" s="55">
        <f t="shared" si="8"/>
        <v>0</v>
      </c>
      <c r="W14" s="55">
        <f t="shared" si="9"/>
        <v>12.57</v>
      </c>
      <c r="X14" s="55">
        <v>1</v>
      </c>
      <c r="Y14" s="55" t="s">
        <v>35</v>
      </c>
      <c r="Z14" s="56">
        <f t="shared" si="19"/>
        <v>-0.75</v>
      </c>
      <c r="AA14" s="55">
        <v>0.27466753819444439</v>
      </c>
      <c r="AB14" s="55">
        <f t="shared" si="11"/>
        <v>-5.3560169947916663</v>
      </c>
      <c r="AC14" s="55">
        <v>-7.32</v>
      </c>
      <c r="AD14" s="55">
        <v>-6.4803224358974356</v>
      </c>
      <c r="AE14" s="55">
        <v>0</v>
      </c>
      <c r="AF14" s="55"/>
    </row>
    <row r="15" spans="1:32" s="57" customFormat="1" ht="15.75" customHeight="1">
      <c r="A15" s="2" t="s">
        <v>65</v>
      </c>
      <c r="B15" s="2" t="s">
        <v>983</v>
      </c>
      <c r="C15" s="51">
        <v>16.989999999999998</v>
      </c>
      <c r="D15" s="51">
        <v>0</v>
      </c>
      <c r="E15" s="51">
        <v>0</v>
      </c>
      <c r="F15" s="51">
        <v>0</v>
      </c>
      <c r="G15" s="51">
        <v>0</v>
      </c>
      <c r="H15" s="51" t="e">
        <f t="shared" si="1"/>
        <v>#DIV/0!</v>
      </c>
      <c r="I15" s="51" t="e">
        <f t="shared" si="2"/>
        <v>#DIV/0!</v>
      </c>
      <c r="J15" s="51">
        <f t="shared" si="4"/>
        <v>-5.3560169947916663</v>
      </c>
      <c r="K15" s="51" t="e">
        <f t="shared" si="3"/>
        <v>#DIV/0!</v>
      </c>
      <c r="L15" s="51">
        <v>0</v>
      </c>
      <c r="M15" s="51" t="str">
        <f t="shared" si="5"/>
        <v>-</v>
      </c>
      <c r="N15" s="51">
        <v>104</v>
      </c>
      <c r="O15" s="51">
        <f t="shared" ref="O15:P15" si="23">D15/7</f>
        <v>0</v>
      </c>
      <c r="P15" s="51">
        <f t="shared" si="23"/>
        <v>0</v>
      </c>
      <c r="Q15" s="51" t="e">
        <f t="shared" si="7"/>
        <v>#DIV/0!</v>
      </c>
      <c r="R15" s="55">
        <v>152</v>
      </c>
      <c r="S15" s="53" t="s">
        <v>34</v>
      </c>
      <c r="T15" s="54" t="s">
        <v>34</v>
      </c>
      <c r="U15" s="55">
        <v>0</v>
      </c>
      <c r="V15" s="55">
        <f t="shared" si="8"/>
        <v>0</v>
      </c>
      <c r="W15" s="55">
        <f t="shared" si="9"/>
        <v>0</v>
      </c>
      <c r="X15" s="55">
        <v>0</v>
      </c>
      <c r="Y15" s="55" t="s">
        <v>35</v>
      </c>
      <c r="Z15" s="56">
        <f t="shared" si="19"/>
        <v>-0.75</v>
      </c>
      <c r="AA15" s="55">
        <v>0.27466753819444439</v>
      </c>
      <c r="AB15" s="55">
        <f t="shared" si="11"/>
        <v>-5.3560169947916663</v>
      </c>
      <c r="AC15" s="55">
        <v>-7.32</v>
      </c>
      <c r="AD15" s="55">
        <v>-6.4803224358974356</v>
      </c>
      <c r="AE15" s="55">
        <v>0</v>
      </c>
      <c r="AF15" s="55"/>
    </row>
    <row r="16" spans="1:32" s="57" customFormat="1" ht="15.75" customHeight="1">
      <c r="A16" s="2" t="s">
        <v>66</v>
      </c>
      <c r="B16" s="2"/>
      <c r="C16" s="51">
        <v>17.989999999999998</v>
      </c>
      <c r="D16" s="51">
        <v>0</v>
      </c>
      <c r="E16" s="51">
        <v>0</v>
      </c>
      <c r="F16" s="51">
        <v>0</v>
      </c>
      <c r="G16" s="51">
        <v>0</v>
      </c>
      <c r="H16" s="51" t="e">
        <f t="shared" si="1"/>
        <v>#DIV/0!</v>
      </c>
      <c r="I16" s="51" t="e">
        <f t="shared" si="2"/>
        <v>#DIV/0!</v>
      </c>
      <c r="J16" s="51">
        <f t="shared" si="4"/>
        <v>-5.2530166679687493</v>
      </c>
      <c r="K16" s="51" t="e">
        <f t="shared" si="3"/>
        <v>#DIV/0!</v>
      </c>
      <c r="L16" s="51">
        <v>0</v>
      </c>
      <c r="M16" s="51" t="str">
        <f t="shared" si="5"/>
        <v>-</v>
      </c>
      <c r="N16" s="51">
        <v>102</v>
      </c>
      <c r="O16" s="51">
        <f t="shared" ref="O16:P16" si="24">D16/7</f>
        <v>0</v>
      </c>
      <c r="P16" s="51">
        <f t="shared" si="24"/>
        <v>0</v>
      </c>
      <c r="Q16" s="51" t="e">
        <f t="shared" si="7"/>
        <v>#DIV/0!</v>
      </c>
      <c r="R16" s="55">
        <v>152</v>
      </c>
      <c r="S16" s="53" t="s">
        <v>34</v>
      </c>
      <c r="T16" s="54" t="s">
        <v>34</v>
      </c>
      <c r="U16" s="55">
        <v>0</v>
      </c>
      <c r="V16" s="55">
        <f t="shared" si="8"/>
        <v>0</v>
      </c>
      <c r="W16" s="55">
        <f t="shared" si="9"/>
        <v>0</v>
      </c>
      <c r="X16" s="55">
        <v>0</v>
      </c>
      <c r="Y16" s="55" t="s">
        <v>35</v>
      </c>
      <c r="Z16" s="56">
        <f t="shared" si="19"/>
        <v>-0.75</v>
      </c>
      <c r="AA16" s="55">
        <v>0.27466753819444439</v>
      </c>
      <c r="AB16" s="55">
        <f t="shared" si="11"/>
        <v>-5.2530166679687493</v>
      </c>
      <c r="AC16" s="55">
        <v>-7.32</v>
      </c>
      <c r="AD16" s="55">
        <v>-6.4803224358974356</v>
      </c>
      <c r="AE16" s="55">
        <v>0</v>
      </c>
      <c r="AF16" s="55"/>
    </row>
    <row r="17" spans="1:32" s="57" customFormat="1" ht="15.75" customHeight="1">
      <c r="A17" s="2" t="s">
        <v>67</v>
      </c>
      <c r="B17" s="2" t="s">
        <v>810</v>
      </c>
      <c r="C17" s="51">
        <v>16</v>
      </c>
      <c r="D17" s="51">
        <v>1</v>
      </c>
      <c r="E17" s="51">
        <v>0</v>
      </c>
      <c r="F17" s="51">
        <v>16</v>
      </c>
      <c r="G17" s="51">
        <v>0</v>
      </c>
      <c r="H17" s="51">
        <f t="shared" si="1"/>
        <v>0</v>
      </c>
      <c r="I17" s="51">
        <f t="shared" si="2"/>
        <v>-0.34405245420485275</v>
      </c>
      <c r="J17" s="51">
        <f t="shared" si="4"/>
        <v>-5.5048392672776441</v>
      </c>
      <c r="K17" s="51">
        <f t="shared" si="3"/>
        <v>-5.5048392672776441</v>
      </c>
      <c r="L17" s="51">
        <v>12</v>
      </c>
      <c r="M17" s="51">
        <f t="shared" si="5"/>
        <v>8.3333333333333329E-2</v>
      </c>
      <c r="N17" s="51">
        <v>103</v>
      </c>
      <c r="O17" s="51">
        <f t="shared" ref="O17:P17" si="25">D17/7</f>
        <v>0.14285714285714285</v>
      </c>
      <c r="P17" s="51">
        <f t="shared" si="25"/>
        <v>0</v>
      </c>
      <c r="Q17" s="51">
        <f t="shared" si="7"/>
        <v>721</v>
      </c>
      <c r="R17" s="55">
        <v>152</v>
      </c>
      <c r="S17" s="53" t="s">
        <v>34</v>
      </c>
      <c r="T17" s="54" t="s">
        <v>34</v>
      </c>
      <c r="U17" s="55">
        <v>0</v>
      </c>
      <c r="V17" s="55">
        <f t="shared" si="8"/>
        <v>0</v>
      </c>
      <c r="W17" s="55">
        <f t="shared" si="9"/>
        <v>0</v>
      </c>
      <c r="X17" s="55">
        <v>0</v>
      </c>
      <c r="Y17" s="55" t="s">
        <v>35</v>
      </c>
      <c r="Z17" s="56">
        <f t="shared" si="19"/>
        <v>-0.75</v>
      </c>
      <c r="AA17" s="55">
        <v>0.27466753819444439</v>
      </c>
      <c r="AB17" s="55">
        <f t="shared" si="11"/>
        <v>-5.3045168313802078</v>
      </c>
      <c r="AC17" s="55">
        <v>-7.32</v>
      </c>
      <c r="AD17" s="55">
        <v>-6.4803224358974356</v>
      </c>
      <c r="AE17" s="55">
        <v>0</v>
      </c>
      <c r="AF17" s="55"/>
    </row>
    <row r="18" spans="1:32" s="57" customFormat="1" ht="15.75" customHeight="1">
      <c r="A18" s="2" t="s">
        <v>69</v>
      </c>
      <c r="B18" s="2" t="s">
        <v>950</v>
      </c>
      <c r="C18" s="51">
        <v>18.989999999999998</v>
      </c>
      <c r="D18" s="51">
        <v>0</v>
      </c>
      <c r="E18" s="51">
        <v>0</v>
      </c>
      <c r="F18" s="51">
        <v>0</v>
      </c>
      <c r="G18" s="51">
        <v>0</v>
      </c>
      <c r="H18" s="51" t="e">
        <f t="shared" si="1"/>
        <v>#DIV/0!</v>
      </c>
      <c r="I18" s="51" t="e">
        <f t="shared" si="2"/>
        <v>#DIV/0!</v>
      </c>
      <c r="J18" s="51">
        <f t="shared" si="4"/>
        <v>0</v>
      </c>
      <c r="K18" s="51" t="e">
        <f t="shared" si="3"/>
        <v>#DIV/0!</v>
      </c>
      <c r="L18" s="51">
        <v>9</v>
      </c>
      <c r="M18" s="51">
        <f t="shared" si="5"/>
        <v>0</v>
      </c>
      <c r="N18" s="51">
        <v>98</v>
      </c>
      <c r="O18" s="51">
        <f t="shared" ref="O18:P18" si="26">D18/7</f>
        <v>0</v>
      </c>
      <c r="P18" s="51">
        <f t="shared" si="26"/>
        <v>0</v>
      </c>
      <c r="Q18" s="51" t="e">
        <f t="shared" si="7"/>
        <v>#DIV/0!</v>
      </c>
      <c r="R18" s="55">
        <v>152</v>
      </c>
      <c r="S18" s="53" t="s">
        <v>34</v>
      </c>
      <c r="T18" s="54" t="s">
        <v>34</v>
      </c>
      <c r="U18" s="55">
        <v>0</v>
      </c>
      <c r="V18" s="55">
        <f t="shared" si="8"/>
        <v>0</v>
      </c>
      <c r="W18" s="55">
        <f t="shared" si="9"/>
        <v>0</v>
      </c>
      <c r="X18" s="55">
        <v>0</v>
      </c>
      <c r="Y18" s="55" t="s">
        <v>35</v>
      </c>
      <c r="Z18" s="56">
        <f t="shared" si="19"/>
        <v>-0.75</v>
      </c>
      <c r="AA18" s="55">
        <v>0.27466753819444439</v>
      </c>
      <c r="AB18" s="58">
        <f t="shared" ref="AB18:AB39" si="27">IFERROR(Z18*AA18*D18*3,0)</f>
        <v>0</v>
      </c>
      <c r="AC18" s="55">
        <v>-7.32</v>
      </c>
      <c r="AD18" s="55">
        <v>-6.4803224358974356</v>
      </c>
      <c r="AE18" s="55">
        <v>0</v>
      </c>
      <c r="AF18" s="55"/>
    </row>
    <row r="19" spans="1:32" s="57" customFormat="1" ht="15.75" customHeight="1">
      <c r="A19" s="2" t="s">
        <v>71</v>
      </c>
      <c r="B19" s="2" t="s">
        <v>983</v>
      </c>
      <c r="C19" s="51">
        <v>16.989999999999998</v>
      </c>
      <c r="D19" s="51">
        <v>4</v>
      </c>
      <c r="E19" s="51">
        <v>0</v>
      </c>
      <c r="F19" s="51">
        <v>70.959999999999994</v>
      </c>
      <c r="G19" s="51">
        <v>-4.8600000000000003</v>
      </c>
      <c r="H19" s="51">
        <f t="shared" si="1"/>
        <v>6.8489289740698997E-2</v>
      </c>
      <c r="I19" s="51">
        <f t="shared" si="2"/>
        <v>-3.1247147510424851E-2</v>
      </c>
      <c r="J19" s="51">
        <f t="shared" si="4"/>
        <v>-2.2172975873397474</v>
      </c>
      <c r="K19" s="51">
        <f t="shared" si="3"/>
        <v>-0.55432439683493684</v>
      </c>
      <c r="L19" s="51">
        <v>11</v>
      </c>
      <c r="M19" s="51">
        <f t="shared" si="5"/>
        <v>0.36363636363636365</v>
      </c>
      <c r="N19" s="51">
        <v>97</v>
      </c>
      <c r="O19" s="51">
        <f t="shared" ref="O19:P19" si="28">D19/7</f>
        <v>0.5714285714285714</v>
      </c>
      <c r="P19" s="51">
        <f t="shared" si="28"/>
        <v>0</v>
      </c>
      <c r="Q19" s="51">
        <f t="shared" si="7"/>
        <v>169</v>
      </c>
      <c r="R19" s="55">
        <v>152</v>
      </c>
      <c r="S19" s="53" t="s">
        <v>34</v>
      </c>
      <c r="T19" s="54" t="s">
        <v>34</v>
      </c>
      <c r="U19" s="55">
        <v>0</v>
      </c>
      <c r="V19" s="55">
        <f t="shared" si="8"/>
        <v>0</v>
      </c>
      <c r="W19" s="55">
        <f t="shared" si="9"/>
        <v>0</v>
      </c>
      <c r="X19" s="55">
        <v>0</v>
      </c>
      <c r="Y19" s="55" t="s">
        <v>35</v>
      </c>
      <c r="Z19" s="56">
        <f t="shared" si="19"/>
        <v>-0.75</v>
      </c>
      <c r="AA19" s="55">
        <v>0.27466753819444439</v>
      </c>
      <c r="AB19" s="55">
        <f t="shared" si="27"/>
        <v>-2.4720078437499997</v>
      </c>
      <c r="AC19" s="55">
        <v>-7.32</v>
      </c>
      <c r="AD19" s="55">
        <v>-6.4803224358974356</v>
      </c>
      <c r="AE19" s="55">
        <v>0</v>
      </c>
      <c r="AF19" s="55"/>
    </row>
    <row r="20" spans="1:32" s="57" customFormat="1" ht="15.75" customHeight="1">
      <c r="A20" s="2" t="s">
        <v>73</v>
      </c>
      <c r="B20" s="2" t="s">
        <v>940</v>
      </c>
      <c r="C20" s="51">
        <v>17.989999999999998</v>
      </c>
      <c r="D20" s="51">
        <v>4</v>
      </c>
      <c r="E20" s="51">
        <v>0</v>
      </c>
      <c r="F20" s="51">
        <v>71.97</v>
      </c>
      <c r="G20" s="51">
        <v>-35.01</v>
      </c>
      <c r="H20" s="51">
        <f t="shared" si="1"/>
        <v>0.48645268862025842</v>
      </c>
      <c r="I20" s="51">
        <f t="shared" si="2"/>
        <v>-0.43780460729942677</v>
      </c>
      <c r="J20" s="51">
        <f t="shared" si="4"/>
        <v>-31.508797587339746</v>
      </c>
      <c r="K20" s="51">
        <f t="shared" si="3"/>
        <v>-7.8771993968349365</v>
      </c>
      <c r="L20" s="51">
        <v>22</v>
      </c>
      <c r="M20" s="51">
        <f t="shared" si="5"/>
        <v>0.18181818181818182</v>
      </c>
      <c r="N20" s="51">
        <v>94</v>
      </c>
      <c r="O20" s="51">
        <f t="shared" ref="O20:P20" si="29">D20/7</f>
        <v>0.5714285714285714</v>
      </c>
      <c r="P20" s="51">
        <f t="shared" si="29"/>
        <v>0</v>
      </c>
      <c r="Q20" s="51">
        <f t="shared" si="7"/>
        <v>164</v>
      </c>
      <c r="R20" s="55">
        <v>152</v>
      </c>
      <c r="S20" s="53" t="s">
        <v>34</v>
      </c>
      <c r="T20" s="54" t="s">
        <v>34</v>
      </c>
      <c r="U20" s="55">
        <v>2</v>
      </c>
      <c r="V20" s="55">
        <f t="shared" si="8"/>
        <v>0.5</v>
      </c>
      <c r="W20" s="55">
        <f t="shared" si="9"/>
        <v>8.7524999999999995</v>
      </c>
      <c r="X20" s="55">
        <v>2</v>
      </c>
      <c r="Y20" s="55" t="s">
        <v>35</v>
      </c>
      <c r="Z20" s="56">
        <f t="shared" si="19"/>
        <v>-0.75</v>
      </c>
      <c r="AA20" s="55">
        <v>0.27466753819444439</v>
      </c>
      <c r="AB20" s="55">
        <f t="shared" si="27"/>
        <v>-2.4720078437499997</v>
      </c>
      <c r="AC20" s="55">
        <v>-7.32</v>
      </c>
      <c r="AD20" s="55">
        <v>-6.4803224358974356</v>
      </c>
      <c r="AE20" s="55">
        <v>0</v>
      </c>
      <c r="AF20" s="55"/>
    </row>
    <row r="21" spans="1:32" s="57" customFormat="1" ht="15.75" customHeight="1">
      <c r="A21" s="2" t="s">
        <v>75</v>
      </c>
      <c r="B21" s="2" t="s">
        <v>1101</v>
      </c>
      <c r="C21" s="51">
        <v>17.989999999999998</v>
      </c>
      <c r="D21" s="51">
        <v>3</v>
      </c>
      <c r="E21" s="51">
        <v>0</v>
      </c>
      <c r="F21" s="51">
        <v>54.97</v>
      </c>
      <c r="G21" s="51">
        <v>-24.740000000000002</v>
      </c>
      <c r="H21" s="51">
        <f t="shared" si="1"/>
        <v>0.45006367109332368</v>
      </c>
      <c r="I21" s="51">
        <f t="shared" si="2"/>
        <v>-0.38694693815726422</v>
      </c>
      <c r="J21" s="51">
        <f t="shared" si="4"/>
        <v>-21.270473190504813</v>
      </c>
      <c r="K21" s="51">
        <f t="shared" si="3"/>
        <v>-7.0901577301682712</v>
      </c>
      <c r="L21" s="51">
        <v>21</v>
      </c>
      <c r="M21" s="51">
        <f t="shared" si="5"/>
        <v>0.14285714285714285</v>
      </c>
      <c r="N21" s="51">
        <v>93</v>
      </c>
      <c r="O21" s="51">
        <f t="shared" ref="O21:P21" si="30">D21/7</f>
        <v>0.42857142857142855</v>
      </c>
      <c r="P21" s="51">
        <f t="shared" si="30"/>
        <v>0</v>
      </c>
      <c r="Q21" s="51">
        <f t="shared" si="7"/>
        <v>217</v>
      </c>
      <c r="R21" s="55">
        <v>152</v>
      </c>
      <c r="S21" s="53" t="s">
        <v>34</v>
      </c>
      <c r="T21" s="54" t="s">
        <v>34</v>
      </c>
      <c r="U21" s="55">
        <v>0</v>
      </c>
      <c r="V21" s="55">
        <f t="shared" si="8"/>
        <v>0</v>
      </c>
      <c r="W21" s="55">
        <f t="shared" si="9"/>
        <v>24.740000000000002</v>
      </c>
      <c r="X21" s="55">
        <v>1</v>
      </c>
      <c r="Y21" s="55" t="s">
        <v>35</v>
      </c>
      <c r="Z21" s="56">
        <f t="shared" si="19"/>
        <v>-0.75</v>
      </c>
      <c r="AA21" s="55">
        <v>0.27466753819444439</v>
      </c>
      <c r="AB21" s="55">
        <f t="shared" si="27"/>
        <v>-1.8540058828124999</v>
      </c>
      <c r="AC21" s="55">
        <v>-7.32</v>
      </c>
      <c r="AD21" s="55">
        <v>-6.4803224358974356</v>
      </c>
      <c r="AE21" s="55">
        <v>0</v>
      </c>
      <c r="AF21" s="55"/>
    </row>
    <row r="22" spans="1:32" s="57" customFormat="1" ht="15.75" customHeight="1">
      <c r="A22" s="2" t="s">
        <v>77</v>
      </c>
      <c r="B22" s="2" t="s">
        <v>810</v>
      </c>
      <c r="C22" s="51">
        <v>21.99</v>
      </c>
      <c r="D22" s="51">
        <v>0</v>
      </c>
      <c r="E22" s="51">
        <v>0</v>
      </c>
      <c r="F22" s="51">
        <v>0</v>
      </c>
      <c r="G22" s="51">
        <v>-0.13</v>
      </c>
      <c r="H22" s="51" t="e">
        <f t="shared" si="1"/>
        <v>#DIV/0!</v>
      </c>
      <c r="I22" s="51" t="e">
        <f t="shared" si="2"/>
        <v>#DIV/0!</v>
      </c>
      <c r="J22" s="51">
        <f t="shared" si="4"/>
        <v>-0.13</v>
      </c>
      <c r="K22" s="51" t="e">
        <f t="shared" si="3"/>
        <v>#DIV/0!</v>
      </c>
      <c r="L22" s="51">
        <v>17</v>
      </c>
      <c r="M22" s="51">
        <f t="shared" si="5"/>
        <v>0</v>
      </c>
      <c r="N22" s="51">
        <v>92</v>
      </c>
      <c r="O22" s="51">
        <f t="shared" ref="O22:P22" si="31">D22/7</f>
        <v>0</v>
      </c>
      <c r="P22" s="51">
        <f t="shared" si="31"/>
        <v>0</v>
      </c>
      <c r="Q22" s="51" t="e">
        <f t="shared" si="7"/>
        <v>#DIV/0!</v>
      </c>
      <c r="R22" s="55">
        <v>152</v>
      </c>
      <c r="S22" s="53" t="s">
        <v>34</v>
      </c>
      <c r="T22" s="54" t="s">
        <v>34</v>
      </c>
      <c r="U22" s="55">
        <v>0</v>
      </c>
      <c r="V22" s="55">
        <f t="shared" si="8"/>
        <v>0</v>
      </c>
      <c r="W22" s="55">
        <f t="shared" si="9"/>
        <v>0</v>
      </c>
      <c r="X22" s="55">
        <v>0</v>
      </c>
      <c r="Y22" s="55" t="s">
        <v>35</v>
      </c>
      <c r="Z22" s="56">
        <f t="shared" si="19"/>
        <v>-0.75</v>
      </c>
      <c r="AA22" s="55">
        <v>0.27466753819444439</v>
      </c>
      <c r="AB22" s="55">
        <f t="shared" si="27"/>
        <v>0</v>
      </c>
      <c r="AC22" s="55">
        <v>-7.32</v>
      </c>
      <c r="AD22" s="55">
        <v>-6.4803224358974356</v>
      </c>
      <c r="AE22" s="55">
        <v>0</v>
      </c>
      <c r="AF22" s="55"/>
    </row>
    <row r="23" spans="1:32" s="57" customFormat="1" ht="15.75" customHeight="1">
      <c r="A23" s="2" t="s">
        <v>79</v>
      </c>
      <c r="B23" s="2"/>
      <c r="C23" s="51">
        <v>20</v>
      </c>
      <c r="D23" s="51">
        <v>2</v>
      </c>
      <c r="E23" s="51">
        <v>0</v>
      </c>
      <c r="F23" s="51">
        <v>36.989999999999995</v>
      </c>
      <c r="G23" s="51">
        <v>-0.08</v>
      </c>
      <c r="H23" s="51">
        <f t="shared" si="1"/>
        <v>2.162746688294134E-3</v>
      </c>
      <c r="I23" s="51">
        <f t="shared" si="2"/>
        <v>6.8257669811574023E-2</v>
      </c>
      <c r="J23" s="51">
        <f t="shared" si="4"/>
        <v>2.5248512063301227</v>
      </c>
      <c r="K23" s="51">
        <f t="shared" si="3"/>
        <v>1.2624256031650614</v>
      </c>
      <c r="L23" s="51">
        <v>12</v>
      </c>
      <c r="M23" s="51">
        <f t="shared" si="5"/>
        <v>0.16666666666666666</v>
      </c>
      <c r="N23" s="51">
        <v>91</v>
      </c>
      <c r="O23" s="51">
        <f t="shared" ref="O23:P23" si="32">D23/7</f>
        <v>0.2857142857142857</v>
      </c>
      <c r="P23" s="51">
        <f t="shared" si="32"/>
        <v>0</v>
      </c>
      <c r="Q23" s="51">
        <f t="shared" si="7"/>
        <v>318</v>
      </c>
      <c r="R23" s="55">
        <v>152</v>
      </c>
      <c r="S23" s="53" t="s">
        <v>34</v>
      </c>
      <c r="T23" s="54" t="s">
        <v>34</v>
      </c>
      <c r="U23" s="55">
        <v>0</v>
      </c>
      <c r="V23" s="55">
        <f t="shared" si="8"/>
        <v>0</v>
      </c>
      <c r="W23" s="55">
        <f t="shared" si="9"/>
        <v>0</v>
      </c>
      <c r="X23" s="55">
        <v>0</v>
      </c>
      <c r="Y23" s="55" t="s">
        <v>35</v>
      </c>
      <c r="Z23" s="56">
        <f t="shared" si="19"/>
        <v>-0.75</v>
      </c>
      <c r="AA23" s="55">
        <v>0.27466753819444439</v>
      </c>
      <c r="AB23" s="55">
        <f t="shared" si="27"/>
        <v>-1.2360039218749999</v>
      </c>
      <c r="AC23" s="55">
        <v>-7.32</v>
      </c>
      <c r="AD23" s="55">
        <v>-6.4803224358974356</v>
      </c>
      <c r="AE23" s="55">
        <v>0</v>
      </c>
      <c r="AF23" s="55"/>
    </row>
    <row r="24" spans="1:32" s="57" customFormat="1" ht="15.75" customHeight="1">
      <c r="A24" s="2" t="s">
        <v>80</v>
      </c>
      <c r="B24" s="2" t="s">
        <v>1102</v>
      </c>
      <c r="C24" s="51">
        <v>20</v>
      </c>
      <c r="D24" s="51">
        <v>2</v>
      </c>
      <c r="E24" s="51">
        <v>0</v>
      </c>
      <c r="F24" s="51">
        <v>43.98</v>
      </c>
      <c r="G24" s="51">
        <v>-0.11000000000000001</v>
      </c>
      <c r="H24" s="51">
        <f t="shared" si="1"/>
        <v>2.5011368804001826E-3</v>
      </c>
      <c r="I24" s="51">
        <f t="shared" si="2"/>
        <v>0.19182244671055315</v>
      </c>
      <c r="J24" s="51">
        <f t="shared" si="4"/>
        <v>8.4363512063301265</v>
      </c>
      <c r="K24" s="51">
        <f t="shared" si="3"/>
        <v>4.2181756031650632</v>
      </c>
      <c r="L24" s="51">
        <v>21</v>
      </c>
      <c r="M24" s="51">
        <f t="shared" si="5"/>
        <v>9.5238095238095233E-2</v>
      </c>
      <c r="N24" s="51">
        <v>88</v>
      </c>
      <c r="O24" s="51">
        <f t="shared" ref="O24:P24" si="33">D24/7</f>
        <v>0.2857142857142857</v>
      </c>
      <c r="P24" s="51">
        <f t="shared" si="33"/>
        <v>0</v>
      </c>
      <c r="Q24" s="51">
        <f t="shared" si="7"/>
        <v>308</v>
      </c>
      <c r="R24" s="55">
        <v>152</v>
      </c>
      <c r="S24" s="53" t="s">
        <v>34</v>
      </c>
      <c r="T24" s="54" t="s">
        <v>34</v>
      </c>
      <c r="U24" s="55">
        <v>1</v>
      </c>
      <c r="V24" s="55">
        <f t="shared" si="8"/>
        <v>0.5</v>
      </c>
      <c r="W24" s="55">
        <f t="shared" si="9"/>
        <v>0.11000000000000001</v>
      </c>
      <c r="X24" s="55">
        <v>0</v>
      </c>
      <c r="Y24" s="55" t="s">
        <v>35</v>
      </c>
      <c r="Z24" s="56">
        <f t="shared" si="19"/>
        <v>-0.75</v>
      </c>
      <c r="AA24" s="55">
        <v>0.27466753819444439</v>
      </c>
      <c r="AB24" s="55">
        <f t="shared" si="27"/>
        <v>-1.2360039218749999</v>
      </c>
      <c r="AC24" s="55">
        <v>-7.32</v>
      </c>
      <c r="AD24" s="55">
        <v>-6.4803224358974356</v>
      </c>
      <c r="AE24" s="55">
        <v>0</v>
      </c>
      <c r="AF24" s="55"/>
    </row>
    <row r="25" spans="1:32" s="57" customFormat="1" ht="15.75" customHeight="1">
      <c r="A25" s="2" t="s">
        <v>81</v>
      </c>
      <c r="B25" s="2" t="s">
        <v>957</v>
      </c>
      <c r="C25" s="51"/>
      <c r="D25" s="51">
        <v>1</v>
      </c>
      <c r="E25" s="51">
        <v>0</v>
      </c>
      <c r="F25" s="51">
        <v>20.99</v>
      </c>
      <c r="G25" s="51">
        <v>-0.24000000000000002</v>
      </c>
      <c r="H25" s="51">
        <f t="shared" si="1"/>
        <v>1.1434016198189616E-2</v>
      </c>
      <c r="I25" s="51">
        <f t="shared" si="2"/>
        <v>0.15165200586779737</v>
      </c>
      <c r="J25" s="51">
        <f t="shared" si="4"/>
        <v>3.1831756031650666</v>
      </c>
      <c r="K25" s="51">
        <f t="shared" si="3"/>
        <v>3.1831756031650666</v>
      </c>
      <c r="L25" s="51">
        <v>16</v>
      </c>
      <c r="M25" s="51">
        <f t="shared" si="5"/>
        <v>6.25E-2</v>
      </c>
      <c r="N25" s="51">
        <v>87</v>
      </c>
      <c r="O25" s="51">
        <f t="shared" ref="O25:P25" si="34">D25/7</f>
        <v>0.14285714285714285</v>
      </c>
      <c r="P25" s="51">
        <f t="shared" si="34"/>
        <v>0</v>
      </c>
      <c r="Q25" s="51">
        <f t="shared" si="7"/>
        <v>609</v>
      </c>
      <c r="R25" s="55">
        <v>152</v>
      </c>
      <c r="S25" s="53" t="s">
        <v>34</v>
      </c>
      <c r="T25" s="54" t="s">
        <v>34</v>
      </c>
      <c r="U25" s="55">
        <v>0</v>
      </c>
      <c r="V25" s="55">
        <f t="shared" si="8"/>
        <v>0</v>
      </c>
      <c r="W25" s="55">
        <f t="shared" si="9"/>
        <v>0</v>
      </c>
      <c r="X25" s="55">
        <v>0</v>
      </c>
      <c r="Y25" s="55" t="s">
        <v>35</v>
      </c>
      <c r="Z25" s="56">
        <f t="shared" si="19"/>
        <v>-0.75</v>
      </c>
      <c r="AA25" s="55">
        <v>0.27466753819444439</v>
      </c>
      <c r="AB25" s="55">
        <f t="shared" si="27"/>
        <v>-0.61800196093749993</v>
      </c>
      <c r="AC25" s="55">
        <v>-7.32</v>
      </c>
      <c r="AD25" s="55">
        <v>-6.4803224358974356</v>
      </c>
      <c r="AE25" s="55">
        <v>0</v>
      </c>
      <c r="AF25" s="55"/>
    </row>
    <row r="26" spans="1:32" s="57" customFormat="1" ht="15.75" customHeight="1">
      <c r="A26" s="2" t="s">
        <v>83</v>
      </c>
      <c r="B26" s="2" t="s">
        <v>810</v>
      </c>
      <c r="C26" s="51">
        <f t="shared" ref="C26:C39" si="35">IFERROR(F26/D26," - ")</f>
        <v>21.49</v>
      </c>
      <c r="D26" s="51">
        <v>4</v>
      </c>
      <c r="E26" s="51">
        <v>0</v>
      </c>
      <c r="F26" s="51">
        <v>85.96</v>
      </c>
      <c r="G26" s="51">
        <v>-0.08</v>
      </c>
      <c r="H26" s="51">
        <f t="shared" si="1"/>
        <v>9.3066542577943234E-4</v>
      </c>
      <c r="I26" s="51">
        <f t="shared" si="2"/>
        <v>0.17813753388390241</v>
      </c>
      <c r="J26" s="51">
        <f t="shared" si="4"/>
        <v>15.312702412660251</v>
      </c>
      <c r="K26" s="51">
        <f t="shared" si="3"/>
        <v>3.8281756031650627</v>
      </c>
      <c r="L26" s="51">
        <v>17</v>
      </c>
      <c r="M26" s="51">
        <f t="shared" si="5"/>
        <v>0.23529411764705882</v>
      </c>
      <c r="N26" s="51">
        <v>78</v>
      </c>
      <c r="O26" s="51">
        <f t="shared" ref="O26:P26" si="36">D26/7</f>
        <v>0.5714285714285714</v>
      </c>
      <c r="P26" s="51">
        <f t="shared" si="36"/>
        <v>0</v>
      </c>
      <c r="Q26" s="51">
        <f t="shared" si="7"/>
        <v>136</v>
      </c>
      <c r="R26" s="55">
        <v>152</v>
      </c>
      <c r="S26" s="53" t="s">
        <v>34</v>
      </c>
      <c r="T26" s="54" t="s">
        <v>34</v>
      </c>
      <c r="U26" s="55">
        <v>0</v>
      </c>
      <c r="V26" s="55">
        <f t="shared" si="8"/>
        <v>0</v>
      </c>
      <c r="W26" s="55">
        <f t="shared" si="9"/>
        <v>0</v>
      </c>
      <c r="X26" s="55">
        <v>0</v>
      </c>
      <c r="Y26" s="55" t="s">
        <v>35</v>
      </c>
      <c r="Z26" s="56">
        <f t="shared" si="19"/>
        <v>-0.75</v>
      </c>
      <c r="AA26" s="55">
        <v>0.27466753819444439</v>
      </c>
      <c r="AB26" s="55">
        <f t="shared" si="27"/>
        <v>-2.4720078437499997</v>
      </c>
      <c r="AC26" s="55">
        <v>-7.32</v>
      </c>
      <c r="AD26" s="55">
        <v>-6.4803224358974356</v>
      </c>
      <c r="AE26" s="55">
        <v>0</v>
      </c>
      <c r="AF26" s="55"/>
    </row>
    <row r="27" spans="1:32" s="57" customFormat="1" ht="15.75" customHeight="1">
      <c r="A27" s="2" t="s">
        <v>84</v>
      </c>
      <c r="B27" s="2" t="s">
        <v>810</v>
      </c>
      <c r="C27" s="51">
        <f t="shared" si="35"/>
        <v>21.759230769230776</v>
      </c>
      <c r="D27" s="51">
        <v>13</v>
      </c>
      <c r="E27" s="51">
        <v>0</v>
      </c>
      <c r="F27" s="51">
        <v>282.87000000000006</v>
      </c>
      <c r="G27" s="51">
        <v>-0.15000000000000002</v>
      </c>
      <c r="H27" s="51">
        <f t="shared" si="1"/>
        <v>5.3027892671545234E-4</v>
      </c>
      <c r="I27" s="51">
        <f t="shared" si="2"/>
        <v>0.18683947693691752</v>
      </c>
      <c r="J27" s="51">
        <f t="shared" si="4"/>
        <v>52.851282841145874</v>
      </c>
      <c r="K27" s="51">
        <f t="shared" si="3"/>
        <v>4.0654832954727596</v>
      </c>
      <c r="L27" s="51">
        <v>43</v>
      </c>
      <c r="M27" s="51">
        <f t="shared" si="5"/>
        <v>0.30232558139534882</v>
      </c>
      <c r="N27" s="51">
        <v>70</v>
      </c>
      <c r="O27" s="51">
        <f t="shared" ref="O27:P27" si="37">D27/7</f>
        <v>1.8571428571428572</v>
      </c>
      <c r="P27" s="51">
        <f t="shared" si="37"/>
        <v>0</v>
      </c>
      <c r="Q27" s="51">
        <f t="shared" si="7"/>
        <v>37</v>
      </c>
      <c r="R27" s="55">
        <v>152</v>
      </c>
      <c r="S27" s="53" t="s">
        <v>34</v>
      </c>
      <c r="T27" s="54" t="s">
        <v>34</v>
      </c>
      <c r="U27" s="55">
        <v>0</v>
      </c>
      <c r="V27" s="55">
        <f t="shared" si="8"/>
        <v>0</v>
      </c>
      <c r="W27" s="55">
        <f t="shared" si="9"/>
        <v>0</v>
      </c>
      <c r="X27" s="55">
        <v>0</v>
      </c>
      <c r="Y27" s="55" t="s">
        <v>35</v>
      </c>
      <c r="Z27" s="56">
        <f t="shared" si="19"/>
        <v>-0.75</v>
      </c>
      <c r="AA27" s="55">
        <v>0.27466753819444439</v>
      </c>
      <c r="AB27" s="55">
        <f t="shared" si="27"/>
        <v>-8.0340254921874994</v>
      </c>
      <c r="AC27" s="55">
        <v>-7.32</v>
      </c>
      <c r="AD27" s="55">
        <v>-6.4803224358974356</v>
      </c>
      <c r="AE27" s="55">
        <v>0</v>
      </c>
      <c r="AF27" s="55"/>
    </row>
    <row r="28" spans="1:32" s="57" customFormat="1" ht="15.75" customHeight="1">
      <c r="A28" s="2" t="s">
        <v>86</v>
      </c>
      <c r="B28" s="2" t="s">
        <v>944</v>
      </c>
      <c r="C28" s="51">
        <f t="shared" si="35"/>
        <v>21.990000000000006</v>
      </c>
      <c r="D28" s="51">
        <v>44</v>
      </c>
      <c r="E28" s="51">
        <v>0</v>
      </c>
      <c r="F28" s="51">
        <v>967.56000000000029</v>
      </c>
      <c r="G28" s="51">
        <v>-2.5900000000000003</v>
      </c>
      <c r="H28" s="51">
        <f t="shared" si="1"/>
        <v>2.6768365786101114E-3</v>
      </c>
      <c r="I28" s="51">
        <f t="shared" si="2"/>
        <v>0.19164674701234338</v>
      </c>
      <c r="J28" s="51">
        <f t="shared" si="4"/>
        <v>185.42972653926302</v>
      </c>
      <c r="K28" s="51">
        <f t="shared" si="3"/>
        <v>4.2143119668014322</v>
      </c>
      <c r="L28" s="51">
        <v>117</v>
      </c>
      <c r="M28" s="51">
        <f t="shared" si="5"/>
        <v>0.37606837606837606</v>
      </c>
      <c r="N28" s="51">
        <v>6</v>
      </c>
      <c r="O28" s="51">
        <f t="shared" ref="O28:P28" si="38">D28/7</f>
        <v>6.2857142857142856</v>
      </c>
      <c r="P28" s="51">
        <f t="shared" si="38"/>
        <v>0</v>
      </c>
      <c r="Q28" s="51">
        <f t="shared" si="7"/>
        <v>0</v>
      </c>
      <c r="R28" s="55">
        <v>152</v>
      </c>
      <c r="S28" s="53" t="s">
        <v>34</v>
      </c>
      <c r="T28" s="54" t="s">
        <v>34</v>
      </c>
      <c r="U28" s="55">
        <v>8</v>
      </c>
      <c r="V28" s="55">
        <f t="shared" si="8"/>
        <v>0.18181818181818182</v>
      </c>
      <c r="W28" s="55">
        <f t="shared" si="9"/>
        <v>0.23545454545454547</v>
      </c>
      <c r="X28" s="55">
        <v>3</v>
      </c>
      <c r="Y28" s="55" t="s">
        <v>35</v>
      </c>
      <c r="Z28" s="56">
        <f t="shared" si="19"/>
        <v>-0.75</v>
      </c>
      <c r="AA28" s="55">
        <v>0.27466753819444439</v>
      </c>
      <c r="AB28" s="55">
        <f t="shared" si="27"/>
        <v>-27.192086281249995</v>
      </c>
      <c r="AC28" s="55">
        <v>-7.32</v>
      </c>
      <c r="AD28" s="55">
        <v>-6.4803224358974356</v>
      </c>
      <c r="AE28" s="55">
        <v>0</v>
      </c>
      <c r="AF28" s="55"/>
    </row>
    <row r="29" spans="1:32" s="57" customFormat="1" ht="15.75" customHeight="1">
      <c r="A29" s="2" t="s">
        <v>87</v>
      </c>
      <c r="B29" s="2"/>
      <c r="C29" s="51">
        <f t="shared" si="35"/>
        <v>22.717272727272729</v>
      </c>
      <c r="D29" s="51">
        <v>22</v>
      </c>
      <c r="E29" s="51">
        <v>2</v>
      </c>
      <c r="F29" s="51">
        <v>499.78000000000003</v>
      </c>
      <c r="G29" s="51">
        <v>-1.26</v>
      </c>
      <c r="H29" s="51">
        <f t="shared" si="1"/>
        <v>2.5211092880867581E-3</v>
      </c>
      <c r="I29" s="51">
        <f t="shared" si="2"/>
        <v>0.21279335561573368</v>
      </c>
      <c r="J29" s="51">
        <f t="shared" si="4"/>
        <v>106.34986326963138</v>
      </c>
      <c r="K29" s="51">
        <f t="shared" si="3"/>
        <v>4.8340846940741535</v>
      </c>
      <c r="L29" s="51">
        <v>54</v>
      </c>
      <c r="M29" s="51">
        <f t="shared" si="5"/>
        <v>0.40740740740740738</v>
      </c>
      <c r="N29" s="51">
        <v>0</v>
      </c>
      <c r="O29" s="51">
        <f t="shared" ref="O29:P29" si="39">D29/7</f>
        <v>3.1428571428571428</v>
      </c>
      <c r="P29" s="51">
        <f t="shared" si="39"/>
        <v>0.2857142857142857</v>
      </c>
      <c r="Q29" s="51">
        <f t="shared" si="7"/>
        <v>0</v>
      </c>
      <c r="R29" s="55">
        <v>152</v>
      </c>
      <c r="S29" s="53" t="s">
        <v>34</v>
      </c>
      <c r="T29" s="54" t="s">
        <v>34</v>
      </c>
      <c r="U29" s="55">
        <v>4</v>
      </c>
      <c r="V29" s="55">
        <f t="shared" si="8"/>
        <v>0.18181818181818182</v>
      </c>
      <c r="W29" s="55">
        <f t="shared" si="9"/>
        <v>0.315</v>
      </c>
      <c r="X29" s="55">
        <v>0</v>
      </c>
      <c r="Y29" s="55" t="s">
        <v>35</v>
      </c>
      <c r="Z29" s="56">
        <f t="shared" si="19"/>
        <v>-0.75</v>
      </c>
      <c r="AA29" s="55">
        <v>0.27466753819444439</v>
      </c>
      <c r="AB29" s="55">
        <f t="shared" si="27"/>
        <v>-13.596043140624998</v>
      </c>
      <c r="AC29" s="55">
        <v>-7.32</v>
      </c>
      <c r="AD29" s="55">
        <v>-6.4803224358974356</v>
      </c>
      <c r="AE29" s="55">
        <v>0</v>
      </c>
      <c r="AF29" s="55"/>
    </row>
    <row r="30" spans="1:32" s="57" customFormat="1" ht="15.75" customHeight="1">
      <c r="A30" s="2" t="s">
        <v>89</v>
      </c>
      <c r="B30" s="2"/>
      <c r="C30" s="51" t="str">
        <f t="shared" si="35"/>
        <v xml:space="preserve"> - </v>
      </c>
      <c r="D30" s="51">
        <v>0</v>
      </c>
      <c r="E30" s="51">
        <v>0</v>
      </c>
      <c r="F30" s="51">
        <v>0</v>
      </c>
      <c r="G30" s="51">
        <v>0</v>
      </c>
      <c r="H30" s="51" t="e">
        <f t="shared" si="1"/>
        <v>#DIV/0!</v>
      </c>
      <c r="I30" s="51" t="e">
        <f t="shared" si="2"/>
        <v>#DIV/0!</v>
      </c>
      <c r="J30" s="51">
        <f t="shared" si="4"/>
        <v>0</v>
      </c>
      <c r="K30" s="51" t="e">
        <f t="shared" si="3"/>
        <v>#DIV/0!</v>
      </c>
      <c r="L30" s="51">
        <v>0</v>
      </c>
      <c r="M30" s="51" t="str">
        <f t="shared" si="5"/>
        <v>-</v>
      </c>
      <c r="N30" s="51">
        <v>0</v>
      </c>
      <c r="O30" s="51">
        <f t="shared" ref="O30:P30" si="40">D30/7</f>
        <v>0</v>
      </c>
      <c r="P30" s="51">
        <f t="shared" si="40"/>
        <v>0</v>
      </c>
      <c r="Q30" s="51" t="e">
        <f t="shared" si="7"/>
        <v>#DIV/0!</v>
      </c>
      <c r="R30" s="55">
        <v>200</v>
      </c>
      <c r="S30" s="53">
        <v>48</v>
      </c>
      <c r="T30" s="54">
        <v>44058</v>
      </c>
      <c r="U30" s="55">
        <v>0</v>
      </c>
      <c r="V30" s="55">
        <f t="shared" si="8"/>
        <v>0</v>
      </c>
      <c r="W30" s="55">
        <f t="shared" si="9"/>
        <v>0</v>
      </c>
      <c r="X30" s="55">
        <v>0</v>
      </c>
      <c r="Y30" s="55" t="e">
        <v>#N/A</v>
      </c>
      <c r="Z30" s="56" t="e">
        <f t="shared" si="19"/>
        <v>#N/A</v>
      </c>
      <c r="AA30" s="55" t="e">
        <v>#N/A</v>
      </c>
      <c r="AB30" s="55">
        <f t="shared" si="27"/>
        <v>0</v>
      </c>
      <c r="AC30" s="55">
        <v>0</v>
      </c>
      <c r="AD30" s="55">
        <v>-6.4803224358974356</v>
      </c>
      <c r="AE30" s="55">
        <v>0</v>
      </c>
      <c r="AF30" s="55"/>
    </row>
    <row r="31" spans="1:32" s="57" customFormat="1" ht="15.75" customHeight="1">
      <c r="A31" s="2" t="s">
        <v>90</v>
      </c>
      <c r="B31" s="2"/>
      <c r="C31" s="51" t="str">
        <f t="shared" si="35"/>
        <v xml:space="preserve"> - </v>
      </c>
      <c r="D31" s="51">
        <v>0</v>
      </c>
      <c r="E31" s="51">
        <v>0</v>
      </c>
      <c r="F31" s="51">
        <v>0</v>
      </c>
      <c r="G31" s="51">
        <v>0</v>
      </c>
      <c r="H31" s="51" t="e">
        <f t="shared" si="1"/>
        <v>#DIV/0!</v>
      </c>
      <c r="I31" s="51" t="e">
        <f t="shared" si="2"/>
        <v>#DIV/0!</v>
      </c>
      <c r="J31" s="51">
        <f t="shared" si="4"/>
        <v>0</v>
      </c>
      <c r="K31" s="51" t="e">
        <f t="shared" si="3"/>
        <v>#DIV/0!</v>
      </c>
      <c r="L31" s="51">
        <v>0</v>
      </c>
      <c r="M31" s="51" t="str">
        <f t="shared" si="5"/>
        <v>-</v>
      </c>
      <c r="N31" s="51">
        <v>0</v>
      </c>
      <c r="O31" s="51">
        <f t="shared" ref="O31:P31" si="41">D31/7</f>
        <v>0</v>
      </c>
      <c r="P31" s="51">
        <f t="shared" si="41"/>
        <v>0</v>
      </c>
      <c r="Q31" s="51" t="e">
        <f t="shared" si="7"/>
        <v>#DIV/0!</v>
      </c>
      <c r="R31" s="55">
        <v>152</v>
      </c>
      <c r="S31" s="53">
        <v>48</v>
      </c>
      <c r="T31" s="54">
        <v>44058</v>
      </c>
      <c r="U31" s="55">
        <v>0</v>
      </c>
      <c r="V31" s="55">
        <f t="shared" si="8"/>
        <v>0</v>
      </c>
      <c r="W31" s="55">
        <f t="shared" si="9"/>
        <v>0</v>
      </c>
      <c r="X31" s="55">
        <v>0</v>
      </c>
      <c r="Y31" s="55" t="e">
        <v>#N/A</v>
      </c>
      <c r="Z31" s="56" t="e">
        <f t="shared" si="19"/>
        <v>#N/A</v>
      </c>
      <c r="AA31" s="55" t="e">
        <v>#N/A</v>
      </c>
      <c r="AB31" s="55">
        <f t="shared" si="27"/>
        <v>0</v>
      </c>
      <c r="AC31" s="55">
        <v>0</v>
      </c>
      <c r="AD31" s="55">
        <v>-6.4803224358974356</v>
      </c>
      <c r="AE31" s="55">
        <v>0</v>
      </c>
      <c r="AF31" s="55"/>
    </row>
    <row r="32" spans="1:32" s="57" customFormat="1" ht="15.75" customHeight="1">
      <c r="A32" s="2" t="s">
        <v>92</v>
      </c>
      <c r="B32" s="2"/>
      <c r="C32" s="51" t="str">
        <f t="shared" si="35"/>
        <v xml:space="preserve"> - </v>
      </c>
      <c r="D32" s="51">
        <v>0</v>
      </c>
      <c r="E32" s="51">
        <v>0</v>
      </c>
      <c r="F32" s="51">
        <v>0</v>
      </c>
      <c r="G32" s="51">
        <v>0</v>
      </c>
      <c r="H32" s="51" t="e">
        <f t="shared" si="1"/>
        <v>#DIV/0!</v>
      </c>
      <c r="I32" s="51" t="e">
        <f t="shared" si="2"/>
        <v>#DIV/0!</v>
      </c>
      <c r="J32" s="51">
        <f t="shared" si="4"/>
        <v>0</v>
      </c>
      <c r="K32" s="51" t="e">
        <f t="shared" si="3"/>
        <v>#DIV/0!</v>
      </c>
      <c r="L32" s="51">
        <v>0</v>
      </c>
      <c r="M32" s="51" t="str">
        <f t="shared" si="5"/>
        <v>-</v>
      </c>
      <c r="N32" s="51">
        <v>0</v>
      </c>
      <c r="O32" s="51">
        <f t="shared" ref="O32:P32" si="42">D32/7</f>
        <v>0</v>
      </c>
      <c r="P32" s="51">
        <f t="shared" si="42"/>
        <v>0</v>
      </c>
      <c r="Q32" s="51" t="e">
        <f t="shared" si="7"/>
        <v>#DIV/0!</v>
      </c>
      <c r="R32" s="55">
        <v>152</v>
      </c>
      <c r="S32" s="53">
        <v>48</v>
      </c>
      <c r="T32" s="54" t="s">
        <v>34</v>
      </c>
      <c r="U32" s="55">
        <v>0</v>
      </c>
      <c r="V32" s="55">
        <f t="shared" si="8"/>
        <v>0</v>
      </c>
      <c r="W32" s="55">
        <f t="shared" si="9"/>
        <v>0</v>
      </c>
      <c r="X32" s="55">
        <v>0</v>
      </c>
      <c r="Y32" s="55" t="e">
        <v>#N/A</v>
      </c>
      <c r="Z32" s="56" t="e">
        <f t="shared" si="19"/>
        <v>#N/A</v>
      </c>
      <c r="AA32" s="55" t="e">
        <v>#N/A</v>
      </c>
      <c r="AB32" s="55">
        <f t="shared" si="27"/>
        <v>0</v>
      </c>
      <c r="AC32" s="55">
        <v>0</v>
      </c>
      <c r="AD32" s="55">
        <v>-6.4803224358974356</v>
      </c>
      <c r="AE32" s="55">
        <v>0</v>
      </c>
      <c r="AF32" s="52">
        <v>1.5967078189300401</v>
      </c>
    </row>
    <row r="33" spans="1:32" s="57" customFormat="1" ht="15.75" customHeight="1">
      <c r="A33" s="2" t="s">
        <v>94</v>
      </c>
      <c r="B33" s="2"/>
      <c r="C33" s="51" t="str">
        <f t="shared" si="35"/>
        <v xml:space="preserve"> - </v>
      </c>
      <c r="D33" s="51">
        <v>0</v>
      </c>
      <c r="E33" s="51">
        <v>0</v>
      </c>
      <c r="F33" s="51">
        <v>0</v>
      </c>
      <c r="G33" s="51">
        <v>0</v>
      </c>
      <c r="H33" s="51" t="e">
        <f t="shared" si="1"/>
        <v>#DIV/0!</v>
      </c>
      <c r="I33" s="51" t="e">
        <f t="shared" si="2"/>
        <v>#DIV/0!</v>
      </c>
      <c r="J33" s="51">
        <f t="shared" si="4"/>
        <v>0</v>
      </c>
      <c r="K33" s="51" t="e">
        <f t="shared" si="3"/>
        <v>#DIV/0!</v>
      </c>
      <c r="L33" s="51">
        <v>0</v>
      </c>
      <c r="M33" s="51" t="str">
        <f t="shared" si="5"/>
        <v>-</v>
      </c>
      <c r="N33" s="51">
        <v>0</v>
      </c>
      <c r="O33" s="51">
        <f t="shared" ref="O33:P33" si="43">D33/7</f>
        <v>0</v>
      </c>
      <c r="P33" s="51">
        <f t="shared" si="43"/>
        <v>0</v>
      </c>
      <c r="Q33" s="51" t="e">
        <f t="shared" si="7"/>
        <v>#DIV/0!</v>
      </c>
      <c r="R33" s="55">
        <v>152</v>
      </c>
      <c r="S33" s="53">
        <v>48</v>
      </c>
      <c r="T33" s="54">
        <v>44058</v>
      </c>
      <c r="U33" s="55">
        <v>0</v>
      </c>
      <c r="V33" s="55">
        <f t="shared" si="8"/>
        <v>0</v>
      </c>
      <c r="W33" s="55">
        <f t="shared" si="9"/>
        <v>0</v>
      </c>
      <c r="X33" s="55">
        <v>0</v>
      </c>
      <c r="Y33" s="55" t="e">
        <v>#N/A</v>
      </c>
      <c r="Z33" s="56" t="e">
        <f t="shared" si="19"/>
        <v>#N/A</v>
      </c>
      <c r="AA33" s="55" t="e">
        <v>#N/A</v>
      </c>
      <c r="AB33" s="55">
        <f t="shared" si="27"/>
        <v>0</v>
      </c>
      <c r="AC33" s="55">
        <v>0</v>
      </c>
      <c r="AD33" s="55">
        <v>-6.4803224358974356</v>
      </c>
      <c r="AE33" s="55">
        <v>0</v>
      </c>
      <c r="AF33" s="55" t="e">
        <v>#N/A</v>
      </c>
    </row>
    <row r="34" spans="1:32" s="57" customFormat="1" ht="15.75" customHeight="1">
      <c r="A34" s="2" t="s">
        <v>95</v>
      </c>
      <c r="B34" s="2"/>
      <c r="C34" s="51" t="str">
        <f t="shared" si="35"/>
        <v xml:space="preserve"> - </v>
      </c>
      <c r="D34" s="51">
        <v>0</v>
      </c>
      <c r="E34" s="51">
        <v>0</v>
      </c>
      <c r="F34" s="51">
        <v>0</v>
      </c>
      <c r="G34" s="51">
        <v>0</v>
      </c>
      <c r="H34" s="51" t="e">
        <f t="shared" si="1"/>
        <v>#DIV/0!</v>
      </c>
      <c r="I34" s="51" t="e">
        <f t="shared" si="2"/>
        <v>#DIV/0!</v>
      </c>
      <c r="J34" s="51">
        <f t="shared" si="4"/>
        <v>0</v>
      </c>
      <c r="K34" s="51" t="e">
        <f t="shared" si="3"/>
        <v>#DIV/0!</v>
      </c>
      <c r="L34" s="51">
        <v>0</v>
      </c>
      <c r="M34" s="51" t="str">
        <f t="shared" si="5"/>
        <v>-</v>
      </c>
      <c r="N34" s="51">
        <v>1</v>
      </c>
      <c r="O34" s="51">
        <f t="shared" ref="O34:P34" si="44">D34/7</f>
        <v>0</v>
      </c>
      <c r="P34" s="51">
        <f t="shared" si="44"/>
        <v>0</v>
      </c>
      <c r="Q34" s="51" t="e">
        <f t="shared" si="7"/>
        <v>#DIV/0!</v>
      </c>
      <c r="R34" s="55">
        <v>152</v>
      </c>
      <c r="S34" s="53">
        <v>48</v>
      </c>
      <c r="T34" s="54">
        <v>44058</v>
      </c>
      <c r="U34" s="55">
        <v>0</v>
      </c>
      <c r="V34" s="55">
        <f t="shared" si="8"/>
        <v>0</v>
      </c>
      <c r="W34" s="55">
        <f t="shared" si="9"/>
        <v>0</v>
      </c>
      <c r="X34" s="55">
        <v>0</v>
      </c>
      <c r="Y34" s="55" t="e">
        <v>#N/A</v>
      </c>
      <c r="Z34" s="56" t="e">
        <f t="shared" si="19"/>
        <v>#N/A</v>
      </c>
      <c r="AA34" s="55" t="e">
        <v>#N/A</v>
      </c>
      <c r="AB34" s="55">
        <f t="shared" si="27"/>
        <v>0</v>
      </c>
      <c r="AC34" s="55">
        <v>0</v>
      </c>
      <c r="AD34" s="55">
        <v>-6.4803224358974356</v>
      </c>
      <c r="AE34" s="55">
        <v>0</v>
      </c>
      <c r="AF34" s="55">
        <v>1.9565217391304299</v>
      </c>
    </row>
    <row r="35" spans="1:32" s="57" customFormat="1" ht="15.75" customHeight="1">
      <c r="A35" s="2" t="s">
        <v>96</v>
      </c>
      <c r="B35" s="2"/>
      <c r="C35" s="51">
        <f t="shared" si="35"/>
        <v>23.99</v>
      </c>
      <c r="D35" s="51">
        <v>2</v>
      </c>
      <c r="E35" s="51">
        <v>0</v>
      </c>
      <c r="F35" s="51">
        <v>47.98</v>
      </c>
      <c r="G35" s="51">
        <v>-0.52</v>
      </c>
      <c r="H35" s="51">
        <f t="shared" si="1"/>
        <v>1.0837849103793248E-2</v>
      </c>
      <c r="I35" s="51">
        <f t="shared" si="2"/>
        <v>0.23814821188683039</v>
      </c>
      <c r="J35" s="51">
        <f t="shared" si="4"/>
        <v>11.426351206330121</v>
      </c>
      <c r="K35" s="51">
        <f t="shared" si="3"/>
        <v>5.7131756031650607</v>
      </c>
      <c r="L35" s="51">
        <v>19</v>
      </c>
      <c r="M35" s="51">
        <f t="shared" si="5"/>
        <v>0.10526315789473684</v>
      </c>
      <c r="N35" s="51">
        <v>2</v>
      </c>
      <c r="O35" s="51">
        <f t="shared" ref="O35:P35" si="45">D35/7</f>
        <v>0.2857142857142857</v>
      </c>
      <c r="P35" s="51">
        <f t="shared" si="45"/>
        <v>0</v>
      </c>
      <c r="Q35" s="51">
        <f t="shared" si="7"/>
        <v>7</v>
      </c>
      <c r="R35" s="55">
        <v>104</v>
      </c>
      <c r="S35" s="53" t="s">
        <v>34</v>
      </c>
      <c r="T35" s="54" t="s">
        <v>34</v>
      </c>
      <c r="U35" s="55">
        <v>0</v>
      </c>
      <c r="V35" s="55">
        <f t="shared" si="8"/>
        <v>0</v>
      </c>
      <c r="W35" s="55">
        <f t="shared" si="9"/>
        <v>0</v>
      </c>
      <c r="X35" s="55">
        <v>0</v>
      </c>
      <c r="Y35" s="55" t="s">
        <v>35</v>
      </c>
      <c r="Z35" s="56">
        <f t="shared" si="19"/>
        <v>-0.75</v>
      </c>
      <c r="AA35" s="55">
        <v>0.27466753819444439</v>
      </c>
      <c r="AB35" s="55">
        <f t="shared" si="27"/>
        <v>-1.2360039218749999</v>
      </c>
      <c r="AC35" s="55">
        <v>-7.32</v>
      </c>
      <c r="AD35" s="55">
        <v>-6.4803224358974356</v>
      </c>
      <c r="AE35" s="55">
        <v>0</v>
      </c>
      <c r="AF35" s="55" t="e">
        <v>#N/A</v>
      </c>
    </row>
    <row r="36" spans="1:32" s="57" customFormat="1" ht="15.75" customHeight="1">
      <c r="A36" s="2" t="s">
        <v>98</v>
      </c>
      <c r="B36" s="2"/>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v>104</v>
      </c>
      <c r="S36" s="53"/>
      <c r="T36" s="54" t="s">
        <v>34</v>
      </c>
      <c r="U36" s="55"/>
      <c r="V36" s="55">
        <f t="shared" si="8"/>
        <v>0</v>
      </c>
      <c r="W36" s="55">
        <f t="shared" si="9"/>
        <v>0</v>
      </c>
      <c r="X36" s="55"/>
      <c r="Y36" s="55" t="e">
        <v>#N/A</v>
      </c>
      <c r="Z36" s="56" t="e">
        <f t="shared" si="19"/>
        <v>#N/A</v>
      </c>
      <c r="AA36" s="55" t="e">
        <v>#N/A</v>
      </c>
      <c r="AB36" s="55">
        <f t="shared" si="27"/>
        <v>0</v>
      </c>
      <c r="AC36" s="55">
        <v>0</v>
      </c>
      <c r="AD36" s="55">
        <v>-6.4803224358974356</v>
      </c>
      <c r="AE36" s="55">
        <v>0</v>
      </c>
      <c r="AF36" s="55" t="e">
        <v>#N/A</v>
      </c>
    </row>
    <row r="37" spans="1:32" s="57" customFormat="1" ht="15.75" customHeight="1">
      <c r="A37" s="2" t="s">
        <v>99</v>
      </c>
      <c r="B37" s="2"/>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v>104</v>
      </c>
      <c r="S37" s="53" t="s">
        <v>34</v>
      </c>
      <c r="T37" s="54" t="s">
        <v>34</v>
      </c>
      <c r="U37" s="55">
        <v>0</v>
      </c>
      <c r="V37" s="55">
        <f t="shared" si="8"/>
        <v>0</v>
      </c>
      <c r="W37" s="55">
        <f t="shared" si="9"/>
        <v>0</v>
      </c>
      <c r="X37" s="55">
        <v>0</v>
      </c>
      <c r="Y37" s="55" t="e">
        <v>#N/A</v>
      </c>
      <c r="Z37" s="56" t="e">
        <f t="shared" si="19"/>
        <v>#N/A</v>
      </c>
      <c r="AA37" s="55" t="e">
        <v>#N/A</v>
      </c>
      <c r="AB37" s="55">
        <f t="shared" si="27"/>
        <v>0</v>
      </c>
      <c r="AC37" s="55">
        <v>0</v>
      </c>
      <c r="AD37" s="55">
        <v>-6.4803224358974356</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5">
        <v>152</v>
      </c>
      <c r="S38" s="53"/>
      <c r="T38" s="54" t="s">
        <v>34</v>
      </c>
      <c r="U38" s="55">
        <v>0</v>
      </c>
      <c r="V38" s="55">
        <f t="shared" si="8"/>
        <v>0</v>
      </c>
      <c r="W38" s="55">
        <f t="shared" si="9"/>
        <v>0</v>
      </c>
      <c r="X38" s="55">
        <v>0</v>
      </c>
      <c r="Y38" s="55" t="e">
        <v>#N/A</v>
      </c>
      <c r="Z38" s="56" t="e">
        <f t="shared" si="19"/>
        <v>#N/A</v>
      </c>
      <c r="AA38" s="55" t="e">
        <v>#N/A</v>
      </c>
      <c r="AB38" s="55">
        <f t="shared" si="27"/>
        <v>0</v>
      </c>
      <c r="AC38" s="55">
        <v>0</v>
      </c>
      <c r="AD38" s="55">
        <v>-6.4803224358974356</v>
      </c>
      <c r="AE38" s="55">
        <v>0</v>
      </c>
      <c r="AF38" s="55" t="e">
        <v>#N/A</v>
      </c>
    </row>
    <row r="39" spans="1:32" s="57" customFormat="1" ht="15.75" customHeight="1">
      <c r="A39" s="2" t="s">
        <v>101</v>
      </c>
      <c r="B39" s="2"/>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0</v>
      </c>
      <c r="O39" s="51">
        <f t="shared" ref="O39:P39" si="49">D39/7</f>
        <v>0</v>
      </c>
      <c r="P39" s="51">
        <f t="shared" si="49"/>
        <v>0</v>
      </c>
      <c r="Q39" s="51" t="e">
        <f t="shared" si="7"/>
        <v>#DIV/0!</v>
      </c>
      <c r="R39" s="55">
        <v>152</v>
      </c>
      <c r="S39" s="53" t="s">
        <v>34</v>
      </c>
      <c r="T39" s="54" t="s">
        <v>34</v>
      </c>
      <c r="U39" s="55">
        <v>0</v>
      </c>
      <c r="V39" s="55">
        <f t="shared" si="8"/>
        <v>0</v>
      </c>
      <c r="W39" s="55">
        <f t="shared" si="9"/>
        <v>0</v>
      </c>
      <c r="X39" s="55">
        <v>0</v>
      </c>
      <c r="Y39" s="55" t="e">
        <v>#N/A</v>
      </c>
      <c r="Z39" s="56" t="e">
        <f t="shared" si="19"/>
        <v>#N/A</v>
      </c>
      <c r="AA39" s="55" t="e">
        <v>#N/A</v>
      </c>
      <c r="AB39" s="55">
        <f t="shared" si="27"/>
        <v>0</v>
      </c>
      <c r="AC39" s="55">
        <v>0</v>
      </c>
      <c r="AD39" s="55">
        <v>-6.4803224358974303</v>
      </c>
      <c r="AE39" s="55">
        <v>0</v>
      </c>
      <c r="AF39" s="55" t="e">
        <v>#N/A</v>
      </c>
    </row>
    <row r="40" spans="1:32" s="57" customFormat="1" ht="15.75" customHeight="1">
      <c r="A40" s="2" t="s">
        <v>102</v>
      </c>
      <c r="B40" s="2"/>
      <c r="C40" s="51" t="s">
        <v>103</v>
      </c>
      <c r="D40" s="51">
        <v>0</v>
      </c>
      <c r="E40" s="51">
        <v>0</v>
      </c>
      <c r="F40" s="51">
        <v>0</v>
      </c>
      <c r="G40" s="51">
        <v>0</v>
      </c>
      <c r="H40" s="51" t="e">
        <v>#DIV/0!</v>
      </c>
      <c r="I40" s="51" t="e">
        <v>#DIV/0!</v>
      </c>
      <c r="J40" s="51">
        <v>0</v>
      </c>
      <c r="K40" s="51" t="e">
        <v>#DIV/0!</v>
      </c>
      <c r="L40" s="51">
        <v>0</v>
      </c>
      <c r="M40" s="51" t="s">
        <v>104</v>
      </c>
      <c r="N40" s="51">
        <v>0</v>
      </c>
      <c r="O40" s="51">
        <v>0</v>
      </c>
      <c r="P40" s="51">
        <v>0</v>
      </c>
      <c r="Q40" s="51" t="e">
        <v>#DIV/0!</v>
      </c>
      <c r="R40" s="55">
        <v>152</v>
      </c>
      <c r="S40" s="53" t="s">
        <v>34</v>
      </c>
      <c r="T40" s="54" t="s">
        <v>34</v>
      </c>
      <c r="U40" s="55">
        <v>0</v>
      </c>
      <c r="V40" s="55">
        <v>0</v>
      </c>
      <c r="W40" s="55">
        <v>0</v>
      </c>
      <c r="X40" s="55">
        <v>0</v>
      </c>
      <c r="Y40" s="55" t="e">
        <v>#N/A</v>
      </c>
      <c r="Z40" s="56" t="e">
        <v>#N/A</v>
      </c>
      <c r="AA40" s="55" t="e">
        <v>#N/A</v>
      </c>
      <c r="AB40" s="55">
        <v>0</v>
      </c>
      <c r="AC40" s="55">
        <v>0</v>
      </c>
      <c r="AD40" s="55">
        <v>-6.4803224358974303</v>
      </c>
      <c r="AE40" s="55">
        <v>0</v>
      </c>
      <c r="AF40" s="55" t="e">
        <v>#N/A</v>
      </c>
    </row>
    <row r="41" spans="1:32" s="57" customFormat="1" ht="15.75" customHeight="1">
      <c r="A41" s="2" t="s">
        <v>105</v>
      </c>
      <c r="B41" s="2"/>
      <c r="C41" s="51" t="str">
        <f t="shared" ref="C41:C56" si="50">IFERROR(F41/D41," - ")</f>
        <v xml:space="preserve"> - </v>
      </c>
      <c r="D41" s="51">
        <v>0</v>
      </c>
      <c r="E41" s="51">
        <v>0</v>
      </c>
      <c r="F41" s="51">
        <v>0</v>
      </c>
      <c r="G41" s="51">
        <v>0</v>
      </c>
      <c r="H41" s="51" t="e">
        <f t="shared" ref="H41:H56" si="51">G41/F41*-1</f>
        <v>#DIV/0!</v>
      </c>
      <c r="I41" s="51" t="e">
        <f t="shared" ref="I41:I56" si="52">J41/F41</f>
        <v>#DIV/0!</v>
      </c>
      <c r="J41" s="51">
        <f t="shared" ref="J41:J48" si="53">F41*0.85+G41+AD41*D41+D41*AC41+AE42+AB41</f>
        <v>0</v>
      </c>
      <c r="K41" s="51" t="e">
        <f t="shared" ref="K41:K56" si="54">J41/D41</f>
        <v>#DIV/0!</v>
      </c>
      <c r="L41" s="51">
        <v>0</v>
      </c>
      <c r="M41" s="51" t="str">
        <f t="shared" ref="M41:M56" si="55">IFERROR(D41/L41,"-")</f>
        <v>-</v>
      </c>
      <c r="N41" s="51">
        <v>0</v>
      </c>
      <c r="O41" s="51">
        <f t="shared" ref="O41:P41" si="56">D41/7</f>
        <v>0</v>
      </c>
      <c r="P41" s="51">
        <f t="shared" si="56"/>
        <v>0</v>
      </c>
      <c r="Q41" s="51" t="e">
        <f t="shared" ref="Q41:Q56" si="57">ROUNDDOWN(N41/(O41+P41),0)</f>
        <v>#DIV/0!</v>
      </c>
      <c r="R41" s="55">
        <v>152</v>
      </c>
      <c r="S41" s="53" t="s">
        <v>34</v>
      </c>
      <c r="T41" s="54" t="s">
        <v>34</v>
      </c>
      <c r="U41" s="55">
        <v>0</v>
      </c>
      <c r="V41" s="55">
        <f t="shared" ref="V41:V56" si="58">IFERROR(U41/D41,0)</f>
        <v>0</v>
      </c>
      <c r="W41" s="55">
        <f t="shared" ref="W41:W56" si="59">IFERROR(G41/(U41+X41)*-1,0)</f>
        <v>0</v>
      </c>
      <c r="X41" s="55">
        <v>0</v>
      </c>
      <c r="Y41" s="52" t="e">
        <v>#N/A</v>
      </c>
      <c r="Z41" s="56" t="e">
        <f t="shared" ref="Z41:Z43" si="60">IF(OR(Y41="UsLargeStandardSize",Y41="UsSmallStandardSize"),-0.75,-0.48)</f>
        <v>#N/A</v>
      </c>
      <c r="AA41" s="55" t="e">
        <v>#N/A</v>
      </c>
      <c r="AB41" s="55">
        <f t="shared" ref="AB41:AB56" si="61">IFERROR(Z41*AA41*D41*3,0)</f>
        <v>0</v>
      </c>
      <c r="AC41" s="55">
        <v>0</v>
      </c>
      <c r="AD41" s="55">
        <v>-6.4803224358974303</v>
      </c>
      <c r="AE41" s="55">
        <v>0</v>
      </c>
      <c r="AF41" s="55" t="e">
        <v>#N/A</v>
      </c>
    </row>
    <row r="42" spans="1:32" s="57" customFormat="1" ht="15.75" customHeight="1">
      <c r="A42" s="2" t="s">
        <v>106</v>
      </c>
      <c r="B42" s="2"/>
      <c r="C42" s="51" t="str">
        <f t="shared" si="50"/>
        <v xml:space="preserve"> - </v>
      </c>
      <c r="D42" s="51">
        <v>0</v>
      </c>
      <c r="E42" s="51">
        <v>0</v>
      </c>
      <c r="F42" s="51">
        <v>0</v>
      </c>
      <c r="G42" s="51">
        <v>0</v>
      </c>
      <c r="H42" s="51" t="e">
        <f t="shared" si="51"/>
        <v>#DIV/0!</v>
      </c>
      <c r="I42" s="51" t="e">
        <f t="shared" si="52"/>
        <v>#DIV/0!</v>
      </c>
      <c r="J42" s="51">
        <f t="shared" si="53"/>
        <v>0</v>
      </c>
      <c r="K42" s="51" t="e">
        <f t="shared" si="54"/>
        <v>#DIV/0!</v>
      </c>
      <c r="L42" s="51">
        <v>0</v>
      </c>
      <c r="M42" s="51" t="str">
        <f t="shared" si="55"/>
        <v>-</v>
      </c>
      <c r="N42" s="51">
        <v>0</v>
      </c>
      <c r="O42" s="51">
        <f t="shared" ref="O42:P42" si="62">D42/7</f>
        <v>0</v>
      </c>
      <c r="P42" s="51">
        <f t="shared" si="62"/>
        <v>0</v>
      </c>
      <c r="Q42" s="51" t="e">
        <f t="shared" si="57"/>
        <v>#DIV/0!</v>
      </c>
      <c r="R42" s="55">
        <f ca="1">IFERROR(__xludf.DUMMYFUNCTION("IFERROR(VLOOKUP($B$2,IMPORTRANGE(""https://docs.google.com/spreadsheets/d/1iVgg6Mw12RULLujzHmfOFIY8Q_KaAD8anoZzgtVAQ74/edit#gid=1503384807"",""Second Star - Summary!A1:AD2000""),9,FALSE),"""")"),224)</f>
        <v>224</v>
      </c>
      <c r="S42" s="53">
        <f ca="1">IFERROR(__xludf.DUMMYFUNCTION("IFERROR(VLOOKUP($B$2,IMPORTRANGE(""https://docs.google.com/spreadsheets/d/1iVgg6Mw12RULLujzHmfOFIY8Q_KaAD8anoZzgtVAQ74/edit#gid=1503384807"",""Second Star - Summary!A1:AD2000""),28,FALSE),"""")"),80)</f>
        <v>80</v>
      </c>
      <c r="T42" s="54">
        <f ca="1">IFERROR(__xludf.DUMMYFUNCTION("IFERROR(VLOOKUP($B$2,IMPORTRANGE(""https://docs.google.com/spreadsheets/d/1iVgg6Mw12RULLujzHmfOFIY8Q_KaAD8anoZzgtVAQ74/edit#gid=1503384807"",""Second Star - Summary!A1:AD2000""),29,FALSE),"""")"),44339)</f>
        <v>44339</v>
      </c>
      <c r="U42" s="55">
        <v>0</v>
      </c>
      <c r="V42" s="55">
        <f t="shared" si="58"/>
        <v>0</v>
      </c>
      <c r="W42" s="55">
        <f t="shared" si="59"/>
        <v>0</v>
      </c>
      <c r="X42" s="55">
        <v>0</v>
      </c>
      <c r="Y42" s="55" t="e">
        <v>#N/A</v>
      </c>
      <c r="Z42" s="56" t="e">
        <f t="shared" si="60"/>
        <v>#N/A</v>
      </c>
      <c r="AA42" s="55" t="e">
        <v>#N/A</v>
      </c>
      <c r="AB42" s="55">
        <f t="shared" si="61"/>
        <v>0</v>
      </c>
      <c r="AC42" s="55">
        <v>0</v>
      </c>
      <c r="AD42" s="55">
        <v>-6.4803224358974303</v>
      </c>
      <c r="AE42" s="55">
        <v>0</v>
      </c>
      <c r="AF42" s="55" t="e">
        <v>#N/A</v>
      </c>
    </row>
    <row r="43" spans="1:32" s="57" customFormat="1" ht="15.75" customHeight="1">
      <c r="A43" s="2" t="s">
        <v>107</v>
      </c>
      <c r="B43" s="2"/>
      <c r="C43" s="51" t="str">
        <f t="shared" si="50"/>
        <v xml:space="preserve"> - </v>
      </c>
      <c r="D43" s="51">
        <v>0</v>
      </c>
      <c r="E43" s="51">
        <v>0</v>
      </c>
      <c r="F43" s="51">
        <v>0</v>
      </c>
      <c r="G43" s="51">
        <v>0</v>
      </c>
      <c r="H43" s="51" t="e">
        <f t="shared" si="51"/>
        <v>#DIV/0!</v>
      </c>
      <c r="I43" s="51" t="e">
        <f t="shared" si="52"/>
        <v>#DIV/0!</v>
      </c>
      <c r="J43" s="51">
        <f t="shared" si="53"/>
        <v>0</v>
      </c>
      <c r="K43" s="51" t="e">
        <f t="shared" si="54"/>
        <v>#DIV/0!</v>
      </c>
      <c r="L43" s="51">
        <v>0</v>
      </c>
      <c r="M43" s="51" t="str">
        <f t="shared" si="55"/>
        <v>-</v>
      </c>
      <c r="N43" s="51">
        <v>0</v>
      </c>
      <c r="O43" s="51">
        <f t="shared" ref="O43:P43" si="63">D43/7</f>
        <v>0</v>
      </c>
      <c r="P43" s="51">
        <f t="shared" si="63"/>
        <v>0</v>
      </c>
      <c r="Q43" s="51" t="e">
        <f t="shared" si="57"/>
        <v>#DIV/0!</v>
      </c>
      <c r="R43" s="55">
        <v>152</v>
      </c>
      <c r="S43" s="53" t="s">
        <v>34</v>
      </c>
      <c r="T43" s="54" t="s">
        <v>34</v>
      </c>
      <c r="U43" s="55">
        <v>0</v>
      </c>
      <c r="V43" s="55">
        <f t="shared" si="58"/>
        <v>0</v>
      </c>
      <c r="W43" s="55">
        <f t="shared" si="59"/>
        <v>0</v>
      </c>
      <c r="X43" s="55">
        <v>0</v>
      </c>
      <c r="Y43" s="55" t="e">
        <v>#N/A</v>
      </c>
      <c r="Z43" s="56" t="e">
        <f t="shared" si="60"/>
        <v>#N/A</v>
      </c>
      <c r="AA43" s="55" t="e">
        <v>#N/A</v>
      </c>
      <c r="AB43" s="55">
        <f t="shared" si="61"/>
        <v>0</v>
      </c>
      <c r="AC43" s="55">
        <v>0</v>
      </c>
      <c r="AD43" s="55">
        <v>-6.4803224358974303</v>
      </c>
      <c r="AE43" s="55">
        <v>0</v>
      </c>
      <c r="AF43" s="55" t="e">
        <v>#N/A</v>
      </c>
    </row>
    <row r="44" spans="1:32" s="57" customFormat="1" ht="15.75" customHeight="1">
      <c r="A44" s="2" t="s">
        <v>108</v>
      </c>
      <c r="B44" s="2"/>
      <c r="C44" s="51" t="str">
        <f t="shared" si="50"/>
        <v xml:space="preserve"> - </v>
      </c>
      <c r="D44" s="51">
        <v>0</v>
      </c>
      <c r="E44" s="51">
        <v>0</v>
      </c>
      <c r="F44" s="51">
        <v>0</v>
      </c>
      <c r="G44" s="51">
        <v>0</v>
      </c>
      <c r="H44" s="51" t="e">
        <f t="shared" si="51"/>
        <v>#DIV/0!</v>
      </c>
      <c r="I44" s="51" t="e">
        <f t="shared" si="52"/>
        <v>#DIV/0!</v>
      </c>
      <c r="J44" s="51">
        <f t="shared" si="53"/>
        <v>0</v>
      </c>
      <c r="K44" s="51" t="e">
        <f t="shared" si="54"/>
        <v>#DIV/0!</v>
      </c>
      <c r="L44" s="51">
        <v>0</v>
      </c>
      <c r="M44" s="51" t="str">
        <f t="shared" si="55"/>
        <v>-</v>
      </c>
      <c r="N44" s="51">
        <v>0</v>
      </c>
      <c r="O44" s="51">
        <f t="shared" ref="O44:P44" si="64">D44/7</f>
        <v>0</v>
      </c>
      <c r="P44" s="51">
        <f t="shared" si="64"/>
        <v>0</v>
      </c>
      <c r="Q44" s="51" t="e">
        <f t="shared" si="57"/>
        <v>#DIV/0!</v>
      </c>
      <c r="R44" s="55">
        <v>152</v>
      </c>
      <c r="S44" s="53" t="s">
        <v>34</v>
      </c>
      <c r="T44" s="54" t="s">
        <v>34</v>
      </c>
      <c r="U44" s="55">
        <v>0</v>
      </c>
      <c r="V44" s="55">
        <f t="shared" si="58"/>
        <v>0</v>
      </c>
      <c r="W44" s="55">
        <f t="shared" si="59"/>
        <v>0</v>
      </c>
      <c r="X44" s="55">
        <v>0</v>
      </c>
      <c r="Y44" s="55" t="e">
        <v>#N/A</v>
      </c>
      <c r="Z44" s="56" t="e">
        <f t="shared" ref="Z44:Z56" si="65">IF(OR(Y44="UsLargeStandardSize",Y44="UsSmallStandardSize"),-2.4,-1.2)</f>
        <v>#N/A</v>
      </c>
      <c r="AA44" s="55" t="e">
        <v>#N/A</v>
      </c>
      <c r="AB44" s="55">
        <f t="shared" si="61"/>
        <v>0</v>
      </c>
      <c r="AC44" s="55">
        <v>0</v>
      </c>
      <c r="AD44" s="55">
        <v>-6.4803224358974303</v>
      </c>
      <c r="AE44" s="55">
        <v>0</v>
      </c>
      <c r="AF44" s="55" t="e">
        <v>#N/A</v>
      </c>
    </row>
    <row r="45" spans="1:32" s="57" customFormat="1" ht="15.75" customHeight="1">
      <c r="A45" s="2" t="s">
        <v>109</v>
      </c>
      <c r="B45" s="2"/>
      <c r="C45" s="51" t="str">
        <f t="shared" si="50"/>
        <v xml:space="preserve"> - </v>
      </c>
      <c r="D45" s="51">
        <v>0</v>
      </c>
      <c r="E45" s="51">
        <v>0</v>
      </c>
      <c r="F45" s="51">
        <v>0</v>
      </c>
      <c r="G45" s="51">
        <v>0</v>
      </c>
      <c r="H45" s="51" t="e">
        <f t="shared" si="51"/>
        <v>#DIV/0!</v>
      </c>
      <c r="I45" s="51" t="e">
        <f t="shared" si="52"/>
        <v>#DIV/0!</v>
      </c>
      <c r="J45" s="51">
        <f t="shared" si="53"/>
        <v>0</v>
      </c>
      <c r="K45" s="51" t="e">
        <f t="shared" si="54"/>
        <v>#DIV/0!</v>
      </c>
      <c r="L45" s="51">
        <v>0</v>
      </c>
      <c r="M45" s="51" t="str">
        <f t="shared" si="55"/>
        <v>-</v>
      </c>
      <c r="N45" s="51">
        <v>0</v>
      </c>
      <c r="O45" s="51">
        <f t="shared" ref="O45:P45" si="66">D45/7</f>
        <v>0</v>
      </c>
      <c r="P45" s="51">
        <f t="shared" si="66"/>
        <v>0</v>
      </c>
      <c r="Q45" s="51" t="e">
        <f t="shared" si="57"/>
        <v>#DIV/0!</v>
      </c>
      <c r="R45" s="55">
        <v>152</v>
      </c>
      <c r="S45" s="53" t="s">
        <v>34</v>
      </c>
      <c r="T45" s="54" t="s">
        <v>34</v>
      </c>
      <c r="U45" s="55">
        <v>0</v>
      </c>
      <c r="V45" s="55">
        <f t="shared" si="58"/>
        <v>0</v>
      </c>
      <c r="W45" s="55">
        <f t="shared" si="59"/>
        <v>0</v>
      </c>
      <c r="X45" s="55">
        <v>0</v>
      </c>
      <c r="Y45" s="55" t="e">
        <v>#N/A</v>
      </c>
      <c r="Z45" s="56" t="e">
        <f t="shared" si="65"/>
        <v>#N/A</v>
      </c>
      <c r="AA45" s="55" t="e">
        <v>#N/A</v>
      </c>
      <c r="AB45" s="55">
        <f t="shared" si="61"/>
        <v>0</v>
      </c>
      <c r="AC45" s="55">
        <v>0</v>
      </c>
      <c r="AD45" s="55">
        <v>-6.4803224358974303</v>
      </c>
      <c r="AE45" s="55">
        <v>0</v>
      </c>
      <c r="AF45" s="55" t="e">
        <v>#N/A</v>
      </c>
    </row>
    <row r="46" spans="1:32" s="57" customFormat="1" ht="15.75" customHeight="1">
      <c r="A46" s="2" t="s">
        <v>111</v>
      </c>
      <c r="B46" s="2"/>
      <c r="C46" s="51" t="str">
        <f t="shared" si="50"/>
        <v xml:space="preserve"> - </v>
      </c>
      <c r="D46" s="51">
        <v>0</v>
      </c>
      <c r="E46" s="51">
        <v>0</v>
      </c>
      <c r="F46" s="51">
        <v>0</v>
      </c>
      <c r="G46" s="51">
        <v>0</v>
      </c>
      <c r="H46" s="51" t="e">
        <f t="shared" si="51"/>
        <v>#DIV/0!</v>
      </c>
      <c r="I46" s="51" t="e">
        <f t="shared" si="52"/>
        <v>#DIV/0!</v>
      </c>
      <c r="J46" s="51">
        <f t="shared" si="53"/>
        <v>0</v>
      </c>
      <c r="K46" s="51" t="e">
        <f t="shared" si="54"/>
        <v>#DIV/0!</v>
      </c>
      <c r="L46" s="51">
        <v>0</v>
      </c>
      <c r="M46" s="51" t="str">
        <f t="shared" si="55"/>
        <v>-</v>
      </c>
      <c r="N46" s="51">
        <v>0</v>
      </c>
      <c r="O46" s="51">
        <f t="shared" ref="O46:P46" si="67">D46/7</f>
        <v>0</v>
      </c>
      <c r="P46" s="51">
        <f t="shared" si="67"/>
        <v>0</v>
      </c>
      <c r="Q46" s="51" t="e">
        <f t="shared" si="57"/>
        <v>#DIV/0!</v>
      </c>
      <c r="R46" s="55">
        <v>152</v>
      </c>
      <c r="S46" s="53" t="s">
        <v>34</v>
      </c>
      <c r="T46" s="54" t="s">
        <v>34</v>
      </c>
      <c r="U46" s="55">
        <v>0</v>
      </c>
      <c r="V46" s="55">
        <f t="shared" si="58"/>
        <v>0</v>
      </c>
      <c r="W46" s="55">
        <f t="shared" si="59"/>
        <v>0</v>
      </c>
      <c r="X46" s="55">
        <v>0</v>
      </c>
      <c r="Y46" s="55" t="e">
        <v>#N/A</v>
      </c>
      <c r="Z46" s="56" t="e">
        <f t="shared" si="65"/>
        <v>#N/A</v>
      </c>
      <c r="AA46" s="55" t="e">
        <v>#N/A</v>
      </c>
      <c r="AB46" s="55">
        <f t="shared" si="61"/>
        <v>0</v>
      </c>
      <c r="AC46" s="55">
        <v>0</v>
      </c>
      <c r="AD46" s="55">
        <v>-6.4803224358974303</v>
      </c>
      <c r="AE46" s="55">
        <v>0</v>
      </c>
      <c r="AF46" s="55" t="e">
        <v>#N/A</v>
      </c>
    </row>
    <row r="47" spans="1:32" s="57" customFormat="1" ht="15.75" customHeight="1">
      <c r="A47" s="2" t="s">
        <v>113</v>
      </c>
      <c r="B47" s="2"/>
      <c r="C47" s="51" t="str">
        <f t="shared" si="50"/>
        <v xml:space="preserve"> - </v>
      </c>
      <c r="D47" s="51">
        <v>0</v>
      </c>
      <c r="E47" s="51">
        <v>0</v>
      </c>
      <c r="F47" s="51">
        <v>0</v>
      </c>
      <c r="G47" s="51">
        <v>0</v>
      </c>
      <c r="H47" s="51" t="e">
        <f t="shared" si="51"/>
        <v>#DIV/0!</v>
      </c>
      <c r="I47" s="51" t="e">
        <f t="shared" si="52"/>
        <v>#DIV/0!</v>
      </c>
      <c r="J47" s="51">
        <f t="shared" si="53"/>
        <v>0</v>
      </c>
      <c r="K47" s="51" t="e">
        <f t="shared" si="54"/>
        <v>#DIV/0!</v>
      </c>
      <c r="L47" s="51">
        <v>0</v>
      </c>
      <c r="M47" s="51" t="str">
        <f t="shared" si="55"/>
        <v>-</v>
      </c>
      <c r="N47" s="51">
        <v>0</v>
      </c>
      <c r="O47" s="51">
        <f t="shared" ref="O47:P47" si="68">D47/7</f>
        <v>0</v>
      </c>
      <c r="P47" s="51">
        <f t="shared" si="68"/>
        <v>0</v>
      </c>
      <c r="Q47" s="51" t="e">
        <f t="shared" si="57"/>
        <v>#DIV/0!</v>
      </c>
      <c r="R47" s="55">
        <v>152</v>
      </c>
      <c r="S47" s="53" t="s">
        <v>34</v>
      </c>
      <c r="T47" s="54" t="s">
        <v>34</v>
      </c>
      <c r="U47" s="55">
        <v>0</v>
      </c>
      <c r="V47" s="55">
        <f t="shared" si="58"/>
        <v>0</v>
      </c>
      <c r="W47" s="55">
        <f t="shared" si="59"/>
        <v>0</v>
      </c>
      <c r="X47" s="55">
        <v>0</v>
      </c>
      <c r="Y47" s="55" t="e">
        <v>#N/A</v>
      </c>
      <c r="Z47" s="56" t="e">
        <f t="shared" si="65"/>
        <v>#N/A</v>
      </c>
      <c r="AA47" s="55" t="e">
        <v>#N/A</v>
      </c>
      <c r="AB47" s="55">
        <f t="shared" si="61"/>
        <v>0</v>
      </c>
      <c r="AC47" s="55">
        <v>0</v>
      </c>
      <c r="AD47" s="55">
        <v>-6.4803224358974303</v>
      </c>
      <c r="AE47" s="55">
        <v>0</v>
      </c>
      <c r="AF47" s="55" t="e">
        <v>#N/A</v>
      </c>
    </row>
    <row r="48" spans="1:32" s="57" customFormat="1" ht="15.75" customHeight="1">
      <c r="A48" s="2" t="s">
        <v>115</v>
      </c>
      <c r="B48" s="2"/>
      <c r="C48" s="51" t="str">
        <f t="shared" si="50"/>
        <v xml:space="preserve"> - </v>
      </c>
      <c r="D48" s="51">
        <v>0</v>
      </c>
      <c r="E48" s="51">
        <v>0</v>
      </c>
      <c r="F48" s="51">
        <v>0</v>
      </c>
      <c r="G48" s="51">
        <v>0</v>
      </c>
      <c r="H48" s="51" t="e">
        <f t="shared" si="51"/>
        <v>#DIV/0!</v>
      </c>
      <c r="I48" s="51" t="e">
        <f t="shared" si="52"/>
        <v>#DIV/0!</v>
      </c>
      <c r="J48" s="51">
        <f t="shared" si="53"/>
        <v>0</v>
      </c>
      <c r="K48" s="51" t="e">
        <f t="shared" si="54"/>
        <v>#DIV/0!</v>
      </c>
      <c r="L48" s="51">
        <v>0</v>
      </c>
      <c r="M48" s="51" t="str">
        <f t="shared" si="55"/>
        <v>-</v>
      </c>
      <c r="N48" s="51">
        <v>0</v>
      </c>
      <c r="O48" s="51">
        <f t="shared" ref="O48:P48" si="69">D48/7</f>
        <v>0</v>
      </c>
      <c r="P48" s="51">
        <f t="shared" si="69"/>
        <v>0</v>
      </c>
      <c r="Q48" s="51" t="e">
        <f t="shared" si="57"/>
        <v>#DIV/0!</v>
      </c>
      <c r="R48" s="55">
        <f ca="1">IFERROR(__xludf.DUMMYFUNCTION("IFERROR(VLOOKUP($B$2,IMPORTRANGE(""https://docs.google.com/spreadsheets/d/1iVgg6Mw12RULLujzHmfOFIY8Q_KaAD8anoZzgtVAQ74/edit#gid=1503384807"",""Second Star - Summary!A1:AD2000""),9,FALSE),"""")"),224)</f>
        <v>224</v>
      </c>
      <c r="S48" s="53">
        <f ca="1">IFERROR(__xludf.DUMMYFUNCTION("IFERROR(VLOOKUP($B$2,IMPORTRANGE(""https://docs.google.com/spreadsheets/d/1iVgg6Mw12RULLujzHmfOFIY8Q_KaAD8anoZzgtVAQ74/edit#gid=1503384807"",""Second Star - Summary!A1:AD2000""),28,FALSE),"""")"),80)</f>
        <v>80</v>
      </c>
      <c r="T48" s="54">
        <f ca="1">IFERROR(__xludf.DUMMYFUNCTION("IFERROR(VLOOKUP($B$2,IMPORTRANGE(""https://docs.google.com/spreadsheets/d/1iVgg6Mw12RULLujzHmfOFIY8Q_KaAD8anoZzgtVAQ74/edit#gid=1503384807"",""Second Star - Summary!A1:AD2000""),29,FALSE),"""")"),44339)</f>
        <v>44339</v>
      </c>
      <c r="U48" s="55">
        <v>0</v>
      </c>
      <c r="V48" s="55">
        <f t="shared" si="58"/>
        <v>0</v>
      </c>
      <c r="W48" s="55">
        <f t="shared" si="59"/>
        <v>0</v>
      </c>
      <c r="X48" s="55">
        <v>0</v>
      </c>
      <c r="Y48" s="55" t="e">
        <v>#N/A</v>
      </c>
      <c r="Z48" s="56" t="e">
        <f t="shared" si="65"/>
        <v>#N/A</v>
      </c>
      <c r="AA48" s="55" t="e">
        <v>#N/A</v>
      </c>
      <c r="AB48" s="55">
        <f t="shared" si="61"/>
        <v>0</v>
      </c>
      <c r="AC48" s="55">
        <v>0</v>
      </c>
      <c r="AD48" s="55">
        <v>-6.4803224358974303</v>
      </c>
      <c r="AE48" s="55">
        <v>0</v>
      </c>
      <c r="AF48" s="55" t="e">
        <v>#N/A</v>
      </c>
    </row>
    <row r="49" spans="1:32" s="57" customFormat="1" ht="15.75" customHeight="1">
      <c r="A49" s="2" t="s">
        <v>117</v>
      </c>
      <c r="B49" s="2"/>
      <c r="C49" s="51" t="str">
        <f t="shared" si="50"/>
        <v xml:space="preserve"> - </v>
      </c>
      <c r="D49" s="51">
        <v>0</v>
      </c>
      <c r="E49" s="51">
        <v>0</v>
      </c>
      <c r="F49" s="51">
        <v>0</v>
      </c>
      <c r="G49" s="51">
        <v>0</v>
      </c>
      <c r="H49" s="51" t="e">
        <f t="shared" si="51"/>
        <v>#DIV/0!</v>
      </c>
      <c r="I49" s="51" t="e">
        <f t="shared" si="52"/>
        <v>#DIV/0!</v>
      </c>
      <c r="J49" s="51">
        <f t="shared" ref="J49:J56" si="70">F49*0.85+G49+AD49*D49+D49*AC49+AE49+AB49</f>
        <v>0</v>
      </c>
      <c r="K49" s="51" t="e">
        <f t="shared" si="54"/>
        <v>#DIV/0!</v>
      </c>
      <c r="L49" s="51">
        <v>0</v>
      </c>
      <c r="M49" s="51" t="str">
        <f t="shared" si="55"/>
        <v>-</v>
      </c>
      <c r="N49" s="51">
        <v>0</v>
      </c>
      <c r="O49" s="51">
        <f t="shared" ref="O49:P49" si="71">D49/7</f>
        <v>0</v>
      </c>
      <c r="P49" s="51">
        <f t="shared" si="71"/>
        <v>0</v>
      </c>
      <c r="Q49" s="51" t="e">
        <f t="shared" si="57"/>
        <v>#DIV/0!</v>
      </c>
      <c r="R49" s="55">
        <f ca="1">IFERROR(__xludf.DUMMYFUNCTION("IFERROR(VLOOKUP($B$2,IMPORTRANGE(""https://docs.google.com/spreadsheets/d/1iVgg6Mw12RULLujzHmfOFIY8Q_KaAD8anoZzgtVAQ74/edit#gid=1503384807"",""Second Star - Summary!A1:AD2000""),9,FALSE),"""")"),224)</f>
        <v>224</v>
      </c>
      <c r="S49" s="53">
        <f ca="1">IFERROR(__xludf.DUMMYFUNCTION("IFERROR(VLOOKUP($B$2,IMPORTRANGE(""https://docs.google.com/spreadsheets/d/1iVgg6Mw12RULLujzHmfOFIY8Q_KaAD8anoZzgtVAQ74/edit#gid=1503384807"",""Second Star - Summary!A1:AD2000""),28,FALSE),"""")"),80)</f>
        <v>80</v>
      </c>
      <c r="T49" s="54">
        <f ca="1">IFERROR(__xludf.DUMMYFUNCTION("IFERROR(VLOOKUP($B$2,IMPORTRANGE(""https://docs.google.com/spreadsheets/d/1iVgg6Mw12RULLujzHmfOFIY8Q_KaAD8anoZzgtVAQ74/edit#gid=1503384807"",""Second Star - Summary!A1:AD2000""),29,FALSE),"""")"),44339)</f>
        <v>44339</v>
      </c>
      <c r="U49" s="55">
        <v>0</v>
      </c>
      <c r="V49" s="55">
        <f t="shared" si="58"/>
        <v>0</v>
      </c>
      <c r="W49" s="55">
        <f t="shared" si="59"/>
        <v>0</v>
      </c>
      <c r="X49" s="55">
        <v>0</v>
      </c>
      <c r="Y49" s="55" t="e">
        <v>#N/A</v>
      </c>
      <c r="Z49" s="56" t="e">
        <f t="shared" si="65"/>
        <v>#N/A</v>
      </c>
      <c r="AA49" s="55" t="e">
        <v>#N/A</v>
      </c>
      <c r="AB49" s="55">
        <f t="shared" si="61"/>
        <v>0</v>
      </c>
      <c r="AC49" s="55">
        <v>0</v>
      </c>
      <c r="AD49" s="55">
        <v>-6.4803224358974303</v>
      </c>
      <c r="AE49" s="55"/>
      <c r="AF49" s="55" t="e">
        <v>#N/A</v>
      </c>
    </row>
    <row r="50" spans="1:32" s="57" customFormat="1" ht="15.75" customHeight="1">
      <c r="A50" s="2" t="s">
        <v>119</v>
      </c>
      <c r="B50" s="2"/>
      <c r="C50" s="51" t="str">
        <f t="shared" si="50"/>
        <v xml:space="preserve"> - </v>
      </c>
      <c r="D50" s="51">
        <v>0</v>
      </c>
      <c r="E50" s="51">
        <v>0</v>
      </c>
      <c r="F50" s="51">
        <v>0</v>
      </c>
      <c r="G50" s="51">
        <v>0</v>
      </c>
      <c r="H50" s="51" t="e">
        <f t="shared" si="51"/>
        <v>#DIV/0!</v>
      </c>
      <c r="I50" s="51" t="e">
        <f t="shared" si="52"/>
        <v>#DIV/0!</v>
      </c>
      <c r="J50" s="51">
        <f t="shared" si="70"/>
        <v>0</v>
      </c>
      <c r="K50" s="51" t="e">
        <f t="shared" si="54"/>
        <v>#DIV/0!</v>
      </c>
      <c r="L50" s="51">
        <v>0</v>
      </c>
      <c r="M50" s="51" t="str">
        <f t="shared" si="55"/>
        <v>-</v>
      </c>
      <c r="N50" s="51">
        <v>0</v>
      </c>
      <c r="O50" s="51">
        <f t="shared" ref="O50:P50" si="72">D50/7</f>
        <v>0</v>
      </c>
      <c r="P50" s="51">
        <f t="shared" si="72"/>
        <v>0</v>
      </c>
      <c r="Q50" s="51" t="e">
        <f t="shared" si="57"/>
        <v>#DIV/0!</v>
      </c>
      <c r="R50" s="55">
        <f ca="1">IFERROR(__xludf.DUMMYFUNCTION("IFERROR(VLOOKUP($B$2,IMPORTRANGE(""https://docs.google.com/spreadsheets/d/1iVgg6Mw12RULLujzHmfOFIY8Q_KaAD8anoZzgtVAQ74/edit#gid=1503384807"",""Second Star - Summary!A1:AD2000""),9,FALSE),"""")"),224)</f>
        <v>224</v>
      </c>
      <c r="S50" s="53">
        <f ca="1">IFERROR(__xludf.DUMMYFUNCTION("IFERROR(VLOOKUP($B$2,IMPORTRANGE(""https://docs.google.com/spreadsheets/d/1iVgg6Mw12RULLujzHmfOFIY8Q_KaAD8anoZzgtVAQ74/edit#gid=1503384807"",""Second Star - Summary!A1:AD2000""),28,FALSE),"""")"),80)</f>
        <v>80</v>
      </c>
      <c r="T50" s="54">
        <f ca="1">IFERROR(__xludf.DUMMYFUNCTION("IFERROR(VLOOKUP($B$2,IMPORTRANGE(""https://docs.google.com/spreadsheets/d/1iVgg6Mw12RULLujzHmfOFIY8Q_KaAD8anoZzgtVAQ74/edit#gid=1503384807"",""Second Star - Summary!A1:AD2000""),29,FALSE),"""")"),44339)</f>
        <v>44339</v>
      </c>
      <c r="U50" s="55">
        <v>0</v>
      </c>
      <c r="V50" s="55">
        <f t="shared" si="58"/>
        <v>0</v>
      </c>
      <c r="W50" s="55">
        <f t="shared" si="59"/>
        <v>0</v>
      </c>
      <c r="X50" s="55">
        <v>0</v>
      </c>
      <c r="Y50" s="55" t="e">
        <v>#N/A</v>
      </c>
      <c r="Z50" s="56" t="e">
        <f t="shared" si="65"/>
        <v>#N/A</v>
      </c>
      <c r="AA50" s="55" t="e">
        <v>#N/A</v>
      </c>
      <c r="AB50" s="55">
        <f t="shared" si="61"/>
        <v>0</v>
      </c>
      <c r="AC50" s="55">
        <v>0</v>
      </c>
      <c r="AD50" s="55">
        <v>-6.4803224358974303</v>
      </c>
      <c r="AE50" s="55">
        <v>0</v>
      </c>
      <c r="AF50" s="55" t="e">
        <v>#N/A</v>
      </c>
    </row>
    <row r="51" spans="1:32" s="57" customFormat="1" ht="15.75" customHeight="1">
      <c r="A51" s="2" t="s">
        <v>121</v>
      </c>
      <c r="B51" s="2"/>
      <c r="C51" s="51" t="str">
        <f t="shared" si="50"/>
        <v xml:space="preserve"> - </v>
      </c>
      <c r="D51" s="51">
        <v>0</v>
      </c>
      <c r="E51" s="51">
        <v>0</v>
      </c>
      <c r="F51" s="51">
        <v>0</v>
      </c>
      <c r="G51" s="51">
        <v>0</v>
      </c>
      <c r="H51" s="51" t="e">
        <f t="shared" si="51"/>
        <v>#DIV/0!</v>
      </c>
      <c r="I51" s="51" t="e">
        <f t="shared" si="52"/>
        <v>#DIV/0!</v>
      </c>
      <c r="J51" s="51">
        <f t="shared" si="70"/>
        <v>0</v>
      </c>
      <c r="K51" s="51" t="e">
        <f t="shared" si="54"/>
        <v>#DIV/0!</v>
      </c>
      <c r="L51" s="51">
        <v>0</v>
      </c>
      <c r="M51" s="51" t="str">
        <f t="shared" si="55"/>
        <v>-</v>
      </c>
      <c r="N51" s="51">
        <v>0</v>
      </c>
      <c r="O51" s="51">
        <f t="shared" ref="O51:P51" si="73">D51/7</f>
        <v>0</v>
      </c>
      <c r="P51" s="51">
        <f t="shared" si="73"/>
        <v>0</v>
      </c>
      <c r="Q51" s="51" t="e">
        <f t="shared" si="57"/>
        <v>#DIV/0!</v>
      </c>
      <c r="R51" s="55">
        <f ca="1">IFERROR(__xludf.DUMMYFUNCTION("IFERROR(VLOOKUP($B$2,IMPORTRANGE(""https://docs.google.com/spreadsheets/d/1iVgg6Mw12RULLujzHmfOFIY8Q_KaAD8anoZzgtVAQ74/edit#gid=1503384807"",""Second Star - Summary!A1:AD2000""),9,FALSE),"""")"),224)</f>
        <v>224</v>
      </c>
      <c r="S51" s="53">
        <f ca="1">IFERROR(__xludf.DUMMYFUNCTION("IFERROR(VLOOKUP($B$2,IMPORTRANGE(""https://docs.google.com/spreadsheets/d/1iVgg6Mw12RULLujzHmfOFIY8Q_KaAD8anoZzgtVAQ74/edit#gid=1503384807"",""Second Star - Summary!A1:AD2000""),28,FALSE),"""")"),80)</f>
        <v>80</v>
      </c>
      <c r="T51" s="54">
        <f ca="1">IFERROR(__xludf.DUMMYFUNCTION("IFERROR(VLOOKUP($B$2,IMPORTRANGE(""https://docs.google.com/spreadsheets/d/1iVgg6Mw12RULLujzHmfOFIY8Q_KaAD8anoZzgtVAQ74/edit#gid=1503384807"",""Second Star - Summary!A1:AD2000""),29,FALSE),"""")"),44339)</f>
        <v>44339</v>
      </c>
      <c r="U51" s="55">
        <v>0</v>
      </c>
      <c r="V51" s="55">
        <f t="shared" si="58"/>
        <v>0</v>
      </c>
      <c r="W51" s="55">
        <f t="shared" si="59"/>
        <v>0</v>
      </c>
      <c r="X51" s="55">
        <v>0</v>
      </c>
      <c r="Y51" s="55" t="e">
        <v>#N/A</v>
      </c>
      <c r="Z51" s="56" t="e">
        <f t="shared" si="65"/>
        <v>#N/A</v>
      </c>
      <c r="AA51" s="55" t="e">
        <v>#N/A</v>
      </c>
      <c r="AB51" s="55">
        <f t="shared" si="61"/>
        <v>0</v>
      </c>
      <c r="AC51" s="55">
        <v>0</v>
      </c>
      <c r="AD51" s="55">
        <v>-6.4803224358974303</v>
      </c>
      <c r="AE51" s="55">
        <v>0</v>
      </c>
      <c r="AF51" s="55" t="e">
        <v>#N/A</v>
      </c>
    </row>
    <row r="52" spans="1:32" s="57" customFormat="1" ht="15.75" customHeight="1">
      <c r="A52" s="2" t="s">
        <v>123</v>
      </c>
      <c r="B52" s="2"/>
      <c r="C52" s="51" t="str">
        <f t="shared" si="50"/>
        <v xml:space="preserve"> - </v>
      </c>
      <c r="D52" s="51">
        <v>0</v>
      </c>
      <c r="E52" s="51">
        <v>0</v>
      </c>
      <c r="F52" s="51">
        <v>0</v>
      </c>
      <c r="G52" s="51">
        <v>0</v>
      </c>
      <c r="H52" s="51" t="e">
        <f t="shared" si="51"/>
        <v>#DIV/0!</v>
      </c>
      <c r="I52" s="51" t="e">
        <f t="shared" si="52"/>
        <v>#DIV/0!</v>
      </c>
      <c r="J52" s="51">
        <f t="shared" si="70"/>
        <v>0</v>
      </c>
      <c r="K52" s="51" t="e">
        <f t="shared" si="54"/>
        <v>#DIV/0!</v>
      </c>
      <c r="L52" s="51">
        <v>0</v>
      </c>
      <c r="M52" s="51" t="str">
        <f t="shared" si="55"/>
        <v>-</v>
      </c>
      <c r="N52" s="51">
        <v>0</v>
      </c>
      <c r="O52" s="51">
        <f t="shared" ref="O52:P52" si="74">D52/7</f>
        <v>0</v>
      </c>
      <c r="P52" s="51">
        <f t="shared" si="74"/>
        <v>0</v>
      </c>
      <c r="Q52" s="51" t="e">
        <f t="shared" si="57"/>
        <v>#DIV/0!</v>
      </c>
      <c r="R52" s="55">
        <f ca="1">IFERROR(__xludf.DUMMYFUNCTION("IFERROR(VLOOKUP($B$2,IMPORTRANGE(""https://docs.google.com/spreadsheets/d/1iVgg6Mw12RULLujzHmfOFIY8Q_KaAD8anoZzgtVAQ74/edit#gid=1503384807"",""Second Star - Summary!A1:AD2000""),9,FALSE),"""")"),224)</f>
        <v>224</v>
      </c>
      <c r="S52" s="53">
        <f ca="1">IFERROR(__xludf.DUMMYFUNCTION("IFERROR(VLOOKUP($B$2,IMPORTRANGE(""https://docs.google.com/spreadsheets/d/1iVgg6Mw12RULLujzHmfOFIY8Q_KaAD8anoZzgtVAQ74/edit#gid=1503384807"",""Second Star - Summary!A1:AD2000""),28,FALSE),"""")"),80)</f>
        <v>80</v>
      </c>
      <c r="T52" s="54">
        <f ca="1">IFERROR(__xludf.DUMMYFUNCTION("IFERROR(VLOOKUP($B$2,IMPORTRANGE(""https://docs.google.com/spreadsheets/d/1iVgg6Mw12RULLujzHmfOFIY8Q_KaAD8anoZzgtVAQ74/edit#gid=1503384807"",""Second Star - Summary!A1:AD2000""),29,FALSE),"""")"),44339)</f>
        <v>44339</v>
      </c>
      <c r="U52" s="55">
        <v>0</v>
      </c>
      <c r="V52" s="55">
        <f t="shared" si="58"/>
        <v>0</v>
      </c>
      <c r="W52" s="55">
        <f t="shared" si="59"/>
        <v>0</v>
      </c>
      <c r="X52" s="55">
        <v>0</v>
      </c>
      <c r="Y52" s="55" t="e">
        <v>#N/A</v>
      </c>
      <c r="Z52" s="56" t="e">
        <f t="shared" si="65"/>
        <v>#N/A</v>
      </c>
      <c r="AA52" s="55" t="e">
        <v>#N/A</v>
      </c>
      <c r="AB52" s="55">
        <f t="shared" si="61"/>
        <v>0</v>
      </c>
      <c r="AC52" s="55">
        <v>0</v>
      </c>
      <c r="AD52" s="55">
        <v>-6.4803224358974303</v>
      </c>
      <c r="AE52" s="55">
        <v>0</v>
      </c>
      <c r="AF52" s="55">
        <v>0</v>
      </c>
    </row>
    <row r="53" spans="1:32" s="57" customFormat="1">
      <c r="A53" s="2" t="s">
        <v>38</v>
      </c>
      <c r="B53" s="2"/>
      <c r="C53" s="51" t="str">
        <f t="shared" si="50"/>
        <v xml:space="preserve"> - </v>
      </c>
      <c r="D53" s="51">
        <v>0</v>
      </c>
      <c r="E53" s="51">
        <v>0</v>
      </c>
      <c r="F53" s="51">
        <v>0</v>
      </c>
      <c r="G53" s="51">
        <v>0</v>
      </c>
      <c r="H53" s="51" t="e">
        <f t="shared" si="51"/>
        <v>#DIV/0!</v>
      </c>
      <c r="I53" s="51" t="e">
        <f t="shared" si="52"/>
        <v>#DIV/0!</v>
      </c>
      <c r="J53" s="51">
        <f t="shared" si="70"/>
        <v>0</v>
      </c>
      <c r="K53" s="51" t="e">
        <f t="shared" si="54"/>
        <v>#DIV/0!</v>
      </c>
      <c r="L53" s="51">
        <v>0</v>
      </c>
      <c r="M53" s="51" t="str">
        <f t="shared" si="55"/>
        <v>-</v>
      </c>
      <c r="N53" s="51">
        <v>0</v>
      </c>
      <c r="O53" s="51">
        <f t="shared" ref="O53:P53" si="75">D53/7</f>
        <v>0</v>
      </c>
      <c r="P53" s="51">
        <f t="shared" si="75"/>
        <v>0</v>
      </c>
      <c r="Q53" s="51" t="e">
        <f t="shared" si="57"/>
        <v>#DIV/0!</v>
      </c>
      <c r="R53" s="55">
        <f ca="1">IFERROR(__xludf.DUMMYFUNCTION("IFERROR(VLOOKUP($B$2,IMPORTRANGE(""https://docs.google.com/spreadsheets/d/1iVgg6Mw12RULLujzHmfOFIY8Q_KaAD8anoZzgtVAQ74/edit#gid=1503384807"",""Second Star - Summary!A1:AD2000""),9,FALSE),"""")"),224)</f>
        <v>224</v>
      </c>
      <c r="S53" s="53">
        <f ca="1">IFERROR(__xludf.DUMMYFUNCTION("IFERROR(VLOOKUP($B$2,IMPORTRANGE(""https://docs.google.com/spreadsheets/d/1iVgg6Mw12RULLujzHmfOFIY8Q_KaAD8anoZzgtVAQ74/edit#gid=1503384807"",""Second Star - Summary!A1:AD2000""),28,FALSE),"""")"),80)</f>
        <v>80</v>
      </c>
      <c r="T53" s="54">
        <f ca="1">IFERROR(__xludf.DUMMYFUNCTION("IFERROR(VLOOKUP($B$2,IMPORTRANGE(""https://docs.google.com/spreadsheets/d/1iVgg6Mw12RULLujzHmfOFIY8Q_KaAD8anoZzgtVAQ74/edit#gid=1503384807"",""Second Star - Summary!A1:AD2000""),29,FALSE),"""")"),44339)</f>
        <v>44339</v>
      </c>
      <c r="U53" s="55">
        <v>0</v>
      </c>
      <c r="V53" s="55">
        <f t="shared" si="58"/>
        <v>0</v>
      </c>
      <c r="W53" s="55">
        <f t="shared" si="59"/>
        <v>0</v>
      </c>
      <c r="X53" s="55">
        <v>0</v>
      </c>
      <c r="Y53" s="55" t="e">
        <v>#N/A</v>
      </c>
      <c r="Z53" s="56" t="e">
        <f t="shared" si="65"/>
        <v>#N/A</v>
      </c>
      <c r="AA53" s="55" t="e">
        <v>#N/A</v>
      </c>
      <c r="AB53" s="55">
        <f t="shared" si="61"/>
        <v>0</v>
      </c>
      <c r="AC53" s="55">
        <v>0</v>
      </c>
      <c r="AD53" s="55">
        <v>-6.4803224358974303</v>
      </c>
      <c r="AE53" s="55">
        <v>0</v>
      </c>
      <c r="AF53" s="55">
        <v>0</v>
      </c>
    </row>
    <row r="54" spans="1:32" s="57" customFormat="1">
      <c r="A54" s="2" t="s">
        <v>40</v>
      </c>
      <c r="B54" s="2"/>
      <c r="C54" s="51" t="str">
        <f t="shared" si="50"/>
        <v xml:space="preserve"> - </v>
      </c>
      <c r="D54" s="51">
        <v>0</v>
      </c>
      <c r="E54" s="51">
        <v>0</v>
      </c>
      <c r="F54" s="51">
        <v>0</v>
      </c>
      <c r="G54" s="51">
        <v>0</v>
      </c>
      <c r="H54" s="51" t="e">
        <f t="shared" si="51"/>
        <v>#DIV/0!</v>
      </c>
      <c r="I54" s="51" t="e">
        <f t="shared" si="52"/>
        <v>#DIV/0!</v>
      </c>
      <c r="J54" s="51">
        <f t="shared" si="70"/>
        <v>0</v>
      </c>
      <c r="K54" s="51" t="e">
        <f t="shared" si="54"/>
        <v>#DIV/0!</v>
      </c>
      <c r="L54" s="51">
        <v>0</v>
      </c>
      <c r="M54" s="51" t="str">
        <f t="shared" si="55"/>
        <v>-</v>
      </c>
      <c r="N54" s="51">
        <v>0</v>
      </c>
      <c r="O54" s="51">
        <f t="shared" ref="O54:P54" si="76">D54/7</f>
        <v>0</v>
      </c>
      <c r="P54" s="51">
        <f t="shared" si="76"/>
        <v>0</v>
      </c>
      <c r="Q54" s="51" t="e">
        <f t="shared" si="57"/>
        <v>#DIV/0!</v>
      </c>
      <c r="R54" s="55">
        <f ca="1">IFERROR(__xludf.DUMMYFUNCTION("IFERROR(VLOOKUP($B$2,IMPORTRANGE(""https://docs.google.com/spreadsheets/d/1iVgg6Mw12RULLujzHmfOFIY8Q_KaAD8anoZzgtVAQ74/edit#gid=1503384807"",""Second Star - Summary!A1:AD2000""),9,FALSE),"""")"),224)</f>
        <v>224</v>
      </c>
      <c r="S54" s="53">
        <f ca="1">IFERROR(__xludf.DUMMYFUNCTION("IFERROR(VLOOKUP($B$2,IMPORTRANGE(""https://docs.google.com/spreadsheets/d/1iVgg6Mw12RULLujzHmfOFIY8Q_KaAD8anoZzgtVAQ74/edit#gid=1503384807"",""Second Star - Summary!A1:AD2000""),28,FALSE),"""")"),80)</f>
        <v>80</v>
      </c>
      <c r="T54" s="54">
        <f ca="1">IFERROR(__xludf.DUMMYFUNCTION("IFERROR(VLOOKUP($B$2,IMPORTRANGE(""https://docs.google.com/spreadsheets/d/1iVgg6Mw12RULLujzHmfOFIY8Q_KaAD8anoZzgtVAQ74/edit#gid=1503384807"",""Second Star - Summary!A1:AD2000""),29,FALSE),"""")"),44339)</f>
        <v>44339</v>
      </c>
      <c r="U54" s="55">
        <v>0</v>
      </c>
      <c r="V54" s="55">
        <f t="shared" si="58"/>
        <v>0</v>
      </c>
      <c r="W54" s="55">
        <f t="shared" si="59"/>
        <v>0</v>
      </c>
      <c r="X54" s="55">
        <v>0</v>
      </c>
      <c r="Y54" s="55" t="e">
        <v>#N/A</v>
      </c>
      <c r="Z54" s="56" t="e">
        <f t="shared" si="65"/>
        <v>#N/A</v>
      </c>
      <c r="AA54" s="55" t="e">
        <v>#N/A</v>
      </c>
      <c r="AB54" s="55">
        <f t="shared" si="61"/>
        <v>0</v>
      </c>
      <c r="AC54" s="55">
        <v>0</v>
      </c>
      <c r="AD54" s="55">
        <v>-6.4803224358974303</v>
      </c>
      <c r="AE54" s="55">
        <v>0</v>
      </c>
      <c r="AF54" s="55">
        <v>0</v>
      </c>
    </row>
    <row r="55" spans="1:32" s="57" customFormat="1" ht="15.75" customHeight="1">
      <c r="A55" s="2" t="s">
        <v>32</v>
      </c>
      <c r="B55" s="2"/>
      <c r="C55" s="51" t="str">
        <f t="shared" si="50"/>
        <v xml:space="preserve"> - </v>
      </c>
      <c r="D55" s="51">
        <v>0</v>
      </c>
      <c r="E55" s="51">
        <v>0</v>
      </c>
      <c r="F55" s="51">
        <v>0</v>
      </c>
      <c r="G55" s="51">
        <v>0</v>
      </c>
      <c r="H55" s="51" t="e">
        <f t="shared" si="51"/>
        <v>#DIV/0!</v>
      </c>
      <c r="I55" s="51" t="e">
        <f t="shared" si="52"/>
        <v>#DIV/0!</v>
      </c>
      <c r="J55" s="51">
        <f t="shared" si="70"/>
        <v>0</v>
      </c>
      <c r="K55" s="51" t="e">
        <f t="shared" si="54"/>
        <v>#DIV/0!</v>
      </c>
      <c r="L55" s="51">
        <v>0</v>
      </c>
      <c r="M55" s="51" t="str">
        <f t="shared" si="55"/>
        <v>-</v>
      </c>
      <c r="N55" s="51">
        <v>0</v>
      </c>
      <c r="O55" s="51">
        <f t="shared" ref="O55:P55" si="77">D55/7</f>
        <v>0</v>
      </c>
      <c r="P55" s="51">
        <f t="shared" si="77"/>
        <v>0</v>
      </c>
      <c r="Q55" s="51" t="e">
        <f t="shared" si="57"/>
        <v>#DIV/0!</v>
      </c>
      <c r="R55" s="55">
        <v>100</v>
      </c>
      <c r="S55" s="53" t="s">
        <v>34</v>
      </c>
      <c r="T55" s="54" t="s">
        <v>34</v>
      </c>
      <c r="U55" s="55">
        <v>0</v>
      </c>
      <c r="V55" s="55">
        <f t="shared" si="58"/>
        <v>0</v>
      </c>
      <c r="W55" s="55">
        <f t="shared" si="59"/>
        <v>0</v>
      </c>
      <c r="X55" s="55">
        <v>0</v>
      </c>
      <c r="Y55" s="55" t="e">
        <v>#N/A</v>
      </c>
      <c r="Z55" s="56" t="e">
        <f t="shared" si="65"/>
        <v>#N/A</v>
      </c>
      <c r="AA55" s="55" t="e">
        <v>#N/A</v>
      </c>
      <c r="AB55" s="55">
        <f t="shared" si="61"/>
        <v>0</v>
      </c>
      <c r="AC55" s="55">
        <v>0</v>
      </c>
      <c r="AD55" s="55">
        <v>-6.4803224358974303</v>
      </c>
      <c r="AE55" s="55">
        <v>0</v>
      </c>
      <c r="AF55" s="55" t="e">
        <v>#N/A</v>
      </c>
    </row>
    <row r="56" spans="1:32" s="57" customFormat="1" ht="15.75" customHeight="1">
      <c r="A56" s="2" t="s">
        <v>36</v>
      </c>
      <c r="B56" s="2"/>
      <c r="C56" s="51" t="str">
        <f t="shared" si="50"/>
        <v xml:space="preserve"> - </v>
      </c>
      <c r="D56" s="51">
        <v>0</v>
      </c>
      <c r="E56" s="51">
        <v>0</v>
      </c>
      <c r="F56" s="51">
        <v>0</v>
      </c>
      <c r="G56" s="51">
        <v>0</v>
      </c>
      <c r="H56" s="51" t="e">
        <f t="shared" si="51"/>
        <v>#DIV/0!</v>
      </c>
      <c r="I56" s="51" t="e">
        <f t="shared" si="52"/>
        <v>#DIV/0!</v>
      </c>
      <c r="J56" s="51">
        <f t="shared" si="70"/>
        <v>0</v>
      </c>
      <c r="K56" s="51" t="e">
        <f t="shared" si="54"/>
        <v>#DIV/0!</v>
      </c>
      <c r="L56" s="51">
        <v>0</v>
      </c>
      <c r="M56" s="51" t="str">
        <f t="shared" si="55"/>
        <v>-</v>
      </c>
      <c r="N56" s="51">
        <v>0</v>
      </c>
      <c r="O56" s="51">
        <f t="shared" ref="O56:P56" si="78">D56/7</f>
        <v>0</v>
      </c>
      <c r="P56" s="51">
        <f t="shared" si="78"/>
        <v>0</v>
      </c>
      <c r="Q56" s="51" t="e">
        <f t="shared" si="57"/>
        <v>#DIV/0!</v>
      </c>
      <c r="R56" s="55">
        <f ca="1">IFERROR(__xludf.DUMMYFUNCTION("IFERROR(VLOOKUP($B$2,IMPORTRANGE(""https://docs.google.com/spreadsheets/d/1iVgg6Mw12RULLujzHmfOFIY8Q_KaAD8anoZzgtVAQ74/edit#gid=1503384807"",""Second Star - Summary!A1:AD2000""),9,FALSE),"""")"),224)</f>
        <v>224</v>
      </c>
      <c r="S56" s="53">
        <f ca="1">IFERROR(__xludf.DUMMYFUNCTION("IFERROR(VLOOKUP($B$2,IMPORTRANGE(""https://docs.google.com/spreadsheets/d/1iVgg6Mw12RULLujzHmfOFIY8Q_KaAD8anoZzgtVAQ74/edit#gid=1503384807"",""Second Star - Summary!A1:AD2000""),28,FALSE),"""")"),80)</f>
        <v>80</v>
      </c>
      <c r="T56" s="54">
        <f ca="1">IFERROR(__xludf.DUMMYFUNCTION("IFERROR(VLOOKUP($B$2,IMPORTRANGE(""https://docs.google.com/spreadsheets/d/1iVgg6Mw12RULLujzHmfOFIY8Q_KaAD8anoZzgtVAQ74/edit#gid=1503384807"",""Second Star - Summary!A1:AD2000""),29,FALSE),"""")"),44339)</f>
        <v>44339</v>
      </c>
      <c r="U56" s="55">
        <v>0</v>
      </c>
      <c r="V56" s="55">
        <f t="shared" si="58"/>
        <v>0</v>
      </c>
      <c r="W56" s="55">
        <f t="shared" si="59"/>
        <v>0</v>
      </c>
      <c r="X56" s="55">
        <v>0</v>
      </c>
      <c r="Y56" s="55" t="e">
        <v>#N/A</v>
      </c>
      <c r="Z56" s="56" t="e">
        <f t="shared" si="65"/>
        <v>#N/A</v>
      </c>
      <c r="AA56" s="55" t="e">
        <v>#N/A</v>
      </c>
      <c r="AB56" s="55">
        <f t="shared" si="61"/>
        <v>0</v>
      </c>
      <c r="AC56" s="55">
        <v>0</v>
      </c>
      <c r="AD56" s="55">
        <v>-6.4803224358974303</v>
      </c>
      <c r="AE56" s="55">
        <v>0</v>
      </c>
      <c r="AF56" s="55" t="e">
        <v>#N/A</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117" priority="1" operator="lessThan">
      <formula>100</formula>
    </cfRule>
  </conditionalFormatting>
  <conditionalFormatting sqref="Q1:Q3 Q57:Q1000">
    <cfRule type="cellIs" dxfId="116" priority="2" operator="lessThan">
      <formula>100</formula>
    </cfRule>
  </conditionalFormatting>
  <conditionalFormatting sqref="I1:I3 I57:I1000">
    <cfRule type="cellIs" dxfId="115" priority="3" operator="lessThan">
      <formula>0.05</formula>
    </cfRule>
  </conditionalFormatting>
  <conditionalFormatting sqref="I4:I17">
    <cfRule type="cellIs" dxfId="114" priority="4" operator="lessThan">
      <formula>0.05</formula>
    </cfRule>
  </conditionalFormatting>
  <conditionalFormatting sqref="I18:I56">
    <cfRule type="cellIs" dxfId="113" priority="5" operator="lessThan">
      <formula>0.05</formula>
    </cfRule>
  </conditionalFormatting>
  <conditionalFormatting sqref="Q4:Q56">
    <cfRule type="cellIs" dxfId="112" priority="6" operator="lessThan">
      <formula>100</formula>
    </cfRule>
  </conditionalFormatting>
  <conditionalFormatting sqref="Q4:Q56">
    <cfRule type="cellIs" dxfId="111" priority="7" operator="lessThan">
      <formula>100</formula>
    </cfRule>
  </conditionalFormatting>
  <pageMargins left="0.7" right="0.7" top="0.75" bottom="0.75" header="0" footer="0"/>
  <pageSetup orientation="portrait"/>
  <legacyDrawing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8.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Info!B1:BJ5000""),4,FALSE),"""")"),"Corn Filled Cornhole Bean Bags - Set of 8 Bags for Corn Hole Toss Game - Regulation Size &amp; Weight - 4 Royal Blue and 4 Gray")</f>
        <v>Corn Filled Cornhole Bean Bags - Set of 8 Bags for Corn Hole Toss Game - Regulation Size &amp; Weight - 4 Royal Blue and 4 Gray</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Info!B1:BJ5000""),3,FALSE),"""")"),"B07VQW7M26")</f>
        <v>B07VQW7M26</v>
      </c>
      <c r="B2" s="4" t="s">
        <v>1103</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7.6239087481146237</v>
      </c>
      <c r="D3" s="8">
        <f>SUM(D4:D99819)</f>
        <v>142</v>
      </c>
      <c r="E3" s="8"/>
      <c r="F3" s="9">
        <f t="shared" ref="F3:G3" si="0">SUM(F4:F99819)</f>
        <v>2658.8900000000003</v>
      </c>
      <c r="G3" s="9">
        <f t="shared" si="0"/>
        <v>-25.089999999999996</v>
      </c>
      <c r="H3" s="10">
        <f t="shared" ref="H3:H39" si="1">G3/F3*-1</f>
        <v>9.4362685180658067E-3</v>
      </c>
      <c r="I3" s="11">
        <f t="shared" ref="I3:I39" si="2">J3/F3</f>
        <v>6.8195144425217749E-2</v>
      </c>
      <c r="J3" s="9">
        <f>SUM(J4:J99819)</f>
        <v>181.32338756076726</v>
      </c>
      <c r="K3" s="9">
        <f t="shared" ref="K3:K39" si="3">J3/D3</f>
        <v>1.2769252645124456</v>
      </c>
      <c r="L3" s="8"/>
      <c r="M3" s="12"/>
      <c r="N3" s="13"/>
      <c r="O3" s="8" t="str">
        <f ca="1">IFERROR(__xludf.DUMMYFUNCTION("IFERROR(VLOOKUP(B2,IMPORTRANGE(""https://docs.google.com/spreadsheets/d/1owCo6kL_VFQ5nPTdNogErmCBLjNiktT1m3SzTrxu3R0/edit#gid=2146806407"",""Second Star - Compiled!b1:g5000""),2,FALSE),"""")"),"1 - March
1 - April
1 - May
1 - Jun
1 - Jul
1 - Aug
1 - Sept
1 - Oct
1 - Nov
1 - Dec
1 - Jan
1 - Feb")</f>
        <v>1 - March
1 - April
1 - May
1 - Jun
1 - Jul
1 - Aug
1 - Sept
1 - Oct
1 - Nov
1 - Dec
1 - Jan
1 - Feb</v>
      </c>
      <c r="P3" s="8"/>
      <c r="Q3" s="14"/>
      <c r="R3" s="13"/>
      <c r="S3" s="13"/>
      <c r="T3" s="13"/>
      <c r="U3" s="8">
        <f>SUM(U4:U99819)</f>
        <v>3</v>
      </c>
      <c r="V3" s="10">
        <f>AVERAGE(V4:V99819)</f>
        <v>1.3477088948787061E-3</v>
      </c>
      <c r="W3" s="9">
        <f>ROUND(AVERAGE(W4:W99819),2)</f>
        <v>0.34</v>
      </c>
      <c r="X3" s="8"/>
      <c r="Y3" s="8"/>
      <c r="Z3" s="8"/>
      <c r="AA3" s="8"/>
      <c r="AB3" s="8"/>
      <c r="AC3" s="15"/>
      <c r="AD3" s="9"/>
      <c r="AE3" s="9">
        <f>SUM(AE4:AE99819)</f>
        <v>0</v>
      </c>
      <c r="AF3" s="16"/>
    </row>
    <row r="4" spans="1:32" s="57" customFormat="1">
      <c r="A4" s="17" t="s">
        <v>48</v>
      </c>
      <c r="B4" s="2" t="s">
        <v>810</v>
      </c>
      <c r="C4" s="50">
        <v>17.989999999999998</v>
      </c>
      <c r="D4" s="51">
        <v>6</v>
      </c>
      <c r="E4" s="51">
        <v>0</v>
      </c>
      <c r="F4" s="51">
        <v>107.93999999999998</v>
      </c>
      <c r="G4" s="51">
        <v>0</v>
      </c>
      <c r="H4" s="51">
        <f t="shared" si="1"/>
        <v>0</v>
      </c>
      <c r="I4" s="51">
        <f t="shared" si="2"/>
        <v>7.5545930397504957E-2</v>
      </c>
      <c r="J4" s="51">
        <f t="shared" ref="J4:J38" si="4">F4*0.85+G4+AD4*D4+D4*AC4+AE4+AB4</f>
        <v>8.1544277271066843</v>
      </c>
      <c r="K4" s="51">
        <f t="shared" si="3"/>
        <v>1.359071287851114</v>
      </c>
      <c r="L4" s="51">
        <v>8</v>
      </c>
      <c r="M4" s="51">
        <f t="shared" ref="M4:M39" si="5">IFERROR(D4/L4,"-")</f>
        <v>0.75</v>
      </c>
      <c r="N4" s="51">
        <v>41</v>
      </c>
      <c r="O4" s="51">
        <f t="shared" ref="O4:P4" si="6">D4/7</f>
        <v>0.8571428571428571</v>
      </c>
      <c r="P4" s="51">
        <f t="shared" si="6"/>
        <v>0</v>
      </c>
      <c r="Q4" s="51">
        <f t="shared" ref="Q4:Q39" si="7">ROUNDDOWN(N4/(O4+P4),0)</f>
        <v>47</v>
      </c>
      <c r="R4" s="52">
        <v>352</v>
      </c>
      <c r="S4" s="53">
        <v>100</v>
      </c>
      <c r="T4" s="54">
        <v>43876</v>
      </c>
      <c r="U4" s="52">
        <v>0</v>
      </c>
      <c r="V4" s="55">
        <f t="shared" ref="V4:V39" si="8">IFERROR(U4/D4,0)</f>
        <v>0</v>
      </c>
      <c r="W4" s="55">
        <f t="shared" ref="W4:W39" si="9">IFERROR(G4/(U4+X4)*-1,0)</f>
        <v>0</v>
      </c>
      <c r="X4" s="52">
        <v>0</v>
      </c>
      <c r="Y4" s="56" t="s">
        <v>35</v>
      </c>
      <c r="Z4" s="56">
        <f t="shared" ref="Z4:Z10" si="10">IF(OR(Y4="UsLargeStandardSize",Y4="UsSmallStandardSize"),-0.69,-0.48)</f>
        <v>-0.69</v>
      </c>
      <c r="AA4" s="55">
        <v>0.24781020254629632</v>
      </c>
      <c r="AB4" s="55">
        <f t="shared" ref="AB4:AB17" si="11">IFERROR((Z4*AA4*N4)/4,0)</f>
        <v>-1.7526376575086808</v>
      </c>
      <c r="AC4" s="55">
        <v>-7.16</v>
      </c>
      <c r="AD4" s="55">
        <v>-6.4803224358974356</v>
      </c>
      <c r="AE4" s="55">
        <v>0</v>
      </c>
      <c r="AF4" s="55"/>
    </row>
    <row r="5" spans="1:32" s="57" customFormat="1" ht="15.75" customHeight="1">
      <c r="A5" s="2" t="s">
        <v>49</v>
      </c>
      <c r="B5" s="2" t="s">
        <v>810</v>
      </c>
      <c r="C5" s="51">
        <v>17.989999999999998</v>
      </c>
      <c r="D5" s="51">
        <v>5</v>
      </c>
      <c r="E5" s="51">
        <v>0</v>
      </c>
      <c r="F5" s="51">
        <v>89.949999999999989</v>
      </c>
      <c r="G5" s="51">
        <v>0</v>
      </c>
      <c r="H5" s="51">
        <f t="shared" si="1"/>
        <v>0</v>
      </c>
      <c r="I5" s="51">
        <f t="shared" si="2"/>
        <v>7.3724201698964237E-2</v>
      </c>
      <c r="J5" s="51">
        <f t="shared" si="4"/>
        <v>6.6314919428218317</v>
      </c>
      <c r="K5" s="51">
        <f t="shared" si="3"/>
        <v>1.3262983885643664</v>
      </c>
      <c r="L5" s="51">
        <v>14</v>
      </c>
      <c r="M5" s="51">
        <f t="shared" si="5"/>
        <v>0.35714285714285715</v>
      </c>
      <c r="N5" s="51">
        <v>38</v>
      </c>
      <c r="O5" s="51">
        <f t="shared" ref="O5:P5" si="12">D5/7</f>
        <v>0.7142857142857143</v>
      </c>
      <c r="P5" s="51">
        <f t="shared" si="12"/>
        <v>0</v>
      </c>
      <c r="Q5" s="51">
        <f t="shared" si="7"/>
        <v>53</v>
      </c>
      <c r="R5" s="55">
        <v>352</v>
      </c>
      <c r="S5" s="53">
        <v>100</v>
      </c>
      <c r="T5" s="54">
        <v>43876</v>
      </c>
      <c r="U5" s="55">
        <v>0</v>
      </c>
      <c r="V5" s="55">
        <f t="shared" si="8"/>
        <v>0</v>
      </c>
      <c r="W5" s="55">
        <f t="shared" si="9"/>
        <v>0</v>
      </c>
      <c r="X5" s="55">
        <v>0</v>
      </c>
      <c r="Y5" s="55" t="s">
        <v>35</v>
      </c>
      <c r="Z5" s="56">
        <f t="shared" si="10"/>
        <v>-0.69</v>
      </c>
      <c r="AA5" s="55">
        <v>0.24781020254629632</v>
      </c>
      <c r="AB5" s="55">
        <f t="shared" si="11"/>
        <v>-1.6243958776909724</v>
      </c>
      <c r="AC5" s="55">
        <v>-7.16</v>
      </c>
      <c r="AD5" s="55">
        <v>-6.4803224358974356</v>
      </c>
      <c r="AE5" s="55">
        <v>0</v>
      </c>
      <c r="AF5" s="55"/>
    </row>
    <row r="6" spans="1:32" s="57" customFormat="1" ht="15.75" customHeight="1">
      <c r="A6" s="2" t="s">
        <v>51</v>
      </c>
      <c r="B6" s="2" t="s">
        <v>810</v>
      </c>
      <c r="C6" s="51">
        <v>17.989999999999998</v>
      </c>
      <c r="D6" s="51">
        <v>6</v>
      </c>
      <c r="E6" s="51">
        <v>0</v>
      </c>
      <c r="F6" s="51">
        <v>107.93999999999998</v>
      </c>
      <c r="G6" s="51">
        <v>0</v>
      </c>
      <c r="H6" s="51">
        <f t="shared" si="1"/>
        <v>0</v>
      </c>
      <c r="I6" s="51">
        <f t="shared" si="2"/>
        <v>7.950621017694133E-2</v>
      </c>
      <c r="J6" s="51">
        <f t="shared" si="4"/>
        <v>8.5819003264990457</v>
      </c>
      <c r="K6" s="51">
        <f t="shared" si="3"/>
        <v>1.4303167210831742</v>
      </c>
      <c r="L6" s="51">
        <v>20</v>
      </c>
      <c r="M6" s="51">
        <f t="shared" si="5"/>
        <v>0.3</v>
      </c>
      <c r="N6" s="51">
        <v>31</v>
      </c>
      <c r="O6" s="51">
        <f t="shared" ref="O6:P6" si="13">D6/7</f>
        <v>0.8571428571428571</v>
      </c>
      <c r="P6" s="51">
        <f t="shared" si="13"/>
        <v>0</v>
      </c>
      <c r="Q6" s="51">
        <f t="shared" si="7"/>
        <v>36</v>
      </c>
      <c r="R6" s="55">
        <v>352</v>
      </c>
      <c r="S6" s="53">
        <v>100</v>
      </c>
      <c r="T6" s="54">
        <v>43884</v>
      </c>
      <c r="U6" s="55">
        <v>0</v>
      </c>
      <c r="V6" s="55">
        <f t="shared" si="8"/>
        <v>0</v>
      </c>
      <c r="W6" s="55">
        <f t="shared" si="9"/>
        <v>0</v>
      </c>
      <c r="X6" s="55">
        <v>0</v>
      </c>
      <c r="Y6" s="55" t="s">
        <v>35</v>
      </c>
      <c r="Z6" s="56">
        <f t="shared" si="10"/>
        <v>-0.69</v>
      </c>
      <c r="AA6" s="55">
        <v>0.24781020254629632</v>
      </c>
      <c r="AB6" s="55">
        <f t="shared" si="11"/>
        <v>-1.3251650581163195</v>
      </c>
      <c r="AC6" s="55">
        <v>-7.16</v>
      </c>
      <c r="AD6" s="55">
        <v>-6.4803224358974356</v>
      </c>
      <c r="AE6" s="55">
        <v>0</v>
      </c>
      <c r="AF6" s="55"/>
    </row>
    <row r="7" spans="1:32" s="57" customFormat="1" ht="15.75" customHeight="1">
      <c r="A7" s="2" t="s">
        <v>53</v>
      </c>
      <c r="B7" s="2" t="s">
        <v>810</v>
      </c>
      <c r="C7" s="51">
        <v>17.989999999999998</v>
      </c>
      <c r="D7" s="51">
        <v>1</v>
      </c>
      <c r="E7" s="51">
        <v>0</v>
      </c>
      <c r="F7" s="51">
        <v>17.989999999999998</v>
      </c>
      <c r="G7" s="51">
        <v>0</v>
      </c>
      <c r="H7" s="51">
        <f t="shared" si="1"/>
        <v>0</v>
      </c>
      <c r="I7" s="51">
        <f t="shared" si="2"/>
        <v>1.8121873595677674E-2</v>
      </c>
      <c r="J7" s="51">
        <f t="shared" si="4"/>
        <v>0.32601250598624132</v>
      </c>
      <c r="K7" s="51">
        <f t="shared" si="3"/>
        <v>0.32601250598624132</v>
      </c>
      <c r="L7" s="51">
        <v>24</v>
      </c>
      <c r="M7" s="51">
        <f t="shared" si="5"/>
        <v>4.1666666666666664E-2</v>
      </c>
      <c r="N7" s="51">
        <v>31</v>
      </c>
      <c r="O7" s="51">
        <f t="shared" ref="O7:P7" si="14">D7/7</f>
        <v>0.14285714285714285</v>
      </c>
      <c r="P7" s="51">
        <f t="shared" si="14"/>
        <v>0</v>
      </c>
      <c r="Q7" s="51">
        <f t="shared" si="7"/>
        <v>217</v>
      </c>
      <c r="R7" s="55">
        <v>352</v>
      </c>
      <c r="S7" s="53">
        <v>100</v>
      </c>
      <c r="T7" s="54">
        <v>43884</v>
      </c>
      <c r="U7" s="55">
        <v>0</v>
      </c>
      <c r="V7" s="55">
        <f t="shared" si="8"/>
        <v>0</v>
      </c>
      <c r="W7" s="55">
        <f t="shared" si="9"/>
        <v>0</v>
      </c>
      <c r="X7" s="55">
        <v>0</v>
      </c>
      <c r="Y7" s="55" t="s">
        <v>35</v>
      </c>
      <c r="Z7" s="56">
        <f t="shared" si="10"/>
        <v>-0.69</v>
      </c>
      <c r="AA7" s="55">
        <v>0.24781020254629632</v>
      </c>
      <c r="AB7" s="55">
        <f t="shared" si="11"/>
        <v>-1.3251650581163195</v>
      </c>
      <c r="AC7" s="55">
        <v>-7.16</v>
      </c>
      <c r="AD7" s="55">
        <v>-6.4803224358974356</v>
      </c>
      <c r="AE7" s="55">
        <v>0</v>
      </c>
      <c r="AF7" s="55"/>
    </row>
    <row r="8" spans="1:32" s="57" customFormat="1" ht="15.75" customHeight="1">
      <c r="A8" s="2" t="s">
        <v>54</v>
      </c>
      <c r="B8" s="2" t="s">
        <v>810</v>
      </c>
      <c r="C8" s="51">
        <v>17.989999999999998</v>
      </c>
      <c r="D8" s="51">
        <v>3</v>
      </c>
      <c r="E8" s="51">
        <v>0</v>
      </c>
      <c r="F8" s="51">
        <v>53.97</v>
      </c>
      <c r="G8" s="51">
        <v>0</v>
      </c>
      <c r="H8" s="51">
        <f t="shared" si="1"/>
        <v>0</v>
      </c>
      <c r="I8" s="51">
        <f t="shared" si="2"/>
        <v>6.9605510728350528E-2</v>
      </c>
      <c r="J8" s="51">
        <f t="shared" si="4"/>
        <v>3.7566094140090782</v>
      </c>
      <c r="K8" s="51">
        <f t="shared" si="3"/>
        <v>1.2522031380030261</v>
      </c>
      <c r="L8" s="51">
        <v>8</v>
      </c>
      <c r="M8" s="51">
        <f t="shared" si="5"/>
        <v>0.375</v>
      </c>
      <c r="N8" s="51">
        <v>28</v>
      </c>
      <c r="O8" s="51">
        <f t="shared" ref="O8:P8" si="15">D8/7</f>
        <v>0.42857142857142855</v>
      </c>
      <c r="P8" s="51">
        <f t="shared" si="15"/>
        <v>0</v>
      </c>
      <c r="Q8" s="51">
        <f t="shared" si="7"/>
        <v>65</v>
      </c>
      <c r="R8" s="55">
        <v>352</v>
      </c>
      <c r="S8" s="53">
        <v>100</v>
      </c>
      <c r="T8" s="54">
        <v>43884</v>
      </c>
      <c r="U8" s="55">
        <v>0</v>
      </c>
      <c r="V8" s="55">
        <f t="shared" si="8"/>
        <v>0</v>
      </c>
      <c r="W8" s="55">
        <f t="shared" si="9"/>
        <v>0</v>
      </c>
      <c r="X8" s="55">
        <v>0</v>
      </c>
      <c r="Y8" s="55" t="s">
        <v>35</v>
      </c>
      <c r="Z8" s="56">
        <f t="shared" si="10"/>
        <v>-0.69</v>
      </c>
      <c r="AA8" s="55">
        <v>0.24781020254629632</v>
      </c>
      <c r="AB8" s="55">
        <f t="shared" si="11"/>
        <v>-1.1969232782986112</v>
      </c>
      <c r="AC8" s="55">
        <v>-7.16</v>
      </c>
      <c r="AD8" s="55">
        <v>-6.4803224358974356</v>
      </c>
      <c r="AE8" s="55">
        <v>0</v>
      </c>
      <c r="AF8" s="55"/>
    </row>
    <row r="9" spans="1:32" s="57" customFormat="1" ht="15.75" customHeight="1">
      <c r="A9" s="2" t="s">
        <v>56</v>
      </c>
      <c r="B9" s="2" t="s">
        <v>810</v>
      </c>
      <c r="C9" s="51">
        <v>17.989999999999998</v>
      </c>
      <c r="D9" s="51">
        <v>2</v>
      </c>
      <c r="E9" s="51">
        <v>0</v>
      </c>
      <c r="F9" s="51">
        <v>35.979999999999997</v>
      </c>
      <c r="G9" s="51">
        <v>0</v>
      </c>
      <c r="H9" s="51">
        <f t="shared" si="1"/>
        <v>0</v>
      </c>
      <c r="I9" s="51">
        <f t="shared" si="2"/>
        <v>6.0892895213590398E-2</v>
      </c>
      <c r="J9" s="51">
        <f t="shared" si="4"/>
        <v>2.1909263697849823</v>
      </c>
      <c r="K9" s="51">
        <f t="shared" si="3"/>
        <v>1.0954631848924912</v>
      </c>
      <c r="L9" s="51">
        <v>7</v>
      </c>
      <c r="M9" s="51">
        <f t="shared" si="5"/>
        <v>0.2857142857142857</v>
      </c>
      <c r="N9" s="51">
        <v>26</v>
      </c>
      <c r="O9" s="51">
        <f t="shared" ref="O9:P9" si="16">D9/7</f>
        <v>0.2857142857142857</v>
      </c>
      <c r="P9" s="51">
        <f t="shared" si="16"/>
        <v>0</v>
      </c>
      <c r="Q9" s="51">
        <f t="shared" si="7"/>
        <v>91</v>
      </c>
      <c r="R9" s="55">
        <v>252</v>
      </c>
      <c r="S9" s="53">
        <v>100</v>
      </c>
      <c r="T9" s="54">
        <v>43881</v>
      </c>
      <c r="U9" s="55">
        <v>0</v>
      </c>
      <c r="V9" s="55">
        <f t="shared" si="8"/>
        <v>0</v>
      </c>
      <c r="W9" s="55">
        <f t="shared" si="9"/>
        <v>0</v>
      </c>
      <c r="X9" s="55">
        <v>0</v>
      </c>
      <c r="Y9" s="55" t="s">
        <v>35</v>
      </c>
      <c r="Z9" s="56">
        <f t="shared" si="10"/>
        <v>-0.69</v>
      </c>
      <c r="AA9" s="55">
        <v>0.24781020254629632</v>
      </c>
      <c r="AB9" s="55">
        <f t="shared" si="11"/>
        <v>-1.111428758420139</v>
      </c>
      <c r="AC9" s="55">
        <v>-7.16</v>
      </c>
      <c r="AD9" s="55">
        <v>-6.4803224358974356</v>
      </c>
      <c r="AE9" s="55">
        <v>0</v>
      </c>
      <c r="AF9" s="55"/>
    </row>
    <row r="10" spans="1:32" s="57" customFormat="1" ht="15.75" customHeight="1">
      <c r="A10" s="2" t="s">
        <v>58</v>
      </c>
      <c r="B10" s="2" t="s">
        <v>1104</v>
      </c>
      <c r="C10" s="51">
        <v>17.989999999999998</v>
      </c>
      <c r="D10" s="51">
        <v>1</v>
      </c>
      <c r="E10" s="51">
        <v>0</v>
      </c>
      <c r="F10" s="51">
        <v>17.989999999999998</v>
      </c>
      <c r="G10" s="51">
        <v>0</v>
      </c>
      <c r="H10" s="51">
        <f t="shared" si="1"/>
        <v>0</v>
      </c>
      <c r="I10" s="51">
        <f t="shared" si="2"/>
        <v>3.9507384404634034E-2</v>
      </c>
      <c r="J10" s="51">
        <f t="shared" si="4"/>
        <v>0.71073784543936624</v>
      </c>
      <c r="K10" s="51">
        <f t="shared" si="3"/>
        <v>0.71073784543936624</v>
      </c>
      <c r="L10" s="51">
        <v>3</v>
      </c>
      <c r="M10" s="51">
        <f t="shared" si="5"/>
        <v>0.33333333333333331</v>
      </c>
      <c r="N10" s="51">
        <v>22</v>
      </c>
      <c r="O10" s="51">
        <f t="shared" ref="O10:P10" si="17">D10/7</f>
        <v>0.14285714285714285</v>
      </c>
      <c r="P10" s="51">
        <f t="shared" si="17"/>
        <v>0</v>
      </c>
      <c r="Q10" s="51">
        <f t="shared" si="7"/>
        <v>154</v>
      </c>
      <c r="R10" s="55">
        <v>252</v>
      </c>
      <c r="S10" s="53">
        <v>100</v>
      </c>
      <c r="T10" s="54">
        <v>43885</v>
      </c>
      <c r="U10" s="55">
        <v>0</v>
      </c>
      <c r="V10" s="55">
        <f t="shared" si="8"/>
        <v>0</v>
      </c>
      <c r="W10" s="55">
        <f t="shared" si="9"/>
        <v>0</v>
      </c>
      <c r="X10" s="55">
        <v>0</v>
      </c>
      <c r="Y10" s="55" t="s">
        <v>35</v>
      </c>
      <c r="Z10" s="56">
        <f t="shared" si="10"/>
        <v>-0.69</v>
      </c>
      <c r="AA10" s="55">
        <v>0.24781020254629632</v>
      </c>
      <c r="AB10" s="55">
        <f t="shared" si="11"/>
        <v>-0.94043971866319453</v>
      </c>
      <c r="AC10" s="55">
        <v>-7.16</v>
      </c>
      <c r="AD10" s="55">
        <v>-6.4803224358974356</v>
      </c>
      <c r="AE10" s="55">
        <v>0</v>
      </c>
      <c r="AF10" s="55"/>
    </row>
    <row r="11" spans="1:32" s="57" customFormat="1" ht="15.75" customHeight="1">
      <c r="A11" s="2" t="s">
        <v>60</v>
      </c>
      <c r="B11" s="2" t="s">
        <v>810</v>
      </c>
      <c r="C11" s="51">
        <v>17.989999999999998</v>
      </c>
      <c r="D11" s="51">
        <v>4</v>
      </c>
      <c r="E11" s="51">
        <v>0</v>
      </c>
      <c r="F11" s="51">
        <v>71.959999999999994</v>
      </c>
      <c r="G11" s="51">
        <v>0</v>
      </c>
      <c r="H11" s="51">
        <f t="shared" si="1"/>
        <v>0</v>
      </c>
      <c r="I11" s="51">
        <f t="shared" si="2"/>
        <v>6.9329593995055602E-2</v>
      </c>
      <c r="J11" s="51">
        <f t="shared" si="4"/>
        <v>4.9889575838842006</v>
      </c>
      <c r="K11" s="51">
        <f t="shared" si="3"/>
        <v>1.2472393959710502</v>
      </c>
      <c r="L11" s="51">
        <v>17</v>
      </c>
      <c r="M11" s="51">
        <f t="shared" si="5"/>
        <v>0.23529411764705882</v>
      </c>
      <c r="N11" s="51">
        <v>21</v>
      </c>
      <c r="O11" s="51">
        <f t="shared" ref="O11:P11" si="18">D11/7</f>
        <v>0.5714285714285714</v>
      </c>
      <c r="P11" s="51">
        <f t="shared" si="18"/>
        <v>0</v>
      </c>
      <c r="Q11" s="51">
        <f t="shared" si="7"/>
        <v>36</v>
      </c>
      <c r="R11" s="55">
        <v>152</v>
      </c>
      <c r="S11" s="53" t="s">
        <v>34</v>
      </c>
      <c r="T11" s="54" t="s">
        <v>34</v>
      </c>
      <c r="U11" s="55">
        <v>0</v>
      </c>
      <c r="V11" s="55">
        <f t="shared" si="8"/>
        <v>0</v>
      </c>
      <c r="W11" s="55">
        <f t="shared" si="9"/>
        <v>0</v>
      </c>
      <c r="X11" s="55">
        <v>0</v>
      </c>
      <c r="Y11" s="55" t="s">
        <v>35</v>
      </c>
      <c r="Z11" s="56">
        <f t="shared" ref="Z11:Z39" si="19">IF(OR(Y11="UsLargeStandardSize",Y11="UsSmallStandardSize"),-0.75,-0.48)</f>
        <v>-0.75</v>
      </c>
      <c r="AA11" s="55">
        <v>0.24781020254629632</v>
      </c>
      <c r="AB11" s="55">
        <f t="shared" si="11"/>
        <v>-0.97575267252604181</v>
      </c>
      <c r="AC11" s="55">
        <v>-7.32</v>
      </c>
      <c r="AD11" s="55">
        <v>-6.4803224358974356</v>
      </c>
      <c r="AE11" s="55">
        <v>0</v>
      </c>
      <c r="AF11" s="55"/>
    </row>
    <row r="12" spans="1:32" s="57" customFormat="1" ht="15.75" customHeight="1">
      <c r="A12" s="2" t="s">
        <v>62</v>
      </c>
      <c r="B12" s="2" t="s">
        <v>810</v>
      </c>
      <c r="C12" s="51">
        <v>17.989999999999998</v>
      </c>
      <c r="D12" s="51">
        <v>4</v>
      </c>
      <c r="E12" s="51">
        <v>0</v>
      </c>
      <c r="F12" s="51">
        <v>71.959999999999994</v>
      </c>
      <c r="G12" s="51">
        <v>0</v>
      </c>
      <c r="H12" s="51">
        <f t="shared" si="1"/>
        <v>0</v>
      </c>
      <c r="I12" s="51">
        <f t="shared" si="2"/>
        <v>7.988303933133642E-3</v>
      </c>
      <c r="J12" s="51">
        <f t="shared" si="4"/>
        <v>0.57483835102829683</v>
      </c>
      <c r="K12" s="51">
        <f t="shared" si="3"/>
        <v>0.14370958775707421</v>
      </c>
      <c r="L12" s="51">
        <v>13</v>
      </c>
      <c r="M12" s="51">
        <f t="shared" si="5"/>
        <v>0.30769230769230771</v>
      </c>
      <c r="N12" s="51">
        <v>116</v>
      </c>
      <c r="O12" s="51">
        <f t="shared" ref="O12:P12" si="20">D12/7</f>
        <v>0.5714285714285714</v>
      </c>
      <c r="P12" s="51">
        <f t="shared" si="20"/>
        <v>0</v>
      </c>
      <c r="Q12" s="51">
        <f t="shared" si="7"/>
        <v>203</v>
      </c>
      <c r="R12" s="55">
        <v>152</v>
      </c>
      <c r="S12" s="53" t="s">
        <v>34</v>
      </c>
      <c r="T12" s="54" t="s">
        <v>34</v>
      </c>
      <c r="U12" s="55">
        <v>0</v>
      </c>
      <c r="V12" s="55">
        <f t="shared" si="8"/>
        <v>0</v>
      </c>
      <c r="W12" s="55">
        <f t="shared" si="9"/>
        <v>0</v>
      </c>
      <c r="X12" s="55">
        <v>0</v>
      </c>
      <c r="Y12" s="55" t="s">
        <v>35</v>
      </c>
      <c r="Z12" s="56">
        <f t="shared" si="19"/>
        <v>-0.75</v>
      </c>
      <c r="AA12" s="55">
        <v>0.24781020254629632</v>
      </c>
      <c r="AB12" s="55">
        <f t="shared" si="11"/>
        <v>-5.3898719053819457</v>
      </c>
      <c r="AC12" s="55">
        <v>-7.32</v>
      </c>
      <c r="AD12" s="55">
        <v>-6.4803224358974356</v>
      </c>
      <c r="AE12" s="55">
        <v>0</v>
      </c>
      <c r="AF12" s="55"/>
    </row>
    <row r="13" spans="1:32" s="57" customFormat="1" ht="15.75" customHeight="1">
      <c r="A13" s="2" t="s">
        <v>63</v>
      </c>
      <c r="B13" s="2" t="s">
        <v>1104</v>
      </c>
      <c r="C13" s="51">
        <v>17.989999999999998</v>
      </c>
      <c r="D13" s="51">
        <v>2</v>
      </c>
      <c r="E13" s="51">
        <v>0</v>
      </c>
      <c r="F13" s="51">
        <v>35.979999999999997</v>
      </c>
      <c r="G13" s="51">
        <v>0</v>
      </c>
      <c r="H13" s="51">
        <f t="shared" si="1"/>
        <v>0</v>
      </c>
      <c r="I13" s="51">
        <f t="shared" si="2"/>
        <v>-6.5621244141172694E-2</v>
      </c>
      <c r="J13" s="51">
        <f t="shared" si="4"/>
        <v>-2.3610523641993932</v>
      </c>
      <c r="K13" s="51">
        <f t="shared" si="3"/>
        <v>-1.1805261820996966</v>
      </c>
      <c r="L13" s="51">
        <v>22</v>
      </c>
      <c r="M13" s="51">
        <f t="shared" si="5"/>
        <v>9.0909090909090912E-2</v>
      </c>
      <c r="N13" s="51">
        <v>115</v>
      </c>
      <c r="O13" s="51">
        <f t="shared" ref="O13:P13" si="21">D13/7</f>
        <v>0.2857142857142857</v>
      </c>
      <c r="P13" s="51">
        <f t="shared" si="21"/>
        <v>0</v>
      </c>
      <c r="Q13" s="51">
        <f t="shared" si="7"/>
        <v>402</v>
      </c>
      <c r="R13" s="55">
        <v>152</v>
      </c>
      <c r="S13" s="53" t="s">
        <v>34</v>
      </c>
      <c r="T13" s="54" t="s">
        <v>34</v>
      </c>
      <c r="U13" s="55">
        <v>0</v>
      </c>
      <c r="V13" s="55">
        <f t="shared" si="8"/>
        <v>0</v>
      </c>
      <c r="W13" s="55">
        <f t="shared" si="9"/>
        <v>0</v>
      </c>
      <c r="X13" s="55">
        <v>0</v>
      </c>
      <c r="Y13" s="55" t="s">
        <v>35</v>
      </c>
      <c r="Z13" s="56">
        <f t="shared" si="19"/>
        <v>-0.75</v>
      </c>
      <c r="AA13" s="55">
        <v>0.24781020254629632</v>
      </c>
      <c r="AB13" s="55">
        <f t="shared" si="11"/>
        <v>-5.3434074924045145</v>
      </c>
      <c r="AC13" s="55">
        <v>-7.32</v>
      </c>
      <c r="AD13" s="55">
        <v>-6.4803224358974356</v>
      </c>
      <c r="AE13" s="55">
        <v>0</v>
      </c>
      <c r="AF13" s="55"/>
    </row>
    <row r="14" spans="1:32" s="57" customFormat="1" ht="15.75" customHeight="1">
      <c r="A14" s="2" t="s">
        <v>64</v>
      </c>
      <c r="B14" s="2"/>
      <c r="C14" s="51">
        <v>18.989999999999998</v>
      </c>
      <c r="D14" s="51">
        <v>3</v>
      </c>
      <c r="E14" s="51">
        <v>0</v>
      </c>
      <c r="F14" s="51">
        <v>53.97</v>
      </c>
      <c r="G14" s="51">
        <v>0</v>
      </c>
      <c r="H14" s="51">
        <f t="shared" si="1"/>
        <v>0</v>
      </c>
      <c r="I14" s="51">
        <f t="shared" si="2"/>
        <v>-1.0952164577214058E-2</v>
      </c>
      <c r="J14" s="51">
        <f t="shared" si="4"/>
        <v>-0.59108832223224272</v>
      </c>
      <c r="K14" s="51">
        <f t="shared" si="3"/>
        <v>-0.19702944074408091</v>
      </c>
      <c r="L14" s="51">
        <v>25</v>
      </c>
      <c r="M14" s="51">
        <f t="shared" si="5"/>
        <v>0.12</v>
      </c>
      <c r="N14" s="51">
        <v>109</v>
      </c>
      <c r="O14" s="51">
        <f t="shared" ref="O14:P14" si="22">D14/7</f>
        <v>0.42857142857142855</v>
      </c>
      <c r="P14" s="51">
        <f t="shared" si="22"/>
        <v>0</v>
      </c>
      <c r="Q14" s="51">
        <f t="shared" si="7"/>
        <v>254</v>
      </c>
      <c r="R14" s="55">
        <v>152</v>
      </c>
      <c r="S14" s="53" t="s">
        <v>34</v>
      </c>
      <c r="T14" s="54" t="s">
        <v>34</v>
      </c>
      <c r="U14" s="55">
        <v>0</v>
      </c>
      <c r="V14" s="55">
        <f t="shared" si="8"/>
        <v>0</v>
      </c>
      <c r="W14" s="55">
        <f t="shared" si="9"/>
        <v>0</v>
      </c>
      <c r="X14" s="55">
        <v>0</v>
      </c>
      <c r="Y14" s="55" t="s">
        <v>35</v>
      </c>
      <c r="Z14" s="56">
        <f t="shared" si="19"/>
        <v>-0.75</v>
      </c>
      <c r="AA14" s="55">
        <v>0.24781020254629632</v>
      </c>
      <c r="AB14" s="55">
        <f t="shared" si="11"/>
        <v>-5.0646210145399317</v>
      </c>
      <c r="AC14" s="55">
        <v>-7.32</v>
      </c>
      <c r="AD14" s="55">
        <v>-6.4803224358974356</v>
      </c>
      <c r="AE14" s="55">
        <v>0</v>
      </c>
      <c r="AF14" s="55"/>
    </row>
    <row r="15" spans="1:32" s="57" customFormat="1" ht="15.75" customHeight="1">
      <c r="A15" s="2" t="s">
        <v>65</v>
      </c>
      <c r="B15" s="2" t="s">
        <v>1090</v>
      </c>
      <c r="C15" s="51">
        <v>19.989999999999998</v>
      </c>
      <c r="D15" s="51">
        <v>2</v>
      </c>
      <c r="E15" s="51">
        <v>0</v>
      </c>
      <c r="F15" s="51">
        <v>36.979999999999997</v>
      </c>
      <c r="G15" s="51">
        <v>0</v>
      </c>
      <c r="H15" s="51">
        <f t="shared" si="1"/>
        <v>0</v>
      </c>
      <c r="I15" s="51">
        <f t="shared" si="2"/>
        <v>-3.2066021453687886E-2</v>
      </c>
      <c r="J15" s="51">
        <f t="shared" si="4"/>
        <v>-1.1858014733573778</v>
      </c>
      <c r="K15" s="51">
        <f t="shared" si="3"/>
        <v>-0.59290073667868892</v>
      </c>
      <c r="L15" s="51">
        <v>24</v>
      </c>
      <c r="M15" s="51">
        <f t="shared" si="5"/>
        <v>8.3333333333333329E-2</v>
      </c>
      <c r="N15" s="51">
        <v>108</v>
      </c>
      <c r="O15" s="51">
        <f t="shared" ref="O15:P15" si="23">D15/7</f>
        <v>0.2857142857142857</v>
      </c>
      <c r="P15" s="51">
        <f t="shared" si="23"/>
        <v>0</v>
      </c>
      <c r="Q15" s="51">
        <f t="shared" si="7"/>
        <v>378</v>
      </c>
      <c r="R15" s="55">
        <v>152</v>
      </c>
      <c r="S15" s="53" t="s">
        <v>34</v>
      </c>
      <c r="T15" s="54" t="s">
        <v>34</v>
      </c>
      <c r="U15" s="55">
        <v>0</v>
      </c>
      <c r="V15" s="55">
        <f t="shared" si="8"/>
        <v>0</v>
      </c>
      <c r="W15" s="55">
        <f t="shared" si="9"/>
        <v>0</v>
      </c>
      <c r="X15" s="55">
        <v>0</v>
      </c>
      <c r="Y15" s="55" t="s">
        <v>35</v>
      </c>
      <c r="Z15" s="56">
        <f t="shared" si="19"/>
        <v>-0.75</v>
      </c>
      <c r="AA15" s="55">
        <v>0.24781020254629632</v>
      </c>
      <c r="AB15" s="55">
        <f t="shared" si="11"/>
        <v>-5.0181566015625005</v>
      </c>
      <c r="AC15" s="55">
        <v>-7.32</v>
      </c>
      <c r="AD15" s="55">
        <v>-6.4803224358974356</v>
      </c>
      <c r="AE15" s="55">
        <v>0</v>
      </c>
      <c r="AF15" s="55"/>
    </row>
    <row r="16" spans="1:32" s="57" customFormat="1" ht="15.75" customHeight="1">
      <c r="A16" s="2" t="s">
        <v>66</v>
      </c>
      <c r="B16" s="2" t="s">
        <v>950</v>
      </c>
      <c r="C16" s="51">
        <v>18.989999999999998</v>
      </c>
      <c r="D16" s="51">
        <v>1</v>
      </c>
      <c r="E16" s="51">
        <v>0</v>
      </c>
      <c r="F16" s="51">
        <v>18.989999999999998</v>
      </c>
      <c r="G16" s="51">
        <v>0</v>
      </c>
      <c r="H16" s="51">
        <f t="shared" si="1"/>
        <v>0</v>
      </c>
      <c r="I16" s="51">
        <f t="shared" si="2"/>
        <v>-0.13852104394326006</v>
      </c>
      <c r="J16" s="51">
        <f t="shared" si="4"/>
        <v>-2.6305146244825082</v>
      </c>
      <c r="K16" s="51">
        <f t="shared" si="3"/>
        <v>-2.6305146244825082</v>
      </c>
      <c r="L16" s="51">
        <v>20</v>
      </c>
      <c r="M16" s="51">
        <f t="shared" si="5"/>
        <v>0.05</v>
      </c>
      <c r="N16" s="51">
        <v>107</v>
      </c>
      <c r="O16" s="51">
        <f t="shared" ref="O16:P16" si="24">D16/7</f>
        <v>0.14285714285714285</v>
      </c>
      <c r="P16" s="51">
        <f t="shared" si="24"/>
        <v>0</v>
      </c>
      <c r="Q16" s="51">
        <f t="shared" si="7"/>
        <v>749</v>
      </c>
      <c r="R16" s="55">
        <v>152</v>
      </c>
      <c r="S16" s="53" t="s">
        <v>34</v>
      </c>
      <c r="T16" s="54" t="s">
        <v>34</v>
      </c>
      <c r="U16" s="55">
        <v>0</v>
      </c>
      <c r="V16" s="55">
        <f t="shared" si="8"/>
        <v>0</v>
      </c>
      <c r="W16" s="55">
        <f t="shared" si="9"/>
        <v>0</v>
      </c>
      <c r="X16" s="55">
        <v>0</v>
      </c>
      <c r="Y16" s="55" t="s">
        <v>35</v>
      </c>
      <c r="Z16" s="56">
        <f t="shared" si="19"/>
        <v>-0.75</v>
      </c>
      <c r="AA16" s="55">
        <v>0.24781020254629632</v>
      </c>
      <c r="AB16" s="55">
        <f t="shared" si="11"/>
        <v>-4.9716921885850702</v>
      </c>
      <c r="AC16" s="55">
        <v>-7.32</v>
      </c>
      <c r="AD16" s="55">
        <v>-6.4803224358974356</v>
      </c>
      <c r="AE16" s="55">
        <v>0</v>
      </c>
      <c r="AF16" s="55"/>
    </row>
    <row r="17" spans="1:32" s="57" customFormat="1" ht="15.75" customHeight="1">
      <c r="A17" s="2" t="s">
        <v>67</v>
      </c>
      <c r="B17" s="2" t="s">
        <v>940</v>
      </c>
      <c r="C17" s="51">
        <v>18.989999999999998</v>
      </c>
      <c r="D17" s="51">
        <v>0</v>
      </c>
      <c r="E17" s="51">
        <v>0</v>
      </c>
      <c r="F17" s="51">
        <v>0</v>
      </c>
      <c r="G17" s="51">
        <v>-17.869999999999997</v>
      </c>
      <c r="H17" s="51" t="e">
        <f t="shared" si="1"/>
        <v>#DIV/0!</v>
      </c>
      <c r="I17" s="51" t="e">
        <f t="shared" si="2"/>
        <v>#DIV/0!</v>
      </c>
      <c r="J17" s="51">
        <f t="shared" si="4"/>
        <v>-22.795227775607636</v>
      </c>
      <c r="K17" s="51" t="e">
        <f t="shared" si="3"/>
        <v>#DIV/0!</v>
      </c>
      <c r="L17" s="51">
        <v>19</v>
      </c>
      <c r="M17" s="51">
        <f t="shared" si="5"/>
        <v>0</v>
      </c>
      <c r="N17" s="51">
        <v>106</v>
      </c>
      <c r="O17" s="51">
        <f t="shared" ref="O17:P17" si="25">D17/7</f>
        <v>0</v>
      </c>
      <c r="P17" s="51">
        <f t="shared" si="25"/>
        <v>0</v>
      </c>
      <c r="Q17" s="51" t="e">
        <f t="shared" si="7"/>
        <v>#DIV/0!</v>
      </c>
      <c r="R17" s="55">
        <v>152</v>
      </c>
      <c r="S17" s="53" t="s">
        <v>34</v>
      </c>
      <c r="T17" s="54" t="s">
        <v>34</v>
      </c>
      <c r="U17" s="55">
        <v>1</v>
      </c>
      <c r="V17" s="55">
        <f t="shared" si="8"/>
        <v>0</v>
      </c>
      <c r="W17" s="55">
        <f t="shared" si="9"/>
        <v>17.869999999999997</v>
      </c>
      <c r="X17" s="55">
        <v>0</v>
      </c>
      <c r="Y17" s="55" t="s">
        <v>35</v>
      </c>
      <c r="Z17" s="56">
        <f t="shared" si="19"/>
        <v>-0.75</v>
      </c>
      <c r="AA17" s="55">
        <v>0.24781020254629632</v>
      </c>
      <c r="AB17" s="55">
        <f t="shared" si="11"/>
        <v>-4.9252277756076399</v>
      </c>
      <c r="AC17" s="55">
        <v>-7.32</v>
      </c>
      <c r="AD17" s="55">
        <v>-6.4803224358974356</v>
      </c>
      <c r="AE17" s="55">
        <v>0</v>
      </c>
      <c r="AF17" s="55"/>
    </row>
    <row r="18" spans="1:32" s="57" customFormat="1" ht="15.75" customHeight="1">
      <c r="A18" s="2" t="s">
        <v>69</v>
      </c>
      <c r="B18" s="2"/>
      <c r="C18" s="51">
        <v>20.99</v>
      </c>
      <c r="D18" s="51">
        <v>2</v>
      </c>
      <c r="E18" s="51">
        <v>0</v>
      </c>
      <c r="F18" s="51">
        <v>37.979999999999997</v>
      </c>
      <c r="G18" s="51">
        <v>-6.1</v>
      </c>
      <c r="H18" s="51">
        <f t="shared" si="1"/>
        <v>0.1606108478146393</v>
      </c>
      <c r="I18" s="51">
        <f t="shared" si="2"/>
        <v>-6.6687487710721777E-2</v>
      </c>
      <c r="J18" s="51">
        <f t="shared" si="4"/>
        <v>-2.5327907832532128</v>
      </c>
      <c r="K18" s="51">
        <f t="shared" si="3"/>
        <v>-1.2663953916266064</v>
      </c>
      <c r="L18" s="51">
        <v>14</v>
      </c>
      <c r="M18" s="51">
        <f t="shared" si="5"/>
        <v>0.14285714285714285</v>
      </c>
      <c r="N18" s="51">
        <v>103</v>
      </c>
      <c r="O18" s="51">
        <f t="shared" ref="O18:P18" si="26">D18/7</f>
        <v>0.2857142857142857</v>
      </c>
      <c r="P18" s="51">
        <f t="shared" si="26"/>
        <v>0</v>
      </c>
      <c r="Q18" s="51">
        <f t="shared" si="7"/>
        <v>360</v>
      </c>
      <c r="R18" s="55">
        <v>152</v>
      </c>
      <c r="S18" s="53" t="s">
        <v>34</v>
      </c>
      <c r="T18" s="54" t="s">
        <v>34</v>
      </c>
      <c r="U18" s="55">
        <v>0</v>
      </c>
      <c r="V18" s="55">
        <f t="shared" si="8"/>
        <v>0</v>
      </c>
      <c r="W18" s="55">
        <f t="shared" si="9"/>
        <v>0</v>
      </c>
      <c r="X18" s="55">
        <v>0</v>
      </c>
      <c r="Y18" s="55" t="s">
        <v>35</v>
      </c>
      <c r="Z18" s="56">
        <f t="shared" si="19"/>
        <v>-0.75</v>
      </c>
      <c r="AA18" s="55">
        <v>0.24781020254629632</v>
      </c>
      <c r="AB18" s="58">
        <f t="shared" ref="AB18:AB39" si="27">IFERROR(Z18*AA18*D18*3,0)</f>
        <v>-1.1151459114583335</v>
      </c>
      <c r="AC18" s="55">
        <v>-7.32</v>
      </c>
      <c r="AD18" s="55">
        <v>-6.4803224358974356</v>
      </c>
      <c r="AE18" s="55">
        <v>0</v>
      </c>
      <c r="AF18" s="55"/>
    </row>
    <row r="19" spans="1:32" s="57" customFormat="1" ht="15.75" customHeight="1">
      <c r="A19" s="2" t="s">
        <v>71</v>
      </c>
      <c r="B19" s="2" t="s">
        <v>983</v>
      </c>
      <c r="C19" s="51">
        <v>19.989999999999998</v>
      </c>
      <c r="D19" s="51">
        <v>2</v>
      </c>
      <c r="E19" s="51">
        <v>0</v>
      </c>
      <c r="F19" s="51">
        <v>37.979999999999997</v>
      </c>
      <c r="G19" s="51">
        <v>0</v>
      </c>
      <c r="H19" s="51">
        <f t="shared" si="1"/>
        <v>0</v>
      </c>
      <c r="I19" s="51">
        <f t="shared" si="2"/>
        <v>9.3923360103917608E-2</v>
      </c>
      <c r="J19" s="51">
        <f t="shared" si="4"/>
        <v>3.5672092167467904</v>
      </c>
      <c r="K19" s="51">
        <f t="shared" si="3"/>
        <v>1.7836046083733952</v>
      </c>
      <c r="L19" s="51">
        <v>16</v>
      </c>
      <c r="M19" s="51">
        <f t="shared" si="5"/>
        <v>0.125</v>
      </c>
      <c r="N19" s="51">
        <v>103</v>
      </c>
      <c r="O19" s="51">
        <f t="shared" ref="O19:P19" si="28">D19/7</f>
        <v>0.2857142857142857</v>
      </c>
      <c r="P19" s="51">
        <f t="shared" si="28"/>
        <v>0</v>
      </c>
      <c r="Q19" s="51">
        <f t="shared" si="7"/>
        <v>360</v>
      </c>
      <c r="R19" s="55">
        <v>152</v>
      </c>
      <c r="S19" s="53" t="s">
        <v>34</v>
      </c>
      <c r="T19" s="54" t="s">
        <v>34</v>
      </c>
      <c r="U19" s="55">
        <v>0</v>
      </c>
      <c r="V19" s="55">
        <f t="shared" si="8"/>
        <v>0</v>
      </c>
      <c r="W19" s="55">
        <f t="shared" si="9"/>
        <v>0</v>
      </c>
      <c r="X19" s="55">
        <v>0</v>
      </c>
      <c r="Y19" s="55" t="s">
        <v>35</v>
      </c>
      <c r="Z19" s="56">
        <f t="shared" si="19"/>
        <v>-0.75</v>
      </c>
      <c r="AA19" s="55">
        <v>0.24781020254629632</v>
      </c>
      <c r="AB19" s="55">
        <f t="shared" si="27"/>
        <v>-1.1151459114583335</v>
      </c>
      <c r="AC19" s="55">
        <v>-7.32</v>
      </c>
      <c r="AD19" s="55">
        <v>-6.4803224358974356</v>
      </c>
      <c r="AE19" s="55">
        <v>0</v>
      </c>
      <c r="AF19" s="55"/>
    </row>
    <row r="20" spans="1:32" s="57" customFormat="1" ht="15.75" customHeight="1">
      <c r="A20" s="2" t="s">
        <v>73</v>
      </c>
      <c r="B20" s="2" t="s">
        <v>983</v>
      </c>
      <c r="C20" s="51">
        <v>21.99</v>
      </c>
      <c r="D20" s="51">
        <v>3</v>
      </c>
      <c r="E20" s="51">
        <v>0</v>
      </c>
      <c r="F20" s="51">
        <v>59.97</v>
      </c>
      <c r="G20" s="51">
        <v>-0.16</v>
      </c>
      <c r="H20" s="51">
        <f t="shared" si="1"/>
        <v>2.6680006670001667E-3</v>
      </c>
      <c r="I20" s="51">
        <f t="shared" si="2"/>
        <v>0.12907810280340493</v>
      </c>
      <c r="J20" s="51">
        <f t="shared" si="4"/>
        <v>7.7408138251201937</v>
      </c>
      <c r="K20" s="51">
        <f t="shared" si="3"/>
        <v>2.5802712750400647</v>
      </c>
      <c r="L20" s="51">
        <v>13</v>
      </c>
      <c r="M20" s="51">
        <f t="shared" si="5"/>
        <v>0.23076923076923078</v>
      </c>
      <c r="N20" s="51">
        <v>100</v>
      </c>
      <c r="O20" s="51">
        <f t="shared" ref="O20:P20" si="29">D20/7</f>
        <v>0.42857142857142855</v>
      </c>
      <c r="P20" s="51">
        <f t="shared" si="29"/>
        <v>0</v>
      </c>
      <c r="Q20" s="51">
        <f t="shared" si="7"/>
        <v>233</v>
      </c>
      <c r="R20" s="55">
        <v>152</v>
      </c>
      <c r="S20" s="53" t="s">
        <v>34</v>
      </c>
      <c r="T20" s="54" t="s">
        <v>34</v>
      </c>
      <c r="U20" s="55">
        <v>0</v>
      </c>
      <c r="V20" s="55">
        <f t="shared" si="8"/>
        <v>0</v>
      </c>
      <c r="W20" s="55">
        <f t="shared" si="9"/>
        <v>0</v>
      </c>
      <c r="X20" s="55">
        <v>0</v>
      </c>
      <c r="Y20" s="55" t="s">
        <v>35</v>
      </c>
      <c r="Z20" s="56">
        <f t="shared" si="19"/>
        <v>-0.75</v>
      </c>
      <c r="AA20" s="55">
        <v>0.24781020254629632</v>
      </c>
      <c r="AB20" s="55">
        <f t="shared" si="27"/>
        <v>-1.6727188671875002</v>
      </c>
      <c r="AC20" s="55">
        <v>-7.32</v>
      </c>
      <c r="AD20" s="55">
        <v>-6.4803224358974356</v>
      </c>
      <c r="AE20" s="55">
        <v>0</v>
      </c>
      <c r="AF20" s="55"/>
    </row>
    <row r="21" spans="1:32" s="57" customFormat="1" ht="15.75" customHeight="1">
      <c r="A21" s="2" t="s">
        <v>75</v>
      </c>
      <c r="B21" s="2" t="s">
        <v>983</v>
      </c>
      <c r="C21" s="51">
        <v>20.99</v>
      </c>
      <c r="D21" s="51">
        <v>1</v>
      </c>
      <c r="E21" s="51">
        <v>0</v>
      </c>
      <c r="F21" s="51">
        <v>20.99</v>
      </c>
      <c r="G21" s="51">
        <v>-0.08</v>
      </c>
      <c r="H21" s="51">
        <f t="shared" si="1"/>
        <v>3.8113387327298716E-3</v>
      </c>
      <c r="I21" s="51">
        <f t="shared" si="2"/>
        <v>0.1621536259348928</v>
      </c>
      <c r="J21" s="51">
        <f t="shared" si="4"/>
        <v>3.4036046083733997</v>
      </c>
      <c r="K21" s="51">
        <f t="shared" si="3"/>
        <v>3.4036046083733997</v>
      </c>
      <c r="L21" s="51">
        <v>0</v>
      </c>
      <c r="M21" s="51" t="str">
        <f t="shared" si="5"/>
        <v>-</v>
      </c>
      <c r="N21" s="51">
        <v>100</v>
      </c>
      <c r="O21" s="51">
        <f t="shared" ref="O21:P21" si="30">D21/7</f>
        <v>0.14285714285714285</v>
      </c>
      <c r="P21" s="51">
        <f t="shared" si="30"/>
        <v>0</v>
      </c>
      <c r="Q21" s="51">
        <f t="shared" si="7"/>
        <v>700</v>
      </c>
      <c r="R21" s="55">
        <v>152</v>
      </c>
      <c r="S21" s="53" t="s">
        <v>34</v>
      </c>
      <c r="T21" s="54" t="s">
        <v>34</v>
      </c>
      <c r="U21" s="55">
        <v>0</v>
      </c>
      <c r="V21" s="55">
        <f t="shared" si="8"/>
        <v>0</v>
      </c>
      <c r="W21" s="55">
        <f t="shared" si="9"/>
        <v>0</v>
      </c>
      <c r="X21" s="55">
        <v>0</v>
      </c>
      <c r="Y21" s="55" t="s">
        <v>35</v>
      </c>
      <c r="Z21" s="56">
        <f t="shared" si="19"/>
        <v>-0.75</v>
      </c>
      <c r="AA21" s="55">
        <v>0.24781020254629632</v>
      </c>
      <c r="AB21" s="55">
        <f t="shared" si="27"/>
        <v>-0.55757295572916676</v>
      </c>
      <c r="AC21" s="55">
        <v>-7.32</v>
      </c>
      <c r="AD21" s="55">
        <v>-6.4803224358974356</v>
      </c>
      <c r="AE21" s="55">
        <v>0</v>
      </c>
      <c r="AF21" s="55"/>
    </row>
    <row r="22" spans="1:32" s="57" customFormat="1" ht="15.75" customHeight="1">
      <c r="A22" s="2" t="s">
        <v>77</v>
      </c>
      <c r="B22" s="2" t="s">
        <v>810</v>
      </c>
      <c r="C22" s="51">
        <v>18.989999999999998</v>
      </c>
      <c r="D22" s="51">
        <v>3</v>
      </c>
      <c r="E22" s="51">
        <v>0</v>
      </c>
      <c r="F22" s="51">
        <v>55.97</v>
      </c>
      <c r="G22" s="51">
        <v>-0.1</v>
      </c>
      <c r="H22" s="51">
        <f t="shared" si="1"/>
        <v>1.7866714311238164E-3</v>
      </c>
      <c r="I22" s="51">
        <f t="shared" si="2"/>
        <v>7.8628083350369665E-2</v>
      </c>
      <c r="J22" s="51">
        <f t="shared" si="4"/>
        <v>4.4008138251201903</v>
      </c>
      <c r="K22" s="51">
        <f t="shared" si="3"/>
        <v>1.4669379417067301</v>
      </c>
      <c r="L22" s="51">
        <v>23</v>
      </c>
      <c r="M22" s="51">
        <f t="shared" si="5"/>
        <v>0.13043478260869565</v>
      </c>
      <c r="N22" s="51">
        <v>97</v>
      </c>
      <c r="O22" s="51">
        <f t="shared" ref="O22:P22" si="31">D22/7</f>
        <v>0.42857142857142855</v>
      </c>
      <c r="P22" s="51">
        <f t="shared" si="31"/>
        <v>0</v>
      </c>
      <c r="Q22" s="51">
        <f t="shared" si="7"/>
        <v>226</v>
      </c>
      <c r="R22" s="55">
        <v>152</v>
      </c>
      <c r="S22" s="53" t="s">
        <v>34</v>
      </c>
      <c r="T22" s="54" t="s">
        <v>34</v>
      </c>
      <c r="U22" s="55">
        <v>0</v>
      </c>
      <c r="V22" s="55">
        <f t="shared" si="8"/>
        <v>0</v>
      </c>
      <c r="W22" s="55">
        <f t="shared" si="9"/>
        <v>0</v>
      </c>
      <c r="X22" s="55">
        <v>0</v>
      </c>
      <c r="Y22" s="55" t="s">
        <v>35</v>
      </c>
      <c r="Z22" s="56">
        <f t="shared" si="19"/>
        <v>-0.75</v>
      </c>
      <c r="AA22" s="55">
        <v>0.24781020254629632</v>
      </c>
      <c r="AB22" s="55">
        <f t="shared" si="27"/>
        <v>-1.6727188671875002</v>
      </c>
      <c r="AC22" s="55">
        <v>-7.32</v>
      </c>
      <c r="AD22" s="55">
        <v>-6.4803224358974356</v>
      </c>
      <c r="AE22" s="55">
        <v>0</v>
      </c>
      <c r="AF22" s="55"/>
    </row>
    <row r="23" spans="1:32" s="57" customFormat="1" ht="15.75" customHeight="1">
      <c r="A23" s="2" t="s">
        <v>79</v>
      </c>
      <c r="B23" s="2"/>
      <c r="C23" s="51">
        <v>18.989999999999998</v>
      </c>
      <c r="D23" s="51">
        <v>10</v>
      </c>
      <c r="E23" s="51">
        <v>0</v>
      </c>
      <c r="F23" s="51">
        <v>193.91</v>
      </c>
      <c r="G23" s="51">
        <v>0</v>
      </c>
      <c r="H23" s="51">
        <f t="shared" si="1"/>
        <v>0</v>
      </c>
      <c r="I23" s="51">
        <f t="shared" si="2"/>
        <v>0.10955879574923401</v>
      </c>
      <c r="J23" s="51">
        <f t="shared" si="4"/>
        <v>21.244546083733965</v>
      </c>
      <c r="K23" s="51">
        <f t="shared" si="3"/>
        <v>2.1244546083733966</v>
      </c>
      <c r="L23" s="51">
        <v>18</v>
      </c>
      <c r="M23" s="51">
        <f t="shared" si="5"/>
        <v>0.55555555555555558</v>
      </c>
      <c r="N23" s="51">
        <v>88</v>
      </c>
      <c r="O23" s="51">
        <f t="shared" ref="O23:P23" si="32">D23/7</f>
        <v>1.4285714285714286</v>
      </c>
      <c r="P23" s="51">
        <f t="shared" si="32"/>
        <v>0</v>
      </c>
      <c r="Q23" s="51">
        <f t="shared" si="7"/>
        <v>61</v>
      </c>
      <c r="R23" s="55">
        <v>152</v>
      </c>
      <c r="S23" s="53" t="s">
        <v>34</v>
      </c>
      <c r="T23" s="54" t="s">
        <v>34</v>
      </c>
      <c r="U23" s="55">
        <v>0</v>
      </c>
      <c r="V23" s="55">
        <f t="shared" si="8"/>
        <v>0</v>
      </c>
      <c r="W23" s="55">
        <f t="shared" si="9"/>
        <v>0</v>
      </c>
      <c r="X23" s="55">
        <v>0</v>
      </c>
      <c r="Y23" s="55" t="s">
        <v>35</v>
      </c>
      <c r="Z23" s="56">
        <f t="shared" si="19"/>
        <v>-0.75</v>
      </c>
      <c r="AA23" s="55">
        <v>0.24781020254629632</v>
      </c>
      <c r="AB23" s="55">
        <f t="shared" si="27"/>
        <v>-5.5757295572916679</v>
      </c>
      <c r="AC23" s="55">
        <v>-7.32</v>
      </c>
      <c r="AD23" s="55">
        <v>-6.4803224358974356</v>
      </c>
      <c r="AE23" s="55">
        <v>0</v>
      </c>
      <c r="AF23" s="55"/>
    </row>
    <row r="24" spans="1:32" s="57" customFormat="1" ht="15.75" customHeight="1">
      <c r="A24" s="2" t="s">
        <v>80</v>
      </c>
      <c r="B24" s="2" t="s">
        <v>955</v>
      </c>
      <c r="C24" s="51">
        <v>18.989999999999998</v>
      </c>
      <c r="D24" s="51">
        <v>16</v>
      </c>
      <c r="E24" s="51">
        <v>0</v>
      </c>
      <c r="F24" s="51">
        <v>299.84000000000003</v>
      </c>
      <c r="G24" s="51">
        <v>-0.04</v>
      </c>
      <c r="H24" s="51">
        <f t="shared" si="1"/>
        <v>1.3340448239060831E-4</v>
      </c>
      <c r="I24" s="51">
        <f t="shared" si="2"/>
        <v>8.3703554342230452E-2</v>
      </c>
      <c r="J24" s="51">
        <f t="shared" si="4"/>
        <v>25.097673733974382</v>
      </c>
      <c r="K24" s="51">
        <f t="shared" si="3"/>
        <v>1.5686046083733989</v>
      </c>
      <c r="L24" s="51">
        <v>60</v>
      </c>
      <c r="M24" s="51">
        <f t="shared" si="5"/>
        <v>0.26666666666666666</v>
      </c>
      <c r="N24" s="51">
        <v>46</v>
      </c>
      <c r="O24" s="51">
        <f t="shared" ref="O24:P24" si="33">D24/7</f>
        <v>2.2857142857142856</v>
      </c>
      <c r="P24" s="51">
        <f t="shared" si="33"/>
        <v>0</v>
      </c>
      <c r="Q24" s="51">
        <f t="shared" si="7"/>
        <v>20</v>
      </c>
      <c r="R24" s="55">
        <v>152</v>
      </c>
      <c r="S24" s="53" t="s">
        <v>34</v>
      </c>
      <c r="T24" s="54" t="s">
        <v>34</v>
      </c>
      <c r="U24" s="55">
        <v>0</v>
      </c>
      <c r="V24" s="55">
        <f t="shared" si="8"/>
        <v>0</v>
      </c>
      <c r="W24" s="55">
        <f t="shared" si="9"/>
        <v>0</v>
      </c>
      <c r="X24" s="55">
        <v>0</v>
      </c>
      <c r="Y24" s="55" t="s">
        <v>35</v>
      </c>
      <c r="Z24" s="56">
        <f t="shared" si="19"/>
        <v>-0.75</v>
      </c>
      <c r="AA24" s="55">
        <v>0.24781020254629632</v>
      </c>
      <c r="AB24" s="55">
        <f t="shared" si="27"/>
        <v>-8.9211672916666682</v>
      </c>
      <c r="AC24" s="55">
        <v>-7.32</v>
      </c>
      <c r="AD24" s="55">
        <v>-6.4803224358974356</v>
      </c>
      <c r="AE24" s="55">
        <v>0</v>
      </c>
      <c r="AF24" s="55"/>
    </row>
    <row r="25" spans="1:32" s="57" customFormat="1" ht="15.75" customHeight="1">
      <c r="A25" s="2" t="s">
        <v>81</v>
      </c>
      <c r="B25" s="2" t="s">
        <v>810</v>
      </c>
      <c r="C25" s="51"/>
      <c r="D25" s="51">
        <v>34</v>
      </c>
      <c r="E25" s="51">
        <v>0</v>
      </c>
      <c r="F25" s="51">
        <v>631.75000000000011</v>
      </c>
      <c r="G25" s="51">
        <v>-0.27</v>
      </c>
      <c r="H25" s="51">
        <f t="shared" si="1"/>
        <v>4.2738425009893147E-4</v>
      </c>
      <c r="I25" s="51">
        <f t="shared" si="2"/>
        <v>7.6848526608145007E-2</v>
      </c>
      <c r="J25" s="51">
        <f t="shared" si="4"/>
        <v>48.549056684695614</v>
      </c>
      <c r="K25" s="51">
        <f t="shared" si="3"/>
        <v>1.4279134319028122</v>
      </c>
      <c r="L25" s="51">
        <v>74</v>
      </c>
      <c r="M25" s="51">
        <f t="shared" si="5"/>
        <v>0.45945945945945948</v>
      </c>
      <c r="N25" s="51">
        <v>34</v>
      </c>
      <c r="O25" s="51">
        <f t="shared" ref="O25:P25" si="34">D25/7</f>
        <v>4.8571428571428568</v>
      </c>
      <c r="P25" s="51">
        <f t="shared" si="34"/>
        <v>0</v>
      </c>
      <c r="Q25" s="51">
        <f t="shared" si="7"/>
        <v>7</v>
      </c>
      <c r="R25" s="55">
        <v>152</v>
      </c>
      <c r="S25" s="53" t="s">
        <v>34</v>
      </c>
      <c r="T25" s="54" t="s">
        <v>34</v>
      </c>
      <c r="U25" s="55">
        <v>0</v>
      </c>
      <c r="V25" s="55">
        <f t="shared" si="8"/>
        <v>0</v>
      </c>
      <c r="W25" s="55">
        <f t="shared" si="9"/>
        <v>0</v>
      </c>
      <c r="X25" s="55">
        <v>0</v>
      </c>
      <c r="Y25" s="55" t="s">
        <v>35</v>
      </c>
      <c r="Z25" s="56">
        <f t="shared" si="19"/>
        <v>-0.75</v>
      </c>
      <c r="AA25" s="55">
        <v>0.24781020254629632</v>
      </c>
      <c r="AB25" s="55">
        <f t="shared" si="27"/>
        <v>-18.957480494791668</v>
      </c>
      <c r="AC25" s="55">
        <v>-7.32</v>
      </c>
      <c r="AD25" s="55">
        <v>-6.4803224358974356</v>
      </c>
      <c r="AE25" s="55">
        <v>0</v>
      </c>
      <c r="AF25" s="55"/>
    </row>
    <row r="26" spans="1:32" s="57" customFormat="1" ht="15.75" customHeight="1">
      <c r="A26" s="2" t="s">
        <v>83</v>
      </c>
      <c r="B26" s="2" t="s">
        <v>944</v>
      </c>
      <c r="C26" s="51">
        <f t="shared" ref="C26:C39" si="35">IFERROR(F26/D26," - ")</f>
        <v>19.353571428571431</v>
      </c>
      <c r="D26" s="51">
        <v>28</v>
      </c>
      <c r="E26" s="51">
        <v>0</v>
      </c>
      <c r="F26" s="51">
        <v>541.90000000000009</v>
      </c>
      <c r="G26" s="51">
        <v>-0.47000000000000003</v>
      </c>
      <c r="H26" s="51">
        <f t="shared" si="1"/>
        <v>8.6731869348588293E-4</v>
      </c>
      <c r="I26" s="51">
        <f t="shared" si="2"/>
        <v>0.10725951104346776</v>
      </c>
      <c r="J26" s="51">
        <f t="shared" si="4"/>
        <v>58.123929034455188</v>
      </c>
      <c r="K26" s="51">
        <f t="shared" si="3"/>
        <v>2.0758546083733997</v>
      </c>
      <c r="L26" s="51">
        <v>90</v>
      </c>
      <c r="M26" s="51">
        <f t="shared" si="5"/>
        <v>0.31111111111111112</v>
      </c>
      <c r="N26" s="51">
        <v>0</v>
      </c>
      <c r="O26" s="51">
        <f t="shared" ref="O26:P26" si="36">D26/7</f>
        <v>4</v>
      </c>
      <c r="P26" s="51">
        <f t="shared" si="36"/>
        <v>0</v>
      </c>
      <c r="Q26" s="51">
        <f t="shared" si="7"/>
        <v>0</v>
      </c>
      <c r="R26" s="55">
        <v>152</v>
      </c>
      <c r="S26" s="53" t="s">
        <v>34</v>
      </c>
      <c r="T26" s="54" t="s">
        <v>34</v>
      </c>
      <c r="U26" s="55">
        <v>2</v>
      </c>
      <c r="V26" s="55">
        <f t="shared" si="8"/>
        <v>7.1428571428571425E-2</v>
      </c>
      <c r="W26" s="55">
        <f t="shared" si="9"/>
        <v>9.4E-2</v>
      </c>
      <c r="X26" s="55">
        <v>3</v>
      </c>
      <c r="Y26" s="55" t="s">
        <v>35</v>
      </c>
      <c r="Z26" s="56">
        <f t="shared" si="19"/>
        <v>-0.75</v>
      </c>
      <c r="AA26" s="55">
        <v>0.24781020254629632</v>
      </c>
      <c r="AB26" s="55">
        <f t="shared" si="27"/>
        <v>-15.612042760416671</v>
      </c>
      <c r="AC26" s="55">
        <v>-7.32</v>
      </c>
      <c r="AD26" s="55">
        <v>-6.4803224358974356</v>
      </c>
      <c r="AE26" s="55">
        <v>0</v>
      </c>
      <c r="AF26" s="55"/>
    </row>
    <row r="27" spans="1:32" s="57" customFormat="1" ht="15.75" customHeight="1">
      <c r="A27" s="2" t="s">
        <v>84</v>
      </c>
      <c r="B27" s="2"/>
      <c r="C27" s="51">
        <f t="shared" si="35"/>
        <v>19</v>
      </c>
      <c r="D27" s="51">
        <v>3</v>
      </c>
      <c r="E27" s="51">
        <v>0</v>
      </c>
      <c r="F27" s="51">
        <v>57</v>
      </c>
      <c r="G27" s="51">
        <v>0</v>
      </c>
      <c r="H27" s="51">
        <f t="shared" si="1"/>
        <v>0</v>
      </c>
      <c r="I27" s="51">
        <f t="shared" si="2"/>
        <v>9.4321295177547143E-2</v>
      </c>
      <c r="J27" s="51">
        <f t="shared" si="4"/>
        <v>5.376313825120187</v>
      </c>
      <c r="K27" s="51">
        <f t="shared" si="3"/>
        <v>1.7921046083733956</v>
      </c>
      <c r="L27" s="51">
        <v>0</v>
      </c>
      <c r="M27" s="51" t="str">
        <f t="shared" si="5"/>
        <v>-</v>
      </c>
      <c r="N27" s="51">
        <v>0</v>
      </c>
      <c r="O27" s="51">
        <f t="shared" ref="O27:P27" si="37">D27/7</f>
        <v>0.42857142857142855</v>
      </c>
      <c r="P27" s="51">
        <f t="shared" si="37"/>
        <v>0</v>
      </c>
      <c r="Q27" s="51">
        <f t="shared" si="7"/>
        <v>0</v>
      </c>
      <c r="R27" s="55">
        <v>152</v>
      </c>
      <c r="S27" s="53" t="s">
        <v>34</v>
      </c>
      <c r="T27" s="54" t="s">
        <v>34</v>
      </c>
      <c r="U27" s="55">
        <v>0</v>
      </c>
      <c r="V27" s="55">
        <f t="shared" si="8"/>
        <v>0</v>
      </c>
      <c r="W27" s="55">
        <f t="shared" si="9"/>
        <v>0</v>
      </c>
      <c r="X27" s="55">
        <v>0</v>
      </c>
      <c r="Y27" s="55" t="s">
        <v>35</v>
      </c>
      <c r="Z27" s="56">
        <f t="shared" si="19"/>
        <v>-0.75</v>
      </c>
      <c r="AA27" s="55">
        <v>0.24781020254629632</v>
      </c>
      <c r="AB27" s="55">
        <f t="shared" si="27"/>
        <v>-1.6727188671875002</v>
      </c>
      <c r="AC27" s="55">
        <v>-7.32</v>
      </c>
      <c r="AD27" s="55">
        <v>-6.4803224358974356</v>
      </c>
      <c r="AE27" s="55">
        <v>0</v>
      </c>
      <c r="AF27" s="55"/>
    </row>
    <row r="28" spans="1:32" s="57" customFormat="1" ht="15.75" customHeight="1">
      <c r="A28" s="2" t="s">
        <v>86</v>
      </c>
      <c r="B28" s="2"/>
      <c r="C28" s="51" t="str">
        <f t="shared" si="35"/>
        <v xml:space="preserve"> - </v>
      </c>
      <c r="D28" s="51">
        <v>0</v>
      </c>
      <c r="E28" s="51">
        <v>0</v>
      </c>
      <c r="F28" s="51">
        <v>0</v>
      </c>
      <c r="G28" s="51">
        <v>0</v>
      </c>
      <c r="H28" s="51" t="e">
        <f t="shared" si="1"/>
        <v>#DIV/0!</v>
      </c>
      <c r="I28" s="51" t="e">
        <f t="shared" si="2"/>
        <v>#DIV/0!</v>
      </c>
      <c r="J28" s="51">
        <f t="shared" si="4"/>
        <v>0</v>
      </c>
      <c r="K28" s="51" t="e">
        <f t="shared" si="3"/>
        <v>#DIV/0!</v>
      </c>
      <c r="L28" s="51">
        <v>0</v>
      </c>
      <c r="M28" s="51" t="str">
        <f t="shared" si="5"/>
        <v>-</v>
      </c>
      <c r="N28" s="51">
        <v>0</v>
      </c>
      <c r="O28" s="51">
        <f t="shared" ref="O28:P28" si="38">D28/7</f>
        <v>0</v>
      </c>
      <c r="P28" s="51">
        <f t="shared" si="38"/>
        <v>0</v>
      </c>
      <c r="Q28" s="51" t="e">
        <f t="shared" si="7"/>
        <v>#DIV/0!</v>
      </c>
      <c r="R28" s="55">
        <v>152</v>
      </c>
      <c r="S28" s="53" t="s">
        <v>34</v>
      </c>
      <c r="T28" s="54" t="s">
        <v>34</v>
      </c>
      <c r="U28" s="55">
        <v>0</v>
      </c>
      <c r="V28" s="55">
        <f t="shared" si="8"/>
        <v>0</v>
      </c>
      <c r="W28" s="55">
        <f t="shared" si="9"/>
        <v>0</v>
      </c>
      <c r="X28" s="55">
        <v>0</v>
      </c>
      <c r="Y28" s="55" t="e">
        <v>#N/A</v>
      </c>
      <c r="Z28" s="56" t="e">
        <f t="shared" si="19"/>
        <v>#N/A</v>
      </c>
      <c r="AA28" s="55" t="e">
        <v>#N/A</v>
      </c>
      <c r="AB28" s="55">
        <f t="shared" si="27"/>
        <v>0</v>
      </c>
      <c r="AC28" s="55">
        <v>0</v>
      </c>
      <c r="AD28" s="55">
        <v>-6.4803224358974356</v>
      </c>
      <c r="AE28" s="55">
        <v>0</v>
      </c>
      <c r="AF28" s="55"/>
    </row>
    <row r="29" spans="1:32" s="57" customFormat="1" ht="15.75" customHeight="1">
      <c r="A29" s="2" t="s">
        <v>87</v>
      </c>
      <c r="B29" s="2"/>
      <c r="C29" s="51" t="str">
        <f t="shared" si="35"/>
        <v xml:space="preserve"> - </v>
      </c>
      <c r="D29" s="51">
        <v>0</v>
      </c>
      <c r="E29" s="51">
        <v>0</v>
      </c>
      <c r="F29" s="51">
        <v>0</v>
      </c>
      <c r="G29" s="51">
        <v>0</v>
      </c>
      <c r="H29" s="51" t="e">
        <f t="shared" si="1"/>
        <v>#DIV/0!</v>
      </c>
      <c r="I29" s="51" t="e">
        <f t="shared" si="2"/>
        <v>#DIV/0!</v>
      </c>
      <c r="J29" s="51">
        <f t="shared" si="4"/>
        <v>0</v>
      </c>
      <c r="K29" s="51" t="e">
        <f t="shared" si="3"/>
        <v>#DIV/0!</v>
      </c>
      <c r="L29" s="51">
        <v>0</v>
      </c>
      <c r="M29" s="51" t="str">
        <f t="shared" si="5"/>
        <v>-</v>
      </c>
      <c r="N29" s="51">
        <v>0</v>
      </c>
      <c r="O29" s="51">
        <f t="shared" ref="O29:P29" si="39">D29/7</f>
        <v>0</v>
      </c>
      <c r="P29" s="51">
        <f t="shared" si="39"/>
        <v>0</v>
      </c>
      <c r="Q29" s="51" t="e">
        <f t="shared" si="7"/>
        <v>#DIV/0!</v>
      </c>
      <c r="R29" s="55">
        <v>152</v>
      </c>
      <c r="S29" s="53" t="s">
        <v>34</v>
      </c>
      <c r="T29" s="54" t="s">
        <v>34</v>
      </c>
      <c r="U29" s="55">
        <v>0</v>
      </c>
      <c r="V29" s="55">
        <f t="shared" si="8"/>
        <v>0</v>
      </c>
      <c r="W29" s="55">
        <f t="shared" si="9"/>
        <v>0</v>
      </c>
      <c r="X29" s="55">
        <v>0</v>
      </c>
      <c r="Y29" s="55" t="e">
        <v>#N/A</v>
      </c>
      <c r="Z29" s="56" t="e">
        <f t="shared" si="19"/>
        <v>#N/A</v>
      </c>
      <c r="AA29" s="55" t="e">
        <v>#N/A</v>
      </c>
      <c r="AB29" s="55">
        <f t="shared" si="27"/>
        <v>0</v>
      </c>
      <c r="AC29" s="55">
        <v>0</v>
      </c>
      <c r="AD29" s="55">
        <v>-6.4803224358974356</v>
      </c>
      <c r="AE29" s="55">
        <v>0</v>
      </c>
      <c r="AF29" s="55"/>
    </row>
    <row r="30" spans="1:32" s="57" customFormat="1" ht="15.75" customHeight="1">
      <c r="A30" s="2" t="s">
        <v>89</v>
      </c>
      <c r="B30" s="2"/>
      <c r="C30" s="51" t="str">
        <f t="shared" si="35"/>
        <v xml:space="preserve"> - </v>
      </c>
      <c r="D30" s="51">
        <v>0</v>
      </c>
      <c r="E30" s="51">
        <v>0</v>
      </c>
      <c r="F30" s="51">
        <v>0</v>
      </c>
      <c r="G30" s="51">
        <v>0</v>
      </c>
      <c r="H30" s="51" t="e">
        <f t="shared" si="1"/>
        <v>#DIV/0!</v>
      </c>
      <c r="I30" s="51" t="e">
        <f t="shared" si="2"/>
        <v>#DIV/0!</v>
      </c>
      <c r="J30" s="51">
        <f t="shared" si="4"/>
        <v>0</v>
      </c>
      <c r="K30" s="51" t="e">
        <f t="shared" si="3"/>
        <v>#DIV/0!</v>
      </c>
      <c r="L30" s="51">
        <v>0</v>
      </c>
      <c r="M30" s="51" t="str">
        <f t="shared" si="5"/>
        <v>-</v>
      </c>
      <c r="N30" s="51">
        <v>0</v>
      </c>
      <c r="O30" s="51">
        <f t="shared" ref="O30:P30" si="40">D30/7</f>
        <v>0</v>
      </c>
      <c r="P30" s="51">
        <f t="shared" si="40"/>
        <v>0</v>
      </c>
      <c r="Q30" s="51" t="e">
        <f t="shared" si="7"/>
        <v>#DIV/0!</v>
      </c>
      <c r="R30" s="55">
        <v>252</v>
      </c>
      <c r="S30" s="53">
        <v>100</v>
      </c>
      <c r="T30" s="54">
        <v>44058</v>
      </c>
      <c r="U30" s="55">
        <v>0</v>
      </c>
      <c r="V30" s="55">
        <f t="shared" si="8"/>
        <v>0</v>
      </c>
      <c r="W30" s="55">
        <f t="shared" si="9"/>
        <v>0</v>
      </c>
      <c r="X30" s="55">
        <v>0</v>
      </c>
      <c r="Y30" s="55" t="e">
        <v>#N/A</v>
      </c>
      <c r="Z30" s="56" t="e">
        <f t="shared" si="19"/>
        <v>#N/A</v>
      </c>
      <c r="AA30" s="55" t="e">
        <v>#N/A</v>
      </c>
      <c r="AB30" s="55">
        <f t="shared" si="27"/>
        <v>0</v>
      </c>
      <c r="AC30" s="55">
        <v>0</v>
      </c>
      <c r="AD30" s="55">
        <v>-6.4803224358974356</v>
      </c>
      <c r="AE30" s="55">
        <v>0</v>
      </c>
      <c r="AF30" s="55"/>
    </row>
    <row r="31" spans="1:32" s="57" customFormat="1" ht="15.75" customHeight="1">
      <c r="A31" s="2" t="s">
        <v>90</v>
      </c>
      <c r="B31" s="2"/>
      <c r="C31" s="51" t="str">
        <f t="shared" si="35"/>
        <v xml:space="preserve"> - </v>
      </c>
      <c r="D31" s="51">
        <v>0</v>
      </c>
      <c r="E31" s="51">
        <v>0</v>
      </c>
      <c r="F31" s="51">
        <v>0</v>
      </c>
      <c r="G31" s="51">
        <v>0</v>
      </c>
      <c r="H31" s="51" t="e">
        <f t="shared" si="1"/>
        <v>#DIV/0!</v>
      </c>
      <c r="I31" s="51" t="e">
        <f t="shared" si="2"/>
        <v>#DIV/0!</v>
      </c>
      <c r="J31" s="51">
        <f t="shared" si="4"/>
        <v>0</v>
      </c>
      <c r="K31" s="51" t="e">
        <f t="shared" si="3"/>
        <v>#DIV/0!</v>
      </c>
      <c r="L31" s="51">
        <v>0</v>
      </c>
      <c r="M31" s="51" t="str">
        <f t="shared" si="5"/>
        <v>-</v>
      </c>
      <c r="N31" s="51">
        <v>0</v>
      </c>
      <c r="O31" s="51">
        <f t="shared" ref="O31:P31" si="41">D31/7</f>
        <v>0</v>
      </c>
      <c r="P31" s="51">
        <f t="shared" si="41"/>
        <v>0</v>
      </c>
      <c r="Q31" s="51" t="e">
        <f t="shared" si="7"/>
        <v>#DIV/0!</v>
      </c>
      <c r="R31" s="55">
        <v>152</v>
      </c>
      <c r="S31" s="53">
        <v>100</v>
      </c>
      <c r="T31" s="54">
        <v>44058</v>
      </c>
      <c r="U31" s="55">
        <v>0</v>
      </c>
      <c r="V31" s="55">
        <f t="shared" si="8"/>
        <v>0</v>
      </c>
      <c r="W31" s="55">
        <f t="shared" si="9"/>
        <v>0</v>
      </c>
      <c r="X31" s="55">
        <v>0</v>
      </c>
      <c r="Y31" s="55" t="e">
        <v>#N/A</v>
      </c>
      <c r="Z31" s="56" t="e">
        <f t="shared" si="19"/>
        <v>#N/A</v>
      </c>
      <c r="AA31" s="55" t="e">
        <v>#N/A</v>
      </c>
      <c r="AB31" s="55">
        <f t="shared" si="27"/>
        <v>0</v>
      </c>
      <c r="AC31" s="55">
        <v>0</v>
      </c>
      <c r="AD31" s="55">
        <v>-6.4803224358974356</v>
      </c>
      <c r="AE31" s="55">
        <v>0</v>
      </c>
      <c r="AF31" s="55"/>
    </row>
    <row r="32" spans="1:32" s="57" customFormat="1" ht="15.75" customHeight="1">
      <c r="A32" s="2" t="s">
        <v>92</v>
      </c>
      <c r="B32" s="2"/>
      <c r="C32" s="51" t="str">
        <f t="shared" si="35"/>
        <v xml:space="preserve"> - </v>
      </c>
      <c r="D32" s="51">
        <v>0</v>
      </c>
      <c r="E32" s="51">
        <v>0</v>
      </c>
      <c r="F32" s="51">
        <v>0</v>
      </c>
      <c r="G32" s="51">
        <v>0</v>
      </c>
      <c r="H32" s="51" t="e">
        <f t="shared" si="1"/>
        <v>#DIV/0!</v>
      </c>
      <c r="I32" s="51" t="e">
        <f t="shared" si="2"/>
        <v>#DIV/0!</v>
      </c>
      <c r="J32" s="51">
        <f t="shared" si="4"/>
        <v>0</v>
      </c>
      <c r="K32" s="51" t="e">
        <f t="shared" si="3"/>
        <v>#DIV/0!</v>
      </c>
      <c r="L32" s="51">
        <v>0</v>
      </c>
      <c r="M32" s="51" t="str">
        <f t="shared" si="5"/>
        <v>-</v>
      </c>
      <c r="N32" s="51">
        <v>0</v>
      </c>
      <c r="O32" s="51">
        <f t="shared" ref="O32:P32" si="42">D32/7</f>
        <v>0</v>
      </c>
      <c r="P32" s="51">
        <f t="shared" si="42"/>
        <v>0</v>
      </c>
      <c r="Q32" s="51" t="e">
        <f t="shared" si="7"/>
        <v>#DIV/0!</v>
      </c>
      <c r="R32" s="55">
        <v>152</v>
      </c>
      <c r="S32" s="53">
        <v>100</v>
      </c>
      <c r="T32" s="54" t="s">
        <v>34</v>
      </c>
      <c r="U32" s="55">
        <v>0</v>
      </c>
      <c r="V32" s="55">
        <f t="shared" si="8"/>
        <v>0</v>
      </c>
      <c r="W32" s="55">
        <f t="shared" si="9"/>
        <v>0</v>
      </c>
      <c r="X32" s="55">
        <v>0</v>
      </c>
      <c r="Y32" s="55" t="e">
        <v>#N/A</v>
      </c>
      <c r="Z32" s="56" t="e">
        <f t="shared" si="19"/>
        <v>#N/A</v>
      </c>
      <c r="AA32" s="55" t="e">
        <v>#N/A</v>
      </c>
      <c r="AB32" s="55">
        <f t="shared" si="27"/>
        <v>0</v>
      </c>
      <c r="AC32" s="55">
        <v>0</v>
      </c>
      <c r="AD32" s="55">
        <v>-6.4803224358974356</v>
      </c>
      <c r="AE32" s="55">
        <v>0</v>
      </c>
      <c r="AF32" s="52" t="e">
        <v>#N/A</v>
      </c>
    </row>
    <row r="33" spans="1:32" s="57" customFormat="1" ht="15.75" customHeight="1">
      <c r="A33" s="2" t="s">
        <v>94</v>
      </c>
      <c r="B33" s="2"/>
      <c r="C33" s="51" t="str">
        <f t="shared" si="35"/>
        <v xml:space="preserve"> - </v>
      </c>
      <c r="D33" s="51">
        <v>0</v>
      </c>
      <c r="E33" s="51">
        <v>0</v>
      </c>
      <c r="F33" s="51">
        <v>0</v>
      </c>
      <c r="G33" s="51">
        <v>0</v>
      </c>
      <c r="H33" s="51" t="e">
        <f t="shared" si="1"/>
        <v>#DIV/0!</v>
      </c>
      <c r="I33" s="51" t="e">
        <f t="shared" si="2"/>
        <v>#DIV/0!</v>
      </c>
      <c r="J33" s="51">
        <f t="shared" si="4"/>
        <v>0</v>
      </c>
      <c r="K33" s="51" t="e">
        <f t="shared" si="3"/>
        <v>#DIV/0!</v>
      </c>
      <c r="L33" s="51">
        <v>0</v>
      </c>
      <c r="M33" s="51" t="str">
        <f t="shared" si="5"/>
        <v>-</v>
      </c>
      <c r="N33" s="51">
        <v>0</v>
      </c>
      <c r="O33" s="51">
        <f t="shared" ref="O33:P33" si="43">D33/7</f>
        <v>0</v>
      </c>
      <c r="P33" s="51">
        <f t="shared" si="43"/>
        <v>0</v>
      </c>
      <c r="Q33" s="51" t="e">
        <f t="shared" si="7"/>
        <v>#DIV/0!</v>
      </c>
      <c r="R33" s="55">
        <v>152</v>
      </c>
      <c r="S33" s="53">
        <v>100</v>
      </c>
      <c r="T33" s="54">
        <v>44058</v>
      </c>
      <c r="U33" s="55">
        <v>0</v>
      </c>
      <c r="V33" s="55">
        <f t="shared" si="8"/>
        <v>0</v>
      </c>
      <c r="W33" s="55">
        <f t="shared" si="9"/>
        <v>0</v>
      </c>
      <c r="X33" s="55">
        <v>0</v>
      </c>
      <c r="Y33" s="55" t="e">
        <v>#N/A</v>
      </c>
      <c r="Z33" s="56" t="e">
        <f t="shared" si="19"/>
        <v>#N/A</v>
      </c>
      <c r="AA33" s="55" t="e">
        <v>#N/A</v>
      </c>
      <c r="AB33" s="55">
        <f t="shared" si="27"/>
        <v>0</v>
      </c>
      <c r="AC33" s="55">
        <v>0</v>
      </c>
      <c r="AD33" s="55">
        <v>-6.4803224358974356</v>
      </c>
      <c r="AE33" s="55">
        <v>0</v>
      </c>
      <c r="AF33" s="55" t="e">
        <v>#N/A</v>
      </c>
    </row>
    <row r="34" spans="1:32" s="57" customFormat="1" ht="15.75" customHeight="1">
      <c r="A34" s="2" t="s">
        <v>95</v>
      </c>
      <c r="B34" s="2"/>
      <c r="C34" s="51" t="str">
        <f t="shared" si="35"/>
        <v xml:space="preserve"> - </v>
      </c>
      <c r="D34" s="51">
        <v>0</v>
      </c>
      <c r="E34" s="51">
        <v>0</v>
      </c>
      <c r="F34" s="51">
        <v>0</v>
      </c>
      <c r="G34" s="51">
        <v>0</v>
      </c>
      <c r="H34" s="51" t="e">
        <f t="shared" si="1"/>
        <v>#DIV/0!</v>
      </c>
      <c r="I34" s="51" t="e">
        <f t="shared" si="2"/>
        <v>#DIV/0!</v>
      </c>
      <c r="J34" s="51">
        <f t="shared" si="4"/>
        <v>0</v>
      </c>
      <c r="K34" s="51" t="e">
        <f t="shared" si="3"/>
        <v>#DIV/0!</v>
      </c>
      <c r="L34" s="51">
        <v>0</v>
      </c>
      <c r="M34" s="51" t="str">
        <f t="shared" si="5"/>
        <v>-</v>
      </c>
      <c r="N34" s="51">
        <v>0</v>
      </c>
      <c r="O34" s="51">
        <f t="shared" ref="O34:P34" si="44">D34/7</f>
        <v>0</v>
      </c>
      <c r="P34" s="51">
        <f t="shared" si="44"/>
        <v>0</v>
      </c>
      <c r="Q34" s="51" t="e">
        <f t="shared" si="7"/>
        <v>#DIV/0!</v>
      </c>
      <c r="R34" s="55">
        <v>152</v>
      </c>
      <c r="S34" s="53">
        <v>100</v>
      </c>
      <c r="T34" s="54">
        <v>44058</v>
      </c>
      <c r="U34" s="55">
        <v>0</v>
      </c>
      <c r="V34" s="55">
        <f t="shared" si="8"/>
        <v>0</v>
      </c>
      <c r="W34" s="55">
        <f t="shared" si="9"/>
        <v>0</v>
      </c>
      <c r="X34" s="55">
        <v>0</v>
      </c>
      <c r="Y34" s="55" t="e">
        <v>#N/A</v>
      </c>
      <c r="Z34" s="56" t="e">
        <f t="shared" si="19"/>
        <v>#N/A</v>
      </c>
      <c r="AA34" s="55" t="e">
        <v>#N/A</v>
      </c>
      <c r="AB34" s="55">
        <f t="shared" si="27"/>
        <v>0</v>
      </c>
      <c r="AC34" s="55">
        <v>0</v>
      </c>
      <c r="AD34" s="55">
        <v>-6.4803224358974356</v>
      </c>
      <c r="AE34" s="55">
        <v>0</v>
      </c>
      <c r="AF34" s="55" t="e">
        <v>#N/A</v>
      </c>
    </row>
    <row r="35" spans="1:32" s="57" customFormat="1" ht="15.75" customHeight="1">
      <c r="A35" s="2" t="s">
        <v>96</v>
      </c>
      <c r="B35" s="2"/>
      <c r="C35" s="51" t="str">
        <f t="shared" si="35"/>
        <v xml:space="preserve"> - </v>
      </c>
      <c r="D35" s="51">
        <v>0</v>
      </c>
      <c r="E35" s="51">
        <v>0</v>
      </c>
      <c r="F35" s="51">
        <v>0</v>
      </c>
      <c r="G35" s="51">
        <v>0</v>
      </c>
      <c r="H35" s="51" t="e">
        <f t="shared" si="1"/>
        <v>#DIV/0!</v>
      </c>
      <c r="I35" s="51" t="e">
        <f t="shared" si="2"/>
        <v>#DIV/0!</v>
      </c>
      <c r="J35" s="51">
        <f t="shared" si="4"/>
        <v>0</v>
      </c>
      <c r="K35" s="51" t="e">
        <f t="shared" si="3"/>
        <v>#DIV/0!</v>
      </c>
      <c r="L35" s="51">
        <v>0</v>
      </c>
      <c r="M35" s="51" t="str">
        <f t="shared" si="5"/>
        <v>-</v>
      </c>
      <c r="N35" s="51">
        <v>0</v>
      </c>
      <c r="O35" s="51">
        <f t="shared" ref="O35:P35" si="45">D35/7</f>
        <v>0</v>
      </c>
      <c r="P35" s="51">
        <f t="shared" si="45"/>
        <v>0</v>
      </c>
      <c r="Q35" s="51" t="e">
        <f t="shared" si="7"/>
        <v>#DIV/0!</v>
      </c>
      <c r="R35" s="55">
        <v>52</v>
      </c>
      <c r="S35" s="53" t="s">
        <v>34</v>
      </c>
      <c r="T35" s="54" t="s">
        <v>34</v>
      </c>
      <c r="U35" s="55">
        <v>0</v>
      </c>
      <c r="V35" s="55">
        <f t="shared" si="8"/>
        <v>0</v>
      </c>
      <c r="W35" s="55">
        <f t="shared" si="9"/>
        <v>0</v>
      </c>
      <c r="X35" s="55">
        <v>0</v>
      </c>
      <c r="Y35" s="55" t="e">
        <v>#N/A</v>
      </c>
      <c r="Z35" s="56" t="e">
        <f t="shared" si="19"/>
        <v>#N/A</v>
      </c>
      <c r="AA35" s="55" t="e">
        <v>#N/A</v>
      </c>
      <c r="AB35" s="55">
        <f t="shared" si="27"/>
        <v>0</v>
      </c>
      <c r="AC35" s="55">
        <v>0</v>
      </c>
      <c r="AD35" s="55">
        <v>-6.4803224358974356</v>
      </c>
      <c r="AE35" s="55">
        <v>0</v>
      </c>
      <c r="AF35" s="55" t="e">
        <v>#N/A</v>
      </c>
    </row>
    <row r="36" spans="1:32" s="57" customFormat="1" ht="15.75" customHeight="1">
      <c r="A36" s="2" t="s">
        <v>98</v>
      </c>
      <c r="B36" s="2"/>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v>52</v>
      </c>
      <c r="S36" s="53"/>
      <c r="T36" s="54" t="s">
        <v>34</v>
      </c>
      <c r="U36" s="55"/>
      <c r="V36" s="55">
        <f t="shared" si="8"/>
        <v>0</v>
      </c>
      <c r="W36" s="55">
        <f t="shared" si="9"/>
        <v>0</v>
      </c>
      <c r="X36" s="55"/>
      <c r="Y36" s="55" t="e">
        <v>#N/A</v>
      </c>
      <c r="Z36" s="56" t="e">
        <f t="shared" si="19"/>
        <v>#N/A</v>
      </c>
      <c r="AA36" s="55" t="e">
        <v>#N/A</v>
      </c>
      <c r="AB36" s="55">
        <f t="shared" si="27"/>
        <v>0</v>
      </c>
      <c r="AC36" s="55">
        <v>0</v>
      </c>
      <c r="AD36" s="55">
        <v>-6.4803224358974356</v>
      </c>
      <c r="AE36" s="55">
        <v>0</v>
      </c>
      <c r="AF36" s="55" t="e">
        <v>#N/A</v>
      </c>
    </row>
    <row r="37" spans="1:32" s="57" customFormat="1" ht="15.75" customHeight="1">
      <c r="A37" s="2" t="s">
        <v>99</v>
      </c>
      <c r="B37" s="2"/>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v>52</v>
      </c>
      <c r="S37" s="53" t="s">
        <v>34</v>
      </c>
      <c r="T37" s="54" t="s">
        <v>34</v>
      </c>
      <c r="U37" s="55">
        <v>0</v>
      </c>
      <c r="V37" s="55">
        <f t="shared" si="8"/>
        <v>0</v>
      </c>
      <c r="W37" s="55">
        <f t="shared" si="9"/>
        <v>0</v>
      </c>
      <c r="X37" s="55">
        <v>0</v>
      </c>
      <c r="Y37" s="55" t="e">
        <v>#N/A</v>
      </c>
      <c r="Z37" s="56" t="e">
        <f t="shared" si="19"/>
        <v>#N/A</v>
      </c>
      <c r="AA37" s="55" t="e">
        <v>#N/A</v>
      </c>
      <c r="AB37" s="55">
        <f t="shared" si="27"/>
        <v>0</v>
      </c>
      <c r="AC37" s="55">
        <v>0</v>
      </c>
      <c r="AD37" s="55">
        <v>-6.4803224358974356</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5">
        <v>152</v>
      </c>
      <c r="S38" s="53"/>
      <c r="T38" s="54" t="s">
        <v>34</v>
      </c>
      <c r="U38" s="55">
        <v>0</v>
      </c>
      <c r="V38" s="55">
        <f t="shared" si="8"/>
        <v>0</v>
      </c>
      <c r="W38" s="55">
        <f t="shared" si="9"/>
        <v>0</v>
      </c>
      <c r="X38" s="55">
        <v>0</v>
      </c>
      <c r="Y38" s="55" t="e">
        <v>#N/A</v>
      </c>
      <c r="Z38" s="56" t="e">
        <f t="shared" si="19"/>
        <v>#N/A</v>
      </c>
      <c r="AA38" s="55" t="e">
        <v>#N/A</v>
      </c>
      <c r="AB38" s="55">
        <f t="shared" si="27"/>
        <v>0</v>
      </c>
      <c r="AC38" s="55">
        <v>0</v>
      </c>
      <c r="AD38" s="55">
        <v>-6.4803224358974356</v>
      </c>
      <c r="AE38" s="55">
        <v>0</v>
      </c>
      <c r="AF38" s="55" t="e">
        <v>#N/A</v>
      </c>
    </row>
    <row r="39" spans="1:32" s="57" customFormat="1" ht="15.75" customHeight="1">
      <c r="A39" s="2" t="s">
        <v>101</v>
      </c>
      <c r="B39" s="2"/>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0</v>
      </c>
      <c r="O39" s="51">
        <f t="shared" ref="O39:P39" si="49">D39/7</f>
        <v>0</v>
      </c>
      <c r="P39" s="51">
        <f t="shared" si="49"/>
        <v>0</v>
      </c>
      <c r="Q39" s="51" t="e">
        <f t="shared" si="7"/>
        <v>#DIV/0!</v>
      </c>
      <c r="R39" s="55">
        <v>152</v>
      </c>
      <c r="S39" s="53" t="s">
        <v>34</v>
      </c>
      <c r="T39" s="54" t="s">
        <v>34</v>
      </c>
      <c r="U39" s="55">
        <v>0</v>
      </c>
      <c r="V39" s="55">
        <f t="shared" si="8"/>
        <v>0</v>
      </c>
      <c r="W39" s="55">
        <f t="shared" si="9"/>
        <v>0</v>
      </c>
      <c r="X39" s="55">
        <v>0</v>
      </c>
      <c r="Y39" s="55" t="e">
        <v>#N/A</v>
      </c>
      <c r="Z39" s="56" t="e">
        <f t="shared" si="19"/>
        <v>#N/A</v>
      </c>
      <c r="AA39" s="55" t="e">
        <v>#N/A</v>
      </c>
      <c r="AB39" s="55">
        <f t="shared" si="27"/>
        <v>0</v>
      </c>
      <c r="AC39" s="55">
        <v>0</v>
      </c>
      <c r="AD39" s="55">
        <v>-6.4803224358974303</v>
      </c>
      <c r="AE39" s="55">
        <v>0</v>
      </c>
      <c r="AF39" s="55" t="e">
        <v>#N/A</v>
      </c>
    </row>
    <row r="40" spans="1:32" s="57" customFormat="1" ht="15.75" customHeight="1">
      <c r="A40" s="2" t="s">
        <v>102</v>
      </c>
      <c r="B40" s="2"/>
      <c r="C40" s="51" t="s">
        <v>103</v>
      </c>
      <c r="D40" s="51">
        <v>0</v>
      </c>
      <c r="E40" s="51">
        <v>0</v>
      </c>
      <c r="F40" s="51">
        <v>0</v>
      </c>
      <c r="G40" s="51">
        <v>0</v>
      </c>
      <c r="H40" s="51" t="e">
        <v>#DIV/0!</v>
      </c>
      <c r="I40" s="51" t="e">
        <v>#DIV/0!</v>
      </c>
      <c r="J40" s="51">
        <v>0</v>
      </c>
      <c r="K40" s="51" t="e">
        <v>#DIV/0!</v>
      </c>
      <c r="L40" s="51">
        <v>0</v>
      </c>
      <c r="M40" s="51" t="s">
        <v>104</v>
      </c>
      <c r="N40" s="51">
        <v>0</v>
      </c>
      <c r="O40" s="51">
        <v>0</v>
      </c>
      <c r="P40" s="51">
        <v>0</v>
      </c>
      <c r="Q40" s="51" t="e">
        <v>#DIV/0!</v>
      </c>
      <c r="R40" s="55">
        <v>152</v>
      </c>
      <c r="S40" s="53" t="s">
        <v>34</v>
      </c>
      <c r="T40" s="54" t="s">
        <v>34</v>
      </c>
      <c r="U40" s="55">
        <v>0</v>
      </c>
      <c r="V40" s="55">
        <v>0</v>
      </c>
      <c r="W40" s="55">
        <v>0</v>
      </c>
      <c r="X40" s="55">
        <v>0</v>
      </c>
      <c r="Y40" s="55" t="e">
        <v>#N/A</v>
      </c>
      <c r="Z40" s="56" t="e">
        <v>#N/A</v>
      </c>
      <c r="AA40" s="55" t="e">
        <v>#N/A</v>
      </c>
      <c r="AB40" s="55">
        <v>0</v>
      </c>
      <c r="AC40" s="55">
        <v>0</v>
      </c>
      <c r="AD40" s="55">
        <v>-6.4803224358974303</v>
      </c>
      <c r="AE40" s="55">
        <v>0</v>
      </c>
      <c r="AF40" s="55" t="e">
        <v>#N/A</v>
      </c>
    </row>
    <row r="41" spans="1:32" s="57" customFormat="1" ht="15.75" customHeight="1">
      <c r="A41" s="2" t="s">
        <v>105</v>
      </c>
      <c r="B41" s="2"/>
      <c r="C41" s="51" t="str">
        <f t="shared" ref="C41:C56" si="50">IFERROR(F41/D41," - ")</f>
        <v xml:space="preserve"> - </v>
      </c>
      <c r="D41" s="51">
        <v>0</v>
      </c>
      <c r="E41" s="51">
        <v>0</v>
      </c>
      <c r="F41" s="51">
        <v>0</v>
      </c>
      <c r="G41" s="51">
        <v>0</v>
      </c>
      <c r="H41" s="51" t="e">
        <f t="shared" ref="H41:H56" si="51">G41/F41*-1</f>
        <v>#DIV/0!</v>
      </c>
      <c r="I41" s="51" t="e">
        <f t="shared" ref="I41:I56" si="52">J41/F41</f>
        <v>#DIV/0!</v>
      </c>
      <c r="J41" s="51">
        <f t="shared" ref="J41:J48" si="53">F41*0.85+G41+AD41*D41+D41*AC41+AE42+AB41</f>
        <v>0</v>
      </c>
      <c r="K41" s="51" t="e">
        <f t="shared" ref="K41:K56" si="54">J41/D41</f>
        <v>#DIV/0!</v>
      </c>
      <c r="L41" s="51">
        <v>0</v>
      </c>
      <c r="M41" s="51" t="str">
        <f t="shared" ref="M41:M56" si="55">IFERROR(D41/L41,"-")</f>
        <v>-</v>
      </c>
      <c r="N41" s="51">
        <v>0</v>
      </c>
      <c r="O41" s="51">
        <f t="shared" ref="O41:P41" si="56">D41/7</f>
        <v>0</v>
      </c>
      <c r="P41" s="51">
        <f t="shared" si="56"/>
        <v>0</v>
      </c>
      <c r="Q41" s="51" t="e">
        <f t="shared" ref="Q41:Q56" si="57">ROUNDDOWN(N41/(O41+P41),0)</f>
        <v>#DIV/0!</v>
      </c>
      <c r="R41" s="55">
        <v>152</v>
      </c>
      <c r="S41" s="53" t="s">
        <v>34</v>
      </c>
      <c r="T41" s="54" t="s">
        <v>34</v>
      </c>
      <c r="U41" s="55">
        <v>0</v>
      </c>
      <c r="V41" s="55">
        <f t="shared" ref="V41:V56" si="58">IFERROR(U41/D41,0)</f>
        <v>0</v>
      </c>
      <c r="W41" s="55">
        <f t="shared" ref="W41:W56" si="59">IFERROR(G41/(U41+X41)*-1,0)</f>
        <v>0</v>
      </c>
      <c r="X41" s="55">
        <v>0</v>
      </c>
      <c r="Y41" s="52" t="e">
        <v>#N/A</v>
      </c>
      <c r="Z41" s="56" t="e">
        <f t="shared" ref="Z41:Z43" si="60">IF(OR(Y41="UsLargeStandardSize",Y41="UsSmallStandardSize"),-0.75,-0.48)</f>
        <v>#N/A</v>
      </c>
      <c r="AA41" s="55" t="e">
        <v>#N/A</v>
      </c>
      <c r="AB41" s="55">
        <f t="shared" ref="AB41:AB56" si="61">IFERROR(Z41*AA41*D41*3,0)</f>
        <v>0</v>
      </c>
      <c r="AC41" s="55">
        <v>0</v>
      </c>
      <c r="AD41" s="55">
        <v>-6.4803224358974303</v>
      </c>
      <c r="AE41" s="55">
        <v>0</v>
      </c>
      <c r="AF41" s="55" t="e">
        <v>#N/A</v>
      </c>
    </row>
    <row r="42" spans="1:32" s="57" customFormat="1" ht="15.75" customHeight="1">
      <c r="A42" s="2" t="s">
        <v>106</v>
      </c>
      <c r="B42" s="2"/>
      <c r="C42" s="51" t="str">
        <f t="shared" si="50"/>
        <v xml:space="preserve"> - </v>
      </c>
      <c r="D42" s="51">
        <v>0</v>
      </c>
      <c r="E42" s="51">
        <v>0</v>
      </c>
      <c r="F42" s="51">
        <v>0</v>
      </c>
      <c r="G42" s="51">
        <v>0</v>
      </c>
      <c r="H42" s="51" t="e">
        <f t="shared" si="51"/>
        <v>#DIV/0!</v>
      </c>
      <c r="I42" s="51" t="e">
        <f t="shared" si="52"/>
        <v>#DIV/0!</v>
      </c>
      <c r="J42" s="51">
        <f t="shared" si="53"/>
        <v>0</v>
      </c>
      <c r="K42" s="51" t="e">
        <f t="shared" si="54"/>
        <v>#DIV/0!</v>
      </c>
      <c r="L42" s="51">
        <v>0</v>
      </c>
      <c r="M42" s="51" t="str">
        <f t="shared" si="55"/>
        <v>-</v>
      </c>
      <c r="N42" s="51">
        <v>0</v>
      </c>
      <c r="O42" s="51">
        <f t="shared" ref="O42:P42" si="62">D42/7</f>
        <v>0</v>
      </c>
      <c r="P42" s="51">
        <f t="shared" si="62"/>
        <v>0</v>
      </c>
      <c r="Q42" s="51" t="e">
        <f t="shared" si="57"/>
        <v>#DIV/0!</v>
      </c>
      <c r="R42" s="55">
        <f ca="1">IFERROR(__xludf.DUMMYFUNCTION("IFERROR(VLOOKUP($B$2,IMPORTRANGE(""https://docs.google.com/spreadsheets/d/1iVgg6Mw12RULLujzHmfOFIY8Q_KaAD8anoZzgtVAQ74/edit#gid=1503384807"",""Second Star - Summary!A1:AD2000""),9,FALSE),"""")"),224)</f>
        <v>224</v>
      </c>
      <c r="S42" s="53">
        <f ca="1">IFERROR(__xludf.DUMMYFUNCTION("IFERROR(VLOOKUP($B$2,IMPORTRANGE(""https://docs.google.com/spreadsheets/d/1iVgg6Mw12RULLujzHmfOFIY8Q_KaAD8anoZzgtVAQ74/edit#gid=1503384807"",""Second Star - Summary!A1:AD2000""),28,FALSE),"""")"),80)</f>
        <v>80</v>
      </c>
      <c r="T42" s="54">
        <f ca="1">IFERROR(__xludf.DUMMYFUNCTION("IFERROR(VLOOKUP($B$2,IMPORTRANGE(""https://docs.google.com/spreadsheets/d/1iVgg6Mw12RULLujzHmfOFIY8Q_KaAD8anoZzgtVAQ74/edit#gid=1503384807"",""Second Star - Summary!A1:AD2000""),29,FALSE),"""")"),44339)</f>
        <v>44339</v>
      </c>
      <c r="U42" s="55">
        <v>0</v>
      </c>
      <c r="V42" s="55">
        <f t="shared" si="58"/>
        <v>0</v>
      </c>
      <c r="W42" s="55">
        <f t="shared" si="59"/>
        <v>0</v>
      </c>
      <c r="X42" s="55">
        <v>0</v>
      </c>
      <c r="Y42" s="55" t="e">
        <v>#N/A</v>
      </c>
      <c r="Z42" s="56" t="e">
        <f t="shared" si="60"/>
        <v>#N/A</v>
      </c>
      <c r="AA42" s="55" t="e">
        <v>#N/A</v>
      </c>
      <c r="AB42" s="55">
        <f t="shared" si="61"/>
        <v>0</v>
      </c>
      <c r="AC42" s="55">
        <v>0</v>
      </c>
      <c r="AD42" s="55">
        <v>-6.4803224358974303</v>
      </c>
      <c r="AE42" s="55">
        <v>0</v>
      </c>
      <c r="AF42" s="55" t="e">
        <v>#N/A</v>
      </c>
    </row>
    <row r="43" spans="1:32" s="57" customFormat="1" ht="15.75" customHeight="1">
      <c r="A43" s="2" t="s">
        <v>107</v>
      </c>
      <c r="B43" s="2"/>
      <c r="C43" s="51" t="str">
        <f t="shared" si="50"/>
        <v xml:space="preserve"> - </v>
      </c>
      <c r="D43" s="51">
        <v>0</v>
      </c>
      <c r="E43" s="51">
        <v>0</v>
      </c>
      <c r="F43" s="51">
        <v>0</v>
      </c>
      <c r="G43" s="51">
        <v>0</v>
      </c>
      <c r="H43" s="51" t="e">
        <f t="shared" si="51"/>
        <v>#DIV/0!</v>
      </c>
      <c r="I43" s="51" t="e">
        <f t="shared" si="52"/>
        <v>#DIV/0!</v>
      </c>
      <c r="J43" s="51">
        <f t="shared" si="53"/>
        <v>0</v>
      </c>
      <c r="K43" s="51" t="e">
        <f t="shared" si="54"/>
        <v>#DIV/0!</v>
      </c>
      <c r="L43" s="51">
        <v>0</v>
      </c>
      <c r="M43" s="51" t="str">
        <f t="shared" si="55"/>
        <v>-</v>
      </c>
      <c r="N43" s="51">
        <v>0</v>
      </c>
      <c r="O43" s="51">
        <f t="shared" ref="O43:P43" si="63">D43/7</f>
        <v>0</v>
      </c>
      <c r="P43" s="51">
        <f t="shared" si="63"/>
        <v>0</v>
      </c>
      <c r="Q43" s="51" t="e">
        <f t="shared" si="57"/>
        <v>#DIV/0!</v>
      </c>
      <c r="R43" s="55">
        <v>152</v>
      </c>
      <c r="S43" s="53" t="s">
        <v>34</v>
      </c>
      <c r="T43" s="54" t="s">
        <v>34</v>
      </c>
      <c r="U43" s="55">
        <v>0</v>
      </c>
      <c r="V43" s="55">
        <f t="shared" si="58"/>
        <v>0</v>
      </c>
      <c r="W43" s="55">
        <f t="shared" si="59"/>
        <v>0</v>
      </c>
      <c r="X43" s="55">
        <v>0</v>
      </c>
      <c r="Y43" s="55" t="e">
        <v>#N/A</v>
      </c>
      <c r="Z43" s="56" t="e">
        <f t="shared" si="60"/>
        <v>#N/A</v>
      </c>
      <c r="AA43" s="55" t="e">
        <v>#N/A</v>
      </c>
      <c r="AB43" s="55">
        <f t="shared" si="61"/>
        <v>0</v>
      </c>
      <c r="AC43" s="55">
        <v>0</v>
      </c>
      <c r="AD43" s="55">
        <v>-6.4803224358974303</v>
      </c>
      <c r="AE43" s="55">
        <v>0</v>
      </c>
      <c r="AF43" s="55" t="e">
        <v>#N/A</v>
      </c>
    </row>
    <row r="44" spans="1:32" s="57" customFormat="1" ht="15.75" customHeight="1">
      <c r="A44" s="2" t="s">
        <v>108</v>
      </c>
      <c r="B44" s="2"/>
      <c r="C44" s="51" t="str">
        <f t="shared" si="50"/>
        <v xml:space="preserve"> - </v>
      </c>
      <c r="D44" s="51">
        <v>0</v>
      </c>
      <c r="E44" s="51">
        <v>0</v>
      </c>
      <c r="F44" s="51">
        <v>0</v>
      </c>
      <c r="G44" s="51">
        <v>0</v>
      </c>
      <c r="H44" s="51" t="e">
        <f t="shared" si="51"/>
        <v>#DIV/0!</v>
      </c>
      <c r="I44" s="51" t="e">
        <f t="shared" si="52"/>
        <v>#DIV/0!</v>
      </c>
      <c r="J44" s="51">
        <f t="shared" si="53"/>
        <v>0</v>
      </c>
      <c r="K44" s="51" t="e">
        <f t="shared" si="54"/>
        <v>#DIV/0!</v>
      </c>
      <c r="L44" s="51">
        <v>0</v>
      </c>
      <c r="M44" s="51" t="str">
        <f t="shared" si="55"/>
        <v>-</v>
      </c>
      <c r="N44" s="51">
        <v>0</v>
      </c>
      <c r="O44" s="51">
        <f t="shared" ref="O44:P44" si="64">D44/7</f>
        <v>0</v>
      </c>
      <c r="P44" s="51">
        <f t="shared" si="64"/>
        <v>0</v>
      </c>
      <c r="Q44" s="51" t="e">
        <f t="shared" si="57"/>
        <v>#DIV/0!</v>
      </c>
      <c r="R44" s="55">
        <v>152</v>
      </c>
      <c r="S44" s="53" t="s">
        <v>34</v>
      </c>
      <c r="T44" s="54" t="s">
        <v>34</v>
      </c>
      <c r="U44" s="55">
        <v>0</v>
      </c>
      <c r="V44" s="55">
        <f t="shared" si="58"/>
        <v>0</v>
      </c>
      <c r="W44" s="55">
        <f t="shared" si="59"/>
        <v>0</v>
      </c>
      <c r="X44" s="55">
        <v>0</v>
      </c>
      <c r="Y44" s="55" t="e">
        <v>#N/A</v>
      </c>
      <c r="Z44" s="56" t="e">
        <f t="shared" ref="Z44:Z56" si="65">IF(OR(Y44="UsLargeStandardSize",Y44="UsSmallStandardSize"),-2.4,-1.2)</f>
        <v>#N/A</v>
      </c>
      <c r="AA44" s="55" t="e">
        <v>#N/A</v>
      </c>
      <c r="AB44" s="55">
        <f t="shared" si="61"/>
        <v>0</v>
      </c>
      <c r="AC44" s="55">
        <v>0</v>
      </c>
      <c r="AD44" s="55">
        <v>-6.4803224358974303</v>
      </c>
      <c r="AE44" s="55">
        <v>0</v>
      </c>
      <c r="AF44" s="55" t="e">
        <v>#N/A</v>
      </c>
    </row>
    <row r="45" spans="1:32" s="57" customFormat="1" ht="15.75" customHeight="1">
      <c r="A45" s="2" t="s">
        <v>109</v>
      </c>
      <c r="B45" s="2"/>
      <c r="C45" s="51" t="str">
        <f t="shared" si="50"/>
        <v xml:space="preserve"> - </v>
      </c>
      <c r="D45" s="51">
        <v>0</v>
      </c>
      <c r="E45" s="51">
        <v>0</v>
      </c>
      <c r="F45" s="51">
        <v>0</v>
      </c>
      <c r="G45" s="51">
        <v>0</v>
      </c>
      <c r="H45" s="51" t="e">
        <f t="shared" si="51"/>
        <v>#DIV/0!</v>
      </c>
      <c r="I45" s="51" t="e">
        <f t="shared" si="52"/>
        <v>#DIV/0!</v>
      </c>
      <c r="J45" s="51">
        <f t="shared" si="53"/>
        <v>0</v>
      </c>
      <c r="K45" s="51" t="e">
        <f t="shared" si="54"/>
        <v>#DIV/0!</v>
      </c>
      <c r="L45" s="51">
        <v>0</v>
      </c>
      <c r="M45" s="51" t="str">
        <f t="shared" si="55"/>
        <v>-</v>
      </c>
      <c r="N45" s="51">
        <v>0</v>
      </c>
      <c r="O45" s="51">
        <f t="shared" ref="O45:P45" si="66">D45/7</f>
        <v>0</v>
      </c>
      <c r="P45" s="51">
        <f t="shared" si="66"/>
        <v>0</v>
      </c>
      <c r="Q45" s="51" t="e">
        <f t="shared" si="57"/>
        <v>#DIV/0!</v>
      </c>
      <c r="R45" s="55">
        <v>152</v>
      </c>
      <c r="S45" s="53" t="s">
        <v>34</v>
      </c>
      <c r="T45" s="54" t="s">
        <v>34</v>
      </c>
      <c r="U45" s="55">
        <v>0</v>
      </c>
      <c r="V45" s="55">
        <f t="shared" si="58"/>
        <v>0</v>
      </c>
      <c r="W45" s="55">
        <f t="shared" si="59"/>
        <v>0</v>
      </c>
      <c r="X45" s="55">
        <v>0</v>
      </c>
      <c r="Y45" s="55" t="e">
        <v>#N/A</v>
      </c>
      <c r="Z45" s="56" t="e">
        <f t="shared" si="65"/>
        <v>#N/A</v>
      </c>
      <c r="AA45" s="55" t="e">
        <v>#N/A</v>
      </c>
      <c r="AB45" s="55">
        <f t="shared" si="61"/>
        <v>0</v>
      </c>
      <c r="AC45" s="55">
        <v>0</v>
      </c>
      <c r="AD45" s="55">
        <v>-6.4803224358974303</v>
      </c>
      <c r="AE45" s="55">
        <v>0</v>
      </c>
      <c r="AF45" s="55" t="e">
        <v>#N/A</v>
      </c>
    </row>
    <row r="46" spans="1:32" s="57" customFormat="1" ht="15.75" customHeight="1">
      <c r="A46" s="2" t="s">
        <v>111</v>
      </c>
      <c r="B46" s="2"/>
      <c r="C46" s="51" t="str">
        <f t="shared" si="50"/>
        <v xml:space="preserve"> - </v>
      </c>
      <c r="D46" s="51">
        <v>0</v>
      </c>
      <c r="E46" s="51">
        <v>0</v>
      </c>
      <c r="F46" s="51">
        <v>0</v>
      </c>
      <c r="G46" s="51">
        <v>0</v>
      </c>
      <c r="H46" s="51" t="e">
        <f t="shared" si="51"/>
        <v>#DIV/0!</v>
      </c>
      <c r="I46" s="51" t="e">
        <f t="shared" si="52"/>
        <v>#DIV/0!</v>
      </c>
      <c r="J46" s="51">
        <f t="shared" si="53"/>
        <v>0</v>
      </c>
      <c r="K46" s="51" t="e">
        <f t="shared" si="54"/>
        <v>#DIV/0!</v>
      </c>
      <c r="L46" s="51">
        <v>0</v>
      </c>
      <c r="M46" s="51" t="str">
        <f t="shared" si="55"/>
        <v>-</v>
      </c>
      <c r="N46" s="51">
        <v>0</v>
      </c>
      <c r="O46" s="51">
        <f t="shared" ref="O46:P46" si="67">D46/7</f>
        <v>0</v>
      </c>
      <c r="P46" s="51">
        <f t="shared" si="67"/>
        <v>0</v>
      </c>
      <c r="Q46" s="51" t="e">
        <f t="shared" si="57"/>
        <v>#DIV/0!</v>
      </c>
      <c r="R46" s="55">
        <v>152</v>
      </c>
      <c r="S46" s="53" t="s">
        <v>34</v>
      </c>
      <c r="T46" s="54" t="s">
        <v>34</v>
      </c>
      <c r="U46" s="55">
        <v>0</v>
      </c>
      <c r="V46" s="55">
        <f t="shared" si="58"/>
        <v>0</v>
      </c>
      <c r="W46" s="55">
        <f t="shared" si="59"/>
        <v>0</v>
      </c>
      <c r="X46" s="55">
        <v>0</v>
      </c>
      <c r="Y46" s="55" t="e">
        <v>#N/A</v>
      </c>
      <c r="Z46" s="56" t="e">
        <f t="shared" si="65"/>
        <v>#N/A</v>
      </c>
      <c r="AA46" s="55" t="e">
        <v>#N/A</v>
      </c>
      <c r="AB46" s="55">
        <f t="shared" si="61"/>
        <v>0</v>
      </c>
      <c r="AC46" s="55">
        <v>0</v>
      </c>
      <c r="AD46" s="55">
        <v>-6.4803224358974303</v>
      </c>
      <c r="AE46" s="55">
        <v>0</v>
      </c>
      <c r="AF46" s="55" t="e">
        <v>#N/A</v>
      </c>
    </row>
    <row r="47" spans="1:32" s="57" customFormat="1" ht="15.75" customHeight="1">
      <c r="A47" s="2" t="s">
        <v>113</v>
      </c>
      <c r="B47" s="2"/>
      <c r="C47" s="51" t="str">
        <f t="shared" si="50"/>
        <v xml:space="preserve"> - </v>
      </c>
      <c r="D47" s="51">
        <v>0</v>
      </c>
      <c r="E47" s="51">
        <v>0</v>
      </c>
      <c r="F47" s="51">
        <v>0</v>
      </c>
      <c r="G47" s="51">
        <v>0</v>
      </c>
      <c r="H47" s="51" t="e">
        <f t="shared" si="51"/>
        <v>#DIV/0!</v>
      </c>
      <c r="I47" s="51" t="e">
        <f t="shared" si="52"/>
        <v>#DIV/0!</v>
      </c>
      <c r="J47" s="51">
        <f t="shared" si="53"/>
        <v>0</v>
      </c>
      <c r="K47" s="51" t="e">
        <f t="shared" si="54"/>
        <v>#DIV/0!</v>
      </c>
      <c r="L47" s="51">
        <v>0</v>
      </c>
      <c r="M47" s="51" t="str">
        <f t="shared" si="55"/>
        <v>-</v>
      </c>
      <c r="N47" s="51">
        <v>0</v>
      </c>
      <c r="O47" s="51">
        <f t="shared" ref="O47:P47" si="68">D47/7</f>
        <v>0</v>
      </c>
      <c r="P47" s="51">
        <f t="shared" si="68"/>
        <v>0</v>
      </c>
      <c r="Q47" s="51" t="e">
        <f t="shared" si="57"/>
        <v>#DIV/0!</v>
      </c>
      <c r="R47" s="55">
        <v>152</v>
      </c>
      <c r="S47" s="53" t="s">
        <v>34</v>
      </c>
      <c r="T47" s="54" t="s">
        <v>34</v>
      </c>
      <c r="U47" s="55">
        <v>0</v>
      </c>
      <c r="V47" s="55">
        <f t="shared" si="58"/>
        <v>0</v>
      </c>
      <c r="W47" s="55">
        <f t="shared" si="59"/>
        <v>0</v>
      </c>
      <c r="X47" s="55">
        <v>0</v>
      </c>
      <c r="Y47" s="55" t="e">
        <v>#N/A</v>
      </c>
      <c r="Z47" s="56" t="e">
        <f t="shared" si="65"/>
        <v>#N/A</v>
      </c>
      <c r="AA47" s="55" t="e">
        <v>#N/A</v>
      </c>
      <c r="AB47" s="55">
        <f t="shared" si="61"/>
        <v>0</v>
      </c>
      <c r="AC47" s="55">
        <v>0</v>
      </c>
      <c r="AD47" s="55">
        <v>-6.4803224358974303</v>
      </c>
      <c r="AE47" s="55">
        <v>0</v>
      </c>
      <c r="AF47" s="55" t="e">
        <v>#N/A</v>
      </c>
    </row>
    <row r="48" spans="1:32" s="57" customFormat="1" ht="15.75" customHeight="1">
      <c r="A48" s="2" t="s">
        <v>115</v>
      </c>
      <c r="B48" s="2"/>
      <c r="C48" s="51" t="str">
        <f t="shared" si="50"/>
        <v xml:space="preserve"> - </v>
      </c>
      <c r="D48" s="51">
        <v>0</v>
      </c>
      <c r="E48" s="51">
        <v>0</v>
      </c>
      <c r="F48" s="51">
        <v>0</v>
      </c>
      <c r="G48" s="51">
        <v>0</v>
      </c>
      <c r="H48" s="51" t="e">
        <f t="shared" si="51"/>
        <v>#DIV/0!</v>
      </c>
      <c r="I48" s="51" t="e">
        <f t="shared" si="52"/>
        <v>#DIV/0!</v>
      </c>
      <c r="J48" s="51">
        <f t="shared" si="53"/>
        <v>0</v>
      </c>
      <c r="K48" s="51" t="e">
        <f t="shared" si="54"/>
        <v>#DIV/0!</v>
      </c>
      <c r="L48" s="51">
        <v>0</v>
      </c>
      <c r="M48" s="51" t="str">
        <f t="shared" si="55"/>
        <v>-</v>
      </c>
      <c r="N48" s="51">
        <v>0</v>
      </c>
      <c r="O48" s="51">
        <f t="shared" ref="O48:P48" si="69">D48/7</f>
        <v>0</v>
      </c>
      <c r="P48" s="51">
        <f t="shared" si="69"/>
        <v>0</v>
      </c>
      <c r="Q48" s="51" t="e">
        <f t="shared" si="57"/>
        <v>#DIV/0!</v>
      </c>
      <c r="R48" s="55">
        <f ca="1">IFERROR(__xludf.DUMMYFUNCTION("IFERROR(VLOOKUP($B$2,IMPORTRANGE(""https://docs.google.com/spreadsheets/d/1iVgg6Mw12RULLujzHmfOFIY8Q_KaAD8anoZzgtVAQ74/edit#gid=1503384807"",""Second Star - Summary!A1:AD2000""),9,FALSE),"""")"),224)</f>
        <v>224</v>
      </c>
      <c r="S48" s="53">
        <f ca="1">IFERROR(__xludf.DUMMYFUNCTION("IFERROR(VLOOKUP($B$2,IMPORTRANGE(""https://docs.google.com/spreadsheets/d/1iVgg6Mw12RULLujzHmfOFIY8Q_KaAD8anoZzgtVAQ74/edit#gid=1503384807"",""Second Star - Summary!A1:AD2000""),28,FALSE),"""")"),80)</f>
        <v>80</v>
      </c>
      <c r="T48" s="54">
        <f ca="1">IFERROR(__xludf.DUMMYFUNCTION("IFERROR(VLOOKUP($B$2,IMPORTRANGE(""https://docs.google.com/spreadsheets/d/1iVgg6Mw12RULLujzHmfOFIY8Q_KaAD8anoZzgtVAQ74/edit#gid=1503384807"",""Second Star - Summary!A1:AD2000""),29,FALSE),"""")"),44339)</f>
        <v>44339</v>
      </c>
      <c r="U48" s="55">
        <v>0</v>
      </c>
      <c r="V48" s="55">
        <f t="shared" si="58"/>
        <v>0</v>
      </c>
      <c r="W48" s="55">
        <f t="shared" si="59"/>
        <v>0</v>
      </c>
      <c r="X48" s="55">
        <v>0</v>
      </c>
      <c r="Y48" s="55" t="e">
        <v>#N/A</v>
      </c>
      <c r="Z48" s="56" t="e">
        <f t="shared" si="65"/>
        <v>#N/A</v>
      </c>
      <c r="AA48" s="55" t="e">
        <v>#N/A</v>
      </c>
      <c r="AB48" s="55">
        <f t="shared" si="61"/>
        <v>0</v>
      </c>
      <c r="AC48" s="55">
        <v>0</v>
      </c>
      <c r="AD48" s="55">
        <v>-6.4803224358974303</v>
      </c>
      <c r="AE48" s="55">
        <v>0</v>
      </c>
      <c r="AF48" s="55" t="e">
        <v>#N/A</v>
      </c>
    </row>
    <row r="49" spans="1:32" s="57" customFormat="1" ht="15.75" customHeight="1">
      <c r="A49" s="2" t="s">
        <v>117</v>
      </c>
      <c r="B49" s="2"/>
      <c r="C49" s="51" t="str">
        <f t="shared" si="50"/>
        <v xml:space="preserve"> - </v>
      </c>
      <c r="D49" s="51">
        <v>0</v>
      </c>
      <c r="E49" s="51">
        <v>0</v>
      </c>
      <c r="F49" s="51">
        <v>0</v>
      </c>
      <c r="G49" s="51">
        <v>0</v>
      </c>
      <c r="H49" s="51" t="e">
        <f t="shared" si="51"/>
        <v>#DIV/0!</v>
      </c>
      <c r="I49" s="51" t="e">
        <f t="shared" si="52"/>
        <v>#DIV/0!</v>
      </c>
      <c r="J49" s="51">
        <f t="shared" ref="J49:J56" si="70">F49*0.85+G49+AD49*D49+D49*AC49+AE49+AB49</f>
        <v>0</v>
      </c>
      <c r="K49" s="51" t="e">
        <f t="shared" si="54"/>
        <v>#DIV/0!</v>
      </c>
      <c r="L49" s="51">
        <v>0</v>
      </c>
      <c r="M49" s="51" t="str">
        <f t="shared" si="55"/>
        <v>-</v>
      </c>
      <c r="N49" s="51">
        <v>0</v>
      </c>
      <c r="O49" s="51">
        <f t="shared" ref="O49:P49" si="71">D49/7</f>
        <v>0</v>
      </c>
      <c r="P49" s="51">
        <f t="shared" si="71"/>
        <v>0</v>
      </c>
      <c r="Q49" s="51" t="e">
        <f t="shared" si="57"/>
        <v>#DIV/0!</v>
      </c>
      <c r="R49" s="55">
        <f ca="1">IFERROR(__xludf.DUMMYFUNCTION("IFERROR(VLOOKUP($B$2,IMPORTRANGE(""https://docs.google.com/spreadsheets/d/1iVgg6Mw12RULLujzHmfOFIY8Q_KaAD8anoZzgtVAQ74/edit#gid=1503384807"",""Second Star - Summary!A1:AD2000""),9,FALSE),"""")"),224)</f>
        <v>224</v>
      </c>
      <c r="S49" s="53">
        <f ca="1">IFERROR(__xludf.DUMMYFUNCTION("IFERROR(VLOOKUP($B$2,IMPORTRANGE(""https://docs.google.com/spreadsheets/d/1iVgg6Mw12RULLujzHmfOFIY8Q_KaAD8anoZzgtVAQ74/edit#gid=1503384807"",""Second Star - Summary!A1:AD2000""),28,FALSE),"""")"),80)</f>
        <v>80</v>
      </c>
      <c r="T49" s="54">
        <f ca="1">IFERROR(__xludf.DUMMYFUNCTION("IFERROR(VLOOKUP($B$2,IMPORTRANGE(""https://docs.google.com/spreadsheets/d/1iVgg6Mw12RULLujzHmfOFIY8Q_KaAD8anoZzgtVAQ74/edit#gid=1503384807"",""Second Star - Summary!A1:AD2000""),29,FALSE),"""")"),44339)</f>
        <v>44339</v>
      </c>
      <c r="U49" s="55">
        <v>0</v>
      </c>
      <c r="V49" s="55">
        <f t="shared" si="58"/>
        <v>0</v>
      </c>
      <c r="W49" s="55">
        <f t="shared" si="59"/>
        <v>0</v>
      </c>
      <c r="X49" s="55">
        <v>0</v>
      </c>
      <c r="Y49" s="55" t="e">
        <v>#N/A</v>
      </c>
      <c r="Z49" s="56" t="e">
        <f t="shared" si="65"/>
        <v>#N/A</v>
      </c>
      <c r="AA49" s="55" t="e">
        <v>#N/A</v>
      </c>
      <c r="AB49" s="55">
        <f t="shared" si="61"/>
        <v>0</v>
      </c>
      <c r="AC49" s="55">
        <v>0</v>
      </c>
      <c r="AD49" s="55">
        <v>-6.4803224358974303</v>
      </c>
      <c r="AE49" s="55">
        <v>0</v>
      </c>
      <c r="AF49" s="55" t="e">
        <v>#N/A</v>
      </c>
    </row>
    <row r="50" spans="1:32" s="57" customFormat="1" ht="15.75" customHeight="1">
      <c r="A50" s="2" t="s">
        <v>119</v>
      </c>
      <c r="B50" s="2"/>
      <c r="C50" s="51" t="str">
        <f t="shared" si="50"/>
        <v xml:space="preserve"> - </v>
      </c>
      <c r="D50" s="51">
        <v>0</v>
      </c>
      <c r="E50" s="51">
        <v>0</v>
      </c>
      <c r="F50" s="51">
        <v>0</v>
      </c>
      <c r="G50" s="51">
        <v>0</v>
      </c>
      <c r="H50" s="51" t="e">
        <f t="shared" si="51"/>
        <v>#DIV/0!</v>
      </c>
      <c r="I50" s="51" t="e">
        <f t="shared" si="52"/>
        <v>#DIV/0!</v>
      </c>
      <c r="J50" s="51">
        <f t="shared" si="70"/>
        <v>0</v>
      </c>
      <c r="K50" s="51" t="e">
        <f t="shared" si="54"/>
        <v>#DIV/0!</v>
      </c>
      <c r="L50" s="51">
        <v>0</v>
      </c>
      <c r="M50" s="51" t="str">
        <f t="shared" si="55"/>
        <v>-</v>
      </c>
      <c r="N50" s="51">
        <v>0</v>
      </c>
      <c r="O50" s="51">
        <f t="shared" ref="O50:P50" si="72">D50/7</f>
        <v>0</v>
      </c>
      <c r="P50" s="51">
        <f t="shared" si="72"/>
        <v>0</v>
      </c>
      <c r="Q50" s="51" t="e">
        <f t="shared" si="57"/>
        <v>#DIV/0!</v>
      </c>
      <c r="R50" s="55">
        <f ca="1">IFERROR(__xludf.DUMMYFUNCTION("IFERROR(VLOOKUP($B$2,IMPORTRANGE(""https://docs.google.com/spreadsheets/d/1iVgg6Mw12RULLujzHmfOFIY8Q_KaAD8anoZzgtVAQ74/edit#gid=1503384807"",""Second Star - Summary!A1:AD2000""),9,FALSE),"""")"),224)</f>
        <v>224</v>
      </c>
      <c r="S50" s="53">
        <f ca="1">IFERROR(__xludf.DUMMYFUNCTION("IFERROR(VLOOKUP($B$2,IMPORTRANGE(""https://docs.google.com/spreadsheets/d/1iVgg6Mw12RULLujzHmfOFIY8Q_KaAD8anoZzgtVAQ74/edit#gid=1503384807"",""Second Star - Summary!A1:AD2000""),28,FALSE),"""")"),80)</f>
        <v>80</v>
      </c>
      <c r="T50" s="54">
        <f ca="1">IFERROR(__xludf.DUMMYFUNCTION("IFERROR(VLOOKUP($B$2,IMPORTRANGE(""https://docs.google.com/spreadsheets/d/1iVgg6Mw12RULLujzHmfOFIY8Q_KaAD8anoZzgtVAQ74/edit#gid=1503384807"",""Second Star - Summary!A1:AD2000""),29,FALSE),"""")"),44339)</f>
        <v>44339</v>
      </c>
      <c r="U50" s="55">
        <v>0</v>
      </c>
      <c r="V50" s="55">
        <f t="shared" si="58"/>
        <v>0</v>
      </c>
      <c r="W50" s="55">
        <f t="shared" si="59"/>
        <v>0</v>
      </c>
      <c r="X50" s="55">
        <v>0</v>
      </c>
      <c r="Y50" s="55" t="e">
        <v>#N/A</v>
      </c>
      <c r="Z50" s="56" t="e">
        <f t="shared" si="65"/>
        <v>#N/A</v>
      </c>
      <c r="AA50" s="55" t="e">
        <v>#N/A</v>
      </c>
      <c r="AB50" s="55">
        <f t="shared" si="61"/>
        <v>0</v>
      </c>
      <c r="AC50" s="55">
        <v>0</v>
      </c>
      <c r="AD50" s="55">
        <v>-6.4803224358974303</v>
      </c>
      <c r="AE50" s="55">
        <v>0</v>
      </c>
      <c r="AF50" s="55" t="e">
        <v>#N/A</v>
      </c>
    </row>
    <row r="51" spans="1:32" s="57" customFormat="1" ht="15.75" customHeight="1">
      <c r="A51" s="2" t="s">
        <v>121</v>
      </c>
      <c r="B51" s="2"/>
      <c r="C51" s="51" t="str">
        <f t="shared" si="50"/>
        <v xml:space="preserve"> - </v>
      </c>
      <c r="D51" s="51">
        <v>0</v>
      </c>
      <c r="E51" s="51">
        <v>0</v>
      </c>
      <c r="F51" s="51">
        <v>0</v>
      </c>
      <c r="G51" s="51">
        <v>0</v>
      </c>
      <c r="H51" s="51" t="e">
        <f t="shared" si="51"/>
        <v>#DIV/0!</v>
      </c>
      <c r="I51" s="51" t="e">
        <f t="shared" si="52"/>
        <v>#DIV/0!</v>
      </c>
      <c r="J51" s="51">
        <f t="shared" si="70"/>
        <v>0</v>
      </c>
      <c r="K51" s="51" t="e">
        <f t="shared" si="54"/>
        <v>#DIV/0!</v>
      </c>
      <c r="L51" s="51">
        <v>0</v>
      </c>
      <c r="M51" s="51" t="str">
        <f t="shared" si="55"/>
        <v>-</v>
      </c>
      <c r="N51" s="51">
        <v>0</v>
      </c>
      <c r="O51" s="51">
        <f t="shared" ref="O51:P51" si="73">D51/7</f>
        <v>0</v>
      </c>
      <c r="P51" s="51">
        <f t="shared" si="73"/>
        <v>0</v>
      </c>
      <c r="Q51" s="51" t="e">
        <f t="shared" si="57"/>
        <v>#DIV/0!</v>
      </c>
      <c r="R51" s="55">
        <f ca="1">IFERROR(__xludf.DUMMYFUNCTION("IFERROR(VLOOKUP($B$2,IMPORTRANGE(""https://docs.google.com/spreadsheets/d/1iVgg6Mw12RULLujzHmfOFIY8Q_KaAD8anoZzgtVAQ74/edit#gid=1503384807"",""Second Star - Summary!A1:AD2000""),9,FALSE),"""")"),224)</f>
        <v>224</v>
      </c>
      <c r="S51" s="53">
        <f ca="1">IFERROR(__xludf.DUMMYFUNCTION("IFERROR(VLOOKUP($B$2,IMPORTRANGE(""https://docs.google.com/spreadsheets/d/1iVgg6Mw12RULLujzHmfOFIY8Q_KaAD8anoZzgtVAQ74/edit#gid=1503384807"",""Second Star - Summary!A1:AD2000""),28,FALSE),"""")"),80)</f>
        <v>80</v>
      </c>
      <c r="T51" s="54">
        <f ca="1">IFERROR(__xludf.DUMMYFUNCTION("IFERROR(VLOOKUP($B$2,IMPORTRANGE(""https://docs.google.com/spreadsheets/d/1iVgg6Mw12RULLujzHmfOFIY8Q_KaAD8anoZzgtVAQ74/edit#gid=1503384807"",""Second Star - Summary!A1:AD2000""),29,FALSE),"""")"),44339)</f>
        <v>44339</v>
      </c>
      <c r="U51" s="55">
        <v>0</v>
      </c>
      <c r="V51" s="55">
        <f t="shared" si="58"/>
        <v>0</v>
      </c>
      <c r="W51" s="55">
        <f t="shared" si="59"/>
        <v>0</v>
      </c>
      <c r="X51" s="55">
        <v>0</v>
      </c>
      <c r="Y51" s="55" t="e">
        <v>#N/A</v>
      </c>
      <c r="Z51" s="56" t="e">
        <f t="shared" si="65"/>
        <v>#N/A</v>
      </c>
      <c r="AA51" s="55" t="e">
        <v>#N/A</v>
      </c>
      <c r="AB51" s="55">
        <f t="shared" si="61"/>
        <v>0</v>
      </c>
      <c r="AC51" s="55">
        <v>0</v>
      </c>
      <c r="AD51" s="55">
        <v>-6.4803224358974303</v>
      </c>
      <c r="AE51" s="55">
        <v>0</v>
      </c>
      <c r="AF51" s="55" t="e">
        <v>#N/A</v>
      </c>
    </row>
    <row r="52" spans="1:32" s="57" customFormat="1" ht="15.75" customHeight="1">
      <c r="A52" s="2" t="s">
        <v>123</v>
      </c>
      <c r="B52" s="2"/>
      <c r="C52" s="51" t="str">
        <f t="shared" si="50"/>
        <v xml:space="preserve"> - </v>
      </c>
      <c r="D52" s="51">
        <v>0</v>
      </c>
      <c r="E52" s="51">
        <v>0</v>
      </c>
      <c r="F52" s="51">
        <v>0</v>
      </c>
      <c r="G52" s="51">
        <v>0</v>
      </c>
      <c r="H52" s="51" t="e">
        <f t="shared" si="51"/>
        <v>#DIV/0!</v>
      </c>
      <c r="I52" s="51" t="e">
        <f t="shared" si="52"/>
        <v>#DIV/0!</v>
      </c>
      <c r="J52" s="51">
        <f t="shared" si="70"/>
        <v>0</v>
      </c>
      <c r="K52" s="51" t="e">
        <f t="shared" si="54"/>
        <v>#DIV/0!</v>
      </c>
      <c r="L52" s="51">
        <v>0</v>
      </c>
      <c r="M52" s="51" t="str">
        <f t="shared" si="55"/>
        <v>-</v>
      </c>
      <c r="N52" s="51">
        <v>0</v>
      </c>
      <c r="O52" s="51">
        <f t="shared" ref="O52:P52" si="74">D52/7</f>
        <v>0</v>
      </c>
      <c r="P52" s="51">
        <f t="shared" si="74"/>
        <v>0</v>
      </c>
      <c r="Q52" s="51" t="e">
        <f t="shared" si="57"/>
        <v>#DIV/0!</v>
      </c>
      <c r="R52" s="55">
        <f ca="1">IFERROR(__xludf.DUMMYFUNCTION("IFERROR(VLOOKUP($B$2,IMPORTRANGE(""https://docs.google.com/spreadsheets/d/1iVgg6Mw12RULLujzHmfOFIY8Q_KaAD8anoZzgtVAQ74/edit#gid=1503384807"",""Second Star - Summary!A1:AD2000""),9,FALSE),"""")"),224)</f>
        <v>224</v>
      </c>
      <c r="S52" s="53">
        <f ca="1">IFERROR(__xludf.DUMMYFUNCTION("IFERROR(VLOOKUP($B$2,IMPORTRANGE(""https://docs.google.com/spreadsheets/d/1iVgg6Mw12RULLujzHmfOFIY8Q_KaAD8anoZzgtVAQ74/edit#gid=1503384807"",""Second Star - Summary!A1:AD2000""),28,FALSE),"""")"),80)</f>
        <v>80</v>
      </c>
      <c r="T52" s="54">
        <f ca="1">IFERROR(__xludf.DUMMYFUNCTION("IFERROR(VLOOKUP($B$2,IMPORTRANGE(""https://docs.google.com/spreadsheets/d/1iVgg6Mw12RULLujzHmfOFIY8Q_KaAD8anoZzgtVAQ74/edit#gid=1503384807"",""Second Star - Summary!A1:AD2000""),29,FALSE),"""")"),44339)</f>
        <v>44339</v>
      </c>
      <c r="U52" s="55">
        <v>0</v>
      </c>
      <c r="V52" s="55">
        <f t="shared" si="58"/>
        <v>0</v>
      </c>
      <c r="W52" s="55">
        <f t="shared" si="59"/>
        <v>0</v>
      </c>
      <c r="X52" s="55">
        <v>0</v>
      </c>
      <c r="Y52" s="55" t="e">
        <v>#N/A</v>
      </c>
      <c r="Z52" s="56" t="e">
        <f t="shared" si="65"/>
        <v>#N/A</v>
      </c>
      <c r="AA52" s="55" t="e">
        <v>#N/A</v>
      </c>
      <c r="AB52" s="55">
        <f t="shared" si="61"/>
        <v>0</v>
      </c>
      <c r="AC52" s="55">
        <v>0</v>
      </c>
      <c r="AD52" s="55">
        <v>-6.4803224358974303</v>
      </c>
      <c r="AE52" s="55">
        <v>0</v>
      </c>
      <c r="AF52" s="55">
        <v>0</v>
      </c>
    </row>
    <row r="53" spans="1:32" s="57" customFormat="1">
      <c r="A53" s="2" t="s">
        <v>38</v>
      </c>
      <c r="B53" s="2"/>
      <c r="C53" s="51" t="str">
        <f t="shared" si="50"/>
        <v xml:space="preserve"> - </v>
      </c>
      <c r="D53" s="51">
        <v>0</v>
      </c>
      <c r="E53" s="51">
        <v>0</v>
      </c>
      <c r="F53" s="51">
        <v>0</v>
      </c>
      <c r="G53" s="51">
        <v>0</v>
      </c>
      <c r="H53" s="51" t="e">
        <f t="shared" si="51"/>
        <v>#DIV/0!</v>
      </c>
      <c r="I53" s="51" t="e">
        <f t="shared" si="52"/>
        <v>#DIV/0!</v>
      </c>
      <c r="J53" s="51">
        <f t="shared" si="70"/>
        <v>0</v>
      </c>
      <c r="K53" s="51" t="e">
        <f t="shared" si="54"/>
        <v>#DIV/0!</v>
      </c>
      <c r="L53" s="51">
        <v>0</v>
      </c>
      <c r="M53" s="51" t="str">
        <f t="shared" si="55"/>
        <v>-</v>
      </c>
      <c r="N53" s="51">
        <v>0</v>
      </c>
      <c r="O53" s="51">
        <f t="shared" ref="O53:P53" si="75">D53/7</f>
        <v>0</v>
      </c>
      <c r="P53" s="51">
        <f t="shared" si="75"/>
        <v>0</v>
      </c>
      <c r="Q53" s="51" t="e">
        <f t="shared" si="57"/>
        <v>#DIV/0!</v>
      </c>
      <c r="R53" s="55">
        <f ca="1">IFERROR(__xludf.DUMMYFUNCTION("IFERROR(VLOOKUP($B$2,IMPORTRANGE(""https://docs.google.com/spreadsheets/d/1iVgg6Mw12RULLujzHmfOFIY8Q_KaAD8anoZzgtVAQ74/edit#gid=1503384807"",""Second Star - Summary!A1:AD2000""),9,FALSE),"""")"),224)</f>
        <v>224</v>
      </c>
      <c r="S53" s="53">
        <f ca="1">IFERROR(__xludf.DUMMYFUNCTION("IFERROR(VLOOKUP($B$2,IMPORTRANGE(""https://docs.google.com/spreadsheets/d/1iVgg6Mw12RULLujzHmfOFIY8Q_KaAD8anoZzgtVAQ74/edit#gid=1503384807"",""Second Star - Summary!A1:AD2000""),28,FALSE),"""")"),80)</f>
        <v>80</v>
      </c>
      <c r="T53" s="54">
        <f ca="1">IFERROR(__xludf.DUMMYFUNCTION("IFERROR(VLOOKUP($B$2,IMPORTRANGE(""https://docs.google.com/spreadsheets/d/1iVgg6Mw12RULLujzHmfOFIY8Q_KaAD8anoZzgtVAQ74/edit#gid=1503384807"",""Second Star - Summary!A1:AD2000""),29,FALSE),"""")"),44339)</f>
        <v>44339</v>
      </c>
      <c r="U53" s="55">
        <v>0</v>
      </c>
      <c r="V53" s="55">
        <f t="shared" si="58"/>
        <v>0</v>
      </c>
      <c r="W53" s="55">
        <f t="shared" si="59"/>
        <v>0</v>
      </c>
      <c r="X53" s="55">
        <v>0</v>
      </c>
      <c r="Y53" s="55" t="e">
        <v>#N/A</v>
      </c>
      <c r="Z53" s="56" t="e">
        <f t="shared" si="65"/>
        <v>#N/A</v>
      </c>
      <c r="AA53" s="55" t="e">
        <v>#N/A</v>
      </c>
      <c r="AB53" s="55">
        <f t="shared" si="61"/>
        <v>0</v>
      </c>
      <c r="AC53" s="55">
        <v>0</v>
      </c>
      <c r="AD53" s="55">
        <v>-6.4803224358974303</v>
      </c>
      <c r="AE53" s="55">
        <v>0</v>
      </c>
      <c r="AF53" s="55">
        <v>0</v>
      </c>
    </row>
    <row r="54" spans="1:32" s="57" customFormat="1">
      <c r="A54" s="2" t="s">
        <v>40</v>
      </c>
      <c r="B54" s="2"/>
      <c r="C54" s="51" t="str">
        <f t="shared" si="50"/>
        <v xml:space="preserve"> - </v>
      </c>
      <c r="D54" s="51">
        <v>0</v>
      </c>
      <c r="E54" s="51">
        <v>0</v>
      </c>
      <c r="F54" s="51">
        <v>0</v>
      </c>
      <c r="G54" s="51">
        <v>0</v>
      </c>
      <c r="H54" s="51" t="e">
        <f t="shared" si="51"/>
        <v>#DIV/0!</v>
      </c>
      <c r="I54" s="51" t="e">
        <f t="shared" si="52"/>
        <v>#DIV/0!</v>
      </c>
      <c r="J54" s="51">
        <f t="shared" si="70"/>
        <v>0</v>
      </c>
      <c r="K54" s="51" t="e">
        <f t="shared" si="54"/>
        <v>#DIV/0!</v>
      </c>
      <c r="L54" s="51">
        <v>0</v>
      </c>
      <c r="M54" s="51" t="str">
        <f t="shared" si="55"/>
        <v>-</v>
      </c>
      <c r="N54" s="51">
        <v>0</v>
      </c>
      <c r="O54" s="51">
        <f t="shared" ref="O54:P54" si="76">D54/7</f>
        <v>0</v>
      </c>
      <c r="P54" s="51">
        <f t="shared" si="76"/>
        <v>0</v>
      </c>
      <c r="Q54" s="51" t="e">
        <f t="shared" si="57"/>
        <v>#DIV/0!</v>
      </c>
      <c r="R54" s="55">
        <f ca="1">IFERROR(__xludf.DUMMYFUNCTION("IFERROR(VLOOKUP($B$2,IMPORTRANGE(""https://docs.google.com/spreadsheets/d/1iVgg6Mw12RULLujzHmfOFIY8Q_KaAD8anoZzgtVAQ74/edit#gid=1503384807"",""Second Star - Summary!A1:AD2000""),9,FALSE),"""")"),224)</f>
        <v>224</v>
      </c>
      <c r="S54" s="53">
        <f ca="1">IFERROR(__xludf.DUMMYFUNCTION("IFERROR(VLOOKUP($B$2,IMPORTRANGE(""https://docs.google.com/spreadsheets/d/1iVgg6Mw12RULLujzHmfOFIY8Q_KaAD8anoZzgtVAQ74/edit#gid=1503384807"",""Second Star - Summary!A1:AD2000""),28,FALSE),"""")"),80)</f>
        <v>80</v>
      </c>
      <c r="T54" s="54">
        <f ca="1">IFERROR(__xludf.DUMMYFUNCTION("IFERROR(VLOOKUP($B$2,IMPORTRANGE(""https://docs.google.com/spreadsheets/d/1iVgg6Mw12RULLujzHmfOFIY8Q_KaAD8anoZzgtVAQ74/edit#gid=1503384807"",""Second Star - Summary!A1:AD2000""),29,FALSE),"""")"),44339)</f>
        <v>44339</v>
      </c>
      <c r="U54" s="55">
        <v>0</v>
      </c>
      <c r="V54" s="55">
        <f t="shared" si="58"/>
        <v>0</v>
      </c>
      <c r="W54" s="55">
        <f t="shared" si="59"/>
        <v>0</v>
      </c>
      <c r="X54" s="55">
        <v>0</v>
      </c>
      <c r="Y54" s="55" t="e">
        <v>#N/A</v>
      </c>
      <c r="Z54" s="56" t="e">
        <f t="shared" si="65"/>
        <v>#N/A</v>
      </c>
      <c r="AA54" s="55" t="e">
        <v>#N/A</v>
      </c>
      <c r="AB54" s="55">
        <f t="shared" si="61"/>
        <v>0</v>
      </c>
      <c r="AC54" s="55">
        <v>0</v>
      </c>
      <c r="AD54" s="55">
        <v>-6.4803224358974303</v>
      </c>
      <c r="AE54" s="55">
        <v>0</v>
      </c>
      <c r="AF54" s="55">
        <v>0</v>
      </c>
    </row>
    <row r="55" spans="1:32" s="57" customFormat="1" ht="15.75" customHeight="1">
      <c r="A55" s="2" t="s">
        <v>32</v>
      </c>
      <c r="B55" s="2"/>
      <c r="C55" s="51" t="str">
        <f t="shared" si="50"/>
        <v xml:space="preserve"> - </v>
      </c>
      <c r="D55" s="51">
        <v>0</v>
      </c>
      <c r="E55" s="51">
        <v>0</v>
      </c>
      <c r="F55" s="51">
        <v>0</v>
      </c>
      <c r="G55" s="51">
        <v>0</v>
      </c>
      <c r="H55" s="51" t="e">
        <f t="shared" si="51"/>
        <v>#DIV/0!</v>
      </c>
      <c r="I55" s="51" t="e">
        <f t="shared" si="52"/>
        <v>#DIV/0!</v>
      </c>
      <c r="J55" s="51">
        <f t="shared" si="70"/>
        <v>0</v>
      </c>
      <c r="K55" s="51" t="e">
        <f t="shared" si="54"/>
        <v>#DIV/0!</v>
      </c>
      <c r="L55" s="51">
        <v>0</v>
      </c>
      <c r="M55" s="51" t="str">
        <f t="shared" si="55"/>
        <v>-</v>
      </c>
      <c r="N55" s="51">
        <v>0</v>
      </c>
      <c r="O55" s="51">
        <f t="shared" ref="O55:P55" si="77">D55/7</f>
        <v>0</v>
      </c>
      <c r="P55" s="51">
        <f t="shared" si="77"/>
        <v>0</v>
      </c>
      <c r="Q55" s="51" t="e">
        <f t="shared" si="57"/>
        <v>#DIV/0!</v>
      </c>
      <c r="R55" s="55">
        <v>100</v>
      </c>
      <c r="S55" s="53" t="s">
        <v>34</v>
      </c>
      <c r="T55" s="54" t="s">
        <v>34</v>
      </c>
      <c r="U55" s="55">
        <v>0</v>
      </c>
      <c r="V55" s="55">
        <f t="shared" si="58"/>
        <v>0</v>
      </c>
      <c r="W55" s="55">
        <f t="shared" si="59"/>
        <v>0</v>
      </c>
      <c r="X55" s="55">
        <v>0</v>
      </c>
      <c r="Y55" s="55" t="e">
        <v>#N/A</v>
      </c>
      <c r="Z55" s="56" t="e">
        <f t="shared" si="65"/>
        <v>#N/A</v>
      </c>
      <c r="AA55" s="55" t="e">
        <v>#N/A</v>
      </c>
      <c r="AB55" s="55">
        <f t="shared" si="61"/>
        <v>0</v>
      </c>
      <c r="AC55" s="55">
        <v>0</v>
      </c>
      <c r="AD55" s="55">
        <v>-6.4803224358974303</v>
      </c>
      <c r="AE55" s="55">
        <v>0</v>
      </c>
      <c r="AF55" s="55" t="e">
        <v>#N/A</v>
      </c>
    </row>
    <row r="56" spans="1:32" s="57" customFormat="1" ht="15.75" customHeight="1">
      <c r="A56" s="2" t="s">
        <v>36</v>
      </c>
      <c r="B56" s="2"/>
      <c r="C56" s="51" t="str">
        <f t="shared" si="50"/>
        <v xml:space="preserve"> - </v>
      </c>
      <c r="D56" s="51">
        <v>0</v>
      </c>
      <c r="E56" s="51">
        <v>0</v>
      </c>
      <c r="F56" s="51">
        <v>0</v>
      </c>
      <c r="G56" s="51">
        <v>0</v>
      </c>
      <c r="H56" s="51" t="e">
        <f t="shared" si="51"/>
        <v>#DIV/0!</v>
      </c>
      <c r="I56" s="51" t="e">
        <f t="shared" si="52"/>
        <v>#DIV/0!</v>
      </c>
      <c r="J56" s="51">
        <f t="shared" si="70"/>
        <v>0</v>
      </c>
      <c r="K56" s="51" t="e">
        <f t="shared" si="54"/>
        <v>#DIV/0!</v>
      </c>
      <c r="L56" s="51">
        <v>0</v>
      </c>
      <c r="M56" s="51" t="str">
        <f t="shared" si="55"/>
        <v>-</v>
      </c>
      <c r="N56" s="51">
        <v>0</v>
      </c>
      <c r="O56" s="51">
        <f t="shared" ref="O56:P56" si="78">D56/7</f>
        <v>0</v>
      </c>
      <c r="P56" s="51">
        <f t="shared" si="78"/>
        <v>0</v>
      </c>
      <c r="Q56" s="51" t="e">
        <f t="shared" si="57"/>
        <v>#DIV/0!</v>
      </c>
      <c r="R56" s="55">
        <f ca="1">IFERROR(__xludf.DUMMYFUNCTION("IFERROR(VLOOKUP($B$2,IMPORTRANGE(""https://docs.google.com/spreadsheets/d/1iVgg6Mw12RULLujzHmfOFIY8Q_KaAD8anoZzgtVAQ74/edit#gid=1503384807"",""Second Star - Summary!A1:AD2000""),9,FALSE),"""")"),224)</f>
        <v>224</v>
      </c>
      <c r="S56" s="53">
        <f ca="1">IFERROR(__xludf.DUMMYFUNCTION("IFERROR(VLOOKUP($B$2,IMPORTRANGE(""https://docs.google.com/spreadsheets/d/1iVgg6Mw12RULLujzHmfOFIY8Q_KaAD8anoZzgtVAQ74/edit#gid=1503384807"",""Second Star - Summary!A1:AD2000""),28,FALSE),"""")"),80)</f>
        <v>80</v>
      </c>
      <c r="T56" s="54">
        <f ca="1">IFERROR(__xludf.DUMMYFUNCTION("IFERROR(VLOOKUP($B$2,IMPORTRANGE(""https://docs.google.com/spreadsheets/d/1iVgg6Mw12RULLujzHmfOFIY8Q_KaAD8anoZzgtVAQ74/edit#gid=1503384807"",""Second Star - Summary!A1:AD2000""),29,FALSE),"""")"),44339)</f>
        <v>44339</v>
      </c>
      <c r="U56" s="55">
        <v>0</v>
      </c>
      <c r="V56" s="55">
        <f t="shared" si="58"/>
        <v>0</v>
      </c>
      <c r="W56" s="55">
        <f t="shared" si="59"/>
        <v>0</v>
      </c>
      <c r="X56" s="55">
        <v>0</v>
      </c>
      <c r="Y56" s="55" t="e">
        <v>#N/A</v>
      </c>
      <c r="Z56" s="56" t="e">
        <f t="shared" si="65"/>
        <v>#N/A</v>
      </c>
      <c r="AA56" s="55" t="e">
        <v>#N/A</v>
      </c>
      <c r="AB56" s="55">
        <f t="shared" si="61"/>
        <v>0</v>
      </c>
      <c r="AC56" s="55">
        <v>0</v>
      </c>
      <c r="AD56" s="55">
        <v>-6.4803224358974303</v>
      </c>
      <c r="AE56" s="55">
        <v>0</v>
      </c>
      <c r="AF56" s="55" t="e">
        <v>#N/A</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110" priority="1" operator="lessThan">
      <formula>100</formula>
    </cfRule>
  </conditionalFormatting>
  <conditionalFormatting sqref="Q1:Q3 Q57:Q1000">
    <cfRule type="cellIs" dxfId="109" priority="2" operator="lessThan">
      <formula>100</formula>
    </cfRule>
  </conditionalFormatting>
  <conditionalFormatting sqref="I1:I3 I57:I1000">
    <cfRule type="cellIs" dxfId="108" priority="3" operator="lessThan">
      <formula>0.05</formula>
    </cfRule>
  </conditionalFormatting>
  <conditionalFormatting sqref="I4:I17">
    <cfRule type="cellIs" dxfId="107" priority="4" operator="lessThan">
      <formula>0.05</formula>
    </cfRule>
  </conditionalFormatting>
  <conditionalFormatting sqref="I18:I56">
    <cfRule type="cellIs" dxfId="106" priority="5" operator="lessThan">
      <formula>0.05</formula>
    </cfRule>
  </conditionalFormatting>
  <conditionalFormatting sqref="Q4:Q56">
    <cfRule type="cellIs" dxfId="105" priority="6" operator="lessThan">
      <formula>100</formula>
    </cfRule>
  </conditionalFormatting>
  <conditionalFormatting sqref="Q4:Q56">
    <cfRule type="cellIs" dxfId="104" priority="7" operator="lessThan">
      <formula>100</formula>
    </cfRule>
  </conditionalFormatting>
  <pageMargins left="0.7" right="0.7" top="0.75" bottom="0.75" header="0" footer="0"/>
  <pageSetup orientation="portrait"/>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8.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Info!B1:BJ5000""),4,FALSE),"""")"),"Corn Filled Cornhole Bean Bags - Set of 8 American Flag Bags for Corn Hole Toss Game - Regulation Size &amp; Weight - 4 Stars and 4 Stripes")</f>
        <v>Corn Filled Cornhole Bean Bags - Set of 8 American Flag Bags for Corn Hole Toss Game - Regulation Size &amp; Weight - 4 Stars and 4 Stripes</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Info!B1:BJ5000""),3,FALSE),"""")"),"B07VRXZRFQ")</f>
        <v>B07VRXZRFQ</v>
      </c>
      <c r="B2" s="4" t="s">
        <v>1105</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7.6239087481146237</v>
      </c>
      <c r="D3" s="8">
        <f>SUM(D4:D99819)</f>
        <v>198</v>
      </c>
      <c r="E3" s="8"/>
      <c r="F3" s="9">
        <f t="shared" ref="F3:G3" si="0">SUM(F4:F99819)</f>
        <v>3603.76</v>
      </c>
      <c r="G3" s="9">
        <f t="shared" si="0"/>
        <v>-268.96999999999991</v>
      </c>
      <c r="H3" s="10">
        <f t="shared" ref="H3:H39" si="1">G3/F3*-1</f>
        <v>7.463593580038623E-2</v>
      </c>
      <c r="I3" s="11">
        <f t="shared" ref="I3:I39" si="2">J3/F3</f>
        <v>-3.7224377364156867E-2</v>
      </c>
      <c r="J3" s="9">
        <f>SUM(J4:J99819)</f>
        <v>-134.14772216985395</v>
      </c>
      <c r="K3" s="9">
        <f t="shared" ref="K3:K39" si="3">J3/D3</f>
        <v>-0.6775137483325957</v>
      </c>
      <c r="L3" s="8"/>
      <c r="M3" s="12"/>
      <c r="N3" s="13"/>
      <c r="O3" s="8" t="str">
        <f ca="1">IFERROR(__xludf.DUMMYFUNCTION("IFERROR(VLOOKUP(B2,IMPORTRANGE(""https://docs.google.com/spreadsheets/d/1owCo6kL_VFQ5nPTdNogErmCBLjNiktT1m3SzTrxu3R0/edit#gid=2146806407"",""Second Star - Compiled!b1:g5000""),2,FALSE),"""")"),"1 - March
1 - April
1 - May
1 - Jun
1 - Jul
1 - Aug
1 - Sept
1 - Oct
1 - Nov
1 - Dec
1 - Jan
1 - Feb")</f>
        <v>1 - March
1 - April
1 - May
1 - Jun
1 - Jul
1 - Aug
1 - Sept
1 - Oct
1 - Nov
1 - Dec
1 - Jan
1 - Feb</v>
      </c>
      <c r="P3" s="8"/>
      <c r="Q3" s="14"/>
      <c r="R3" s="13"/>
      <c r="S3" s="13"/>
      <c r="T3" s="13"/>
      <c r="U3" s="8">
        <f>SUM(U4:U99819)</f>
        <v>40</v>
      </c>
      <c r="V3" s="10">
        <f>AVERAGE(V4:V99819)</f>
        <v>0.12154369512860079</v>
      </c>
      <c r="W3" s="9">
        <f>ROUND(AVERAGE(W4:W99819),2)</f>
        <v>2.1</v>
      </c>
      <c r="X3" s="8"/>
      <c r="Y3" s="8"/>
      <c r="Z3" s="8"/>
      <c r="AA3" s="8"/>
      <c r="AB3" s="8"/>
      <c r="AC3" s="15"/>
      <c r="AD3" s="9"/>
      <c r="AE3" s="9">
        <f>SUM(AE4:AE99819)</f>
        <v>0</v>
      </c>
      <c r="AF3" s="16"/>
    </row>
    <row r="4" spans="1:32" s="57" customFormat="1">
      <c r="A4" s="17" t="s">
        <v>48</v>
      </c>
      <c r="B4" s="2" t="s">
        <v>946</v>
      </c>
      <c r="C4" s="50">
        <v>17.989999999999998</v>
      </c>
      <c r="D4" s="51">
        <v>4</v>
      </c>
      <c r="E4" s="51">
        <v>0</v>
      </c>
      <c r="F4" s="51">
        <v>71.959999999999994</v>
      </c>
      <c r="G4" s="51">
        <v>-12.61</v>
      </c>
      <c r="H4" s="51">
        <f t="shared" si="1"/>
        <v>0.17523624235686494</v>
      </c>
      <c r="I4" s="51">
        <f t="shared" si="2"/>
        <v>-0.2109561237307932</v>
      </c>
      <c r="J4" s="51">
        <f t="shared" ref="J4:J38" si="4">F4*0.85+G4+AD4*D4+D4*AC4+AE4+AB4</f>
        <v>-15.180402663667877</v>
      </c>
      <c r="K4" s="51">
        <f t="shared" si="3"/>
        <v>-3.7951006659169693</v>
      </c>
      <c r="L4" s="51">
        <v>14</v>
      </c>
      <c r="M4" s="51">
        <f t="shared" ref="M4:M39" si="5">IFERROR(D4/L4,"-")</f>
        <v>0.2857142857142857</v>
      </c>
      <c r="N4" s="51">
        <v>207</v>
      </c>
      <c r="O4" s="51">
        <f t="shared" ref="O4:P4" si="6">D4/7</f>
        <v>0.5714285714285714</v>
      </c>
      <c r="P4" s="51">
        <f t="shared" si="6"/>
        <v>0</v>
      </c>
      <c r="Q4" s="51">
        <f t="shared" ref="Q4:Q39" si="7">ROUNDDOWN(N4/(O4+P4),0)</f>
        <v>362</v>
      </c>
      <c r="R4" s="52">
        <v>200</v>
      </c>
      <c r="S4" s="53" t="s">
        <v>34</v>
      </c>
      <c r="T4" s="54" t="s">
        <v>34</v>
      </c>
      <c r="U4" s="52">
        <v>2</v>
      </c>
      <c r="V4" s="55">
        <f t="shared" ref="V4:V39" si="8">IFERROR(U4/D4,0)</f>
        <v>0.5</v>
      </c>
      <c r="W4" s="55">
        <f t="shared" ref="W4:W39" si="9">IFERROR(G4/(U4+X4)*-1,0)</f>
        <v>6.3049999999999997</v>
      </c>
      <c r="X4" s="52">
        <v>0</v>
      </c>
      <c r="Y4" s="56" t="s">
        <v>35</v>
      </c>
      <c r="Z4" s="56">
        <f t="shared" ref="Z4:Z10" si="10">IF(OR(Y4="UsLargeStandardSize",Y4="UsSmallStandardSize"),-0.69,-0.48)</f>
        <v>-0.69</v>
      </c>
      <c r="AA4" s="55">
        <v>0.25695198263888891</v>
      </c>
      <c r="AB4" s="55">
        <f t="shared" ref="AB4:AB17" si="11">IFERROR((Z4*AA4*N4)/4,0)</f>
        <v>-9.1751129200781243</v>
      </c>
      <c r="AC4" s="55">
        <v>-7.16</v>
      </c>
      <c r="AD4" s="55">
        <v>-6.4803224358974356</v>
      </c>
      <c r="AE4" s="55">
        <v>0</v>
      </c>
      <c r="AF4" s="55"/>
    </row>
    <row r="5" spans="1:32" s="57" customFormat="1" ht="15.75" customHeight="1">
      <c r="A5" s="2" t="s">
        <v>49</v>
      </c>
      <c r="B5" s="2" t="s">
        <v>1106</v>
      </c>
      <c r="C5" s="51">
        <v>16.989999999999998</v>
      </c>
      <c r="D5" s="51">
        <v>3</v>
      </c>
      <c r="E5" s="51">
        <v>0</v>
      </c>
      <c r="F5" s="51">
        <v>51.97</v>
      </c>
      <c r="G5" s="51">
        <v>-5.6899999999999995</v>
      </c>
      <c r="H5" s="51">
        <f t="shared" si="1"/>
        <v>0.10948624206272849</v>
      </c>
      <c r="I5" s="51">
        <f t="shared" si="2"/>
        <v>-0.22172275916413353</v>
      </c>
      <c r="J5" s="51">
        <f t="shared" si="4"/>
        <v>-11.522931793760019</v>
      </c>
      <c r="K5" s="51">
        <f t="shared" si="3"/>
        <v>-3.8409772645866731</v>
      </c>
      <c r="L5" s="51">
        <v>13</v>
      </c>
      <c r="M5" s="51">
        <f t="shared" si="5"/>
        <v>0.23076923076923078</v>
      </c>
      <c r="N5" s="51">
        <v>205</v>
      </c>
      <c r="O5" s="51">
        <f t="shared" ref="O5:P5" si="12">D5/7</f>
        <v>0.42857142857142855</v>
      </c>
      <c r="P5" s="51">
        <f t="shared" si="12"/>
        <v>0</v>
      </c>
      <c r="Q5" s="51">
        <f t="shared" si="7"/>
        <v>478</v>
      </c>
      <c r="R5" s="55">
        <v>200</v>
      </c>
      <c r="S5" s="53" t="s">
        <v>34</v>
      </c>
      <c r="T5" s="54" t="s">
        <v>34</v>
      </c>
      <c r="U5" s="55">
        <v>0</v>
      </c>
      <c r="V5" s="55">
        <f t="shared" si="8"/>
        <v>0</v>
      </c>
      <c r="W5" s="55">
        <f t="shared" si="9"/>
        <v>0</v>
      </c>
      <c r="X5" s="55">
        <v>0</v>
      </c>
      <c r="Y5" s="55" t="s">
        <v>35</v>
      </c>
      <c r="Z5" s="56">
        <f t="shared" si="10"/>
        <v>-0.69</v>
      </c>
      <c r="AA5" s="55">
        <v>0.25695198263888891</v>
      </c>
      <c r="AB5" s="55">
        <f t="shared" si="11"/>
        <v>-9.0864644860677082</v>
      </c>
      <c r="AC5" s="55">
        <v>-7.16</v>
      </c>
      <c r="AD5" s="55">
        <v>-6.4803224358974356</v>
      </c>
      <c r="AE5" s="55">
        <v>0</v>
      </c>
      <c r="AF5" s="55"/>
    </row>
    <row r="6" spans="1:32" s="57" customFormat="1" ht="15.75" customHeight="1">
      <c r="A6" s="2" t="s">
        <v>51</v>
      </c>
      <c r="B6" s="2" t="s">
        <v>1107</v>
      </c>
      <c r="C6" s="51">
        <v>16.989999999999998</v>
      </c>
      <c r="D6" s="51">
        <v>1</v>
      </c>
      <c r="E6" s="51">
        <v>0</v>
      </c>
      <c r="F6" s="51">
        <v>16.989999999999998</v>
      </c>
      <c r="G6" s="51">
        <v>-3.3200000000000003</v>
      </c>
      <c r="H6" s="51">
        <f t="shared" si="1"/>
        <v>0.19540906415538556</v>
      </c>
      <c r="I6" s="51">
        <f t="shared" si="2"/>
        <v>-0.68045689846733015</v>
      </c>
      <c r="J6" s="51">
        <f t="shared" si="4"/>
        <v>-11.560962704959937</v>
      </c>
      <c r="K6" s="51">
        <f t="shared" si="3"/>
        <v>-11.560962704959937</v>
      </c>
      <c r="L6" s="51">
        <v>13</v>
      </c>
      <c r="M6" s="51">
        <f t="shared" si="5"/>
        <v>7.6923076923076927E-2</v>
      </c>
      <c r="N6" s="51">
        <v>204</v>
      </c>
      <c r="O6" s="51">
        <f t="shared" ref="O6:P6" si="13">D6/7</f>
        <v>0.14285714285714285</v>
      </c>
      <c r="P6" s="51">
        <f t="shared" si="13"/>
        <v>0</v>
      </c>
      <c r="Q6" s="51">
        <f t="shared" si="7"/>
        <v>1428</v>
      </c>
      <c r="R6" s="55">
        <v>200</v>
      </c>
      <c r="S6" s="53" t="s">
        <v>34</v>
      </c>
      <c r="T6" s="54" t="s">
        <v>34</v>
      </c>
      <c r="U6" s="55">
        <v>0</v>
      </c>
      <c r="V6" s="55">
        <f t="shared" si="8"/>
        <v>0</v>
      </c>
      <c r="W6" s="55">
        <f t="shared" si="9"/>
        <v>0</v>
      </c>
      <c r="X6" s="55">
        <v>0</v>
      </c>
      <c r="Y6" s="55" t="s">
        <v>35</v>
      </c>
      <c r="Z6" s="56">
        <f t="shared" si="10"/>
        <v>-0.69</v>
      </c>
      <c r="AA6" s="55">
        <v>0.25695198263888891</v>
      </c>
      <c r="AB6" s="55">
        <f t="shared" si="11"/>
        <v>-9.0421402690625001</v>
      </c>
      <c r="AC6" s="55">
        <v>-7.16</v>
      </c>
      <c r="AD6" s="55">
        <v>-6.4803224358974356</v>
      </c>
      <c r="AE6" s="55">
        <v>0</v>
      </c>
      <c r="AF6" s="55"/>
    </row>
    <row r="7" spans="1:32" s="57" customFormat="1" ht="15.75" customHeight="1">
      <c r="A7" s="2" t="s">
        <v>53</v>
      </c>
      <c r="B7" s="2" t="s">
        <v>1108</v>
      </c>
      <c r="C7" s="51">
        <v>16.989999999999998</v>
      </c>
      <c r="D7" s="51">
        <v>2</v>
      </c>
      <c r="E7" s="51">
        <v>0</v>
      </c>
      <c r="F7" s="51">
        <v>33.979999999999997</v>
      </c>
      <c r="G7" s="51">
        <v>-14.459999999999999</v>
      </c>
      <c r="H7" s="51">
        <f t="shared" si="1"/>
        <v>0.4255444379046498</v>
      </c>
      <c r="I7" s="51">
        <f t="shared" si="2"/>
        <v>-0.64188159820032253</v>
      </c>
      <c r="J7" s="51">
        <f t="shared" si="4"/>
        <v>-21.811136706846959</v>
      </c>
      <c r="K7" s="51">
        <f t="shared" si="3"/>
        <v>-10.90556835342348</v>
      </c>
      <c r="L7" s="51">
        <v>17</v>
      </c>
      <c r="M7" s="51">
        <f t="shared" si="5"/>
        <v>0.11764705882352941</v>
      </c>
      <c r="N7" s="51">
        <v>202</v>
      </c>
      <c r="O7" s="51">
        <f t="shared" ref="O7:P7" si="14">D7/7</f>
        <v>0.2857142857142857</v>
      </c>
      <c r="P7" s="51">
        <f t="shared" si="14"/>
        <v>0</v>
      </c>
      <c r="Q7" s="51">
        <f t="shared" si="7"/>
        <v>707</v>
      </c>
      <c r="R7" s="55">
        <v>200</v>
      </c>
      <c r="S7" s="53" t="s">
        <v>34</v>
      </c>
      <c r="T7" s="54" t="s">
        <v>34</v>
      </c>
      <c r="U7" s="55">
        <v>1</v>
      </c>
      <c r="V7" s="55">
        <f t="shared" si="8"/>
        <v>0.5</v>
      </c>
      <c r="W7" s="55">
        <f t="shared" si="9"/>
        <v>14.459999999999999</v>
      </c>
      <c r="X7" s="55">
        <v>0</v>
      </c>
      <c r="Y7" s="55" t="s">
        <v>35</v>
      </c>
      <c r="Z7" s="56">
        <f t="shared" si="10"/>
        <v>-0.69</v>
      </c>
      <c r="AA7" s="55">
        <v>0.25695198263888891</v>
      </c>
      <c r="AB7" s="55">
        <f t="shared" si="11"/>
        <v>-8.953491835052084</v>
      </c>
      <c r="AC7" s="55">
        <v>-7.16</v>
      </c>
      <c r="AD7" s="55">
        <v>-6.4803224358974356</v>
      </c>
      <c r="AE7" s="55">
        <v>0</v>
      </c>
      <c r="AF7" s="55"/>
    </row>
    <row r="8" spans="1:32" s="57" customFormat="1" ht="15.75" customHeight="1">
      <c r="A8" s="2" t="s">
        <v>54</v>
      </c>
      <c r="B8" s="2" t="s">
        <v>927</v>
      </c>
      <c r="C8" s="51">
        <v>15.99</v>
      </c>
      <c r="D8" s="51">
        <v>1</v>
      </c>
      <c r="E8" s="51">
        <v>0</v>
      </c>
      <c r="F8" s="51">
        <v>16.989999999999998</v>
      </c>
      <c r="G8" s="51">
        <v>-10.419999999999998</v>
      </c>
      <c r="H8" s="51">
        <f t="shared" si="1"/>
        <v>0.61330194231901114</v>
      </c>
      <c r="I8" s="51">
        <f t="shared" si="2"/>
        <v>-1.0722613616779195</v>
      </c>
      <c r="J8" s="51">
        <f t="shared" si="4"/>
        <v>-18.217720534907851</v>
      </c>
      <c r="K8" s="51">
        <f t="shared" si="3"/>
        <v>-18.217720534907851</v>
      </c>
      <c r="L8" s="51">
        <v>11</v>
      </c>
      <c r="M8" s="51">
        <f t="shared" si="5"/>
        <v>9.0909090909090912E-2</v>
      </c>
      <c r="N8" s="51">
        <v>194</v>
      </c>
      <c r="O8" s="51">
        <f t="shared" ref="O8:P8" si="15">D8/7</f>
        <v>0.14285714285714285</v>
      </c>
      <c r="P8" s="51">
        <f t="shared" si="15"/>
        <v>0</v>
      </c>
      <c r="Q8" s="51">
        <f t="shared" si="7"/>
        <v>1358</v>
      </c>
      <c r="R8" s="55">
        <v>200</v>
      </c>
      <c r="S8" s="53" t="s">
        <v>34</v>
      </c>
      <c r="T8" s="54" t="s">
        <v>34</v>
      </c>
      <c r="U8" s="55">
        <v>1</v>
      </c>
      <c r="V8" s="55">
        <f t="shared" si="8"/>
        <v>1</v>
      </c>
      <c r="W8" s="55">
        <f t="shared" si="9"/>
        <v>10.419999999999998</v>
      </c>
      <c r="X8" s="55">
        <v>0</v>
      </c>
      <c r="Y8" s="55" t="s">
        <v>35</v>
      </c>
      <c r="Z8" s="56">
        <f t="shared" si="10"/>
        <v>-0.69</v>
      </c>
      <c r="AA8" s="55">
        <v>0.25695198263888891</v>
      </c>
      <c r="AB8" s="55">
        <f t="shared" si="11"/>
        <v>-8.598898099010416</v>
      </c>
      <c r="AC8" s="55">
        <v>-7.16</v>
      </c>
      <c r="AD8" s="55">
        <v>-6.4803224358974356</v>
      </c>
      <c r="AE8" s="55">
        <v>0</v>
      </c>
      <c r="AF8" s="55"/>
    </row>
    <row r="9" spans="1:32" s="57" customFormat="1" ht="15.75" customHeight="1">
      <c r="A9" s="2" t="s">
        <v>56</v>
      </c>
      <c r="B9" s="2" t="s">
        <v>907</v>
      </c>
      <c r="C9" s="51">
        <v>15.99</v>
      </c>
      <c r="D9" s="51">
        <v>7</v>
      </c>
      <c r="E9" s="51">
        <v>0</v>
      </c>
      <c r="F9" s="51">
        <v>111.92999999999999</v>
      </c>
      <c r="G9" s="51">
        <v>-13.040000000000001</v>
      </c>
      <c r="H9" s="51">
        <f t="shared" si="1"/>
        <v>0.11650138479406774</v>
      </c>
      <c r="I9" s="51">
        <f t="shared" si="2"/>
        <v>-0.19598258673534605</v>
      </c>
      <c r="J9" s="51">
        <f t="shared" si="4"/>
        <v>-21.93633093328728</v>
      </c>
      <c r="K9" s="51">
        <f t="shared" si="3"/>
        <v>-3.1337615618981829</v>
      </c>
      <c r="L9" s="51">
        <v>20</v>
      </c>
      <c r="M9" s="51">
        <f t="shared" si="5"/>
        <v>0.35</v>
      </c>
      <c r="N9" s="51">
        <v>193</v>
      </c>
      <c r="O9" s="51">
        <f t="shared" ref="O9:P9" si="16">D9/7</f>
        <v>1</v>
      </c>
      <c r="P9" s="51">
        <f t="shared" si="16"/>
        <v>0</v>
      </c>
      <c r="Q9" s="51">
        <f t="shared" si="7"/>
        <v>193</v>
      </c>
      <c r="R9" s="55">
        <v>0</v>
      </c>
      <c r="S9" s="53" t="s">
        <v>34</v>
      </c>
      <c r="T9" s="54" t="s">
        <v>34</v>
      </c>
      <c r="U9" s="55">
        <v>2</v>
      </c>
      <c r="V9" s="55">
        <f t="shared" si="8"/>
        <v>0.2857142857142857</v>
      </c>
      <c r="W9" s="55">
        <f t="shared" si="9"/>
        <v>6.5200000000000005</v>
      </c>
      <c r="X9" s="55">
        <v>0</v>
      </c>
      <c r="Y9" s="55" t="s">
        <v>35</v>
      </c>
      <c r="Z9" s="56">
        <f t="shared" si="10"/>
        <v>-0.69</v>
      </c>
      <c r="AA9" s="55">
        <v>0.25695198263888891</v>
      </c>
      <c r="AB9" s="55">
        <f t="shared" si="11"/>
        <v>-8.554573882005208</v>
      </c>
      <c r="AC9" s="55">
        <v>-7.16</v>
      </c>
      <c r="AD9" s="55">
        <v>-6.4803224358974356</v>
      </c>
      <c r="AE9" s="55">
        <v>0</v>
      </c>
      <c r="AF9" s="55"/>
    </row>
    <row r="10" spans="1:32" s="57" customFormat="1" ht="15.75" customHeight="1">
      <c r="A10" s="2" t="s">
        <v>58</v>
      </c>
      <c r="B10" s="2" t="s">
        <v>824</v>
      </c>
      <c r="C10" s="51">
        <v>17.989999999999998</v>
      </c>
      <c r="D10" s="51">
        <v>8</v>
      </c>
      <c r="E10" s="51">
        <v>0</v>
      </c>
      <c r="F10" s="51">
        <v>133.91999999999999</v>
      </c>
      <c r="G10" s="51">
        <v>-44.65</v>
      </c>
      <c r="H10" s="51">
        <f t="shared" si="1"/>
        <v>0.33340800477897253</v>
      </c>
      <c r="I10" s="51">
        <f t="shared" si="2"/>
        <v>-0.35748666615226843</v>
      </c>
      <c r="J10" s="51">
        <f t="shared" si="4"/>
        <v>-47.874614331111786</v>
      </c>
      <c r="K10" s="51">
        <f t="shared" si="3"/>
        <v>-5.9843267913889733</v>
      </c>
      <c r="L10" s="51">
        <v>23</v>
      </c>
      <c r="M10" s="51">
        <f t="shared" si="5"/>
        <v>0.34782608695652173</v>
      </c>
      <c r="N10" s="51">
        <v>179</v>
      </c>
      <c r="O10" s="51">
        <f t="shared" ref="O10:P10" si="17">D10/7</f>
        <v>1.1428571428571428</v>
      </c>
      <c r="P10" s="51">
        <f t="shared" si="17"/>
        <v>0</v>
      </c>
      <c r="Q10" s="51">
        <f t="shared" si="7"/>
        <v>156</v>
      </c>
      <c r="R10" s="55">
        <v>0</v>
      </c>
      <c r="S10" s="53" t="s">
        <v>34</v>
      </c>
      <c r="T10" s="54" t="s">
        <v>34</v>
      </c>
      <c r="U10" s="55">
        <v>4</v>
      </c>
      <c r="V10" s="55">
        <f t="shared" si="8"/>
        <v>0.5</v>
      </c>
      <c r="W10" s="55">
        <f t="shared" si="9"/>
        <v>8.93</v>
      </c>
      <c r="X10" s="55">
        <v>1</v>
      </c>
      <c r="Y10" s="55" t="s">
        <v>35</v>
      </c>
      <c r="Z10" s="56">
        <f t="shared" si="10"/>
        <v>-0.69</v>
      </c>
      <c r="AA10" s="55">
        <v>0.25695198263888891</v>
      </c>
      <c r="AB10" s="55">
        <f t="shared" si="11"/>
        <v>-7.9340348439322916</v>
      </c>
      <c r="AC10" s="55">
        <v>-7.16</v>
      </c>
      <c r="AD10" s="55">
        <v>-6.4803224358974356</v>
      </c>
      <c r="AE10" s="55">
        <v>0</v>
      </c>
      <c r="AF10" s="55"/>
    </row>
    <row r="11" spans="1:32" s="57" customFormat="1" ht="15.75" customHeight="1">
      <c r="A11" s="2" t="s">
        <v>60</v>
      </c>
      <c r="B11" s="2" t="s">
        <v>912</v>
      </c>
      <c r="C11" s="51">
        <v>18.989999999999998</v>
      </c>
      <c r="D11" s="51">
        <v>9</v>
      </c>
      <c r="E11" s="51">
        <v>0</v>
      </c>
      <c r="F11" s="51">
        <v>161.91</v>
      </c>
      <c r="G11" s="51">
        <v>-43.319999999999993</v>
      </c>
      <c r="H11" s="51">
        <f t="shared" si="1"/>
        <v>0.26755604965721691</v>
      </c>
      <c r="I11" s="51">
        <f t="shared" si="2"/>
        <v>-0.23674040425801646</v>
      </c>
      <c r="J11" s="51">
        <f t="shared" si="4"/>
        <v>-38.330638853415444</v>
      </c>
      <c r="K11" s="51">
        <f t="shared" si="3"/>
        <v>-4.2589598726017162</v>
      </c>
      <c r="L11" s="51">
        <v>36</v>
      </c>
      <c r="M11" s="51">
        <f t="shared" si="5"/>
        <v>0.25</v>
      </c>
      <c r="N11" s="51">
        <v>175</v>
      </c>
      <c r="O11" s="51">
        <f t="shared" ref="O11:P11" si="18">D11/7</f>
        <v>1.2857142857142858</v>
      </c>
      <c r="P11" s="51">
        <f t="shared" si="18"/>
        <v>0</v>
      </c>
      <c r="Q11" s="51">
        <f t="shared" si="7"/>
        <v>136</v>
      </c>
      <c r="R11" s="55">
        <v>0</v>
      </c>
      <c r="S11" s="53" t="s">
        <v>34</v>
      </c>
      <c r="T11" s="54" t="s">
        <v>34</v>
      </c>
      <c r="U11" s="55">
        <v>6</v>
      </c>
      <c r="V11" s="55">
        <f t="shared" si="8"/>
        <v>0.66666666666666663</v>
      </c>
      <c r="W11" s="55">
        <f t="shared" si="9"/>
        <v>7.2199999999999989</v>
      </c>
      <c r="X11" s="55">
        <v>0</v>
      </c>
      <c r="Y11" s="55" t="s">
        <v>35</v>
      </c>
      <c r="Z11" s="56">
        <f t="shared" ref="Z11:Z39" si="19">IF(OR(Y11="UsLargeStandardSize",Y11="UsSmallStandardSize"),-0.75,-0.48)</f>
        <v>-0.75</v>
      </c>
      <c r="AA11" s="55">
        <v>0.25695198263888891</v>
      </c>
      <c r="AB11" s="55">
        <f t="shared" si="11"/>
        <v>-8.4312369303385424</v>
      </c>
      <c r="AC11" s="55">
        <v>-7.32</v>
      </c>
      <c r="AD11" s="55">
        <v>-6.4803224358974356</v>
      </c>
      <c r="AE11" s="55">
        <v>0</v>
      </c>
      <c r="AF11" s="55"/>
    </row>
    <row r="12" spans="1:32" s="57" customFormat="1" ht="15.75" customHeight="1">
      <c r="A12" s="2" t="s">
        <v>62</v>
      </c>
      <c r="B12" s="2" t="s">
        <v>1109</v>
      </c>
      <c r="C12" s="51">
        <v>18.989999999999998</v>
      </c>
      <c r="D12" s="51">
        <v>10</v>
      </c>
      <c r="E12" s="51">
        <v>0</v>
      </c>
      <c r="F12" s="51">
        <v>189.9</v>
      </c>
      <c r="G12" s="51">
        <v>-36.740000000000009</v>
      </c>
      <c r="H12" s="51">
        <f t="shared" si="1"/>
        <v>0.19347024749868355</v>
      </c>
      <c r="I12" s="51">
        <f t="shared" si="2"/>
        <v>-0.11153933295616336</v>
      </c>
      <c r="J12" s="51">
        <f t="shared" si="4"/>
        <v>-21.181319328375423</v>
      </c>
      <c r="K12" s="51">
        <f t="shared" si="3"/>
        <v>-2.1181319328375423</v>
      </c>
      <c r="L12" s="51">
        <v>31</v>
      </c>
      <c r="M12" s="51">
        <f t="shared" si="5"/>
        <v>0.32258064516129031</v>
      </c>
      <c r="N12" s="51">
        <v>163</v>
      </c>
      <c r="O12" s="51">
        <f t="shared" ref="O12:P12" si="20">D12/7</f>
        <v>1.4285714285714286</v>
      </c>
      <c r="P12" s="51">
        <f t="shared" si="20"/>
        <v>0</v>
      </c>
      <c r="Q12" s="51">
        <f t="shared" si="7"/>
        <v>114</v>
      </c>
      <c r="R12" s="55">
        <v>200</v>
      </c>
      <c r="S12" s="53" t="s">
        <v>34</v>
      </c>
      <c r="T12" s="54" t="s">
        <v>34</v>
      </c>
      <c r="U12" s="55">
        <v>5</v>
      </c>
      <c r="V12" s="55">
        <f t="shared" si="8"/>
        <v>0.5</v>
      </c>
      <c r="W12" s="55">
        <f t="shared" si="9"/>
        <v>7.3480000000000016</v>
      </c>
      <c r="X12" s="55">
        <v>0</v>
      </c>
      <c r="Y12" s="55" t="s">
        <v>35</v>
      </c>
      <c r="Z12" s="56">
        <f t="shared" si="19"/>
        <v>-0.75</v>
      </c>
      <c r="AA12" s="55">
        <v>0.25695198263888891</v>
      </c>
      <c r="AB12" s="55">
        <f t="shared" si="11"/>
        <v>-7.8530949694010426</v>
      </c>
      <c r="AC12" s="55">
        <v>-7.32</v>
      </c>
      <c r="AD12" s="55">
        <v>-6.4803224358974356</v>
      </c>
      <c r="AE12" s="55">
        <v>0</v>
      </c>
      <c r="AF12" s="55"/>
    </row>
    <row r="13" spans="1:32" s="57" customFormat="1" ht="15.75" customHeight="1">
      <c r="A13" s="2" t="s">
        <v>63</v>
      </c>
      <c r="B13" s="2" t="s">
        <v>1110</v>
      </c>
      <c r="C13" s="51">
        <v>18.989999999999998</v>
      </c>
      <c r="D13" s="51">
        <v>4</v>
      </c>
      <c r="E13" s="51">
        <v>0</v>
      </c>
      <c r="F13" s="51">
        <v>75.959999999999994</v>
      </c>
      <c r="G13" s="51">
        <v>-40.81</v>
      </c>
      <c r="H13" s="51">
        <f t="shared" si="1"/>
        <v>0.53725645076355988</v>
      </c>
      <c r="I13" s="51">
        <f t="shared" si="2"/>
        <v>-0.51608777935099026</v>
      </c>
      <c r="J13" s="51">
        <f t="shared" si="4"/>
        <v>-39.202027719501217</v>
      </c>
      <c r="K13" s="51">
        <f t="shared" si="3"/>
        <v>-9.8005069298753043</v>
      </c>
      <c r="L13" s="51">
        <v>34</v>
      </c>
      <c r="M13" s="51">
        <f t="shared" si="5"/>
        <v>0.11764705882352941</v>
      </c>
      <c r="N13" s="51">
        <v>161</v>
      </c>
      <c r="O13" s="51">
        <f t="shared" ref="O13:P13" si="21">D13/7</f>
        <v>0.5714285714285714</v>
      </c>
      <c r="P13" s="51">
        <f t="shared" si="21"/>
        <v>0</v>
      </c>
      <c r="Q13" s="51">
        <f t="shared" si="7"/>
        <v>281</v>
      </c>
      <c r="R13" s="55">
        <v>200</v>
      </c>
      <c r="S13" s="53" t="s">
        <v>34</v>
      </c>
      <c r="T13" s="54" t="s">
        <v>34</v>
      </c>
      <c r="U13" s="55">
        <v>1</v>
      </c>
      <c r="V13" s="55">
        <f t="shared" si="8"/>
        <v>0.25</v>
      </c>
      <c r="W13" s="55">
        <f t="shared" si="9"/>
        <v>40.81</v>
      </c>
      <c r="X13" s="55">
        <v>0</v>
      </c>
      <c r="Y13" s="55" t="s">
        <v>35</v>
      </c>
      <c r="Z13" s="56">
        <f t="shared" si="19"/>
        <v>-0.75</v>
      </c>
      <c r="AA13" s="55">
        <v>0.25695198263888891</v>
      </c>
      <c r="AB13" s="55">
        <f t="shared" si="11"/>
        <v>-7.7567379759114594</v>
      </c>
      <c r="AC13" s="55">
        <v>-7.32</v>
      </c>
      <c r="AD13" s="55">
        <v>-6.4803224358974356</v>
      </c>
      <c r="AE13" s="55">
        <v>0</v>
      </c>
      <c r="AF13" s="55"/>
    </row>
    <row r="14" spans="1:32" s="57" customFormat="1" ht="15.75" customHeight="1">
      <c r="A14" s="2" t="s">
        <v>64</v>
      </c>
      <c r="B14" s="2"/>
      <c r="C14" s="51">
        <v>17.989999999999998</v>
      </c>
      <c r="D14" s="51">
        <v>4</v>
      </c>
      <c r="E14" s="51">
        <v>0</v>
      </c>
      <c r="F14" s="51">
        <v>75.959999999999994</v>
      </c>
      <c r="G14" s="51">
        <v>-32.15</v>
      </c>
      <c r="H14" s="51">
        <f t="shared" si="1"/>
        <v>0.4232490784623486</v>
      </c>
      <c r="I14" s="51">
        <f t="shared" si="2"/>
        <v>-0.39954336140760993</v>
      </c>
      <c r="J14" s="51">
        <f t="shared" si="4"/>
        <v>-30.349313732522049</v>
      </c>
      <c r="K14" s="51">
        <f t="shared" si="3"/>
        <v>-7.5873284331305122</v>
      </c>
      <c r="L14" s="51">
        <v>27</v>
      </c>
      <c r="M14" s="51">
        <f t="shared" si="5"/>
        <v>0.14814814814814814</v>
      </c>
      <c r="N14" s="51">
        <v>157</v>
      </c>
      <c r="O14" s="51">
        <f t="shared" ref="O14:P14" si="22">D14/7</f>
        <v>0.5714285714285714</v>
      </c>
      <c r="P14" s="51">
        <f t="shared" si="22"/>
        <v>0</v>
      </c>
      <c r="Q14" s="51">
        <f t="shared" si="7"/>
        <v>274</v>
      </c>
      <c r="R14" s="55">
        <v>200</v>
      </c>
      <c r="S14" s="53" t="s">
        <v>34</v>
      </c>
      <c r="T14" s="54" t="s">
        <v>34</v>
      </c>
      <c r="U14" s="55">
        <v>3</v>
      </c>
      <c r="V14" s="55">
        <f t="shared" si="8"/>
        <v>0.75</v>
      </c>
      <c r="W14" s="55">
        <f t="shared" si="9"/>
        <v>8.0374999999999996</v>
      </c>
      <c r="X14" s="55">
        <v>1</v>
      </c>
      <c r="Y14" s="55" t="s">
        <v>35</v>
      </c>
      <c r="Z14" s="56">
        <f t="shared" si="19"/>
        <v>-0.75</v>
      </c>
      <c r="AA14" s="55">
        <v>0.25695198263888891</v>
      </c>
      <c r="AB14" s="55">
        <f t="shared" si="11"/>
        <v>-7.5640239889322931</v>
      </c>
      <c r="AC14" s="55">
        <v>-7.32</v>
      </c>
      <c r="AD14" s="55">
        <v>-6.4803224358974356</v>
      </c>
      <c r="AE14" s="55">
        <v>0</v>
      </c>
      <c r="AF14" s="55"/>
    </row>
    <row r="15" spans="1:32" s="57" customFormat="1" ht="15.75" customHeight="1">
      <c r="A15" s="2" t="s">
        <v>65</v>
      </c>
      <c r="B15" s="2" t="s">
        <v>946</v>
      </c>
      <c r="C15" s="51">
        <v>18.989999999999998</v>
      </c>
      <c r="D15" s="51">
        <v>0</v>
      </c>
      <c r="E15" s="51">
        <v>0</v>
      </c>
      <c r="F15" s="51">
        <v>0</v>
      </c>
      <c r="G15" s="51">
        <v>-5.99</v>
      </c>
      <c r="H15" s="51" t="e">
        <f t="shared" si="1"/>
        <v>#DIV/0!</v>
      </c>
      <c r="I15" s="51" t="e">
        <f t="shared" si="2"/>
        <v>#DIV/0!</v>
      </c>
      <c r="J15" s="51">
        <f t="shared" si="4"/>
        <v>-13.554023988932293</v>
      </c>
      <c r="K15" s="51" t="e">
        <f t="shared" si="3"/>
        <v>#DIV/0!</v>
      </c>
      <c r="L15" s="51">
        <v>9</v>
      </c>
      <c r="M15" s="51">
        <f t="shared" si="5"/>
        <v>0</v>
      </c>
      <c r="N15" s="51">
        <v>157</v>
      </c>
      <c r="O15" s="51">
        <f t="shared" ref="O15:P15" si="23">D15/7</f>
        <v>0</v>
      </c>
      <c r="P15" s="51">
        <f t="shared" si="23"/>
        <v>0</v>
      </c>
      <c r="Q15" s="51" t="e">
        <f t="shared" si="7"/>
        <v>#DIV/0!</v>
      </c>
      <c r="R15" s="55">
        <v>200</v>
      </c>
      <c r="S15" s="53" t="s">
        <v>34</v>
      </c>
      <c r="T15" s="54" t="s">
        <v>34</v>
      </c>
      <c r="U15" s="55">
        <v>0</v>
      </c>
      <c r="V15" s="55">
        <f t="shared" si="8"/>
        <v>0</v>
      </c>
      <c r="W15" s="55">
        <f t="shared" si="9"/>
        <v>0</v>
      </c>
      <c r="X15" s="55">
        <v>0</v>
      </c>
      <c r="Y15" s="55" t="s">
        <v>35</v>
      </c>
      <c r="Z15" s="56">
        <f t="shared" si="19"/>
        <v>-0.75</v>
      </c>
      <c r="AA15" s="55">
        <v>0.25695198263888891</v>
      </c>
      <c r="AB15" s="55">
        <f t="shared" si="11"/>
        <v>-7.5640239889322931</v>
      </c>
      <c r="AC15" s="55">
        <v>-7.32</v>
      </c>
      <c r="AD15" s="55">
        <v>-6.4803224358974356</v>
      </c>
      <c r="AE15" s="55">
        <v>0</v>
      </c>
      <c r="AF15" s="55"/>
    </row>
    <row r="16" spans="1:32" s="57" customFormat="1" ht="15.75" customHeight="1">
      <c r="A16" s="2" t="s">
        <v>66</v>
      </c>
      <c r="B16" s="2" t="s">
        <v>1111</v>
      </c>
      <c r="C16" s="51">
        <v>19.989999999999998</v>
      </c>
      <c r="D16" s="51">
        <v>1</v>
      </c>
      <c r="E16" s="51">
        <v>0</v>
      </c>
      <c r="F16" s="51">
        <v>19.989999999999998</v>
      </c>
      <c r="G16" s="51">
        <v>0</v>
      </c>
      <c r="H16" s="51">
        <f t="shared" si="1"/>
        <v>0</v>
      </c>
      <c r="I16" s="51">
        <f t="shared" si="2"/>
        <v>-0.21634156718784081</v>
      </c>
      <c r="J16" s="51">
        <f t="shared" si="4"/>
        <v>-4.3246679280849376</v>
      </c>
      <c r="K16" s="51">
        <f t="shared" si="3"/>
        <v>-4.3246679280849376</v>
      </c>
      <c r="L16" s="51">
        <v>0</v>
      </c>
      <c r="M16" s="51" t="str">
        <f t="shared" si="5"/>
        <v>-</v>
      </c>
      <c r="N16" s="51">
        <v>156</v>
      </c>
      <c r="O16" s="51">
        <f t="shared" ref="O16:P16" si="24">D16/7</f>
        <v>0.14285714285714285</v>
      </c>
      <c r="P16" s="51">
        <f t="shared" si="24"/>
        <v>0</v>
      </c>
      <c r="Q16" s="51">
        <f t="shared" si="7"/>
        <v>1092</v>
      </c>
      <c r="R16" s="55">
        <v>200</v>
      </c>
      <c r="S16" s="53" t="s">
        <v>34</v>
      </c>
      <c r="T16" s="54" t="s">
        <v>34</v>
      </c>
      <c r="U16" s="55">
        <v>0</v>
      </c>
      <c r="V16" s="55">
        <f t="shared" si="8"/>
        <v>0</v>
      </c>
      <c r="W16" s="55">
        <f t="shared" si="9"/>
        <v>0</v>
      </c>
      <c r="X16" s="55">
        <v>0</v>
      </c>
      <c r="Y16" s="55" t="s">
        <v>35</v>
      </c>
      <c r="Z16" s="56">
        <f t="shared" si="19"/>
        <v>-0.75</v>
      </c>
      <c r="AA16" s="55">
        <v>0.25695198263888891</v>
      </c>
      <c r="AB16" s="55">
        <f t="shared" si="11"/>
        <v>-7.5158454921875011</v>
      </c>
      <c r="AC16" s="55">
        <v>-7.32</v>
      </c>
      <c r="AD16" s="55">
        <v>-6.4803224358974356</v>
      </c>
      <c r="AE16" s="55">
        <v>0</v>
      </c>
      <c r="AF16" s="55"/>
    </row>
    <row r="17" spans="1:32" s="57" customFormat="1" ht="15.75" customHeight="1">
      <c r="A17" s="2" t="s">
        <v>67</v>
      </c>
      <c r="B17" s="2" t="s">
        <v>1112</v>
      </c>
      <c r="C17" s="51">
        <v>19.989999999999998</v>
      </c>
      <c r="D17" s="51">
        <v>0</v>
      </c>
      <c r="E17" s="51">
        <v>0</v>
      </c>
      <c r="F17" s="51">
        <v>0</v>
      </c>
      <c r="G17" s="51">
        <v>0</v>
      </c>
      <c r="H17" s="51" t="e">
        <f t="shared" si="1"/>
        <v>#DIV/0!</v>
      </c>
      <c r="I17" s="51" t="e">
        <f t="shared" si="2"/>
        <v>#DIV/0!</v>
      </c>
      <c r="J17" s="51">
        <f t="shared" si="4"/>
        <v>-7.5158454921875011</v>
      </c>
      <c r="K17" s="51" t="e">
        <f t="shared" si="3"/>
        <v>#DIV/0!</v>
      </c>
      <c r="L17" s="51">
        <v>0</v>
      </c>
      <c r="M17" s="51" t="str">
        <f t="shared" si="5"/>
        <v>-</v>
      </c>
      <c r="N17" s="51">
        <v>156</v>
      </c>
      <c r="O17" s="51">
        <f t="shared" ref="O17:P17" si="25">D17/7</f>
        <v>0</v>
      </c>
      <c r="P17" s="51">
        <f t="shared" si="25"/>
        <v>0</v>
      </c>
      <c r="Q17" s="51" t="e">
        <f t="shared" si="7"/>
        <v>#DIV/0!</v>
      </c>
      <c r="R17" s="55">
        <v>200</v>
      </c>
      <c r="S17" s="53" t="s">
        <v>34</v>
      </c>
      <c r="T17" s="54" t="s">
        <v>34</v>
      </c>
      <c r="U17" s="55">
        <v>0</v>
      </c>
      <c r="V17" s="55">
        <f t="shared" si="8"/>
        <v>0</v>
      </c>
      <c r="W17" s="55">
        <f t="shared" si="9"/>
        <v>0</v>
      </c>
      <c r="X17" s="55">
        <v>0</v>
      </c>
      <c r="Y17" s="55" t="s">
        <v>35</v>
      </c>
      <c r="Z17" s="56">
        <f t="shared" si="19"/>
        <v>-0.75</v>
      </c>
      <c r="AA17" s="55">
        <v>0.25695198263888891</v>
      </c>
      <c r="AB17" s="55">
        <f t="shared" si="11"/>
        <v>-7.5158454921875011</v>
      </c>
      <c r="AC17" s="55">
        <v>-7.32</v>
      </c>
      <c r="AD17" s="55">
        <v>-6.4803224358974356</v>
      </c>
      <c r="AE17" s="55">
        <v>0</v>
      </c>
      <c r="AF17" s="55"/>
    </row>
    <row r="18" spans="1:32" s="57" customFormat="1" ht="15.75" customHeight="1">
      <c r="A18" s="2" t="s">
        <v>69</v>
      </c>
      <c r="B18" s="2" t="s">
        <v>810</v>
      </c>
      <c r="C18" s="51">
        <v>18.27</v>
      </c>
      <c r="D18" s="51">
        <v>1</v>
      </c>
      <c r="E18" s="51">
        <v>0</v>
      </c>
      <c r="F18" s="51">
        <v>18.27</v>
      </c>
      <c r="G18" s="51">
        <v>0</v>
      </c>
      <c r="H18" s="51">
        <f t="shared" si="1"/>
        <v>0</v>
      </c>
      <c r="I18" s="51">
        <f t="shared" si="2"/>
        <v>6.3001401377398125E-2</v>
      </c>
      <c r="J18" s="51">
        <f t="shared" si="4"/>
        <v>1.1510356031650637</v>
      </c>
      <c r="K18" s="51">
        <f t="shared" si="3"/>
        <v>1.1510356031650637</v>
      </c>
      <c r="L18" s="51">
        <v>7</v>
      </c>
      <c r="M18" s="51">
        <f t="shared" si="5"/>
        <v>0.14285714285714285</v>
      </c>
      <c r="N18" s="51">
        <v>152</v>
      </c>
      <c r="O18" s="51">
        <f t="shared" ref="O18:P18" si="26">D18/7</f>
        <v>0.14285714285714285</v>
      </c>
      <c r="P18" s="51">
        <f t="shared" si="26"/>
        <v>0</v>
      </c>
      <c r="Q18" s="51">
        <f t="shared" si="7"/>
        <v>1064</v>
      </c>
      <c r="R18" s="55">
        <v>200</v>
      </c>
      <c r="S18" s="53" t="s">
        <v>34</v>
      </c>
      <c r="T18" s="54" t="s">
        <v>34</v>
      </c>
      <c r="U18" s="55">
        <v>0</v>
      </c>
      <c r="V18" s="55">
        <f t="shared" si="8"/>
        <v>0</v>
      </c>
      <c r="W18" s="55">
        <f t="shared" si="9"/>
        <v>0</v>
      </c>
      <c r="X18" s="55">
        <v>0</v>
      </c>
      <c r="Y18" s="55" t="s">
        <v>35</v>
      </c>
      <c r="Z18" s="56">
        <f t="shared" si="19"/>
        <v>-0.75</v>
      </c>
      <c r="AA18" s="55">
        <v>0.25695198263888891</v>
      </c>
      <c r="AB18" s="58">
        <f t="shared" ref="AB18:AB39" si="27">IFERROR(Z18*AA18*D18*3,0)</f>
        <v>-0.57814196093750003</v>
      </c>
      <c r="AC18" s="55">
        <v>-7.32</v>
      </c>
      <c r="AD18" s="55">
        <v>-6.4803224358974356</v>
      </c>
      <c r="AE18" s="55">
        <v>0</v>
      </c>
      <c r="AF18" s="55"/>
    </row>
    <row r="19" spans="1:32" s="57" customFormat="1" ht="15.75" customHeight="1">
      <c r="A19" s="2" t="s">
        <v>71</v>
      </c>
      <c r="B19" s="2"/>
      <c r="C19" s="51">
        <v>17</v>
      </c>
      <c r="D19" s="51">
        <v>4</v>
      </c>
      <c r="E19" s="51">
        <v>0</v>
      </c>
      <c r="F19" s="51">
        <v>54.019999999999996</v>
      </c>
      <c r="G19" s="51">
        <v>0</v>
      </c>
      <c r="H19" s="51">
        <f t="shared" si="1"/>
        <v>0</v>
      </c>
      <c r="I19" s="51">
        <f t="shared" si="2"/>
        <v>-0.21467711194631153</v>
      </c>
      <c r="J19" s="51">
        <f t="shared" si="4"/>
        <v>-11.596857587339748</v>
      </c>
      <c r="K19" s="51">
        <f t="shared" si="3"/>
        <v>-2.8992143968349371</v>
      </c>
      <c r="L19" s="51">
        <v>17</v>
      </c>
      <c r="M19" s="51">
        <f t="shared" si="5"/>
        <v>0.23529411764705882</v>
      </c>
      <c r="N19" s="51">
        <v>149</v>
      </c>
      <c r="O19" s="51">
        <f t="shared" ref="O19:P19" si="28">D19/7</f>
        <v>0.5714285714285714</v>
      </c>
      <c r="P19" s="51">
        <f t="shared" si="28"/>
        <v>0</v>
      </c>
      <c r="Q19" s="51">
        <f t="shared" si="7"/>
        <v>260</v>
      </c>
      <c r="R19" s="55">
        <v>200</v>
      </c>
      <c r="S19" s="53" t="s">
        <v>34</v>
      </c>
      <c r="T19" s="54" t="s">
        <v>34</v>
      </c>
      <c r="U19" s="55">
        <v>0</v>
      </c>
      <c r="V19" s="55">
        <f t="shared" si="8"/>
        <v>0</v>
      </c>
      <c r="W19" s="55">
        <f t="shared" si="9"/>
        <v>0</v>
      </c>
      <c r="X19" s="55">
        <v>0</v>
      </c>
      <c r="Y19" s="55" t="s">
        <v>35</v>
      </c>
      <c r="Z19" s="56">
        <f t="shared" si="19"/>
        <v>-0.75</v>
      </c>
      <c r="AA19" s="55">
        <v>0.25695198263888891</v>
      </c>
      <c r="AB19" s="55">
        <f t="shared" si="27"/>
        <v>-2.3125678437500001</v>
      </c>
      <c r="AC19" s="55">
        <v>-7.32</v>
      </c>
      <c r="AD19" s="55">
        <v>-6.4803224358974356</v>
      </c>
      <c r="AE19" s="55">
        <v>0</v>
      </c>
      <c r="AF19" s="55"/>
    </row>
    <row r="20" spans="1:32" s="57" customFormat="1" ht="15.75" customHeight="1">
      <c r="A20" s="2" t="s">
        <v>73</v>
      </c>
      <c r="B20" s="2" t="s">
        <v>1113</v>
      </c>
      <c r="C20" s="51">
        <v>17</v>
      </c>
      <c r="D20" s="51">
        <v>7</v>
      </c>
      <c r="E20" s="51">
        <v>0</v>
      </c>
      <c r="F20" s="51">
        <v>119</v>
      </c>
      <c r="G20" s="51">
        <v>-0.08</v>
      </c>
      <c r="H20" s="51">
        <f t="shared" si="1"/>
        <v>6.7226890756302523E-4</v>
      </c>
      <c r="I20" s="51">
        <f t="shared" si="2"/>
        <v>3.5357077492053825E-3</v>
      </c>
      <c r="J20" s="51">
        <f t="shared" si="4"/>
        <v>0.42074922215544053</v>
      </c>
      <c r="K20" s="51">
        <f t="shared" si="3"/>
        <v>6.0107031736491505E-2</v>
      </c>
      <c r="L20" s="51">
        <v>24</v>
      </c>
      <c r="M20" s="51">
        <f t="shared" si="5"/>
        <v>0.29166666666666669</v>
      </c>
      <c r="N20" s="51">
        <v>137</v>
      </c>
      <c r="O20" s="51">
        <f t="shared" ref="O20:P20" si="29">D20/7</f>
        <v>1</v>
      </c>
      <c r="P20" s="51">
        <f t="shared" si="29"/>
        <v>0</v>
      </c>
      <c r="Q20" s="51">
        <f t="shared" si="7"/>
        <v>137</v>
      </c>
      <c r="R20" s="55">
        <v>200</v>
      </c>
      <c r="S20" s="53" t="s">
        <v>34</v>
      </c>
      <c r="T20" s="54" t="s">
        <v>34</v>
      </c>
      <c r="U20" s="55">
        <v>0</v>
      </c>
      <c r="V20" s="55">
        <f t="shared" si="8"/>
        <v>0</v>
      </c>
      <c r="W20" s="55">
        <f t="shared" si="9"/>
        <v>0</v>
      </c>
      <c r="X20" s="55">
        <v>0</v>
      </c>
      <c r="Y20" s="55" t="s">
        <v>35</v>
      </c>
      <c r="Z20" s="56">
        <f t="shared" si="19"/>
        <v>-0.75</v>
      </c>
      <c r="AA20" s="55">
        <v>0.25695198263888891</v>
      </c>
      <c r="AB20" s="55">
        <f t="shared" si="27"/>
        <v>-4.0469937265625004</v>
      </c>
      <c r="AC20" s="55">
        <v>-7.32</v>
      </c>
      <c r="AD20" s="55">
        <v>-6.4803224358974356</v>
      </c>
      <c r="AE20" s="55">
        <v>0</v>
      </c>
      <c r="AF20" s="55"/>
    </row>
    <row r="21" spans="1:32" s="57" customFormat="1" ht="15.75" customHeight="1">
      <c r="A21" s="2" t="s">
        <v>75</v>
      </c>
      <c r="B21" s="2" t="s">
        <v>983</v>
      </c>
      <c r="C21" s="51">
        <v>18</v>
      </c>
      <c r="D21" s="51">
        <v>5</v>
      </c>
      <c r="E21" s="51">
        <v>0</v>
      </c>
      <c r="F21" s="51">
        <v>68</v>
      </c>
      <c r="G21" s="51">
        <v>-0.48000000000000004</v>
      </c>
      <c r="H21" s="51">
        <f t="shared" si="1"/>
        <v>7.058823529411765E-3</v>
      </c>
      <c r="I21" s="51">
        <f t="shared" si="2"/>
        <v>-0.2142988527084512</v>
      </c>
      <c r="J21" s="51">
        <f t="shared" si="4"/>
        <v>-14.572321984174682</v>
      </c>
      <c r="K21" s="51">
        <f t="shared" si="3"/>
        <v>-2.9144643968349362</v>
      </c>
      <c r="L21" s="51">
        <v>26</v>
      </c>
      <c r="M21" s="51">
        <f t="shared" si="5"/>
        <v>0.19230769230769232</v>
      </c>
      <c r="N21" s="51">
        <v>134</v>
      </c>
      <c r="O21" s="51">
        <f t="shared" ref="O21:P21" si="30">D21/7</f>
        <v>0.7142857142857143</v>
      </c>
      <c r="P21" s="51">
        <f t="shared" si="30"/>
        <v>0</v>
      </c>
      <c r="Q21" s="51">
        <f t="shared" si="7"/>
        <v>187</v>
      </c>
      <c r="R21" s="55">
        <v>200</v>
      </c>
      <c r="S21" s="53" t="s">
        <v>34</v>
      </c>
      <c r="T21" s="54" t="s">
        <v>34</v>
      </c>
      <c r="U21" s="55">
        <v>1</v>
      </c>
      <c r="V21" s="55">
        <f t="shared" si="8"/>
        <v>0.2</v>
      </c>
      <c r="W21" s="55">
        <f t="shared" si="9"/>
        <v>0.48000000000000004</v>
      </c>
      <c r="X21" s="55">
        <v>0</v>
      </c>
      <c r="Y21" s="55" t="s">
        <v>35</v>
      </c>
      <c r="Z21" s="56">
        <f t="shared" si="19"/>
        <v>-0.75</v>
      </c>
      <c r="AA21" s="55">
        <v>0.25695198263888891</v>
      </c>
      <c r="AB21" s="55">
        <f t="shared" si="27"/>
        <v>-2.8907098046875008</v>
      </c>
      <c r="AC21" s="55">
        <v>-7.32</v>
      </c>
      <c r="AD21" s="55">
        <v>-6.4803224358974356</v>
      </c>
      <c r="AE21" s="55">
        <v>0</v>
      </c>
      <c r="AF21" s="55"/>
    </row>
    <row r="22" spans="1:32" s="57" customFormat="1" ht="15.75" customHeight="1">
      <c r="A22" s="2" t="s">
        <v>77</v>
      </c>
      <c r="B22" s="2" t="s">
        <v>1114</v>
      </c>
      <c r="C22" s="51">
        <v>18</v>
      </c>
      <c r="D22" s="51">
        <v>14</v>
      </c>
      <c r="E22" s="51">
        <v>0</v>
      </c>
      <c r="F22" s="51">
        <v>247</v>
      </c>
      <c r="G22" s="51">
        <v>-0.39</v>
      </c>
      <c r="H22" s="51">
        <f t="shared" si="1"/>
        <v>1.5789473684210526E-3</v>
      </c>
      <c r="I22" s="51">
        <f t="shared" si="2"/>
        <v>3.3447362122716179E-2</v>
      </c>
      <c r="J22" s="51">
        <f t="shared" si="4"/>
        <v>8.261498444310897</v>
      </c>
      <c r="K22" s="51">
        <f t="shared" si="3"/>
        <v>0.59010703173649259</v>
      </c>
      <c r="L22" s="51">
        <v>32</v>
      </c>
      <c r="M22" s="51">
        <f t="shared" si="5"/>
        <v>0.4375</v>
      </c>
      <c r="N22" s="51">
        <v>115</v>
      </c>
      <c r="O22" s="51">
        <f t="shared" ref="O22:P22" si="31">D22/7</f>
        <v>2</v>
      </c>
      <c r="P22" s="51">
        <f t="shared" si="31"/>
        <v>0</v>
      </c>
      <c r="Q22" s="51">
        <f t="shared" si="7"/>
        <v>57</v>
      </c>
      <c r="R22" s="55">
        <v>200</v>
      </c>
      <c r="S22" s="53" t="s">
        <v>34</v>
      </c>
      <c r="T22" s="54" t="s">
        <v>34</v>
      </c>
      <c r="U22" s="55">
        <v>0</v>
      </c>
      <c r="V22" s="55">
        <f t="shared" si="8"/>
        <v>0</v>
      </c>
      <c r="W22" s="55">
        <f t="shared" si="9"/>
        <v>0</v>
      </c>
      <c r="X22" s="55">
        <v>0</v>
      </c>
      <c r="Y22" s="55" t="s">
        <v>35</v>
      </c>
      <c r="Z22" s="56">
        <f t="shared" si="19"/>
        <v>-0.75</v>
      </c>
      <c r="AA22" s="55">
        <v>0.25695198263888891</v>
      </c>
      <c r="AB22" s="55">
        <f t="shared" si="27"/>
        <v>-8.0939874531250009</v>
      </c>
      <c r="AC22" s="55">
        <v>-7.32</v>
      </c>
      <c r="AD22" s="55">
        <v>-6.4803224358974356</v>
      </c>
      <c r="AE22" s="55">
        <v>0</v>
      </c>
      <c r="AF22" s="55"/>
    </row>
    <row r="23" spans="1:32" s="57" customFormat="1" ht="15.75" customHeight="1">
      <c r="A23" s="2" t="s">
        <v>79</v>
      </c>
      <c r="B23" s="2"/>
      <c r="C23" s="51">
        <v>19</v>
      </c>
      <c r="D23" s="51">
        <v>15</v>
      </c>
      <c r="E23" s="51">
        <v>0</v>
      </c>
      <c r="F23" s="51">
        <v>254</v>
      </c>
      <c r="G23" s="51">
        <v>-0.2</v>
      </c>
      <c r="H23" s="51">
        <f t="shared" si="1"/>
        <v>7.874015748031497E-4</v>
      </c>
      <c r="I23" s="51">
        <f t="shared" si="2"/>
        <v>9.068522628334226E-5</v>
      </c>
      <c r="J23" s="51">
        <f t="shared" si="4"/>
        <v>2.3034047475968933E-2</v>
      </c>
      <c r="K23" s="51">
        <f t="shared" si="3"/>
        <v>1.5356031650645954E-3</v>
      </c>
      <c r="L23" s="51">
        <v>25</v>
      </c>
      <c r="M23" s="51">
        <f t="shared" si="5"/>
        <v>0.6</v>
      </c>
      <c r="N23" s="51">
        <v>107</v>
      </c>
      <c r="O23" s="51">
        <f t="shared" ref="O23:P23" si="32">D23/7</f>
        <v>2.1428571428571428</v>
      </c>
      <c r="P23" s="51">
        <f t="shared" si="32"/>
        <v>0</v>
      </c>
      <c r="Q23" s="51">
        <f t="shared" si="7"/>
        <v>49</v>
      </c>
      <c r="R23" s="55">
        <v>200</v>
      </c>
      <c r="S23" s="53" t="s">
        <v>34</v>
      </c>
      <c r="T23" s="54" t="s">
        <v>34</v>
      </c>
      <c r="U23" s="55">
        <v>0</v>
      </c>
      <c r="V23" s="55">
        <f t="shared" si="8"/>
        <v>0</v>
      </c>
      <c r="W23" s="55">
        <f t="shared" si="9"/>
        <v>0</v>
      </c>
      <c r="X23" s="55">
        <v>0</v>
      </c>
      <c r="Y23" s="55" t="s">
        <v>35</v>
      </c>
      <c r="Z23" s="56">
        <f t="shared" si="19"/>
        <v>-0.75</v>
      </c>
      <c r="AA23" s="55">
        <v>0.25695198263888891</v>
      </c>
      <c r="AB23" s="55">
        <f t="shared" si="27"/>
        <v>-8.6721294140625016</v>
      </c>
      <c r="AC23" s="55">
        <v>-7.32</v>
      </c>
      <c r="AD23" s="55">
        <v>-6.4803224358974356</v>
      </c>
      <c r="AE23" s="55">
        <v>0</v>
      </c>
      <c r="AF23" s="55"/>
    </row>
    <row r="24" spans="1:32" s="57" customFormat="1" ht="15.75" customHeight="1">
      <c r="A24" s="2" t="s">
        <v>80</v>
      </c>
      <c r="B24" s="2" t="s">
        <v>994</v>
      </c>
      <c r="C24" s="51">
        <v>19</v>
      </c>
      <c r="D24" s="51">
        <v>37</v>
      </c>
      <c r="E24" s="51">
        <v>0</v>
      </c>
      <c r="F24" s="51">
        <v>705.1400000000001</v>
      </c>
      <c r="G24" s="51">
        <v>-1.21</v>
      </c>
      <c r="H24" s="51">
        <f t="shared" si="1"/>
        <v>1.7159712964801314E-3</v>
      </c>
      <c r="I24" s="51">
        <f t="shared" si="2"/>
        <v>9.3819407943255745E-2</v>
      </c>
      <c r="J24" s="51">
        <f t="shared" si="4"/>
        <v>66.155817317107363</v>
      </c>
      <c r="K24" s="51">
        <f t="shared" si="3"/>
        <v>1.7879950626245233</v>
      </c>
      <c r="L24" s="51">
        <v>80</v>
      </c>
      <c r="M24" s="51">
        <f t="shared" si="5"/>
        <v>0.46250000000000002</v>
      </c>
      <c r="N24" s="51">
        <v>20</v>
      </c>
      <c r="O24" s="51">
        <f t="shared" ref="O24:P24" si="33">D24/7</f>
        <v>5.2857142857142856</v>
      </c>
      <c r="P24" s="51">
        <f t="shared" si="33"/>
        <v>0</v>
      </c>
      <c r="Q24" s="51">
        <f t="shared" si="7"/>
        <v>3</v>
      </c>
      <c r="R24" s="55">
        <v>200</v>
      </c>
      <c r="S24" s="53" t="s">
        <v>34</v>
      </c>
      <c r="T24" s="54" t="s">
        <v>34</v>
      </c>
      <c r="U24" s="55">
        <v>6</v>
      </c>
      <c r="V24" s="55">
        <f t="shared" si="8"/>
        <v>0.16216216216216217</v>
      </c>
      <c r="W24" s="55">
        <f t="shared" si="9"/>
        <v>0.20166666666666666</v>
      </c>
      <c r="X24" s="55">
        <v>0</v>
      </c>
      <c r="Y24" s="55" t="s">
        <v>35</v>
      </c>
      <c r="Z24" s="56">
        <f t="shared" si="19"/>
        <v>-0.75</v>
      </c>
      <c r="AA24" s="55">
        <v>0.25695198263888891</v>
      </c>
      <c r="AB24" s="55">
        <f t="shared" si="27"/>
        <v>-21.391252554687505</v>
      </c>
      <c r="AC24" s="55">
        <v>-7.32</v>
      </c>
      <c r="AD24" s="55">
        <v>-6.4803224358974356</v>
      </c>
      <c r="AE24" s="55">
        <v>0</v>
      </c>
      <c r="AF24" s="55"/>
    </row>
    <row r="25" spans="1:32" s="57" customFormat="1" ht="15.75" customHeight="1">
      <c r="A25" s="2" t="s">
        <v>81</v>
      </c>
      <c r="B25" s="2" t="s">
        <v>46</v>
      </c>
      <c r="C25" s="51"/>
      <c r="D25" s="51">
        <v>55</v>
      </c>
      <c r="E25" s="51">
        <v>0</v>
      </c>
      <c r="F25" s="51">
        <v>1057.99</v>
      </c>
      <c r="G25" s="51">
        <v>-3.09</v>
      </c>
      <c r="H25" s="51">
        <f t="shared" si="1"/>
        <v>2.920632520156145E-3</v>
      </c>
      <c r="I25" s="51">
        <f t="shared" si="2"/>
        <v>9.9609597608747158E-2</v>
      </c>
      <c r="J25" s="51">
        <f t="shared" si="4"/>
        <v>105.38595817407841</v>
      </c>
      <c r="K25" s="51">
        <f t="shared" si="3"/>
        <v>1.9161083304377893</v>
      </c>
      <c r="L25" s="51">
        <v>81</v>
      </c>
      <c r="M25" s="51">
        <f t="shared" si="5"/>
        <v>0.67901234567901236</v>
      </c>
      <c r="N25" s="51">
        <v>3</v>
      </c>
      <c r="O25" s="51">
        <f t="shared" ref="O25:P25" si="34">D25/7</f>
        <v>7.8571428571428568</v>
      </c>
      <c r="P25" s="51">
        <f t="shared" si="34"/>
        <v>0</v>
      </c>
      <c r="Q25" s="51">
        <f t="shared" si="7"/>
        <v>0</v>
      </c>
      <c r="R25" s="55">
        <v>200</v>
      </c>
      <c r="S25" s="53" t="s">
        <v>34</v>
      </c>
      <c r="T25" s="54" t="s">
        <v>34</v>
      </c>
      <c r="U25" s="55">
        <v>7</v>
      </c>
      <c r="V25" s="55">
        <f t="shared" si="8"/>
        <v>0.12727272727272726</v>
      </c>
      <c r="W25" s="55">
        <f t="shared" si="9"/>
        <v>0.28090909090909089</v>
      </c>
      <c r="X25" s="55">
        <v>4</v>
      </c>
      <c r="Y25" s="55" t="s">
        <v>35</v>
      </c>
      <c r="Z25" s="56">
        <f t="shared" si="19"/>
        <v>-0.75</v>
      </c>
      <c r="AA25" s="55">
        <v>0.25695198263888891</v>
      </c>
      <c r="AB25" s="55">
        <f t="shared" si="27"/>
        <v>-31.797807851562503</v>
      </c>
      <c r="AC25" s="55">
        <v>-7.32</v>
      </c>
      <c r="AD25" s="55">
        <v>-6.4803224358974356</v>
      </c>
      <c r="AE25" s="55">
        <v>0</v>
      </c>
      <c r="AF25" s="55"/>
    </row>
    <row r="26" spans="1:32" s="57" customFormat="1" ht="15.75" customHeight="1">
      <c r="A26" s="2" t="s">
        <v>83</v>
      </c>
      <c r="B26" s="2"/>
      <c r="C26" s="51">
        <f t="shared" ref="C26:C39" si="35">IFERROR(F26/D26," - ")</f>
        <v>19.22</v>
      </c>
      <c r="D26" s="51">
        <v>4</v>
      </c>
      <c r="E26" s="51">
        <v>0</v>
      </c>
      <c r="F26" s="51">
        <v>76.88</v>
      </c>
      <c r="G26" s="51">
        <v>0</v>
      </c>
      <c r="H26" s="51">
        <f t="shared" si="1"/>
        <v>0</v>
      </c>
      <c r="I26" s="51">
        <f t="shared" si="2"/>
        <v>0.10190091587747475</v>
      </c>
      <c r="J26" s="51">
        <f t="shared" si="4"/>
        <v>7.8341424126602588</v>
      </c>
      <c r="K26" s="51">
        <f t="shared" si="3"/>
        <v>1.9585356031650647</v>
      </c>
      <c r="L26" s="51">
        <v>0</v>
      </c>
      <c r="M26" s="51" t="str">
        <f t="shared" si="5"/>
        <v>-</v>
      </c>
      <c r="N26" s="51">
        <v>0</v>
      </c>
      <c r="O26" s="51">
        <f t="shared" ref="O26:P26" si="36">D26/7</f>
        <v>0.5714285714285714</v>
      </c>
      <c r="P26" s="51">
        <f t="shared" si="36"/>
        <v>0</v>
      </c>
      <c r="Q26" s="51">
        <f t="shared" si="7"/>
        <v>0</v>
      </c>
      <c r="R26" s="55">
        <v>200</v>
      </c>
      <c r="S26" s="53" t="s">
        <v>34</v>
      </c>
      <c r="T26" s="54" t="s">
        <v>34</v>
      </c>
      <c r="U26" s="55">
        <v>0</v>
      </c>
      <c r="V26" s="55">
        <f t="shared" si="8"/>
        <v>0</v>
      </c>
      <c r="W26" s="55">
        <f t="shared" si="9"/>
        <v>0</v>
      </c>
      <c r="X26" s="55">
        <v>0</v>
      </c>
      <c r="Y26" s="55" t="s">
        <v>35</v>
      </c>
      <c r="Z26" s="56">
        <f t="shared" si="19"/>
        <v>-0.75</v>
      </c>
      <c r="AA26" s="55">
        <v>0.25695198263888891</v>
      </c>
      <c r="AB26" s="55">
        <f t="shared" si="27"/>
        <v>-2.3125678437500001</v>
      </c>
      <c r="AC26" s="55">
        <v>-7.32</v>
      </c>
      <c r="AD26" s="55">
        <v>-6.4803224358974356</v>
      </c>
      <c r="AE26" s="55">
        <v>0</v>
      </c>
      <c r="AF26" s="55"/>
    </row>
    <row r="27" spans="1:32" s="57" customFormat="1" ht="15.75" customHeight="1">
      <c r="A27" s="2" t="s">
        <v>84</v>
      </c>
      <c r="B27" s="2"/>
      <c r="C27" s="51" t="str">
        <f t="shared" si="35"/>
        <v xml:space="preserve"> - </v>
      </c>
      <c r="D27" s="51">
        <v>0</v>
      </c>
      <c r="E27" s="51">
        <v>0</v>
      </c>
      <c r="F27" s="51">
        <v>0</v>
      </c>
      <c r="G27" s="51">
        <v>0</v>
      </c>
      <c r="H27" s="51" t="e">
        <f t="shared" si="1"/>
        <v>#DIV/0!</v>
      </c>
      <c r="I27" s="51" t="e">
        <f t="shared" si="2"/>
        <v>#DIV/0!</v>
      </c>
      <c r="J27" s="51">
        <f t="shared" si="4"/>
        <v>0</v>
      </c>
      <c r="K27" s="51" t="e">
        <f t="shared" si="3"/>
        <v>#DIV/0!</v>
      </c>
      <c r="L27" s="51">
        <v>0</v>
      </c>
      <c r="M27" s="51" t="str">
        <f t="shared" si="5"/>
        <v>-</v>
      </c>
      <c r="N27" s="51">
        <v>0</v>
      </c>
      <c r="O27" s="51">
        <f t="shared" ref="O27:P27" si="37">D27/7</f>
        <v>0</v>
      </c>
      <c r="P27" s="51">
        <f t="shared" si="37"/>
        <v>0</v>
      </c>
      <c r="Q27" s="51" t="e">
        <f t="shared" si="7"/>
        <v>#DIV/0!</v>
      </c>
      <c r="R27" s="55">
        <v>200</v>
      </c>
      <c r="S27" s="53" t="s">
        <v>34</v>
      </c>
      <c r="T27" s="54" t="s">
        <v>34</v>
      </c>
      <c r="U27" s="55">
        <v>0</v>
      </c>
      <c r="V27" s="55">
        <f t="shared" si="8"/>
        <v>0</v>
      </c>
      <c r="W27" s="55">
        <f t="shared" si="9"/>
        <v>0</v>
      </c>
      <c r="X27" s="55">
        <v>0</v>
      </c>
      <c r="Y27" s="55" t="e">
        <v>#N/A</v>
      </c>
      <c r="Z27" s="56" t="e">
        <f t="shared" si="19"/>
        <v>#N/A</v>
      </c>
      <c r="AA27" s="55" t="e">
        <v>#N/A</v>
      </c>
      <c r="AB27" s="55">
        <f t="shared" si="27"/>
        <v>0</v>
      </c>
      <c r="AC27" s="55">
        <v>0</v>
      </c>
      <c r="AD27" s="55">
        <v>-6.4803224358974356</v>
      </c>
      <c r="AE27" s="55">
        <v>0</v>
      </c>
      <c r="AF27" s="55"/>
    </row>
    <row r="28" spans="1:32" s="57" customFormat="1" ht="15.75" customHeight="1">
      <c r="A28" s="2" t="s">
        <v>86</v>
      </c>
      <c r="B28" s="2"/>
      <c r="C28" s="51" t="str">
        <f t="shared" si="35"/>
        <v xml:space="preserve"> - </v>
      </c>
      <c r="D28" s="51">
        <v>0</v>
      </c>
      <c r="E28" s="51">
        <v>0</v>
      </c>
      <c r="F28" s="51">
        <v>0</v>
      </c>
      <c r="G28" s="51">
        <v>0</v>
      </c>
      <c r="H28" s="51" t="e">
        <f t="shared" si="1"/>
        <v>#DIV/0!</v>
      </c>
      <c r="I28" s="51" t="e">
        <f t="shared" si="2"/>
        <v>#DIV/0!</v>
      </c>
      <c r="J28" s="51">
        <f t="shared" si="4"/>
        <v>0</v>
      </c>
      <c r="K28" s="51" t="e">
        <f t="shared" si="3"/>
        <v>#DIV/0!</v>
      </c>
      <c r="L28" s="51">
        <v>0</v>
      </c>
      <c r="M28" s="51" t="str">
        <f t="shared" si="5"/>
        <v>-</v>
      </c>
      <c r="N28" s="51">
        <v>0</v>
      </c>
      <c r="O28" s="51">
        <f t="shared" ref="O28:P28" si="38">D28/7</f>
        <v>0</v>
      </c>
      <c r="P28" s="51">
        <f t="shared" si="38"/>
        <v>0</v>
      </c>
      <c r="Q28" s="51" t="e">
        <f t="shared" si="7"/>
        <v>#DIV/0!</v>
      </c>
      <c r="R28" s="55">
        <v>200</v>
      </c>
      <c r="S28" s="53" t="s">
        <v>34</v>
      </c>
      <c r="T28" s="54" t="s">
        <v>34</v>
      </c>
      <c r="U28" s="55">
        <v>0</v>
      </c>
      <c r="V28" s="55">
        <f t="shared" si="8"/>
        <v>0</v>
      </c>
      <c r="W28" s="55">
        <f t="shared" si="9"/>
        <v>0</v>
      </c>
      <c r="X28" s="55">
        <v>0</v>
      </c>
      <c r="Y28" s="55" t="e">
        <v>#N/A</v>
      </c>
      <c r="Z28" s="56" t="e">
        <f t="shared" si="19"/>
        <v>#N/A</v>
      </c>
      <c r="AA28" s="55" t="e">
        <v>#N/A</v>
      </c>
      <c r="AB28" s="55">
        <f t="shared" si="27"/>
        <v>0</v>
      </c>
      <c r="AC28" s="55">
        <v>0</v>
      </c>
      <c r="AD28" s="55">
        <v>-6.4803224358974356</v>
      </c>
      <c r="AE28" s="55">
        <v>0</v>
      </c>
      <c r="AF28" s="55"/>
    </row>
    <row r="29" spans="1:32" s="57" customFormat="1" ht="15.75" customHeight="1">
      <c r="A29" s="2" t="s">
        <v>87</v>
      </c>
      <c r="B29" s="2"/>
      <c r="C29" s="51" t="str">
        <f t="shared" si="35"/>
        <v xml:space="preserve"> - </v>
      </c>
      <c r="D29" s="51">
        <v>0</v>
      </c>
      <c r="E29" s="51">
        <v>0</v>
      </c>
      <c r="F29" s="51">
        <v>0</v>
      </c>
      <c r="G29" s="51">
        <v>0</v>
      </c>
      <c r="H29" s="51" t="e">
        <f t="shared" si="1"/>
        <v>#DIV/0!</v>
      </c>
      <c r="I29" s="51" t="e">
        <f t="shared" si="2"/>
        <v>#DIV/0!</v>
      </c>
      <c r="J29" s="51">
        <f t="shared" si="4"/>
        <v>0</v>
      </c>
      <c r="K29" s="51" t="e">
        <f t="shared" si="3"/>
        <v>#DIV/0!</v>
      </c>
      <c r="L29" s="51">
        <v>0</v>
      </c>
      <c r="M29" s="51" t="str">
        <f t="shared" si="5"/>
        <v>-</v>
      </c>
      <c r="N29" s="51">
        <v>0</v>
      </c>
      <c r="O29" s="51">
        <f t="shared" ref="O29:P29" si="39">D29/7</f>
        <v>0</v>
      </c>
      <c r="P29" s="51">
        <f t="shared" si="39"/>
        <v>0</v>
      </c>
      <c r="Q29" s="51" t="e">
        <f t="shared" si="7"/>
        <v>#DIV/0!</v>
      </c>
      <c r="R29" s="55">
        <v>200</v>
      </c>
      <c r="S29" s="53" t="s">
        <v>34</v>
      </c>
      <c r="T29" s="54" t="s">
        <v>34</v>
      </c>
      <c r="U29" s="55">
        <v>0</v>
      </c>
      <c r="V29" s="55">
        <f t="shared" si="8"/>
        <v>0</v>
      </c>
      <c r="W29" s="55">
        <f t="shared" si="9"/>
        <v>0</v>
      </c>
      <c r="X29" s="55">
        <v>0</v>
      </c>
      <c r="Y29" s="55" t="e">
        <v>#N/A</v>
      </c>
      <c r="Z29" s="56" t="e">
        <f t="shared" si="19"/>
        <v>#N/A</v>
      </c>
      <c r="AA29" s="55" t="e">
        <v>#N/A</v>
      </c>
      <c r="AB29" s="55">
        <f t="shared" si="27"/>
        <v>0</v>
      </c>
      <c r="AC29" s="55">
        <v>0</v>
      </c>
      <c r="AD29" s="55">
        <v>-6.4803224358974356</v>
      </c>
      <c r="AE29" s="55">
        <v>0</v>
      </c>
      <c r="AF29" s="55"/>
    </row>
    <row r="30" spans="1:32" s="57" customFormat="1" ht="15.75" customHeight="1">
      <c r="A30" s="2" t="s">
        <v>89</v>
      </c>
      <c r="B30" s="2"/>
      <c r="C30" s="51" t="str">
        <f t="shared" si="35"/>
        <v xml:space="preserve"> - </v>
      </c>
      <c r="D30" s="51">
        <v>0</v>
      </c>
      <c r="E30" s="51">
        <v>0</v>
      </c>
      <c r="F30" s="51">
        <v>0</v>
      </c>
      <c r="G30" s="51">
        <v>0</v>
      </c>
      <c r="H30" s="51" t="e">
        <f t="shared" si="1"/>
        <v>#DIV/0!</v>
      </c>
      <c r="I30" s="51" t="e">
        <f t="shared" si="2"/>
        <v>#DIV/0!</v>
      </c>
      <c r="J30" s="51">
        <f t="shared" si="4"/>
        <v>0</v>
      </c>
      <c r="K30" s="51" t="e">
        <f t="shared" si="3"/>
        <v>#DIV/0!</v>
      </c>
      <c r="L30" s="51">
        <v>0</v>
      </c>
      <c r="M30" s="51" t="str">
        <f t="shared" si="5"/>
        <v>-</v>
      </c>
      <c r="N30" s="51">
        <v>0</v>
      </c>
      <c r="O30" s="51">
        <f t="shared" ref="O30:P30" si="40">D30/7</f>
        <v>0</v>
      </c>
      <c r="P30" s="51">
        <f t="shared" si="40"/>
        <v>0</v>
      </c>
      <c r="Q30" s="51" t="e">
        <f t="shared" si="7"/>
        <v>#DIV/0!</v>
      </c>
      <c r="R30" s="55">
        <v>340</v>
      </c>
      <c r="S30" s="53">
        <v>140</v>
      </c>
      <c r="T30" s="54">
        <v>44058</v>
      </c>
      <c r="U30" s="55">
        <v>0</v>
      </c>
      <c r="V30" s="55">
        <f t="shared" si="8"/>
        <v>0</v>
      </c>
      <c r="W30" s="55">
        <f t="shared" si="9"/>
        <v>0</v>
      </c>
      <c r="X30" s="55">
        <v>0</v>
      </c>
      <c r="Y30" s="55" t="e">
        <v>#N/A</v>
      </c>
      <c r="Z30" s="56" t="e">
        <f t="shared" si="19"/>
        <v>#N/A</v>
      </c>
      <c r="AA30" s="55" t="e">
        <v>#N/A</v>
      </c>
      <c r="AB30" s="55">
        <f t="shared" si="27"/>
        <v>0</v>
      </c>
      <c r="AC30" s="55">
        <v>0</v>
      </c>
      <c r="AD30" s="55">
        <v>-6.4803224358974356</v>
      </c>
      <c r="AE30" s="55">
        <v>0</v>
      </c>
      <c r="AF30" s="55"/>
    </row>
    <row r="31" spans="1:32" s="57" customFormat="1" ht="15.75" customHeight="1">
      <c r="A31" s="2" t="s">
        <v>90</v>
      </c>
      <c r="B31" s="2"/>
      <c r="C31" s="51" t="str">
        <f t="shared" si="35"/>
        <v xml:space="preserve"> - </v>
      </c>
      <c r="D31" s="51">
        <v>0</v>
      </c>
      <c r="E31" s="51">
        <v>0</v>
      </c>
      <c r="F31" s="51">
        <v>0</v>
      </c>
      <c r="G31" s="51">
        <v>0</v>
      </c>
      <c r="H31" s="51" t="e">
        <f t="shared" si="1"/>
        <v>#DIV/0!</v>
      </c>
      <c r="I31" s="51" t="e">
        <f t="shared" si="2"/>
        <v>#DIV/0!</v>
      </c>
      <c r="J31" s="51">
        <f t="shared" si="4"/>
        <v>0</v>
      </c>
      <c r="K31" s="51" t="e">
        <f t="shared" si="3"/>
        <v>#DIV/0!</v>
      </c>
      <c r="L31" s="51">
        <v>0</v>
      </c>
      <c r="M31" s="51" t="str">
        <f t="shared" si="5"/>
        <v>-</v>
      </c>
      <c r="N31" s="51">
        <v>0</v>
      </c>
      <c r="O31" s="51">
        <f t="shared" ref="O31:P31" si="41">D31/7</f>
        <v>0</v>
      </c>
      <c r="P31" s="51">
        <f t="shared" si="41"/>
        <v>0</v>
      </c>
      <c r="Q31" s="51" t="e">
        <f t="shared" si="7"/>
        <v>#DIV/0!</v>
      </c>
      <c r="R31" s="55">
        <v>200</v>
      </c>
      <c r="S31" s="53">
        <v>140</v>
      </c>
      <c r="T31" s="54">
        <v>44058</v>
      </c>
      <c r="U31" s="55">
        <v>0</v>
      </c>
      <c r="V31" s="55">
        <f t="shared" si="8"/>
        <v>0</v>
      </c>
      <c r="W31" s="55">
        <f t="shared" si="9"/>
        <v>0</v>
      </c>
      <c r="X31" s="55">
        <v>0</v>
      </c>
      <c r="Y31" s="55" t="e">
        <v>#N/A</v>
      </c>
      <c r="Z31" s="56" t="e">
        <f t="shared" si="19"/>
        <v>#N/A</v>
      </c>
      <c r="AA31" s="55" t="e">
        <v>#N/A</v>
      </c>
      <c r="AB31" s="55">
        <f t="shared" si="27"/>
        <v>0</v>
      </c>
      <c r="AC31" s="55">
        <v>0</v>
      </c>
      <c r="AD31" s="55">
        <v>-6.4803224358974356</v>
      </c>
      <c r="AE31" s="55">
        <v>0</v>
      </c>
      <c r="AF31" s="55"/>
    </row>
    <row r="32" spans="1:32" s="57" customFormat="1" ht="15.75" customHeight="1">
      <c r="A32" s="2" t="s">
        <v>92</v>
      </c>
      <c r="B32" s="2"/>
      <c r="C32" s="51" t="str">
        <f t="shared" si="35"/>
        <v xml:space="preserve"> - </v>
      </c>
      <c r="D32" s="51">
        <v>0</v>
      </c>
      <c r="E32" s="51">
        <v>0</v>
      </c>
      <c r="F32" s="51">
        <v>0</v>
      </c>
      <c r="G32" s="51">
        <v>0</v>
      </c>
      <c r="H32" s="51" t="e">
        <f t="shared" si="1"/>
        <v>#DIV/0!</v>
      </c>
      <c r="I32" s="51" t="e">
        <f t="shared" si="2"/>
        <v>#DIV/0!</v>
      </c>
      <c r="J32" s="51">
        <f t="shared" si="4"/>
        <v>0</v>
      </c>
      <c r="K32" s="51" t="e">
        <f t="shared" si="3"/>
        <v>#DIV/0!</v>
      </c>
      <c r="L32" s="51">
        <v>0</v>
      </c>
      <c r="M32" s="51" t="str">
        <f t="shared" si="5"/>
        <v>-</v>
      </c>
      <c r="N32" s="51">
        <v>0</v>
      </c>
      <c r="O32" s="51">
        <f t="shared" ref="O32:P32" si="42">D32/7</f>
        <v>0</v>
      </c>
      <c r="P32" s="51">
        <f t="shared" si="42"/>
        <v>0</v>
      </c>
      <c r="Q32" s="51" t="e">
        <f t="shared" si="7"/>
        <v>#DIV/0!</v>
      </c>
      <c r="R32" s="55">
        <v>200</v>
      </c>
      <c r="S32" s="53">
        <v>140</v>
      </c>
      <c r="T32" s="54" t="s">
        <v>34</v>
      </c>
      <c r="U32" s="55">
        <v>0</v>
      </c>
      <c r="V32" s="55">
        <f t="shared" si="8"/>
        <v>0</v>
      </c>
      <c r="W32" s="55">
        <f t="shared" si="9"/>
        <v>0</v>
      </c>
      <c r="X32" s="55">
        <v>0</v>
      </c>
      <c r="Y32" s="55" t="e">
        <v>#N/A</v>
      </c>
      <c r="Z32" s="56" t="e">
        <f t="shared" si="19"/>
        <v>#N/A</v>
      </c>
      <c r="AA32" s="55" t="e">
        <v>#N/A</v>
      </c>
      <c r="AB32" s="55">
        <f t="shared" si="27"/>
        <v>0</v>
      </c>
      <c r="AC32" s="55">
        <v>0</v>
      </c>
      <c r="AD32" s="55">
        <v>-6.4803224358974356</v>
      </c>
      <c r="AE32" s="55">
        <v>0</v>
      </c>
      <c r="AF32" s="52">
        <v>1.98529411764705</v>
      </c>
    </row>
    <row r="33" spans="1:32" s="57" customFormat="1" ht="15.75" customHeight="1">
      <c r="A33" s="2" t="s">
        <v>94</v>
      </c>
      <c r="B33" s="2"/>
      <c r="C33" s="51">
        <f t="shared" si="35"/>
        <v>21</v>
      </c>
      <c r="D33" s="51">
        <v>1</v>
      </c>
      <c r="E33" s="51">
        <v>0</v>
      </c>
      <c r="F33" s="51">
        <v>21</v>
      </c>
      <c r="G33" s="51">
        <v>-0.32</v>
      </c>
      <c r="H33" s="51">
        <f t="shared" si="1"/>
        <v>1.5238095238095238E-2</v>
      </c>
      <c r="I33" s="51">
        <f t="shared" si="2"/>
        <v>0.15007312396024108</v>
      </c>
      <c r="J33" s="51">
        <f t="shared" si="4"/>
        <v>3.1515356031650628</v>
      </c>
      <c r="K33" s="51">
        <f t="shared" si="3"/>
        <v>3.1515356031650628</v>
      </c>
      <c r="L33" s="51">
        <v>1</v>
      </c>
      <c r="M33" s="51">
        <f t="shared" si="5"/>
        <v>1</v>
      </c>
      <c r="N33" s="51">
        <v>0</v>
      </c>
      <c r="O33" s="51">
        <f t="shared" ref="O33:P33" si="43">D33/7</f>
        <v>0.14285714285714285</v>
      </c>
      <c r="P33" s="51">
        <f t="shared" si="43"/>
        <v>0</v>
      </c>
      <c r="Q33" s="51">
        <f t="shared" si="7"/>
        <v>0</v>
      </c>
      <c r="R33" s="55">
        <v>200</v>
      </c>
      <c r="S33" s="53">
        <v>140</v>
      </c>
      <c r="T33" s="54">
        <v>44058</v>
      </c>
      <c r="U33" s="55">
        <v>1</v>
      </c>
      <c r="V33" s="55">
        <f t="shared" si="8"/>
        <v>1</v>
      </c>
      <c r="W33" s="55">
        <f t="shared" si="9"/>
        <v>0.32</v>
      </c>
      <c r="X33" s="55">
        <v>0</v>
      </c>
      <c r="Y33" s="55" t="s">
        <v>35</v>
      </c>
      <c r="Z33" s="56">
        <f t="shared" si="19"/>
        <v>-0.75</v>
      </c>
      <c r="AA33" s="55">
        <v>0.25695198263888891</v>
      </c>
      <c r="AB33" s="55">
        <f t="shared" si="27"/>
        <v>-0.57814196093750003</v>
      </c>
      <c r="AC33" s="55">
        <v>-7.32</v>
      </c>
      <c r="AD33" s="55">
        <v>-6.4803224358974356</v>
      </c>
      <c r="AE33" s="55">
        <v>0</v>
      </c>
      <c r="AF33" s="55">
        <v>2.2707423580785999</v>
      </c>
    </row>
    <row r="34" spans="1:32" s="57" customFormat="1" ht="15.75" customHeight="1">
      <c r="A34" s="2" t="s">
        <v>95</v>
      </c>
      <c r="B34" s="2"/>
      <c r="C34" s="51" t="str">
        <f t="shared" si="35"/>
        <v xml:space="preserve"> - </v>
      </c>
      <c r="D34" s="51">
        <v>0</v>
      </c>
      <c r="E34" s="51">
        <v>0</v>
      </c>
      <c r="F34" s="51">
        <v>0</v>
      </c>
      <c r="G34" s="51">
        <v>0</v>
      </c>
      <c r="H34" s="51" t="e">
        <f t="shared" si="1"/>
        <v>#DIV/0!</v>
      </c>
      <c r="I34" s="51" t="e">
        <f t="shared" si="2"/>
        <v>#DIV/0!</v>
      </c>
      <c r="J34" s="51">
        <f t="shared" si="4"/>
        <v>0</v>
      </c>
      <c r="K34" s="51" t="e">
        <f t="shared" si="3"/>
        <v>#DIV/0!</v>
      </c>
      <c r="L34" s="51">
        <v>0</v>
      </c>
      <c r="M34" s="51" t="str">
        <f t="shared" si="5"/>
        <v>-</v>
      </c>
      <c r="N34" s="51">
        <v>0</v>
      </c>
      <c r="O34" s="51">
        <f t="shared" ref="O34:P34" si="44">D34/7</f>
        <v>0</v>
      </c>
      <c r="P34" s="51">
        <f t="shared" si="44"/>
        <v>0</v>
      </c>
      <c r="Q34" s="51" t="e">
        <f t="shared" si="7"/>
        <v>#DIV/0!</v>
      </c>
      <c r="R34" s="55">
        <v>200</v>
      </c>
      <c r="S34" s="53">
        <v>140</v>
      </c>
      <c r="T34" s="54">
        <v>44058</v>
      </c>
      <c r="U34" s="55">
        <v>0</v>
      </c>
      <c r="V34" s="55">
        <f t="shared" si="8"/>
        <v>0</v>
      </c>
      <c r="W34" s="55">
        <f t="shared" si="9"/>
        <v>0</v>
      </c>
      <c r="X34" s="55">
        <v>0</v>
      </c>
      <c r="Y34" s="55" t="e">
        <v>#N/A</v>
      </c>
      <c r="Z34" s="56" t="e">
        <f t="shared" si="19"/>
        <v>#N/A</v>
      </c>
      <c r="AA34" s="55" t="e">
        <v>#N/A</v>
      </c>
      <c r="AB34" s="55">
        <f t="shared" si="27"/>
        <v>0</v>
      </c>
      <c r="AC34" s="55">
        <v>0</v>
      </c>
      <c r="AD34" s="55">
        <v>-6.4803224358974356</v>
      </c>
      <c r="AE34" s="55">
        <v>0</v>
      </c>
      <c r="AF34" s="55" t="e">
        <v>#N/A</v>
      </c>
    </row>
    <row r="35" spans="1:32" s="57" customFormat="1" ht="15.75" customHeight="1">
      <c r="A35" s="2" t="s">
        <v>96</v>
      </c>
      <c r="B35" s="2"/>
      <c r="C35" s="51" t="str">
        <f t="shared" si="35"/>
        <v xml:space="preserve"> - </v>
      </c>
      <c r="D35" s="51">
        <v>0</v>
      </c>
      <c r="E35" s="51">
        <v>0</v>
      </c>
      <c r="F35" s="51">
        <v>0</v>
      </c>
      <c r="G35" s="51">
        <v>0</v>
      </c>
      <c r="H35" s="51" t="e">
        <f t="shared" si="1"/>
        <v>#DIV/0!</v>
      </c>
      <c r="I35" s="51" t="e">
        <f t="shared" si="2"/>
        <v>#DIV/0!</v>
      </c>
      <c r="J35" s="51">
        <f t="shared" si="4"/>
        <v>0</v>
      </c>
      <c r="K35" s="51" t="e">
        <f t="shared" si="3"/>
        <v>#DIV/0!</v>
      </c>
      <c r="L35" s="51">
        <v>0</v>
      </c>
      <c r="M35" s="51" t="str">
        <f t="shared" si="5"/>
        <v>-</v>
      </c>
      <c r="N35" s="51">
        <v>0</v>
      </c>
      <c r="O35" s="51">
        <f t="shared" ref="O35:P35" si="45">D35/7</f>
        <v>0</v>
      </c>
      <c r="P35" s="51">
        <f t="shared" si="45"/>
        <v>0</v>
      </c>
      <c r="Q35" s="51" t="e">
        <f t="shared" si="7"/>
        <v>#DIV/0!</v>
      </c>
      <c r="R35" s="55">
        <v>60</v>
      </c>
      <c r="S35" s="53" t="s">
        <v>34</v>
      </c>
      <c r="T35" s="54" t="s">
        <v>34</v>
      </c>
      <c r="U35" s="55">
        <v>0</v>
      </c>
      <c r="V35" s="55">
        <f t="shared" si="8"/>
        <v>0</v>
      </c>
      <c r="W35" s="55">
        <f t="shared" si="9"/>
        <v>0</v>
      </c>
      <c r="X35" s="55">
        <v>0</v>
      </c>
      <c r="Y35" s="55" t="e">
        <v>#N/A</v>
      </c>
      <c r="Z35" s="56" t="e">
        <f t="shared" si="19"/>
        <v>#N/A</v>
      </c>
      <c r="AA35" s="55" t="e">
        <v>#N/A</v>
      </c>
      <c r="AB35" s="55">
        <f t="shared" si="27"/>
        <v>0</v>
      </c>
      <c r="AC35" s="55">
        <v>0</v>
      </c>
      <c r="AD35" s="55">
        <v>-6.4803224358974356</v>
      </c>
      <c r="AE35" s="55">
        <v>0</v>
      </c>
      <c r="AF35" s="55" t="e">
        <v>#N/A</v>
      </c>
    </row>
    <row r="36" spans="1:32" s="57" customFormat="1" ht="15.75" customHeight="1">
      <c r="A36" s="2" t="s">
        <v>98</v>
      </c>
      <c r="B36" s="2"/>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v>60</v>
      </c>
      <c r="S36" s="53"/>
      <c r="T36" s="54" t="s">
        <v>34</v>
      </c>
      <c r="U36" s="55"/>
      <c r="V36" s="55">
        <f t="shared" si="8"/>
        <v>0</v>
      </c>
      <c r="W36" s="55">
        <f t="shared" si="9"/>
        <v>0</v>
      </c>
      <c r="X36" s="55"/>
      <c r="Y36" s="55" t="e">
        <v>#N/A</v>
      </c>
      <c r="Z36" s="56" t="e">
        <f t="shared" si="19"/>
        <v>#N/A</v>
      </c>
      <c r="AA36" s="55" t="e">
        <v>#N/A</v>
      </c>
      <c r="AB36" s="55">
        <f t="shared" si="27"/>
        <v>0</v>
      </c>
      <c r="AC36" s="55">
        <v>0</v>
      </c>
      <c r="AD36" s="55">
        <v>-6.4803224358974356</v>
      </c>
      <c r="AE36" s="55">
        <v>0</v>
      </c>
      <c r="AF36" s="55" t="e">
        <v>#N/A</v>
      </c>
    </row>
    <row r="37" spans="1:32" s="57" customFormat="1" ht="15.75" customHeight="1">
      <c r="A37" s="2" t="s">
        <v>99</v>
      </c>
      <c r="B37" s="2"/>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v>60</v>
      </c>
      <c r="S37" s="53" t="s">
        <v>34</v>
      </c>
      <c r="T37" s="54" t="s">
        <v>34</v>
      </c>
      <c r="U37" s="55">
        <v>0</v>
      </c>
      <c r="V37" s="55">
        <f t="shared" si="8"/>
        <v>0</v>
      </c>
      <c r="W37" s="55">
        <f t="shared" si="9"/>
        <v>0</v>
      </c>
      <c r="X37" s="55">
        <v>0</v>
      </c>
      <c r="Y37" s="55" t="e">
        <v>#N/A</v>
      </c>
      <c r="Z37" s="56" t="e">
        <f t="shared" si="19"/>
        <v>#N/A</v>
      </c>
      <c r="AA37" s="55" t="e">
        <v>#N/A</v>
      </c>
      <c r="AB37" s="55">
        <f t="shared" si="27"/>
        <v>0</v>
      </c>
      <c r="AC37" s="55">
        <v>0</v>
      </c>
      <c r="AD37" s="55">
        <v>-6.4803224358974356</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5">
        <v>200</v>
      </c>
      <c r="S38" s="53"/>
      <c r="T38" s="54" t="s">
        <v>34</v>
      </c>
      <c r="U38" s="55">
        <v>0</v>
      </c>
      <c r="V38" s="55">
        <f t="shared" si="8"/>
        <v>0</v>
      </c>
      <c r="W38" s="55">
        <f t="shared" si="9"/>
        <v>0</v>
      </c>
      <c r="X38" s="55">
        <v>0</v>
      </c>
      <c r="Y38" s="55" t="e">
        <v>#N/A</v>
      </c>
      <c r="Z38" s="56" t="e">
        <f t="shared" si="19"/>
        <v>#N/A</v>
      </c>
      <c r="AA38" s="55" t="e">
        <v>#N/A</v>
      </c>
      <c r="AB38" s="55">
        <f t="shared" si="27"/>
        <v>0</v>
      </c>
      <c r="AC38" s="55">
        <v>0</v>
      </c>
      <c r="AD38" s="55">
        <v>-6.4803224358974356</v>
      </c>
      <c r="AE38" s="55">
        <v>0</v>
      </c>
      <c r="AF38" s="55" t="e">
        <v>#N/A</v>
      </c>
    </row>
    <row r="39" spans="1:32" s="57" customFormat="1" ht="15.75" customHeight="1">
      <c r="A39" s="2" t="s">
        <v>101</v>
      </c>
      <c r="B39" s="2"/>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0</v>
      </c>
      <c r="O39" s="51">
        <f t="shared" ref="O39:P39" si="49">D39/7</f>
        <v>0</v>
      </c>
      <c r="P39" s="51">
        <f t="shared" si="49"/>
        <v>0</v>
      </c>
      <c r="Q39" s="51" t="e">
        <f t="shared" si="7"/>
        <v>#DIV/0!</v>
      </c>
      <c r="R39" s="55">
        <v>200</v>
      </c>
      <c r="S39" s="53" t="s">
        <v>34</v>
      </c>
      <c r="T39" s="54" t="s">
        <v>34</v>
      </c>
      <c r="U39" s="55">
        <v>0</v>
      </c>
      <c r="V39" s="55">
        <f t="shared" si="8"/>
        <v>0</v>
      </c>
      <c r="W39" s="55">
        <f t="shared" si="9"/>
        <v>0</v>
      </c>
      <c r="X39" s="55">
        <v>0</v>
      </c>
      <c r="Y39" s="55" t="e">
        <v>#N/A</v>
      </c>
      <c r="Z39" s="56" t="e">
        <f t="shared" si="19"/>
        <v>#N/A</v>
      </c>
      <c r="AA39" s="55" t="e">
        <v>#N/A</v>
      </c>
      <c r="AB39" s="55">
        <f t="shared" si="27"/>
        <v>0</v>
      </c>
      <c r="AC39" s="55">
        <v>0</v>
      </c>
      <c r="AD39" s="55">
        <v>-6.4803224358974303</v>
      </c>
      <c r="AE39" s="55">
        <v>0</v>
      </c>
      <c r="AF39" s="55" t="e">
        <v>#N/A</v>
      </c>
    </row>
    <row r="40" spans="1:32" s="57" customFormat="1" ht="15.75" customHeight="1">
      <c r="A40" s="2" t="s">
        <v>102</v>
      </c>
      <c r="B40" s="2"/>
      <c r="C40" s="51" t="s">
        <v>103</v>
      </c>
      <c r="D40" s="51">
        <v>0</v>
      </c>
      <c r="E40" s="51">
        <v>0</v>
      </c>
      <c r="F40" s="51">
        <v>0</v>
      </c>
      <c r="G40" s="51">
        <v>0</v>
      </c>
      <c r="H40" s="51" t="e">
        <v>#DIV/0!</v>
      </c>
      <c r="I40" s="51" t="e">
        <v>#DIV/0!</v>
      </c>
      <c r="J40" s="51">
        <v>0</v>
      </c>
      <c r="K40" s="51" t="e">
        <v>#DIV/0!</v>
      </c>
      <c r="L40" s="51">
        <v>0</v>
      </c>
      <c r="M40" s="51" t="s">
        <v>104</v>
      </c>
      <c r="N40" s="51">
        <v>0</v>
      </c>
      <c r="O40" s="51">
        <v>0</v>
      </c>
      <c r="P40" s="51">
        <v>0</v>
      </c>
      <c r="Q40" s="51" t="e">
        <v>#DIV/0!</v>
      </c>
      <c r="R40" s="55">
        <v>200</v>
      </c>
      <c r="S40" s="53" t="s">
        <v>34</v>
      </c>
      <c r="T40" s="54" t="s">
        <v>34</v>
      </c>
      <c r="U40" s="55">
        <v>0</v>
      </c>
      <c r="V40" s="55">
        <v>0</v>
      </c>
      <c r="W40" s="55">
        <v>0</v>
      </c>
      <c r="X40" s="55">
        <v>0</v>
      </c>
      <c r="Y40" s="55" t="e">
        <v>#N/A</v>
      </c>
      <c r="Z40" s="56" t="e">
        <v>#N/A</v>
      </c>
      <c r="AA40" s="55" t="e">
        <v>#N/A</v>
      </c>
      <c r="AB40" s="55">
        <v>0</v>
      </c>
      <c r="AC40" s="55">
        <v>0</v>
      </c>
      <c r="AD40" s="55">
        <v>-6.4803224358974303</v>
      </c>
      <c r="AE40" s="55">
        <v>0</v>
      </c>
      <c r="AF40" s="55" t="e">
        <v>#N/A</v>
      </c>
    </row>
    <row r="41" spans="1:32" s="57" customFormat="1" ht="15.75" customHeight="1">
      <c r="A41" s="2" t="s">
        <v>105</v>
      </c>
      <c r="B41" s="2"/>
      <c r="C41" s="51" t="str">
        <f t="shared" ref="C41:C56" si="50">IFERROR(F41/D41," - ")</f>
        <v xml:space="preserve"> - </v>
      </c>
      <c r="D41" s="51">
        <v>0</v>
      </c>
      <c r="E41" s="51">
        <v>0</v>
      </c>
      <c r="F41" s="51">
        <v>0</v>
      </c>
      <c r="G41" s="51">
        <v>0</v>
      </c>
      <c r="H41" s="51" t="e">
        <f t="shared" ref="H41:H56" si="51">G41/F41*-1</f>
        <v>#DIV/0!</v>
      </c>
      <c r="I41" s="51" t="e">
        <f t="shared" ref="I41:I56" si="52">J41/F41</f>
        <v>#DIV/0!</v>
      </c>
      <c r="J41" s="51">
        <f t="shared" ref="J41:J48" si="53">F41*0.85+G41+AD41*D41+D41*AC41+AE42+AB41</f>
        <v>0</v>
      </c>
      <c r="K41" s="51" t="e">
        <f t="shared" ref="K41:K56" si="54">J41/D41</f>
        <v>#DIV/0!</v>
      </c>
      <c r="L41" s="51">
        <v>0</v>
      </c>
      <c r="M41" s="51" t="str">
        <f t="shared" ref="M41:M56" si="55">IFERROR(D41/L41,"-")</f>
        <v>-</v>
      </c>
      <c r="N41" s="51">
        <v>0</v>
      </c>
      <c r="O41" s="51">
        <f t="shared" ref="O41:P41" si="56">D41/7</f>
        <v>0</v>
      </c>
      <c r="P41" s="51">
        <f t="shared" si="56"/>
        <v>0</v>
      </c>
      <c r="Q41" s="51" t="e">
        <f t="shared" ref="Q41:Q56" si="57">ROUNDDOWN(N41/(O41+P41),0)</f>
        <v>#DIV/0!</v>
      </c>
      <c r="R41" s="55">
        <v>200</v>
      </c>
      <c r="S41" s="53" t="s">
        <v>34</v>
      </c>
      <c r="T41" s="54" t="s">
        <v>34</v>
      </c>
      <c r="U41" s="55">
        <v>0</v>
      </c>
      <c r="V41" s="55">
        <f t="shared" ref="V41:V56" si="58">IFERROR(U41/D41,0)</f>
        <v>0</v>
      </c>
      <c r="W41" s="55">
        <f t="shared" ref="W41:W56" si="59">IFERROR(G41/(U41+X41)*-1,0)</f>
        <v>0</v>
      </c>
      <c r="X41" s="55">
        <v>0</v>
      </c>
      <c r="Y41" s="52" t="e">
        <v>#N/A</v>
      </c>
      <c r="Z41" s="56" t="e">
        <f t="shared" ref="Z41:Z43" si="60">IF(OR(Y41="UsLargeStandardSize",Y41="UsSmallStandardSize"),-0.75,-0.48)</f>
        <v>#N/A</v>
      </c>
      <c r="AA41" s="55" t="e">
        <v>#N/A</v>
      </c>
      <c r="AB41" s="55">
        <f t="shared" ref="AB41:AB56" si="61">IFERROR(Z41*AA41*D41*3,0)</f>
        <v>0</v>
      </c>
      <c r="AC41" s="55">
        <v>0</v>
      </c>
      <c r="AD41" s="55">
        <v>-6.4803224358974303</v>
      </c>
      <c r="AE41" s="55">
        <v>0</v>
      </c>
      <c r="AF41" s="55" t="e">
        <v>#N/A</v>
      </c>
    </row>
    <row r="42" spans="1:32" s="57" customFormat="1" ht="15.75" customHeight="1">
      <c r="A42" s="2" t="s">
        <v>106</v>
      </c>
      <c r="B42" s="2"/>
      <c r="C42" s="51" t="str">
        <f t="shared" si="50"/>
        <v xml:space="preserve"> - </v>
      </c>
      <c r="D42" s="51">
        <v>0</v>
      </c>
      <c r="E42" s="51">
        <v>0</v>
      </c>
      <c r="F42" s="51">
        <v>0</v>
      </c>
      <c r="G42" s="51">
        <v>0</v>
      </c>
      <c r="H42" s="51" t="e">
        <f t="shared" si="51"/>
        <v>#DIV/0!</v>
      </c>
      <c r="I42" s="51" t="e">
        <f t="shared" si="52"/>
        <v>#DIV/0!</v>
      </c>
      <c r="J42" s="51">
        <f t="shared" si="53"/>
        <v>0</v>
      </c>
      <c r="K42" s="51" t="e">
        <f t="shared" si="54"/>
        <v>#DIV/0!</v>
      </c>
      <c r="L42" s="51">
        <v>0</v>
      </c>
      <c r="M42" s="51" t="str">
        <f t="shared" si="55"/>
        <v>-</v>
      </c>
      <c r="N42" s="51">
        <v>0</v>
      </c>
      <c r="O42" s="51">
        <f t="shared" ref="O42:P42" si="62">D42/7</f>
        <v>0</v>
      </c>
      <c r="P42" s="51">
        <f t="shared" si="62"/>
        <v>0</v>
      </c>
      <c r="Q42" s="51" t="e">
        <f t="shared" si="57"/>
        <v>#DIV/0!</v>
      </c>
      <c r="R42" s="55">
        <f ca="1">IFERROR(__xludf.DUMMYFUNCTION("IFERROR(VLOOKUP($B$2,IMPORTRANGE(""https://docs.google.com/spreadsheets/d/1iVgg6Mw12RULLujzHmfOFIY8Q_KaAD8anoZzgtVAQ74/edit#gid=1503384807"",""Second Star - Summary!A1:AD2000""),9,FALSE),"""")"),600)</f>
        <v>600</v>
      </c>
      <c r="S42" s="53">
        <f ca="1">IFERROR(__xludf.DUMMYFUNCTION("IFERROR(VLOOKUP($B$2,IMPORTRANGE(""https://docs.google.com/spreadsheets/d/1iVgg6Mw12RULLujzHmfOFIY8Q_KaAD8anoZzgtVAQ74/edit#gid=1503384807"",""Second Star - Summary!A1:AD2000""),28,FALSE),"""")"),160)</f>
        <v>160</v>
      </c>
      <c r="T42" s="54">
        <f ca="1">IFERROR(__xludf.DUMMYFUNCTION("IFERROR(VLOOKUP($B$2,IMPORTRANGE(""https://docs.google.com/spreadsheets/d/1iVgg6Mw12RULLujzHmfOFIY8Q_KaAD8anoZzgtVAQ74/edit#gid=1503384807"",""Second Star - Summary!A1:AD2000""),29,FALSE),"""")"),44339)</f>
        <v>44339</v>
      </c>
      <c r="U42" s="55">
        <v>0</v>
      </c>
      <c r="V42" s="55">
        <f t="shared" si="58"/>
        <v>0</v>
      </c>
      <c r="W42" s="55">
        <f t="shared" si="59"/>
        <v>0</v>
      </c>
      <c r="X42" s="55">
        <v>0</v>
      </c>
      <c r="Y42" s="55" t="e">
        <v>#N/A</v>
      </c>
      <c r="Z42" s="56" t="e">
        <f t="shared" si="60"/>
        <v>#N/A</v>
      </c>
      <c r="AA42" s="55" t="e">
        <v>#N/A</v>
      </c>
      <c r="AB42" s="55">
        <f t="shared" si="61"/>
        <v>0</v>
      </c>
      <c r="AC42" s="55">
        <v>0</v>
      </c>
      <c r="AD42" s="55">
        <v>-6.4803224358974303</v>
      </c>
      <c r="AE42" s="55">
        <v>0</v>
      </c>
      <c r="AF42" s="55" t="e">
        <v>#N/A</v>
      </c>
    </row>
    <row r="43" spans="1:32" s="57" customFormat="1" ht="15.75" customHeight="1">
      <c r="A43" s="2" t="s">
        <v>107</v>
      </c>
      <c r="B43" s="2"/>
      <c r="C43" s="51" t="str">
        <f t="shared" si="50"/>
        <v xml:space="preserve"> - </v>
      </c>
      <c r="D43" s="51">
        <v>0</v>
      </c>
      <c r="E43" s="51">
        <v>0</v>
      </c>
      <c r="F43" s="51">
        <v>0</v>
      </c>
      <c r="G43" s="51">
        <v>0</v>
      </c>
      <c r="H43" s="51" t="e">
        <f t="shared" si="51"/>
        <v>#DIV/0!</v>
      </c>
      <c r="I43" s="51" t="e">
        <f t="shared" si="52"/>
        <v>#DIV/0!</v>
      </c>
      <c r="J43" s="51">
        <f t="shared" si="53"/>
        <v>0</v>
      </c>
      <c r="K43" s="51" t="e">
        <f t="shared" si="54"/>
        <v>#DIV/0!</v>
      </c>
      <c r="L43" s="51">
        <v>0</v>
      </c>
      <c r="M43" s="51" t="str">
        <f t="shared" si="55"/>
        <v>-</v>
      </c>
      <c r="N43" s="51">
        <v>1</v>
      </c>
      <c r="O43" s="51">
        <f t="shared" ref="O43:P43" si="63">D43/7</f>
        <v>0</v>
      </c>
      <c r="P43" s="51">
        <f t="shared" si="63"/>
        <v>0</v>
      </c>
      <c r="Q43" s="51" t="e">
        <f t="shared" si="57"/>
        <v>#DIV/0!</v>
      </c>
      <c r="R43" s="55">
        <v>200</v>
      </c>
      <c r="S43" s="53" t="s">
        <v>34</v>
      </c>
      <c r="T43" s="54" t="s">
        <v>34</v>
      </c>
      <c r="U43" s="55">
        <v>0</v>
      </c>
      <c r="V43" s="55">
        <f t="shared" si="58"/>
        <v>0</v>
      </c>
      <c r="W43" s="55">
        <f t="shared" si="59"/>
        <v>0</v>
      </c>
      <c r="X43" s="55">
        <v>0</v>
      </c>
      <c r="Y43" s="55" t="s">
        <v>35</v>
      </c>
      <c r="Z43" s="56">
        <f t="shared" si="60"/>
        <v>-0.75</v>
      </c>
      <c r="AA43" s="55">
        <v>0.25695198263888891</v>
      </c>
      <c r="AB43" s="55">
        <f t="shared" si="61"/>
        <v>0</v>
      </c>
      <c r="AC43" s="55">
        <v>-7.32</v>
      </c>
      <c r="AD43" s="55">
        <v>-6.4803224358974303</v>
      </c>
      <c r="AE43" s="55">
        <v>0</v>
      </c>
      <c r="AF43" s="55">
        <v>1.3333333333333299</v>
      </c>
    </row>
    <row r="44" spans="1:32" s="57" customFormat="1" ht="15.75" customHeight="1">
      <c r="A44" s="2" t="s">
        <v>108</v>
      </c>
      <c r="B44" s="2"/>
      <c r="C44" s="51" t="str">
        <f t="shared" si="50"/>
        <v xml:space="preserve"> - </v>
      </c>
      <c r="D44" s="51">
        <v>0</v>
      </c>
      <c r="E44" s="51">
        <v>0</v>
      </c>
      <c r="F44" s="51">
        <v>0</v>
      </c>
      <c r="G44" s="51">
        <v>0</v>
      </c>
      <c r="H44" s="51" t="e">
        <f t="shared" si="51"/>
        <v>#DIV/0!</v>
      </c>
      <c r="I44" s="51" t="e">
        <f t="shared" si="52"/>
        <v>#DIV/0!</v>
      </c>
      <c r="J44" s="51">
        <f t="shared" si="53"/>
        <v>0</v>
      </c>
      <c r="K44" s="51" t="e">
        <f t="shared" si="54"/>
        <v>#DIV/0!</v>
      </c>
      <c r="L44" s="51">
        <v>0</v>
      </c>
      <c r="M44" s="51" t="str">
        <f t="shared" si="55"/>
        <v>-</v>
      </c>
      <c r="N44" s="51">
        <v>1</v>
      </c>
      <c r="O44" s="51">
        <f t="shared" ref="O44:P44" si="64">D44/7</f>
        <v>0</v>
      </c>
      <c r="P44" s="51">
        <f t="shared" si="64"/>
        <v>0</v>
      </c>
      <c r="Q44" s="51" t="e">
        <f t="shared" si="57"/>
        <v>#DIV/0!</v>
      </c>
      <c r="R44" s="55">
        <v>200</v>
      </c>
      <c r="S44" s="53" t="s">
        <v>34</v>
      </c>
      <c r="T44" s="54" t="s">
        <v>34</v>
      </c>
      <c r="U44" s="55">
        <v>0</v>
      </c>
      <c r="V44" s="55">
        <f t="shared" si="58"/>
        <v>0</v>
      </c>
      <c r="W44" s="55">
        <f t="shared" si="59"/>
        <v>0</v>
      </c>
      <c r="X44" s="55">
        <v>0</v>
      </c>
      <c r="Y44" s="55" t="s">
        <v>35</v>
      </c>
      <c r="Z44" s="56">
        <f t="shared" ref="Z44:Z56" si="65">IF(OR(Y44="UsLargeStandardSize",Y44="UsSmallStandardSize"),-2.4,-1.2)</f>
        <v>-2.4</v>
      </c>
      <c r="AA44" s="55">
        <v>0.25695198263888891</v>
      </c>
      <c r="AB44" s="55">
        <f t="shared" si="61"/>
        <v>0</v>
      </c>
      <c r="AC44" s="55">
        <v>-7.32</v>
      </c>
      <c r="AD44" s="55">
        <v>-6.4803224358974303</v>
      </c>
      <c r="AE44" s="55">
        <v>0</v>
      </c>
      <c r="AF44" s="55">
        <v>1</v>
      </c>
    </row>
    <row r="45" spans="1:32" s="57" customFormat="1" ht="15.75" customHeight="1">
      <c r="A45" s="2" t="s">
        <v>109</v>
      </c>
      <c r="B45" s="2"/>
      <c r="C45" s="51" t="str">
        <f t="shared" si="50"/>
        <v xml:space="preserve"> - </v>
      </c>
      <c r="D45" s="51">
        <v>0</v>
      </c>
      <c r="E45" s="51">
        <v>0</v>
      </c>
      <c r="F45" s="51">
        <v>0</v>
      </c>
      <c r="G45" s="51">
        <v>0</v>
      </c>
      <c r="H45" s="51" t="e">
        <f t="shared" si="51"/>
        <v>#DIV/0!</v>
      </c>
      <c r="I45" s="51" t="e">
        <f t="shared" si="52"/>
        <v>#DIV/0!</v>
      </c>
      <c r="J45" s="51">
        <f t="shared" si="53"/>
        <v>0</v>
      </c>
      <c r="K45" s="51" t="e">
        <f t="shared" si="54"/>
        <v>#DIV/0!</v>
      </c>
      <c r="L45" s="51">
        <v>0</v>
      </c>
      <c r="M45" s="51" t="str">
        <f t="shared" si="55"/>
        <v>-</v>
      </c>
      <c r="N45" s="51">
        <v>1</v>
      </c>
      <c r="O45" s="51">
        <f t="shared" ref="O45:P45" si="66">D45/7</f>
        <v>0</v>
      </c>
      <c r="P45" s="51">
        <f t="shared" si="66"/>
        <v>0</v>
      </c>
      <c r="Q45" s="51" t="e">
        <f t="shared" si="57"/>
        <v>#DIV/0!</v>
      </c>
      <c r="R45" s="55">
        <v>200</v>
      </c>
      <c r="S45" s="53" t="s">
        <v>34</v>
      </c>
      <c r="T45" s="54" t="s">
        <v>34</v>
      </c>
      <c r="U45" s="55">
        <v>0</v>
      </c>
      <c r="V45" s="55">
        <f t="shared" si="58"/>
        <v>0</v>
      </c>
      <c r="W45" s="55">
        <f t="shared" si="59"/>
        <v>0</v>
      </c>
      <c r="X45" s="55">
        <v>0</v>
      </c>
      <c r="Y45" s="55" t="s">
        <v>35</v>
      </c>
      <c r="Z45" s="56">
        <f t="shared" si="65"/>
        <v>-2.4</v>
      </c>
      <c r="AA45" s="55">
        <v>0.25695198263888891</v>
      </c>
      <c r="AB45" s="55">
        <f t="shared" si="61"/>
        <v>0</v>
      </c>
      <c r="AC45" s="55">
        <v>-7.32</v>
      </c>
      <c r="AD45" s="55">
        <v>-6.4803224358974303</v>
      </c>
      <c r="AE45" s="55">
        <v>0</v>
      </c>
      <c r="AF45" s="55">
        <v>1.3333333333333299</v>
      </c>
    </row>
    <row r="46" spans="1:32" s="57" customFormat="1" ht="15.75" customHeight="1">
      <c r="A46" s="2" t="s">
        <v>111</v>
      </c>
      <c r="B46" s="2"/>
      <c r="C46" s="51" t="str">
        <f t="shared" si="50"/>
        <v xml:space="preserve"> - </v>
      </c>
      <c r="D46" s="51">
        <v>0</v>
      </c>
      <c r="E46" s="51">
        <v>0</v>
      </c>
      <c r="F46" s="51">
        <v>0</v>
      </c>
      <c r="G46" s="51">
        <v>0</v>
      </c>
      <c r="H46" s="51" t="e">
        <f t="shared" si="51"/>
        <v>#DIV/0!</v>
      </c>
      <c r="I46" s="51" t="e">
        <f t="shared" si="52"/>
        <v>#DIV/0!</v>
      </c>
      <c r="J46" s="51">
        <f t="shared" si="53"/>
        <v>0</v>
      </c>
      <c r="K46" s="51" t="e">
        <f t="shared" si="54"/>
        <v>#DIV/0!</v>
      </c>
      <c r="L46" s="51">
        <v>0</v>
      </c>
      <c r="M46" s="51" t="str">
        <f t="shared" si="55"/>
        <v>-</v>
      </c>
      <c r="N46" s="51">
        <v>1</v>
      </c>
      <c r="O46" s="51">
        <f t="shared" ref="O46:P46" si="67">D46/7</f>
        <v>0</v>
      </c>
      <c r="P46" s="51">
        <f t="shared" si="67"/>
        <v>0</v>
      </c>
      <c r="Q46" s="51" t="e">
        <f t="shared" si="57"/>
        <v>#DIV/0!</v>
      </c>
      <c r="R46" s="55">
        <v>200</v>
      </c>
      <c r="S46" s="53" t="s">
        <v>34</v>
      </c>
      <c r="T46" s="54" t="s">
        <v>34</v>
      </c>
      <c r="U46" s="55">
        <v>0</v>
      </c>
      <c r="V46" s="55">
        <f t="shared" si="58"/>
        <v>0</v>
      </c>
      <c r="W46" s="55">
        <f t="shared" si="59"/>
        <v>0</v>
      </c>
      <c r="X46" s="55">
        <v>0</v>
      </c>
      <c r="Y46" s="55" t="s">
        <v>35</v>
      </c>
      <c r="Z46" s="56">
        <f t="shared" si="65"/>
        <v>-2.4</v>
      </c>
      <c r="AA46" s="55">
        <v>0.25695198263888891</v>
      </c>
      <c r="AB46" s="55">
        <f t="shared" si="61"/>
        <v>0</v>
      </c>
      <c r="AC46" s="55">
        <v>-7.32</v>
      </c>
      <c r="AD46" s="55">
        <v>-6.4803224358974303</v>
      </c>
      <c r="AE46" s="55">
        <v>0</v>
      </c>
      <c r="AF46" s="55">
        <v>0</v>
      </c>
    </row>
    <row r="47" spans="1:32" s="57" customFormat="1" ht="15.75" customHeight="1">
      <c r="A47" s="2" t="s">
        <v>113</v>
      </c>
      <c r="B47" s="2"/>
      <c r="C47" s="51" t="str">
        <f t="shared" si="50"/>
        <v xml:space="preserve"> - </v>
      </c>
      <c r="D47" s="51">
        <v>0</v>
      </c>
      <c r="E47" s="51">
        <v>0</v>
      </c>
      <c r="F47" s="51">
        <v>0</v>
      </c>
      <c r="G47" s="51">
        <v>0</v>
      </c>
      <c r="H47" s="51" t="e">
        <f t="shared" si="51"/>
        <v>#DIV/0!</v>
      </c>
      <c r="I47" s="51" t="e">
        <f t="shared" si="52"/>
        <v>#DIV/0!</v>
      </c>
      <c r="J47" s="51">
        <f t="shared" si="53"/>
        <v>0</v>
      </c>
      <c r="K47" s="51" t="e">
        <f t="shared" si="54"/>
        <v>#DIV/0!</v>
      </c>
      <c r="L47" s="51">
        <v>0</v>
      </c>
      <c r="M47" s="51" t="str">
        <f t="shared" si="55"/>
        <v>-</v>
      </c>
      <c r="N47" s="51">
        <v>1</v>
      </c>
      <c r="O47" s="51">
        <f t="shared" ref="O47:P47" si="68">D47/7</f>
        <v>0</v>
      </c>
      <c r="P47" s="51">
        <f t="shared" si="68"/>
        <v>0</v>
      </c>
      <c r="Q47" s="51" t="e">
        <f t="shared" si="57"/>
        <v>#DIV/0!</v>
      </c>
      <c r="R47" s="55">
        <v>200</v>
      </c>
      <c r="S47" s="53" t="s">
        <v>34</v>
      </c>
      <c r="T47" s="54" t="s">
        <v>34</v>
      </c>
      <c r="U47" s="55">
        <v>0</v>
      </c>
      <c r="V47" s="55">
        <f t="shared" si="58"/>
        <v>0</v>
      </c>
      <c r="W47" s="55">
        <f t="shared" si="59"/>
        <v>0</v>
      </c>
      <c r="X47" s="55">
        <v>0</v>
      </c>
      <c r="Y47" s="55" t="s">
        <v>35</v>
      </c>
      <c r="Z47" s="56">
        <f t="shared" si="65"/>
        <v>-2.4</v>
      </c>
      <c r="AA47" s="55">
        <v>0.25695198263888891</v>
      </c>
      <c r="AB47" s="55">
        <f t="shared" si="61"/>
        <v>0</v>
      </c>
      <c r="AC47" s="55">
        <v>-7.32</v>
      </c>
      <c r="AD47" s="55">
        <v>-6.4803224358974303</v>
      </c>
      <c r="AE47" s="55">
        <v>0</v>
      </c>
      <c r="AF47" s="55">
        <v>0</v>
      </c>
    </row>
    <row r="48" spans="1:32" s="57" customFormat="1" ht="15.75" customHeight="1">
      <c r="A48" s="2" t="s">
        <v>115</v>
      </c>
      <c r="B48" s="2"/>
      <c r="C48" s="51" t="str">
        <f t="shared" si="50"/>
        <v xml:space="preserve"> - </v>
      </c>
      <c r="D48" s="51">
        <v>0</v>
      </c>
      <c r="E48" s="51">
        <v>0</v>
      </c>
      <c r="F48" s="51">
        <v>0</v>
      </c>
      <c r="G48" s="51">
        <v>0</v>
      </c>
      <c r="H48" s="51" t="e">
        <f t="shared" si="51"/>
        <v>#DIV/0!</v>
      </c>
      <c r="I48" s="51" t="e">
        <f t="shared" si="52"/>
        <v>#DIV/0!</v>
      </c>
      <c r="J48" s="51">
        <f t="shared" si="53"/>
        <v>0</v>
      </c>
      <c r="K48" s="51" t="e">
        <f t="shared" si="54"/>
        <v>#DIV/0!</v>
      </c>
      <c r="L48" s="51">
        <v>0</v>
      </c>
      <c r="M48" s="51" t="str">
        <f t="shared" si="55"/>
        <v>-</v>
      </c>
      <c r="N48" s="51">
        <v>1</v>
      </c>
      <c r="O48" s="51">
        <f t="shared" ref="O48:P48" si="69">D48/7</f>
        <v>0</v>
      </c>
      <c r="P48" s="51">
        <f t="shared" si="69"/>
        <v>0</v>
      </c>
      <c r="Q48" s="51" t="e">
        <f t="shared" si="57"/>
        <v>#DIV/0!</v>
      </c>
      <c r="R48" s="55">
        <f ca="1">IFERROR(__xludf.DUMMYFUNCTION("IFERROR(VLOOKUP($B$2,IMPORTRANGE(""https://docs.google.com/spreadsheets/d/1iVgg6Mw12RULLujzHmfOFIY8Q_KaAD8anoZzgtVAQ74/edit#gid=1503384807"",""Second Star - Summary!A1:AD2000""),9,FALSE),"""")"),600)</f>
        <v>600</v>
      </c>
      <c r="S48" s="53">
        <f ca="1">IFERROR(__xludf.DUMMYFUNCTION("IFERROR(VLOOKUP($B$2,IMPORTRANGE(""https://docs.google.com/spreadsheets/d/1iVgg6Mw12RULLujzHmfOFIY8Q_KaAD8anoZzgtVAQ74/edit#gid=1503384807"",""Second Star - Summary!A1:AD2000""),28,FALSE),"""")"),160)</f>
        <v>160</v>
      </c>
      <c r="T48" s="54">
        <f ca="1">IFERROR(__xludf.DUMMYFUNCTION("IFERROR(VLOOKUP($B$2,IMPORTRANGE(""https://docs.google.com/spreadsheets/d/1iVgg6Mw12RULLujzHmfOFIY8Q_KaAD8anoZzgtVAQ74/edit#gid=1503384807"",""Second Star - Summary!A1:AD2000""),29,FALSE),"""")"),44339)</f>
        <v>44339</v>
      </c>
      <c r="U48" s="55">
        <v>0</v>
      </c>
      <c r="V48" s="55">
        <f t="shared" si="58"/>
        <v>0</v>
      </c>
      <c r="W48" s="55">
        <f t="shared" si="59"/>
        <v>0</v>
      </c>
      <c r="X48" s="55">
        <v>0</v>
      </c>
      <c r="Y48" s="55" t="s">
        <v>35</v>
      </c>
      <c r="Z48" s="56">
        <f t="shared" si="65"/>
        <v>-2.4</v>
      </c>
      <c r="AA48" s="55">
        <v>0.25695198263888891</v>
      </c>
      <c r="AB48" s="55">
        <f t="shared" si="61"/>
        <v>0</v>
      </c>
      <c r="AC48" s="55">
        <v>-7.32</v>
      </c>
      <c r="AD48" s="55">
        <v>-6.4803224358974303</v>
      </c>
      <c r="AE48" s="55">
        <v>0</v>
      </c>
      <c r="AF48" s="55">
        <v>0</v>
      </c>
    </row>
    <row r="49" spans="1:32" s="57" customFormat="1" ht="15.75" customHeight="1">
      <c r="A49" s="2" t="s">
        <v>117</v>
      </c>
      <c r="B49" s="2"/>
      <c r="C49" s="51" t="str">
        <f t="shared" si="50"/>
        <v xml:space="preserve"> - </v>
      </c>
      <c r="D49" s="51">
        <v>0</v>
      </c>
      <c r="E49" s="51">
        <v>0</v>
      </c>
      <c r="F49" s="51">
        <v>0</v>
      </c>
      <c r="G49" s="51">
        <v>0</v>
      </c>
      <c r="H49" s="51" t="e">
        <f t="shared" si="51"/>
        <v>#DIV/0!</v>
      </c>
      <c r="I49" s="51" t="e">
        <f t="shared" si="52"/>
        <v>#DIV/0!</v>
      </c>
      <c r="J49" s="51">
        <f t="shared" ref="J49:J56" si="70">F49*0.85+G49+AD49*D49+D49*AC49+AE49+AB49</f>
        <v>0</v>
      </c>
      <c r="K49" s="51" t="e">
        <f t="shared" si="54"/>
        <v>#DIV/0!</v>
      </c>
      <c r="L49" s="51">
        <v>0</v>
      </c>
      <c r="M49" s="51" t="str">
        <f t="shared" si="55"/>
        <v>-</v>
      </c>
      <c r="N49" s="51">
        <v>1</v>
      </c>
      <c r="O49" s="51">
        <f t="shared" ref="O49:P49" si="71">D49/7</f>
        <v>0</v>
      </c>
      <c r="P49" s="51">
        <f t="shared" si="71"/>
        <v>0</v>
      </c>
      <c r="Q49" s="51" t="e">
        <f t="shared" si="57"/>
        <v>#DIV/0!</v>
      </c>
      <c r="R49" s="55">
        <f ca="1">IFERROR(__xludf.DUMMYFUNCTION("IFERROR(VLOOKUP($B$2,IMPORTRANGE(""https://docs.google.com/spreadsheets/d/1iVgg6Mw12RULLujzHmfOFIY8Q_KaAD8anoZzgtVAQ74/edit#gid=1503384807"",""Second Star - Summary!A1:AD2000""),9,FALSE),"""")"),600)</f>
        <v>600</v>
      </c>
      <c r="S49" s="53">
        <f ca="1">IFERROR(__xludf.DUMMYFUNCTION("IFERROR(VLOOKUP($B$2,IMPORTRANGE(""https://docs.google.com/spreadsheets/d/1iVgg6Mw12RULLujzHmfOFIY8Q_KaAD8anoZzgtVAQ74/edit#gid=1503384807"",""Second Star - Summary!A1:AD2000""),28,FALSE),"""")"),160)</f>
        <v>160</v>
      </c>
      <c r="T49" s="54">
        <f ca="1">IFERROR(__xludf.DUMMYFUNCTION("IFERROR(VLOOKUP($B$2,IMPORTRANGE(""https://docs.google.com/spreadsheets/d/1iVgg6Mw12RULLujzHmfOFIY8Q_KaAD8anoZzgtVAQ74/edit#gid=1503384807"",""Second Star - Summary!A1:AD2000""),29,FALSE),"""")"),44339)</f>
        <v>44339</v>
      </c>
      <c r="U49" s="55">
        <v>0</v>
      </c>
      <c r="V49" s="55">
        <f t="shared" si="58"/>
        <v>0</v>
      </c>
      <c r="W49" s="55">
        <f t="shared" si="59"/>
        <v>0</v>
      </c>
      <c r="X49" s="55">
        <v>0</v>
      </c>
      <c r="Y49" s="55" t="s">
        <v>35</v>
      </c>
      <c r="Z49" s="56">
        <f t="shared" si="65"/>
        <v>-2.4</v>
      </c>
      <c r="AA49" s="55">
        <v>0.25695198263888891</v>
      </c>
      <c r="AB49" s="55">
        <f t="shared" si="61"/>
        <v>0</v>
      </c>
      <c r="AC49" s="55">
        <v>-7.32</v>
      </c>
      <c r="AD49" s="55">
        <v>-6.4803224358974303</v>
      </c>
      <c r="AE49" s="55"/>
      <c r="AF49" s="55">
        <v>0</v>
      </c>
    </row>
    <row r="50" spans="1:32" s="57" customFormat="1" ht="15.75" customHeight="1">
      <c r="A50" s="2" t="s">
        <v>119</v>
      </c>
      <c r="B50" s="2"/>
      <c r="C50" s="51" t="str">
        <f t="shared" si="50"/>
        <v xml:space="preserve"> - </v>
      </c>
      <c r="D50" s="51">
        <v>0</v>
      </c>
      <c r="E50" s="51">
        <v>0</v>
      </c>
      <c r="F50" s="51">
        <v>0</v>
      </c>
      <c r="G50" s="51">
        <v>0</v>
      </c>
      <c r="H50" s="51" t="e">
        <f t="shared" si="51"/>
        <v>#DIV/0!</v>
      </c>
      <c r="I50" s="51" t="e">
        <f t="shared" si="52"/>
        <v>#DIV/0!</v>
      </c>
      <c r="J50" s="51">
        <f t="shared" si="70"/>
        <v>0</v>
      </c>
      <c r="K50" s="51" t="e">
        <f t="shared" si="54"/>
        <v>#DIV/0!</v>
      </c>
      <c r="L50" s="51">
        <v>0</v>
      </c>
      <c r="M50" s="51" t="str">
        <f t="shared" si="55"/>
        <v>-</v>
      </c>
      <c r="N50" s="51">
        <v>1</v>
      </c>
      <c r="O50" s="51">
        <f t="shared" ref="O50:P50" si="72">D50/7</f>
        <v>0</v>
      </c>
      <c r="P50" s="51">
        <f t="shared" si="72"/>
        <v>0</v>
      </c>
      <c r="Q50" s="51" t="e">
        <f t="shared" si="57"/>
        <v>#DIV/0!</v>
      </c>
      <c r="R50" s="55">
        <f ca="1">IFERROR(__xludf.DUMMYFUNCTION("IFERROR(VLOOKUP($B$2,IMPORTRANGE(""https://docs.google.com/spreadsheets/d/1iVgg6Mw12RULLujzHmfOFIY8Q_KaAD8anoZzgtVAQ74/edit#gid=1503384807"",""Second Star - Summary!A1:AD2000""),9,FALSE),"""")"),600)</f>
        <v>600</v>
      </c>
      <c r="S50" s="53">
        <f ca="1">IFERROR(__xludf.DUMMYFUNCTION("IFERROR(VLOOKUP($B$2,IMPORTRANGE(""https://docs.google.com/spreadsheets/d/1iVgg6Mw12RULLujzHmfOFIY8Q_KaAD8anoZzgtVAQ74/edit#gid=1503384807"",""Second Star - Summary!A1:AD2000""),28,FALSE),"""")"),160)</f>
        <v>160</v>
      </c>
      <c r="T50" s="54">
        <f ca="1">IFERROR(__xludf.DUMMYFUNCTION("IFERROR(VLOOKUP($B$2,IMPORTRANGE(""https://docs.google.com/spreadsheets/d/1iVgg6Mw12RULLujzHmfOFIY8Q_KaAD8anoZzgtVAQ74/edit#gid=1503384807"",""Second Star - Summary!A1:AD2000""),29,FALSE),"""")"),44339)</f>
        <v>44339</v>
      </c>
      <c r="U50" s="55">
        <v>0</v>
      </c>
      <c r="V50" s="55">
        <f t="shared" si="58"/>
        <v>0</v>
      </c>
      <c r="W50" s="55">
        <f t="shared" si="59"/>
        <v>0</v>
      </c>
      <c r="X50" s="55">
        <v>0</v>
      </c>
      <c r="Y50" s="55" t="s">
        <v>35</v>
      </c>
      <c r="Z50" s="56">
        <f t="shared" si="65"/>
        <v>-2.4</v>
      </c>
      <c r="AA50" s="55">
        <v>0.25695198263888891</v>
      </c>
      <c r="AB50" s="55">
        <f t="shared" si="61"/>
        <v>0</v>
      </c>
      <c r="AC50" s="55">
        <v>-7.32</v>
      </c>
      <c r="AD50" s="55">
        <v>-6.4803224358974303</v>
      </c>
      <c r="AE50" s="55">
        <v>0</v>
      </c>
      <c r="AF50" s="55">
        <v>0</v>
      </c>
    </row>
    <row r="51" spans="1:32" s="57" customFormat="1" ht="15.75" customHeight="1">
      <c r="A51" s="2" t="s">
        <v>121</v>
      </c>
      <c r="B51" s="2"/>
      <c r="C51" s="51" t="str">
        <f t="shared" si="50"/>
        <v xml:space="preserve"> - </v>
      </c>
      <c r="D51" s="51">
        <v>0</v>
      </c>
      <c r="E51" s="51">
        <v>0</v>
      </c>
      <c r="F51" s="51">
        <v>0</v>
      </c>
      <c r="G51" s="51">
        <v>0</v>
      </c>
      <c r="H51" s="51" t="e">
        <f t="shared" si="51"/>
        <v>#DIV/0!</v>
      </c>
      <c r="I51" s="51" t="e">
        <f t="shared" si="52"/>
        <v>#DIV/0!</v>
      </c>
      <c r="J51" s="51">
        <f t="shared" si="70"/>
        <v>0</v>
      </c>
      <c r="K51" s="51" t="e">
        <f t="shared" si="54"/>
        <v>#DIV/0!</v>
      </c>
      <c r="L51" s="51">
        <v>0</v>
      </c>
      <c r="M51" s="51" t="str">
        <f t="shared" si="55"/>
        <v>-</v>
      </c>
      <c r="N51" s="51">
        <v>1</v>
      </c>
      <c r="O51" s="51">
        <f t="shared" ref="O51:P51" si="73">D51/7</f>
        <v>0</v>
      </c>
      <c r="P51" s="51">
        <f t="shared" si="73"/>
        <v>0</v>
      </c>
      <c r="Q51" s="51" t="e">
        <f t="shared" si="57"/>
        <v>#DIV/0!</v>
      </c>
      <c r="R51" s="55">
        <f ca="1">IFERROR(__xludf.DUMMYFUNCTION("IFERROR(VLOOKUP($B$2,IMPORTRANGE(""https://docs.google.com/spreadsheets/d/1iVgg6Mw12RULLujzHmfOFIY8Q_KaAD8anoZzgtVAQ74/edit#gid=1503384807"",""Second Star - Summary!A1:AD2000""),9,FALSE),"""")"),600)</f>
        <v>600</v>
      </c>
      <c r="S51" s="53">
        <f ca="1">IFERROR(__xludf.DUMMYFUNCTION("IFERROR(VLOOKUP($B$2,IMPORTRANGE(""https://docs.google.com/spreadsheets/d/1iVgg6Mw12RULLujzHmfOFIY8Q_KaAD8anoZzgtVAQ74/edit#gid=1503384807"",""Second Star - Summary!A1:AD2000""),28,FALSE),"""")"),160)</f>
        <v>160</v>
      </c>
      <c r="T51" s="54">
        <f ca="1">IFERROR(__xludf.DUMMYFUNCTION("IFERROR(VLOOKUP($B$2,IMPORTRANGE(""https://docs.google.com/spreadsheets/d/1iVgg6Mw12RULLujzHmfOFIY8Q_KaAD8anoZzgtVAQ74/edit#gid=1503384807"",""Second Star - Summary!A1:AD2000""),29,FALSE),"""")"),44339)</f>
        <v>44339</v>
      </c>
      <c r="U51" s="55">
        <v>0</v>
      </c>
      <c r="V51" s="55">
        <f t="shared" si="58"/>
        <v>0</v>
      </c>
      <c r="W51" s="55">
        <f t="shared" si="59"/>
        <v>0</v>
      </c>
      <c r="X51" s="55">
        <v>0</v>
      </c>
      <c r="Y51" s="55" t="s">
        <v>35</v>
      </c>
      <c r="Z51" s="56">
        <f t="shared" si="65"/>
        <v>-2.4</v>
      </c>
      <c r="AA51" s="55">
        <v>0.25695198263888891</v>
      </c>
      <c r="AB51" s="55">
        <f t="shared" si="61"/>
        <v>0</v>
      </c>
      <c r="AC51" s="55">
        <v>-7.32</v>
      </c>
      <c r="AD51" s="55">
        <v>-6.4803224358974303</v>
      </c>
      <c r="AE51" s="55">
        <v>0</v>
      </c>
      <c r="AF51" s="55">
        <v>0</v>
      </c>
    </row>
    <row r="52" spans="1:32" s="57" customFormat="1" ht="15.75" customHeight="1">
      <c r="A52" s="2" t="s">
        <v>123</v>
      </c>
      <c r="B52" s="2"/>
      <c r="C52" s="51" t="str">
        <f t="shared" si="50"/>
        <v xml:space="preserve"> - </v>
      </c>
      <c r="D52" s="51">
        <v>0</v>
      </c>
      <c r="E52" s="51">
        <v>0</v>
      </c>
      <c r="F52" s="51">
        <v>0</v>
      </c>
      <c r="G52" s="51">
        <v>0</v>
      </c>
      <c r="H52" s="51" t="e">
        <f t="shared" si="51"/>
        <v>#DIV/0!</v>
      </c>
      <c r="I52" s="51" t="e">
        <f t="shared" si="52"/>
        <v>#DIV/0!</v>
      </c>
      <c r="J52" s="51">
        <f t="shared" si="70"/>
        <v>0</v>
      </c>
      <c r="K52" s="51" t="e">
        <f t="shared" si="54"/>
        <v>#DIV/0!</v>
      </c>
      <c r="L52" s="51">
        <v>0</v>
      </c>
      <c r="M52" s="51" t="str">
        <f t="shared" si="55"/>
        <v>-</v>
      </c>
      <c r="N52" s="51">
        <v>1</v>
      </c>
      <c r="O52" s="51">
        <f t="shared" ref="O52:P52" si="74">D52/7</f>
        <v>0</v>
      </c>
      <c r="P52" s="51">
        <f t="shared" si="74"/>
        <v>0</v>
      </c>
      <c r="Q52" s="51" t="e">
        <f t="shared" si="57"/>
        <v>#DIV/0!</v>
      </c>
      <c r="R52" s="55">
        <f ca="1">IFERROR(__xludf.DUMMYFUNCTION("IFERROR(VLOOKUP($B$2,IMPORTRANGE(""https://docs.google.com/spreadsheets/d/1iVgg6Mw12RULLujzHmfOFIY8Q_KaAD8anoZzgtVAQ74/edit#gid=1503384807"",""Second Star - Summary!A1:AD2000""),9,FALSE),"""")"),600)</f>
        <v>600</v>
      </c>
      <c r="S52" s="53">
        <f ca="1">IFERROR(__xludf.DUMMYFUNCTION("IFERROR(VLOOKUP($B$2,IMPORTRANGE(""https://docs.google.com/spreadsheets/d/1iVgg6Mw12RULLujzHmfOFIY8Q_KaAD8anoZzgtVAQ74/edit#gid=1503384807"",""Second Star - Summary!A1:AD2000""),28,FALSE),"""")"),160)</f>
        <v>160</v>
      </c>
      <c r="T52" s="54">
        <f ca="1">IFERROR(__xludf.DUMMYFUNCTION("IFERROR(VLOOKUP($B$2,IMPORTRANGE(""https://docs.google.com/spreadsheets/d/1iVgg6Mw12RULLujzHmfOFIY8Q_KaAD8anoZzgtVAQ74/edit#gid=1503384807"",""Second Star - Summary!A1:AD2000""),29,FALSE),"""")"),44339)</f>
        <v>44339</v>
      </c>
      <c r="U52" s="55">
        <v>0</v>
      </c>
      <c r="V52" s="55">
        <f t="shared" si="58"/>
        <v>0</v>
      </c>
      <c r="W52" s="55">
        <f t="shared" si="59"/>
        <v>0</v>
      </c>
      <c r="X52" s="55">
        <v>0</v>
      </c>
      <c r="Y52" s="55" t="s">
        <v>35</v>
      </c>
      <c r="Z52" s="56">
        <f t="shared" si="65"/>
        <v>-2.4</v>
      </c>
      <c r="AA52" s="55">
        <v>0.25695198263888891</v>
      </c>
      <c r="AB52" s="55">
        <f t="shared" si="61"/>
        <v>0</v>
      </c>
      <c r="AC52" s="55">
        <v>-7.32</v>
      </c>
      <c r="AD52" s="55">
        <v>-6.4803224358974303</v>
      </c>
      <c r="AE52" s="55">
        <v>0</v>
      </c>
      <c r="AF52" s="55">
        <v>0</v>
      </c>
    </row>
    <row r="53" spans="1:32" s="57" customFormat="1">
      <c r="A53" s="2" t="s">
        <v>38</v>
      </c>
      <c r="B53" s="2"/>
      <c r="C53" s="51">
        <f t="shared" si="50"/>
        <v>21</v>
      </c>
      <c r="D53" s="51">
        <v>1</v>
      </c>
      <c r="E53" s="51">
        <v>0</v>
      </c>
      <c r="F53" s="51">
        <v>21</v>
      </c>
      <c r="G53" s="51">
        <v>0</v>
      </c>
      <c r="H53" s="51">
        <f t="shared" si="51"/>
        <v>0</v>
      </c>
      <c r="I53" s="51">
        <f t="shared" si="52"/>
        <v>0.10474396614774124</v>
      </c>
      <c r="J53" s="51">
        <f t="shared" si="70"/>
        <v>2.1996232891025662</v>
      </c>
      <c r="K53" s="51">
        <f t="shared" si="54"/>
        <v>2.1996232891025662</v>
      </c>
      <c r="L53" s="51">
        <v>2</v>
      </c>
      <c r="M53" s="51">
        <f t="shared" si="55"/>
        <v>0.5</v>
      </c>
      <c r="N53" s="51">
        <v>0</v>
      </c>
      <c r="O53" s="51">
        <f t="shared" ref="O53:P53" si="75">D53/7</f>
        <v>0.14285714285714285</v>
      </c>
      <c r="P53" s="51">
        <f t="shared" si="75"/>
        <v>0</v>
      </c>
      <c r="Q53" s="51">
        <f t="shared" si="57"/>
        <v>0</v>
      </c>
      <c r="R53" s="55">
        <f ca="1">IFERROR(__xludf.DUMMYFUNCTION("IFERROR(VLOOKUP($B$2,IMPORTRANGE(""https://docs.google.com/spreadsheets/d/1iVgg6Mw12RULLujzHmfOFIY8Q_KaAD8anoZzgtVAQ74/edit#gid=1503384807"",""Second Star - Summary!A1:AD2000""),9,FALSE),"""")"),600)</f>
        <v>600</v>
      </c>
      <c r="S53" s="53">
        <f ca="1">IFERROR(__xludf.DUMMYFUNCTION("IFERROR(VLOOKUP($B$2,IMPORTRANGE(""https://docs.google.com/spreadsheets/d/1iVgg6Mw12RULLujzHmfOFIY8Q_KaAD8anoZzgtVAQ74/edit#gid=1503384807"",""Second Star - Summary!A1:AD2000""),28,FALSE),"""")"),160)</f>
        <v>160</v>
      </c>
      <c r="T53" s="54">
        <f ca="1">IFERROR(__xludf.DUMMYFUNCTION("IFERROR(VLOOKUP($B$2,IMPORTRANGE(""https://docs.google.com/spreadsheets/d/1iVgg6Mw12RULLujzHmfOFIY8Q_KaAD8anoZzgtVAQ74/edit#gid=1503384807"",""Second Star - Summary!A1:AD2000""),29,FALSE),"""")"),44339)</f>
        <v>44339</v>
      </c>
      <c r="U53" s="55">
        <v>0</v>
      </c>
      <c r="V53" s="55">
        <f t="shared" si="58"/>
        <v>0</v>
      </c>
      <c r="W53" s="55">
        <f t="shared" si="59"/>
        <v>0</v>
      </c>
      <c r="X53" s="55">
        <v>0</v>
      </c>
      <c r="Y53" s="55" t="s">
        <v>35</v>
      </c>
      <c r="Z53" s="56">
        <f t="shared" si="65"/>
        <v>-2.4</v>
      </c>
      <c r="AA53" s="55">
        <v>0.25695198263888891</v>
      </c>
      <c r="AB53" s="55">
        <f t="shared" si="61"/>
        <v>-1.8500542750000002</v>
      </c>
      <c r="AC53" s="55">
        <v>-7.32</v>
      </c>
      <c r="AD53" s="55">
        <v>-6.4803224358974303</v>
      </c>
      <c r="AE53" s="55">
        <v>0</v>
      </c>
      <c r="AF53" s="55">
        <v>0</v>
      </c>
    </row>
    <row r="54" spans="1:32" s="57" customFormat="1">
      <c r="A54" s="2" t="s">
        <v>40</v>
      </c>
      <c r="B54" s="2"/>
      <c r="C54" s="51" t="str">
        <f t="shared" si="50"/>
        <v xml:space="preserve"> - </v>
      </c>
      <c r="D54" s="51">
        <v>0</v>
      </c>
      <c r="E54" s="51">
        <v>0</v>
      </c>
      <c r="F54" s="51">
        <v>0</v>
      </c>
      <c r="G54" s="51">
        <v>0</v>
      </c>
      <c r="H54" s="51" t="e">
        <f t="shared" si="51"/>
        <v>#DIV/0!</v>
      </c>
      <c r="I54" s="51" t="e">
        <f t="shared" si="52"/>
        <v>#DIV/0!</v>
      </c>
      <c r="J54" s="51">
        <f t="shared" si="70"/>
        <v>0</v>
      </c>
      <c r="K54" s="51" t="e">
        <f t="shared" si="54"/>
        <v>#DIV/0!</v>
      </c>
      <c r="L54" s="51">
        <v>0</v>
      </c>
      <c r="M54" s="51" t="str">
        <f t="shared" si="55"/>
        <v>-</v>
      </c>
      <c r="N54" s="51">
        <v>0</v>
      </c>
      <c r="O54" s="51">
        <f t="shared" ref="O54:P54" si="76">D54/7</f>
        <v>0</v>
      </c>
      <c r="P54" s="51">
        <f t="shared" si="76"/>
        <v>0</v>
      </c>
      <c r="Q54" s="51" t="e">
        <f t="shared" si="57"/>
        <v>#DIV/0!</v>
      </c>
      <c r="R54" s="55">
        <f ca="1">IFERROR(__xludf.DUMMYFUNCTION("IFERROR(VLOOKUP($B$2,IMPORTRANGE(""https://docs.google.com/spreadsheets/d/1iVgg6Mw12RULLujzHmfOFIY8Q_KaAD8anoZzgtVAQ74/edit#gid=1503384807"",""Second Star - Summary!A1:AD2000""),9,FALSE),"""")"),600)</f>
        <v>600</v>
      </c>
      <c r="S54" s="53">
        <f ca="1">IFERROR(__xludf.DUMMYFUNCTION("IFERROR(VLOOKUP($B$2,IMPORTRANGE(""https://docs.google.com/spreadsheets/d/1iVgg6Mw12RULLujzHmfOFIY8Q_KaAD8anoZzgtVAQ74/edit#gid=1503384807"",""Second Star - Summary!A1:AD2000""),28,FALSE),"""")"),160)</f>
        <v>160</v>
      </c>
      <c r="T54" s="54">
        <f ca="1">IFERROR(__xludf.DUMMYFUNCTION("IFERROR(VLOOKUP($B$2,IMPORTRANGE(""https://docs.google.com/spreadsheets/d/1iVgg6Mw12RULLujzHmfOFIY8Q_KaAD8anoZzgtVAQ74/edit#gid=1503384807"",""Second Star - Summary!A1:AD2000""),29,FALSE),"""")"),44339)</f>
        <v>44339</v>
      </c>
      <c r="U54" s="55">
        <v>0</v>
      </c>
      <c r="V54" s="55">
        <f t="shared" si="58"/>
        <v>0</v>
      </c>
      <c r="W54" s="55">
        <f t="shared" si="59"/>
        <v>0</v>
      </c>
      <c r="X54" s="55">
        <v>0</v>
      </c>
      <c r="Y54" s="55" t="e">
        <v>#N/A</v>
      </c>
      <c r="Z54" s="56" t="e">
        <f t="shared" si="65"/>
        <v>#N/A</v>
      </c>
      <c r="AA54" s="55" t="e">
        <v>#N/A</v>
      </c>
      <c r="AB54" s="55">
        <f t="shared" si="61"/>
        <v>0</v>
      </c>
      <c r="AC54" s="55">
        <v>0</v>
      </c>
      <c r="AD54" s="55">
        <v>-6.4803224358974303</v>
      </c>
      <c r="AE54" s="55">
        <v>0</v>
      </c>
      <c r="AF54" s="55">
        <v>0</v>
      </c>
    </row>
    <row r="55" spans="1:32" s="57" customFormat="1" ht="15.75" customHeight="1">
      <c r="A55" s="2" t="s">
        <v>32</v>
      </c>
      <c r="B55" s="2"/>
      <c r="C55" s="51" t="str">
        <f t="shared" si="50"/>
        <v xml:space="preserve"> - </v>
      </c>
      <c r="D55" s="51">
        <v>0</v>
      </c>
      <c r="E55" s="51">
        <v>0</v>
      </c>
      <c r="F55" s="51">
        <v>0</v>
      </c>
      <c r="G55" s="51">
        <v>0</v>
      </c>
      <c r="H55" s="51" t="e">
        <f t="shared" si="51"/>
        <v>#DIV/0!</v>
      </c>
      <c r="I55" s="51" t="e">
        <f t="shared" si="52"/>
        <v>#DIV/0!</v>
      </c>
      <c r="J55" s="51">
        <f t="shared" si="70"/>
        <v>0</v>
      </c>
      <c r="K55" s="51" t="e">
        <f t="shared" si="54"/>
        <v>#DIV/0!</v>
      </c>
      <c r="L55" s="51">
        <v>0</v>
      </c>
      <c r="M55" s="51" t="str">
        <f t="shared" si="55"/>
        <v>-</v>
      </c>
      <c r="N55" s="51">
        <v>0</v>
      </c>
      <c r="O55" s="51">
        <f t="shared" ref="O55:P55" si="77">D55/7</f>
        <v>0</v>
      </c>
      <c r="P55" s="51">
        <f t="shared" si="77"/>
        <v>0</v>
      </c>
      <c r="Q55" s="51" t="e">
        <f t="shared" si="57"/>
        <v>#DIV/0!</v>
      </c>
      <c r="R55" s="55">
        <v>408</v>
      </c>
      <c r="S55" s="53" t="s">
        <v>34</v>
      </c>
      <c r="T55" s="54" t="s">
        <v>34</v>
      </c>
      <c r="U55" s="55">
        <v>0</v>
      </c>
      <c r="V55" s="55">
        <f t="shared" si="58"/>
        <v>0</v>
      </c>
      <c r="W55" s="55">
        <f t="shared" si="59"/>
        <v>0</v>
      </c>
      <c r="X55" s="55">
        <v>0</v>
      </c>
      <c r="Y55" s="55" t="e">
        <v>#N/A</v>
      </c>
      <c r="Z55" s="56" t="e">
        <f t="shared" si="65"/>
        <v>#N/A</v>
      </c>
      <c r="AA55" s="55" t="e">
        <v>#N/A</v>
      </c>
      <c r="AB55" s="55">
        <f t="shared" si="61"/>
        <v>0</v>
      </c>
      <c r="AC55" s="55">
        <v>0</v>
      </c>
      <c r="AD55" s="55">
        <v>-6.4803224358974303</v>
      </c>
      <c r="AE55" s="55">
        <v>0</v>
      </c>
      <c r="AF55" s="55" t="e">
        <v>#N/A</v>
      </c>
    </row>
    <row r="56" spans="1:32" s="57" customFormat="1" ht="15.75" customHeight="1">
      <c r="A56" s="2" t="s">
        <v>36</v>
      </c>
      <c r="B56" s="2"/>
      <c r="C56" s="51" t="str">
        <f t="shared" si="50"/>
        <v xml:space="preserve"> - </v>
      </c>
      <c r="D56" s="51">
        <v>0</v>
      </c>
      <c r="E56" s="51">
        <v>0</v>
      </c>
      <c r="F56" s="51">
        <v>0</v>
      </c>
      <c r="G56" s="51">
        <v>0</v>
      </c>
      <c r="H56" s="51" t="e">
        <f t="shared" si="51"/>
        <v>#DIV/0!</v>
      </c>
      <c r="I56" s="51" t="e">
        <f t="shared" si="52"/>
        <v>#DIV/0!</v>
      </c>
      <c r="J56" s="51">
        <f t="shared" si="70"/>
        <v>0</v>
      </c>
      <c r="K56" s="51" t="e">
        <f t="shared" si="54"/>
        <v>#DIV/0!</v>
      </c>
      <c r="L56" s="51">
        <v>0</v>
      </c>
      <c r="M56" s="51" t="str">
        <f t="shared" si="55"/>
        <v>-</v>
      </c>
      <c r="N56" s="51">
        <v>0</v>
      </c>
      <c r="O56" s="51">
        <f t="shared" ref="O56:P56" si="78">D56/7</f>
        <v>0</v>
      </c>
      <c r="P56" s="51">
        <f t="shared" si="78"/>
        <v>0</v>
      </c>
      <c r="Q56" s="51" t="e">
        <f t="shared" si="57"/>
        <v>#DIV/0!</v>
      </c>
      <c r="R56" s="55">
        <f ca="1">IFERROR(__xludf.DUMMYFUNCTION("IFERROR(VLOOKUP($B$2,IMPORTRANGE(""https://docs.google.com/spreadsheets/d/1iVgg6Mw12RULLujzHmfOFIY8Q_KaAD8anoZzgtVAQ74/edit#gid=1503384807"",""Second Star - Summary!A1:AD2000""),9,FALSE),"""")"),600)</f>
        <v>600</v>
      </c>
      <c r="S56" s="53">
        <f ca="1">IFERROR(__xludf.DUMMYFUNCTION("IFERROR(VLOOKUP($B$2,IMPORTRANGE(""https://docs.google.com/spreadsheets/d/1iVgg6Mw12RULLujzHmfOFIY8Q_KaAD8anoZzgtVAQ74/edit#gid=1503384807"",""Second Star - Summary!A1:AD2000""),28,FALSE),"""")"),160)</f>
        <v>160</v>
      </c>
      <c r="T56" s="54">
        <f ca="1">IFERROR(__xludf.DUMMYFUNCTION("IFERROR(VLOOKUP($B$2,IMPORTRANGE(""https://docs.google.com/spreadsheets/d/1iVgg6Mw12RULLujzHmfOFIY8Q_KaAD8anoZzgtVAQ74/edit#gid=1503384807"",""Second Star - Summary!A1:AD2000""),29,FALSE),"""")"),44339)</f>
        <v>44339</v>
      </c>
      <c r="U56" s="55">
        <v>0</v>
      </c>
      <c r="V56" s="55">
        <f t="shared" si="58"/>
        <v>0</v>
      </c>
      <c r="W56" s="55">
        <f t="shared" si="59"/>
        <v>0</v>
      </c>
      <c r="X56" s="55">
        <v>0</v>
      </c>
      <c r="Y56" s="55" t="e">
        <v>#N/A</v>
      </c>
      <c r="Z56" s="56" t="e">
        <f t="shared" si="65"/>
        <v>#N/A</v>
      </c>
      <c r="AA56" s="55" t="e">
        <v>#N/A</v>
      </c>
      <c r="AB56" s="55">
        <f t="shared" si="61"/>
        <v>0</v>
      </c>
      <c r="AC56" s="55">
        <v>0</v>
      </c>
      <c r="AD56" s="55">
        <v>-6.4803224358974303</v>
      </c>
      <c r="AE56" s="55">
        <v>0</v>
      </c>
      <c r="AF56" s="55" t="e">
        <v>#N/A</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103" priority="1" operator="lessThan">
      <formula>100</formula>
    </cfRule>
  </conditionalFormatting>
  <conditionalFormatting sqref="Q1:Q3 Q57:Q1000">
    <cfRule type="cellIs" dxfId="102" priority="2" operator="lessThan">
      <formula>100</formula>
    </cfRule>
  </conditionalFormatting>
  <conditionalFormatting sqref="I1:I3 I57:I1000">
    <cfRule type="cellIs" dxfId="101" priority="3" operator="lessThan">
      <formula>0.05</formula>
    </cfRule>
  </conditionalFormatting>
  <conditionalFormatting sqref="I4:I17">
    <cfRule type="cellIs" dxfId="100" priority="4" operator="lessThan">
      <formula>0.05</formula>
    </cfRule>
  </conditionalFormatting>
  <conditionalFormatting sqref="I18:I56">
    <cfRule type="cellIs" dxfId="99" priority="5" operator="lessThan">
      <formula>0.05</formula>
    </cfRule>
  </conditionalFormatting>
  <conditionalFormatting sqref="Q4:Q56">
    <cfRule type="cellIs" dxfId="98" priority="6" operator="lessThan">
      <formula>100</formula>
    </cfRule>
  </conditionalFormatting>
  <conditionalFormatting sqref="Q4:Q56">
    <cfRule type="cellIs" dxfId="97" priority="7" operator="lessThan">
      <formula>100</formula>
    </cfRule>
  </conditionalFormatting>
  <pageMargins left="0.7" right="0.7" top="0.75" bottom="0.75" header="0" footer="0"/>
  <pageSetup orientation="portrait"/>
  <legacyDrawing r:id="rId1"/>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9.1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Info!B1:BJ5000""),4,FALSE),"""")"),"Corn Filled Cornhole Bean Bags - Set of 8 Bags for Corn Hole Toss Game - Regulation Size &amp; Weight - 4 Orange and 4 Black")</f>
        <v>Corn Filled Cornhole Bean Bags - Set of 8 Bags for Corn Hole Toss Game - Regulation Size &amp; Weight - 4 Orange and 4 Black</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Info!B1:BJ5000""),3,FALSE),"""")"),"B07VPRFWXQ")</f>
        <v>B07VPRFWXQ</v>
      </c>
      <c r="B2" s="4" t="s">
        <v>1115</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7.6239087481146237</v>
      </c>
      <c r="D3" s="8">
        <f>SUM(D4:D99819)</f>
        <v>134</v>
      </c>
      <c r="E3" s="8"/>
      <c r="F3" s="9">
        <f t="shared" ref="F3:G3" si="0">SUM(F4:F99819)</f>
        <v>2768.77</v>
      </c>
      <c r="G3" s="9">
        <f t="shared" si="0"/>
        <v>-17.660000000000004</v>
      </c>
      <c r="H3" s="10">
        <f t="shared" ref="H3:H39" si="1">G3/F3*-1</f>
        <v>6.3782834977264289E-3</v>
      </c>
      <c r="I3" s="11">
        <f t="shared" ref="I3:I39" si="2">J3/F3</f>
        <v>0.13528299084357776</v>
      </c>
      <c r="J3" s="9">
        <f>SUM(J4:J99819)</f>
        <v>374.56748655797281</v>
      </c>
      <c r="K3" s="9">
        <f t="shared" ref="K3:K39" si="3">J3/D3</f>
        <v>2.7952797504326328</v>
      </c>
      <c r="L3" s="8"/>
      <c r="M3" s="12"/>
      <c r="N3" s="13"/>
      <c r="O3" s="8" t="str">
        <f ca="1">IFERROR(__xludf.DUMMYFUNCTION("IFERROR(VLOOKUP(B2,IMPORTRANGE(""https://docs.google.com/spreadsheets/d/1owCo6kL_VFQ5nPTdNogErmCBLjNiktT1m3SzTrxu3R0/edit#gid=2146806407"",""Second Star - Compiled!b1:g5000""),2,FALSE),"""")"),"1 - March
1 - April
1 - May
1 - Jun
1 - Jul
1 - Aug
1 - Sept
1 - Oct
1 - Nov
1 - Dec
1 - Jan
1 - Feb")</f>
        <v>1 - March
1 - April
1 - May
1 - Jun
1 - Jul
1 - Aug
1 - Sept
1 - Oct
1 - Nov
1 - Dec
1 - Jan
1 - Feb</v>
      </c>
      <c r="P3" s="8"/>
      <c r="Q3" s="14"/>
      <c r="R3" s="13"/>
      <c r="S3" s="13"/>
      <c r="T3" s="13"/>
      <c r="U3" s="8">
        <f>SUM(U4:U99819)</f>
        <v>11</v>
      </c>
      <c r="V3" s="10">
        <f>AVERAGE(V4:V99819)</f>
        <v>1.3873473917869035E-2</v>
      </c>
      <c r="W3" s="9">
        <f>ROUND(AVERAGE(W4:W99819),2)</f>
        <v>0.03</v>
      </c>
      <c r="X3" s="8"/>
      <c r="Y3" s="8"/>
      <c r="Z3" s="8"/>
      <c r="AA3" s="8"/>
      <c r="AB3" s="8"/>
      <c r="AC3" s="15"/>
      <c r="AD3" s="9"/>
      <c r="AE3" s="9">
        <f>SUM(AE4:AE99819)</f>
        <v>0</v>
      </c>
      <c r="AF3" s="16"/>
    </row>
    <row r="4" spans="1:32" s="57" customFormat="1">
      <c r="A4" s="17" t="s">
        <v>48</v>
      </c>
      <c r="B4" s="2" t="s">
        <v>946</v>
      </c>
      <c r="C4" s="50">
        <v>17.989999999999998</v>
      </c>
      <c r="D4" s="51">
        <v>2</v>
      </c>
      <c r="E4" s="51">
        <v>0</v>
      </c>
      <c r="F4" s="51">
        <v>35.979999999999997</v>
      </c>
      <c r="G4" s="51">
        <v>0</v>
      </c>
      <c r="H4" s="51">
        <f t="shared" si="1"/>
        <v>0</v>
      </c>
      <c r="I4" s="51">
        <f t="shared" si="2"/>
        <v>-1.1325478764912295E-2</v>
      </c>
      <c r="J4" s="51">
        <f t="shared" ref="J4:J38" si="4">F4*0.85+G4+AD4*D4+D4*AC4+AE4+AB4</f>
        <v>-0.40749072596154434</v>
      </c>
      <c r="K4" s="51">
        <f t="shared" si="3"/>
        <v>-0.20374536298077217</v>
      </c>
      <c r="L4" s="51">
        <v>35</v>
      </c>
      <c r="M4" s="51">
        <f t="shared" ref="M4:M39" si="5">IFERROR(D4/L4,"-")</f>
        <v>5.7142857142857141E-2</v>
      </c>
      <c r="N4" s="51">
        <v>80</v>
      </c>
      <c r="O4" s="51">
        <f t="shared" ref="O4:P4" si="6">D4/7</f>
        <v>0.2857142857142857</v>
      </c>
      <c r="P4" s="51">
        <f t="shared" si="6"/>
        <v>0</v>
      </c>
      <c r="Q4" s="51">
        <f t="shared" ref="Q4:Q39" si="7">ROUNDDOWN(N4/(O4+P4),0)</f>
        <v>280</v>
      </c>
      <c r="R4" s="52">
        <v>202</v>
      </c>
      <c r="S4" s="53">
        <v>50</v>
      </c>
      <c r="T4" s="54">
        <v>43876</v>
      </c>
      <c r="U4" s="52">
        <v>0</v>
      </c>
      <c r="V4" s="55">
        <f t="shared" ref="V4:V39" si="8">IFERROR(U4/D4,0)</f>
        <v>0</v>
      </c>
      <c r="W4" s="55">
        <f t="shared" ref="W4:W39" si="9">IFERROR(G4/(U4+X4)*-1,0)</f>
        <v>0</v>
      </c>
      <c r="X4" s="52">
        <v>0</v>
      </c>
      <c r="Y4" s="56" t="s">
        <v>35</v>
      </c>
      <c r="Z4" s="56">
        <f t="shared" ref="Z4:Z10" si="10">IF(OR(Y4="UsLargeStandardSize",Y4="UsSmallStandardSize"),-0.69,-0.48)</f>
        <v>-0.69</v>
      </c>
      <c r="AA4" s="55">
        <v>0.26882940972222219</v>
      </c>
      <c r="AB4" s="55">
        <f t="shared" ref="AB4:AB17" si="11">IFERROR((Z4*AA4*N4)/4,0)</f>
        <v>-3.7098458541666659</v>
      </c>
      <c r="AC4" s="55">
        <v>-7.16</v>
      </c>
      <c r="AD4" s="55">
        <v>-6.4803224358974356</v>
      </c>
      <c r="AE4" s="55">
        <v>0</v>
      </c>
      <c r="AF4" s="55"/>
    </row>
    <row r="5" spans="1:32" s="57" customFormat="1" ht="15.75" customHeight="1">
      <c r="A5" s="2" t="s">
        <v>49</v>
      </c>
      <c r="B5" s="2" t="s">
        <v>1116</v>
      </c>
      <c r="C5" s="51">
        <v>16.989999999999998</v>
      </c>
      <c r="D5" s="51">
        <v>2</v>
      </c>
      <c r="E5" s="51">
        <v>0</v>
      </c>
      <c r="F5" s="51">
        <v>34.979999999999997</v>
      </c>
      <c r="G5" s="51">
        <v>0</v>
      </c>
      <c r="H5" s="51">
        <f t="shared" si="1"/>
        <v>0</v>
      </c>
      <c r="I5" s="51">
        <f t="shared" si="2"/>
        <v>-3.5948848655275548E-2</v>
      </c>
      <c r="J5" s="51">
        <f t="shared" si="4"/>
        <v>-1.2574907259615387</v>
      </c>
      <c r="K5" s="51">
        <f t="shared" si="3"/>
        <v>-0.62874536298076933</v>
      </c>
      <c r="L5" s="51">
        <v>29</v>
      </c>
      <c r="M5" s="51">
        <f t="shared" si="5"/>
        <v>6.8965517241379309E-2</v>
      </c>
      <c r="N5" s="51">
        <v>80</v>
      </c>
      <c r="O5" s="51">
        <f t="shared" ref="O5:P5" si="12">D5/7</f>
        <v>0.2857142857142857</v>
      </c>
      <c r="P5" s="51">
        <f t="shared" si="12"/>
        <v>0</v>
      </c>
      <c r="Q5" s="51">
        <f t="shared" si="7"/>
        <v>280</v>
      </c>
      <c r="R5" s="55">
        <v>202</v>
      </c>
      <c r="S5" s="53">
        <v>50</v>
      </c>
      <c r="T5" s="54">
        <v>43876</v>
      </c>
      <c r="U5" s="55">
        <v>0</v>
      </c>
      <c r="V5" s="55">
        <f t="shared" si="8"/>
        <v>0</v>
      </c>
      <c r="W5" s="55">
        <f t="shared" si="9"/>
        <v>0</v>
      </c>
      <c r="X5" s="55">
        <v>0</v>
      </c>
      <c r="Y5" s="55" t="s">
        <v>35</v>
      </c>
      <c r="Z5" s="56">
        <f t="shared" si="10"/>
        <v>-0.69</v>
      </c>
      <c r="AA5" s="55">
        <v>0.26882940972222219</v>
      </c>
      <c r="AB5" s="55">
        <f t="shared" si="11"/>
        <v>-3.7098458541666659</v>
      </c>
      <c r="AC5" s="55">
        <v>-7.16</v>
      </c>
      <c r="AD5" s="55">
        <v>-6.4803224358974356</v>
      </c>
      <c r="AE5" s="55">
        <v>0</v>
      </c>
      <c r="AF5" s="55"/>
    </row>
    <row r="6" spans="1:32" s="57" customFormat="1" ht="15.75" customHeight="1">
      <c r="A6" s="2" t="s">
        <v>51</v>
      </c>
      <c r="B6" s="2" t="s">
        <v>1117</v>
      </c>
      <c r="C6" s="51">
        <v>15.99</v>
      </c>
      <c r="D6" s="51">
        <v>6</v>
      </c>
      <c r="E6" s="51">
        <v>0</v>
      </c>
      <c r="F6" s="51">
        <v>97.94</v>
      </c>
      <c r="G6" s="51">
        <v>0</v>
      </c>
      <c r="H6" s="51">
        <f t="shared" si="1"/>
        <v>0</v>
      </c>
      <c r="I6" s="51">
        <f t="shared" si="2"/>
        <v>-2.0671248013975772E-2</v>
      </c>
      <c r="J6" s="51">
        <f t="shared" si="4"/>
        <v>-2.0245420304887869</v>
      </c>
      <c r="K6" s="51">
        <f t="shared" si="3"/>
        <v>-0.33742367174813115</v>
      </c>
      <c r="L6" s="51">
        <v>27</v>
      </c>
      <c r="M6" s="51">
        <f t="shared" si="5"/>
        <v>0.22222222222222221</v>
      </c>
      <c r="N6" s="51">
        <v>74</v>
      </c>
      <c r="O6" s="51">
        <f t="shared" ref="O6:P6" si="13">D6/7</f>
        <v>0.8571428571428571</v>
      </c>
      <c r="P6" s="51">
        <f t="shared" si="13"/>
        <v>0</v>
      </c>
      <c r="Q6" s="51">
        <f t="shared" si="7"/>
        <v>86</v>
      </c>
      <c r="R6" s="55">
        <v>204</v>
      </c>
      <c r="S6" s="53">
        <v>52</v>
      </c>
      <c r="T6" s="54">
        <v>43884</v>
      </c>
      <c r="U6" s="55">
        <v>0</v>
      </c>
      <c r="V6" s="55">
        <f t="shared" si="8"/>
        <v>0</v>
      </c>
      <c r="W6" s="55">
        <f t="shared" si="9"/>
        <v>0</v>
      </c>
      <c r="X6" s="55">
        <v>0</v>
      </c>
      <c r="Y6" s="55" t="s">
        <v>35</v>
      </c>
      <c r="Z6" s="56">
        <f t="shared" si="10"/>
        <v>-0.69</v>
      </c>
      <c r="AA6" s="55">
        <v>0.26882940972222219</v>
      </c>
      <c r="AB6" s="55">
        <f t="shared" si="11"/>
        <v>-3.4316074151041658</v>
      </c>
      <c r="AC6" s="55">
        <v>-7.16</v>
      </c>
      <c r="AD6" s="55">
        <v>-6.4803224358974356</v>
      </c>
      <c r="AE6" s="55">
        <v>0</v>
      </c>
      <c r="AF6" s="55"/>
    </row>
    <row r="7" spans="1:32" s="57" customFormat="1" ht="15.75" customHeight="1">
      <c r="A7" s="2" t="s">
        <v>53</v>
      </c>
      <c r="B7" s="2" t="s">
        <v>983</v>
      </c>
      <c r="C7" s="51">
        <v>15.99</v>
      </c>
      <c r="D7" s="51">
        <v>1</v>
      </c>
      <c r="E7" s="51">
        <v>0</v>
      </c>
      <c r="F7" s="51">
        <v>15.99</v>
      </c>
      <c r="G7" s="51">
        <v>0</v>
      </c>
      <c r="H7" s="51">
        <f t="shared" si="1"/>
        <v>0</v>
      </c>
      <c r="I7" s="51">
        <f t="shared" si="2"/>
        <v>-0.21476277534862528</v>
      </c>
      <c r="J7" s="51">
        <f t="shared" si="4"/>
        <v>-3.4340567778245181</v>
      </c>
      <c r="K7" s="51">
        <f t="shared" si="3"/>
        <v>-3.4340567778245181</v>
      </c>
      <c r="L7" s="51">
        <v>28</v>
      </c>
      <c r="M7" s="51">
        <f t="shared" si="5"/>
        <v>3.5714285714285712E-2</v>
      </c>
      <c r="N7" s="51">
        <v>73</v>
      </c>
      <c r="O7" s="51">
        <f t="shared" ref="O7:P7" si="14">D7/7</f>
        <v>0.14285714285714285</v>
      </c>
      <c r="P7" s="51">
        <f t="shared" si="14"/>
        <v>0</v>
      </c>
      <c r="Q7" s="51">
        <f t="shared" si="7"/>
        <v>511</v>
      </c>
      <c r="R7" s="55">
        <v>204</v>
      </c>
      <c r="S7" s="53">
        <v>52</v>
      </c>
      <c r="T7" s="54">
        <v>43884</v>
      </c>
      <c r="U7" s="55">
        <v>0</v>
      </c>
      <c r="V7" s="55">
        <f t="shared" si="8"/>
        <v>0</v>
      </c>
      <c r="W7" s="55">
        <f t="shared" si="9"/>
        <v>0</v>
      </c>
      <c r="X7" s="55">
        <v>0</v>
      </c>
      <c r="Y7" s="55" t="s">
        <v>35</v>
      </c>
      <c r="Z7" s="56">
        <f t="shared" si="10"/>
        <v>-0.69</v>
      </c>
      <c r="AA7" s="55">
        <v>0.26882940972222219</v>
      </c>
      <c r="AB7" s="55">
        <f t="shared" si="11"/>
        <v>-3.3852343419270823</v>
      </c>
      <c r="AC7" s="55">
        <v>-7.16</v>
      </c>
      <c r="AD7" s="55">
        <v>-6.4803224358974356</v>
      </c>
      <c r="AE7" s="55">
        <v>0</v>
      </c>
      <c r="AF7" s="55"/>
    </row>
    <row r="8" spans="1:32" s="57" customFormat="1" ht="15.75" customHeight="1">
      <c r="A8" s="2" t="s">
        <v>54</v>
      </c>
      <c r="B8" s="2" t="s">
        <v>810</v>
      </c>
      <c r="C8" s="51">
        <v>15.99</v>
      </c>
      <c r="D8" s="51">
        <v>4</v>
      </c>
      <c r="E8" s="51">
        <v>0</v>
      </c>
      <c r="F8" s="51">
        <v>63.96</v>
      </c>
      <c r="G8" s="51">
        <v>0</v>
      </c>
      <c r="H8" s="51">
        <f t="shared" si="1"/>
        <v>0</v>
      </c>
      <c r="I8" s="51">
        <f t="shared" si="2"/>
        <v>-5.308054710457305E-2</v>
      </c>
      <c r="J8" s="51">
        <f t="shared" si="4"/>
        <v>-3.3950317928084925</v>
      </c>
      <c r="K8" s="51">
        <f t="shared" si="3"/>
        <v>-0.84875794820212314</v>
      </c>
      <c r="L8" s="51">
        <v>19</v>
      </c>
      <c r="M8" s="51">
        <f t="shared" si="5"/>
        <v>0.21052631578947367</v>
      </c>
      <c r="N8" s="51">
        <v>69</v>
      </c>
      <c r="O8" s="51">
        <f t="shared" ref="O8:P8" si="15">D8/7</f>
        <v>0.5714285714285714</v>
      </c>
      <c r="P8" s="51">
        <f t="shared" si="15"/>
        <v>0</v>
      </c>
      <c r="Q8" s="51">
        <f t="shared" si="7"/>
        <v>120</v>
      </c>
      <c r="R8" s="55">
        <v>204</v>
      </c>
      <c r="S8" s="53">
        <v>52</v>
      </c>
      <c r="T8" s="54">
        <v>43884</v>
      </c>
      <c r="U8" s="55">
        <v>0</v>
      </c>
      <c r="V8" s="55">
        <f t="shared" si="8"/>
        <v>0</v>
      </c>
      <c r="W8" s="55">
        <f t="shared" si="9"/>
        <v>0</v>
      </c>
      <c r="X8" s="55">
        <v>0</v>
      </c>
      <c r="Y8" s="55" t="s">
        <v>35</v>
      </c>
      <c r="Z8" s="56">
        <f t="shared" si="10"/>
        <v>-0.69</v>
      </c>
      <c r="AA8" s="55">
        <v>0.26882940972222219</v>
      </c>
      <c r="AB8" s="55">
        <f t="shared" si="11"/>
        <v>-3.1997420492187492</v>
      </c>
      <c r="AC8" s="55">
        <v>-7.16</v>
      </c>
      <c r="AD8" s="55">
        <v>-6.4803224358974356</v>
      </c>
      <c r="AE8" s="55">
        <v>0</v>
      </c>
      <c r="AF8" s="55"/>
    </row>
    <row r="9" spans="1:32" s="57" customFormat="1" ht="15.75" customHeight="1">
      <c r="A9" s="2" t="s">
        <v>56</v>
      </c>
      <c r="B9" s="2" t="s">
        <v>907</v>
      </c>
      <c r="C9" s="51">
        <v>15.99</v>
      </c>
      <c r="D9" s="51">
        <v>3</v>
      </c>
      <c r="E9" s="51">
        <v>0</v>
      </c>
      <c r="F9" s="51">
        <v>47.97</v>
      </c>
      <c r="G9" s="51">
        <v>0</v>
      </c>
      <c r="H9" s="51">
        <f t="shared" si="1"/>
        <v>0</v>
      </c>
      <c r="I9" s="51">
        <f t="shared" si="2"/>
        <v>-6.6856162963931862E-2</v>
      </c>
      <c r="J9" s="51">
        <f t="shared" si="4"/>
        <v>-3.2070901373798111</v>
      </c>
      <c r="K9" s="51">
        <f t="shared" si="3"/>
        <v>-1.0690300457932704</v>
      </c>
      <c r="L9" s="51">
        <v>23</v>
      </c>
      <c r="M9" s="51">
        <f t="shared" si="5"/>
        <v>0.13043478260869565</v>
      </c>
      <c r="N9" s="51">
        <v>66</v>
      </c>
      <c r="O9" s="51">
        <f t="shared" ref="O9:P9" si="16">D9/7</f>
        <v>0.42857142857142855</v>
      </c>
      <c r="P9" s="51">
        <f t="shared" si="16"/>
        <v>0</v>
      </c>
      <c r="Q9" s="51">
        <f t="shared" si="7"/>
        <v>154</v>
      </c>
      <c r="R9" s="55">
        <v>152</v>
      </c>
      <c r="S9" s="53">
        <v>52</v>
      </c>
      <c r="T9" s="54">
        <v>43881</v>
      </c>
      <c r="U9" s="55">
        <v>0</v>
      </c>
      <c r="V9" s="55">
        <f t="shared" si="8"/>
        <v>0</v>
      </c>
      <c r="W9" s="55">
        <f t="shared" si="9"/>
        <v>0</v>
      </c>
      <c r="X9" s="55">
        <v>0</v>
      </c>
      <c r="Y9" s="55" t="s">
        <v>35</v>
      </c>
      <c r="Z9" s="56">
        <f t="shared" si="10"/>
        <v>-0.69</v>
      </c>
      <c r="AA9" s="55">
        <v>0.26882940972222219</v>
      </c>
      <c r="AB9" s="55">
        <f t="shared" si="11"/>
        <v>-3.0606228296874991</v>
      </c>
      <c r="AC9" s="55">
        <v>-7.16</v>
      </c>
      <c r="AD9" s="55">
        <v>-6.4803224358974356</v>
      </c>
      <c r="AE9" s="55">
        <v>0</v>
      </c>
      <c r="AF9" s="55"/>
    </row>
    <row r="10" spans="1:32" s="57" customFormat="1" ht="15.75" customHeight="1">
      <c r="A10" s="2" t="s">
        <v>58</v>
      </c>
      <c r="B10" s="2" t="s">
        <v>824</v>
      </c>
      <c r="C10" s="51">
        <v>17.989999999999998</v>
      </c>
      <c r="D10" s="51">
        <v>6</v>
      </c>
      <c r="E10" s="51">
        <v>0</v>
      </c>
      <c r="F10" s="51">
        <v>81.949999999999989</v>
      </c>
      <c r="G10" s="51">
        <v>0</v>
      </c>
      <c r="H10" s="51">
        <f t="shared" si="1"/>
        <v>0</v>
      </c>
      <c r="I10" s="51">
        <f t="shared" si="2"/>
        <v>-0.18263354491775025</v>
      </c>
      <c r="J10" s="51">
        <f t="shared" si="4"/>
        <v>-14.966819006009631</v>
      </c>
      <c r="K10" s="51">
        <f t="shared" si="3"/>
        <v>-2.4944698343349385</v>
      </c>
      <c r="L10" s="51">
        <v>28</v>
      </c>
      <c r="M10" s="51">
        <f t="shared" si="5"/>
        <v>0.21428571428571427</v>
      </c>
      <c r="N10" s="51">
        <v>60</v>
      </c>
      <c r="O10" s="51">
        <f t="shared" ref="O10:P10" si="17">D10/7</f>
        <v>0.8571428571428571</v>
      </c>
      <c r="P10" s="51">
        <f t="shared" si="17"/>
        <v>0</v>
      </c>
      <c r="Q10" s="51">
        <f t="shared" si="7"/>
        <v>70</v>
      </c>
      <c r="R10" s="55">
        <v>152</v>
      </c>
      <c r="S10" s="53">
        <v>52</v>
      </c>
      <c r="T10" s="54">
        <v>43885</v>
      </c>
      <c r="U10" s="55">
        <v>0</v>
      </c>
      <c r="V10" s="55">
        <f t="shared" si="8"/>
        <v>0</v>
      </c>
      <c r="W10" s="55">
        <f t="shared" si="9"/>
        <v>0</v>
      </c>
      <c r="X10" s="55">
        <v>0</v>
      </c>
      <c r="Y10" s="55" t="s">
        <v>35</v>
      </c>
      <c r="Z10" s="56">
        <f t="shared" si="10"/>
        <v>-0.69</v>
      </c>
      <c r="AA10" s="55">
        <v>0.26882940972222219</v>
      </c>
      <c r="AB10" s="55">
        <f t="shared" si="11"/>
        <v>-2.7823843906249994</v>
      </c>
      <c r="AC10" s="55">
        <v>-7.16</v>
      </c>
      <c r="AD10" s="55">
        <v>-6.4803224358974356</v>
      </c>
      <c r="AE10" s="55">
        <v>0</v>
      </c>
      <c r="AF10" s="55"/>
    </row>
    <row r="11" spans="1:32" s="57" customFormat="1" ht="15.75" customHeight="1">
      <c r="A11" s="2" t="s">
        <v>60</v>
      </c>
      <c r="B11" s="2" t="s">
        <v>810</v>
      </c>
      <c r="C11" s="51">
        <v>17.989999999999998</v>
      </c>
      <c r="D11" s="51">
        <v>1</v>
      </c>
      <c r="E11" s="51">
        <v>0</v>
      </c>
      <c r="F11" s="51">
        <v>17.989999999999998</v>
      </c>
      <c r="G11" s="51">
        <v>0</v>
      </c>
      <c r="H11" s="51">
        <f t="shared" si="1"/>
        <v>0</v>
      </c>
      <c r="I11" s="51">
        <f t="shared" si="2"/>
        <v>-8.2420665978294769E-2</v>
      </c>
      <c r="J11" s="51">
        <f t="shared" si="4"/>
        <v>-1.4827477809495226</v>
      </c>
      <c r="K11" s="51">
        <f t="shared" si="3"/>
        <v>-1.4827477809495226</v>
      </c>
      <c r="L11" s="51">
        <v>40</v>
      </c>
      <c r="M11" s="51">
        <f t="shared" si="5"/>
        <v>2.5000000000000001E-2</v>
      </c>
      <c r="N11" s="51">
        <v>59</v>
      </c>
      <c r="O11" s="51">
        <f t="shared" ref="O11:P11" si="18">D11/7</f>
        <v>0.14285714285714285</v>
      </c>
      <c r="P11" s="51">
        <f t="shared" si="18"/>
        <v>0</v>
      </c>
      <c r="Q11" s="51">
        <f t="shared" si="7"/>
        <v>413</v>
      </c>
      <c r="R11" s="55">
        <v>100</v>
      </c>
      <c r="S11" s="53" t="s">
        <v>34</v>
      </c>
      <c r="T11" s="54" t="s">
        <v>34</v>
      </c>
      <c r="U11" s="55">
        <v>0</v>
      </c>
      <c r="V11" s="55">
        <f t="shared" si="8"/>
        <v>0</v>
      </c>
      <c r="W11" s="55">
        <f t="shared" si="9"/>
        <v>0</v>
      </c>
      <c r="X11" s="55">
        <v>0</v>
      </c>
      <c r="Y11" s="55" t="s">
        <v>35</v>
      </c>
      <c r="Z11" s="56">
        <f t="shared" ref="Z11:Z39" si="19">IF(OR(Y11="UsLargeStandardSize",Y11="UsSmallStandardSize"),-0.75,-0.48)</f>
        <v>-0.75</v>
      </c>
      <c r="AA11" s="55">
        <v>0.26882940972222219</v>
      </c>
      <c r="AB11" s="55">
        <f t="shared" si="11"/>
        <v>-2.9739253450520833</v>
      </c>
      <c r="AC11" s="55">
        <v>-7.32</v>
      </c>
      <c r="AD11" s="55">
        <v>-6.4803224358974356</v>
      </c>
      <c r="AE11" s="55">
        <v>0</v>
      </c>
      <c r="AF11" s="55"/>
    </row>
    <row r="12" spans="1:32" s="57" customFormat="1" ht="15.75" customHeight="1">
      <c r="A12" s="2" t="s">
        <v>62</v>
      </c>
      <c r="B12" s="2" t="s">
        <v>983</v>
      </c>
      <c r="C12" s="51">
        <v>17.989999999999998</v>
      </c>
      <c r="D12" s="51">
        <v>5</v>
      </c>
      <c r="E12" s="51">
        <v>0</v>
      </c>
      <c r="F12" s="51">
        <v>89.949999999999989</v>
      </c>
      <c r="G12" s="51">
        <v>0</v>
      </c>
      <c r="H12" s="51">
        <f t="shared" si="1"/>
        <v>0</v>
      </c>
      <c r="I12" s="51">
        <f t="shared" si="2"/>
        <v>2.405012580996721E-2</v>
      </c>
      <c r="J12" s="51">
        <f t="shared" si="4"/>
        <v>2.1633088166065502</v>
      </c>
      <c r="K12" s="51">
        <f t="shared" si="3"/>
        <v>0.43266176332131001</v>
      </c>
      <c r="L12" s="51">
        <v>44</v>
      </c>
      <c r="M12" s="51">
        <f t="shared" si="5"/>
        <v>0.11363636363636363</v>
      </c>
      <c r="N12" s="51">
        <v>105</v>
      </c>
      <c r="O12" s="51">
        <f t="shared" ref="O12:P12" si="20">D12/7</f>
        <v>0.7142857142857143</v>
      </c>
      <c r="P12" s="51">
        <f t="shared" si="20"/>
        <v>0</v>
      </c>
      <c r="Q12" s="51">
        <f t="shared" si="7"/>
        <v>147</v>
      </c>
      <c r="R12" s="55">
        <v>100</v>
      </c>
      <c r="S12" s="53" t="s">
        <v>34</v>
      </c>
      <c r="T12" s="54" t="s">
        <v>34</v>
      </c>
      <c r="U12" s="55">
        <v>0</v>
      </c>
      <c r="V12" s="55">
        <f t="shared" si="8"/>
        <v>0</v>
      </c>
      <c r="W12" s="55">
        <f t="shared" si="9"/>
        <v>0</v>
      </c>
      <c r="X12" s="55">
        <v>0</v>
      </c>
      <c r="Y12" s="55" t="s">
        <v>35</v>
      </c>
      <c r="Z12" s="56">
        <f t="shared" si="19"/>
        <v>-0.75</v>
      </c>
      <c r="AA12" s="55">
        <v>0.26882940972222219</v>
      </c>
      <c r="AB12" s="55">
        <f t="shared" si="11"/>
        <v>-5.2925790039062495</v>
      </c>
      <c r="AC12" s="55">
        <v>-7.32</v>
      </c>
      <c r="AD12" s="55">
        <v>-6.4803224358974356</v>
      </c>
      <c r="AE12" s="55">
        <v>0</v>
      </c>
      <c r="AF12" s="55"/>
    </row>
    <row r="13" spans="1:32" s="57" customFormat="1" ht="15.75" customHeight="1">
      <c r="A13" s="2" t="s">
        <v>63</v>
      </c>
      <c r="B13" s="2" t="s">
        <v>1118</v>
      </c>
      <c r="C13" s="51">
        <v>17.989999999999998</v>
      </c>
      <c r="D13" s="51">
        <v>1</v>
      </c>
      <c r="E13" s="51">
        <v>0</v>
      </c>
      <c r="F13" s="51">
        <v>17.989999999999998</v>
      </c>
      <c r="G13" s="51">
        <v>0</v>
      </c>
      <c r="H13" s="51">
        <f t="shared" si="1"/>
        <v>0</v>
      </c>
      <c r="I13" s="51">
        <f t="shared" si="2"/>
        <v>-0.2113063613009277</v>
      </c>
      <c r="J13" s="51">
        <f t="shared" si="4"/>
        <v>-3.8014014398036888</v>
      </c>
      <c r="K13" s="51">
        <f t="shared" si="3"/>
        <v>-3.8014014398036888</v>
      </c>
      <c r="L13" s="51">
        <v>36</v>
      </c>
      <c r="M13" s="51">
        <f t="shared" si="5"/>
        <v>2.7777777777777776E-2</v>
      </c>
      <c r="N13" s="51">
        <v>105</v>
      </c>
      <c r="O13" s="51">
        <f t="shared" ref="O13:P13" si="21">D13/7</f>
        <v>0.14285714285714285</v>
      </c>
      <c r="P13" s="51">
        <f t="shared" si="21"/>
        <v>0</v>
      </c>
      <c r="Q13" s="51">
        <f t="shared" si="7"/>
        <v>735</v>
      </c>
      <c r="R13" s="55">
        <v>100</v>
      </c>
      <c r="S13" s="53" t="s">
        <v>34</v>
      </c>
      <c r="T13" s="54" t="s">
        <v>34</v>
      </c>
      <c r="U13" s="55">
        <v>0</v>
      </c>
      <c r="V13" s="55">
        <f t="shared" si="8"/>
        <v>0</v>
      </c>
      <c r="W13" s="55">
        <f t="shared" si="9"/>
        <v>0</v>
      </c>
      <c r="X13" s="55">
        <v>0</v>
      </c>
      <c r="Y13" s="55" t="s">
        <v>35</v>
      </c>
      <c r="Z13" s="56">
        <f t="shared" si="19"/>
        <v>-0.75</v>
      </c>
      <c r="AA13" s="55">
        <v>0.26882940972222219</v>
      </c>
      <c r="AB13" s="55">
        <f t="shared" si="11"/>
        <v>-5.2925790039062495</v>
      </c>
      <c r="AC13" s="55">
        <v>-7.32</v>
      </c>
      <c r="AD13" s="55">
        <v>-6.4803224358974356</v>
      </c>
      <c r="AE13" s="55">
        <v>0</v>
      </c>
      <c r="AF13" s="55"/>
    </row>
    <row r="14" spans="1:32" s="57" customFormat="1" ht="15.75" customHeight="1">
      <c r="A14" s="2" t="s">
        <v>64</v>
      </c>
      <c r="B14" s="2"/>
      <c r="C14" s="51">
        <v>16</v>
      </c>
      <c r="D14" s="51">
        <v>2</v>
      </c>
      <c r="E14" s="51">
        <v>0</v>
      </c>
      <c r="F14" s="51">
        <v>35.979999999999997</v>
      </c>
      <c r="G14" s="51">
        <v>0</v>
      </c>
      <c r="H14" s="51">
        <f t="shared" si="1"/>
        <v>0</v>
      </c>
      <c r="I14" s="51">
        <f t="shared" si="2"/>
        <v>-6.140669391482198E-2</v>
      </c>
      <c r="J14" s="51">
        <f t="shared" si="4"/>
        <v>-2.2094128470552947</v>
      </c>
      <c r="K14" s="51">
        <f t="shared" si="3"/>
        <v>-1.1047064235276474</v>
      </c>
      <c r="L14" s="51">
        <v>29</v>
      </c>
      <c r="M14" s="51">
        <f t="shared" si="5"/>
        <v>6.8965517241379309E-2</v>
      </c>
      <c r="N14" s="51">
        <v>103</v>
      </c>
      <c r="O14" s="51">
        <f t="shared" ref="O14:P14" si="22">D14/7</f>
        <v>0.2857142857142857</v>
      </c>
      <c r="P14" s="51">
        <f t="shared" si="22"/>
        <v>0</v>
      </c>
      <c r="Q14" s="51">
        <f t="shared" si="7"/>
        <v>360</v>
      </c>
      <c r="R14" s="55">
        <v>100</v>
      </c>
      <c r="S14" s="53" t="s">
        <v>34</v>
      </c>
      <c r="T14" s="54" t="s">
        <v>34</v>
      </c>
      <c r="U14" s="55">
        <v>0</v>
      </c>
      <c r="V14" s="55">
        <f t="shared" si="8"/>
        <v>0</v>
      </c>
      <c r="W14" s="55">
        <f t="shared" si="9"/>
        <v>0</v>
      </c>
      <c r="X14" s="55">
        <v>0</v>
      </c>
      <c r="Y14" s="55" t="s">
        <v>35</v>
      </c>
      <c r="Z14" s="56">
        <f t="shared" si="19"/>
        <v>-0.75</v>
      </c>
      <c r="AA14" s="55">
        <v>0.26882940972222219</v>
      </c>
      <c r="AB14" s="55">
        <f t="shared" si="11"/>
        <v>-5.191767975260416</v>
      </c>
      <c r="AC14" s="55">
        <v>-7.32</v>
      </c>
      <c r="AD14" s="55">
        <v>-6.4803224358974356</v>
      </c>
      <c r="AE14" s="55">
        <v>0</v>
      </c>
      <c r="AF14" s="55"/>
    </row>
    <row r="15" spans="1:32" s="57" customFormat="1" ht="15.75" customHeight="1">
      <c r="A15" s="2" t="s">
        <v>65</v>
      </c>
      <c r="B15" s="2" t="s">
        <v>983</v>
      </c>
      <c r="C15" s="51">
        <v>16</v>
      </c>
      <c r="D15" s="51">
        <v>1</v>
      </c>
      <c r="E15" s="51">
        <v>0</v>
      </c>
      <c r="F15" s="51">
        <v>16</v>
      </c>
      <c r="G15" s="51">
        <v>0</v>
      </c>
      <c r="H15" s="51">
        <f t="shared" si="1"/>
        <v>0</v>
      </c>
      <c r="I15" s="51">
        <f t="shared" si="2"/>
        <v>-0.3338553060521835</v>
      </c>
      <c r="J15" s="51">
        <f t="shared" si="4"/>
        <v>-5.341684896834936</v>
      </c>
      <c r="K15" s="51">
        <f t="shared" si="3"/>
        <v>-5.341684896834936</v>
      </c>
      <c r="L15" s="51">
        <v>12</v>
      </c>
      <c r="M15" s="51">
        <f t="shared" si="5"/>
        <v>8.3333333333333329E-2</v>
      </c>
      <c r="N15" s="51">
        <v>102</v>
      </c>
      <c r="O15" s="51">
        <f t="shared" ref="O15:P15" si="23">D15/7</f>
        <v>0.14285714285714285</v>
      </c>
      <c r="P15" s="51">
        <f t="shared" si="23"/>
        <v>0</v>
      </c>
      <c r="Q15" s="51">
        <f t="shared" si="7"/>
        <v>714</v>
      </c>
      <c r="R15" s="55">
        <v>100</v>
      </c>
      <c r="S15" s="53" t="s">
        <v>34</v>
      </c>
      <c r="T15" s="54" t="s">
        <v>34</v>
      </c>
      <c r="U15" s="55">
        <v>0</v>
      </c>
      <c r="V15" s="55">
        <f t="shared" si="8"/>
        <v>0</v>
      </c>
      <c r="W15" s="55">
        <f t="shared" si="9"/>
        <v>0</v>
      </c>
      <c r="X15" s="55">
        <v>0</v>
      </c>
      <c r="Y15" s="55" t="s">
        <v>35</v>
      </c>
      <c r="Z15" s="56">
        <f t="shared" si="19"/>
        <v>-0.75</v>
      </c>
      <c r="AA15" s="55">
        <v>0.26882940972222219</v>
      </c>
      <c r="AB15" s="55">
        <f t="shared" si="11"/>
        <v>-5.1413624609374997</v>
      </c>
      <c r="AC15" s="55">
        <v>-7.32</v>
      </c>
      <c r="AD15" s="55">
        <v>-6.4803224358974356</v>
      </c>
      <c r="AE15" s="55">
        <v>0</v>
      </c>
      <c r="AF15" s="55"/>
    </row>
    <row r="16" spans="1:32" s="57" customFormat="1" ht="15.75" customHeight="1">
      <c r="A16" s="2" t="s">
        <v>66</v>
      </c>
      <c r="B16" s="2" t="s">
        <v>1119</v>
      </c>
      <c r="C16" s="51">
        <v>16</v>
      </c>
      <c r="D16" s="51">
        <v>1</v>
      </c>
      <c r="E16" s="51">
        <v>0</v>
      </c>
      <c r="F16" s="51">
        <v>16.989999999999998</v>
      </c>
      <c r="G16" s="51">
        <v>0</v>
      </c>
      <c r="H16" s="51">
        <f t="shared" si="1"/>
        <v>0</v>
      </c>
      <c r="I16" s="51">
        <f t="shared" si="2"/>
        <v>-0.25893901519653356</v>
      </c>
      <c r="J16" s="51">
        <f t="shared" si="4"/>
        <v>-4.3993738681891044</v>
      </c>
      <c r="K16" s="51">
        <f t="shared" si="3"/>
        <v>-4.3993738681891044</v>
      </c>
      <c r="L16" s="51">
        <v>11</v>
      </c>
      <c r="M16" s="51">
        <f t="shared" si="5"/>
        <v>9.0909090909090912E-2</v>
      </c>
      <c r="N16" s="51">
        <v>100</v>
      </c>
      <c r="O16" s="51">
        <f t="shared" ref="O16:P16" si="24">D16/7</f>
        <v>0.14285714285714285</v>
      </c>
      <c r="P16" s="51">
        <f t="shared" si="24"/>
        <v>0</v>
      </c>
      <c r="Q16" s="51">
        <f t="shared" si="7"/>
        <v>700</v>
      </c>
      <c r="R16" s="55">
        <v>100</v>
      </c>
      <c r="S16" s="53" t="s">
        <v>34</v>
      </c>
      <c r="T16" s="54" t="s">
        <v>34</v>
      </c>
      <c r="U16" s="55">
        <v>0</v>
      </c>
      <c r="V16" s="55">
        <f t="shared" si="8"/>
        <v>0</v>
      </c>
      <c r="W16" s="55">
        <f t="shared" si="9"/>
        <v>0</v>
      </c>
      <c r="X16" s="55">
        <v>0</v>
      </c>
      <c r="Y16" s="55" t="s">
        <v>35</v>
      </c>
      <c r="Z16" s="56">
        <f t="shared" si="19"/>
        <v>-0.75</v>
      </c>
      <c r="AA16" s="55">
        <v>0.26882940972222219</v>
      </c>
      <c r="AB16" s="55">
        <f t="shared" si="11"/>
        <v>-5.0405514322916662</v>
      </c>
      <c r="AC16" s="55">
        <v>-7.32</v>
      </c>
      <c r="AD16" s="55">
        <v>-6.4803224358974356</v>
      </c>
      <c r="AE16" s="55">
        <v>0</v>
      </c>
      <c r="AF16" s="55"/>
    </row>
    <row r="17" spans="1:32" s="57" customFormat="1" ht="15.75" customHeight="1">
      <c r="A17" s="2" t="s">
        <v>67</v>
      </c>
      <c r="B17" s="2" t="s">
        <v>983</v>
      </c>
      <c r="C17" s="51">
        <v>15.99</v>
      </c>
      <c r="D17" s="51">
        <v>2</v>
      </c>
      <c r="E17" s="51">
        <v>0</v>
      </c>
      <c r="F17" s="51">
        <v>35.979999999999997</v>
      </c>
      <c r="G17" s="51">
        <v>0</v>
      </c>
      <c r="H17" s="51">
        <f t="shared" si="1"/>
        <v>0</v>
      </c>
      <c r="I17" s="51">
        <f t="shared" si="2"/>
        <v>-5.4402036560331067E-2</v>
      </c>
      <c r="J17" s="51">
        <f t="shared" si="4"/>
        <v>-1.9573852754407115</v>
      </c>
      <c r="K17" s="51">
        <f t="shared" si="3"/>
        <v>-0.97869263772035575</v>
      </c>
      <c r="L17" s="51">
        <v>18</v>
      </c>
      <c r="M17" s="51">
        <f t="shared" si="5"/>
        <v>0.1111111111111111</v>
      </c>
      <c r="N17" s="51">
        <v>98</v>
      </c>
      <c r="O17" s="51">
        <f t="shared" ref="O17:P17" si="25">D17/7</f>
        <v>0.2857142857142857</v>
      </c>
      <c r="P17" s="51">
        <f t="shared" si="25"/>
        <v>0</v>
      </c>
      <c r="Q17" s="51">
        <f t="shared" si="7"/>
        <v>343</v>
      </c>
      <c r="R17" s="55">
        <v>100</v>
      </c>
      <c r="S17" s="53" t="s">
        <v>34</v>
      </c>
      <c r="T17" s="54" t="s">
        <v>34</v>
      </c>
      <c r="U17" s="55">
        <v>0</v>
      </c>
      <c r="V17" s="55">
        <f t="shared" si="8"/>
        <v>0</v>
      </c>
      <c r="W17" s="55">
        <f t="shared" si="9"/>
        <v>0</v>
      </c>
      <c r="X17" s="55">
        <v>0</v>
      </c>
      <c r="Y17" s="55" t="s">
        <v>35</v>
      </c>
      <c r="Z17" s="56">
        <f t="shared" si="19"/>
        <v>-0.75</v>
      </c>
      <c r="AA17" s="55">
        <v>0.26882940972222219</v>
      </c>
      <c r="AB17" s="55">
        <f t="shared" si="11"/>
        <v>-4.9397404036458328</v>
      </c>
      <c r="AC17" s="55">
        <v>-7.32</v>
      </c>
      <c r="AD17" s="55">
        <v>-6.4803224358974356</v>
      </c>
      <c r="AE17" s="55">
        <v>0</v>
      </c>
      <c r="AF17" s="55"/>
    </row>
    <row r="18" spans="1:32" s="57" customFormat="1" ht="15.75" customHeight="1">
      <c r="A18" s="2" t="s">
        <v>69</v>
      </c>
      <c r="B18" s="2" t="s">
        <v>1120</v>
      </c>
      <c r="C18" s="51">
        <v>17.989999999999998</v>
      </c>
      <c r="D18" s="51">
        <v>3</v>
      </c>
      <c r="E18" s="51">
        <v>0</v>
      </c>
      <c r="F18" s="51">
        <v>51.97</v>
      </c>
      <c r="G18" s="51">
        <v>-0.06</v>
      </c>
      <c r="H18" s="51">
        <f t="shared" si="1"/>
        <v>1.1545122185876468E-3</v>
      </c>
      <c r="I18" s="51">
        <f t="shared" si="2"/>
        <v>1.7297174844769756E-2</v>
      </c>
      <c r="J18" s="51">
        <f t="shared" si="4"/>
        <v>0.89893417668268416</v>
      </c>
      <c r="K18" s="51">
        <f t="shared" si="3"/>
        <v>0.29964472556089472</v>
      </c>
      <c r="L18" s="51">
        <v>33</v>
      </c>
      <c r="M18" s="51">
        <f t="shared" si="5"/>
        <v>9.0909090909090912E-2</v>
      </c>
      <c r="N18" s="51">
        <v>93</v>
      </c>
      <c r="O18" s="51">
        <f t="shared" ref="O18:P18" si="26">D18/7</f>
        <v>0.42857142857142855</v>
      </c>
      <c r="P18" s="51">
        <f t="shared" si="26"/>
        <v>0</v>
      </c>
      <c r="Q18" s="51">
        <f t="shared" si="7"/>
        <v>217</v>
      </c>
      <c r="R18" s="55">
        <v>100</v>
      </c>
      <c r="S18" s="53" t="s">
        <v>34</v>
      </c>
      <c r="T18" s="54" t="s">
        <v>34</v>
      </c>
      <c r="U18" s="55">
        <v>0</v>
      </c>
      <c r="V18" s="55">
        <f t="shared" si="8"/>
        <v>0</v>
      </c>
      <c r="W18" s="55">
        <f t="shared" si="9"/>
        <v>0</v>
      </c>
      <c r="X18" s="55">
        <v>0</v>
      </c>
      <c r="Y18" s="55" t="s">
        <v>35</v>
      </c>
      <c r="Z18" s="56">
        <f t="shared" si="19"/>
        <v>-0.75</v>
      </c>
      <c r="AA18" s="55">
        <v>0.26882940972222219</v>
      </c>
      <c r="AB18" s="58">
        <f t="shared" ref="AB18:AB39" si="27">IFERROR(Z18*AA18*D18*3,0)</f>
        <v>-1.8145985156249997</v>
      </c>
      <c r="AC18" s="55">
        <v>-7.32</v>
      </c>
      <c r="AD18" s="55">
        <v>-6.4803224358974356</v>
      </c>
      <c r="AE18" s="55">
        <v>0</v>
      </c>
      <c r="AF18" s="55"/>
    </row>
    <row r="19" spans="1:32" s="57" customFormat="1" ht="15.75" customHeight="1">
      <c r="A19" s="2" t="s">
        <v>71</v>
      </c>
      <c r="B19" s="2"/>
      <c r="C19" s="51">
        <v>17.989999999999998</v>
      </c>
      <c r="D19" s="51">
        <v>5</v>
      </c>
      <c r="E19" s="51">
        <v>0</v>
      </c>
      <c r="F19" s="51">
        <v>86.96</v>
      </c>
      <c r="G19" s="51">
        <v>0</v>
      </c>
      <c r="H19" s="51">
        <f t="shared" si="1"/>
        <v>0</v>
      </c>
      <c r="I19" s="51">
        <f t="shared" si="2"/>
        <v>2.1734785661658405E-2</v>
      </c>
      <c r="J19" s="51">
        <f t="shared" si="4"/>
        <v>1.8900569611378146</v>
      </c>
      <c r="K19" s="51">
        <f t="shared" si="3"/>
        <v>0.37801139222756291</v>
      </c>
      <c r="L19" s="51">
        <v>37</v>
      </c>
      <c r="M19" s="51">
        <f t="shared" si="5"/>
        <v>0.13513513513513514</v>
      </c>
      <c r="N19" s="51">
        <v>90</v>
      </c>
      <c r="O19" s="51">
        <f t="shared" ref="O19:P19" si="28">D19/7</f>
        <v>0.7142857142857143</v>
      </c>
      <c r="P19" s="51">
        <f t="shared" si="28"/>
        <v>0</v>
      </c>
      <c r="Q19" s="51">
        <f t="shared" si="7"/>
        <v>126</v>
      </c>
      <c r="R19" s="55">
        <v>100</v>
      </c>
      <c r="S19" s="53" t="s">
        <v>34</v>
      </c>
      <c r="T19" s="54" t="s">
        <v>34</v>
      </c>
      <c r="U19" s="55">
        <v>0</v>
      </c>
      <c r="V19" s="55">
        <f t="shared" si="8"/>
        <v>0</v>
      </c>
      <c r="W19" s="55">
        <f t="shared" si="9"/>
        <v>0</v>
      </c>
      <c r="X19" s="55">
        <v>0</v>
      </c>
      <c r="Y19" s="55" t="s">
        <v>35</v>
      </c>
      <c r="Z19" s="56">
        <f t="shared" si="19"/>
        <v>-0.75</v>
      </c>
      <c r="AA19" s="55">
        <v>0.26882940972222219</v>
      </c>
      <c r="AB19" s="55">
        <f t="shared" si="27"/>
        <v>-3.024330859375</v>
      </c>
      <c r="AC19" s="55">
        <v>-7.32</v>
      </c>
      <c r="AD19" s="55">
        <v>-6.4803224358974356</v>
      </c>
      <c r="AE19" s="55">
        <v>0</v>
      </c>
      <c r="AF19" s="55"/>
    </row>
    <row r="20" spans="1:32" s="57" customFormat="1" ht="15.75" customHeight="1">
      <c r="A20" s="2" t="s">
        <v>73</v>
      </c>
      <c r="B20" s="2" t="s">
        <v>1121</v>
      </c>
      <c r="C20" s="51">
        <v>17.989999999999998</v>
      </c>
      <c r="D20" s="51">
        <v>5</v>
      </c>
      <c r="E20" s="51">
        <v>0</v>
      </c>
      <c r="F20" s="51">
        <v>62.989999999999995</v>
      </c>
      <c r="G20" s="51">
        <v>-0.16</v>
      </c>
      <c r="H20" s="51">
        <f t="shared" si="1"/>
        <v>2.5400857278933165E-3</v>
      </c>
      <c r="I20" s="51">
        <f t="shared" si="2"/>
        <v>-0.29599052292208583</v>
      </c>
      <c r="J20" s="51">
        <f t="shared" si="4"/>
        <v>-18.644443038862185</v>
      </c>
      <c r="K20" s="51">
        <f t="shared" si="3"/>
        <v>-3.7288886077724372</v>
      </c>
      <c r="L20" s="51">
        <v>60</v>
      </c>
      <c r="M20" s="51">
        <f t="shared" si="5"/>
        <v>8.3333333333333329E-2</v>
      </c>
      <c r="N20" s="51">
        <v>83</v>
      </c>
      <c r="O20" s="51">
        <f t="shared" ref="O20:P20" si="29">D20/7</f>
        <v>0.7142857142857143</v>
      </c>
      <c r="P20" s="51">
        <f t="shared" si="29"/>
        <v>0</v>
      </c>
      <c r="Q20" s="51">
        <f t="shared" si="7"/>
        <v>116</v>
      </c>
      <c r="R20" s="55">
        <v>100</v>
      </c>
      <c r="S20" s="53" t="s">
        <v>34</v>
      </c>
      <c r="T20" s="54" t="s">
        <v>34</v>
      </c>
      <c r="U20" s="55">
        <v>0</v>
      </c>
      <c r="V20" s="55">
        <f t="shared" si="8"/>
        <v>0</v>
      </c>
      <c r="W20" s="55">
        <f t="shared" si="9"/>
        <v>0</v>
      </c>
      <c r="X20" s="55">
        <v>0</v>
      </c>
      <c r="Y20" s="55" t="s">
        <v>35</v>
      </c>
      <c r="Z20" s="56">
        <f t="shared" si="19"/>
        <v>-0.75</v>
      </c>
      <c r="AA20" s="55">
        <v>0.26882940972222219</v>
      </c>
      <c r="AB20" s="55">
        <f t="shared" si="27"/>
        <v>-3.024330859375</v>
      </c>
      <c r="AC20" s="55">
        <v>-7.32</v>
      </c>
      <c r="AD20" s="55">
        <v>-6.4803224358974356</v>
      </c>
      <c r="AE20" s="55">
        <v>0</v>
      </c>
      <c r="AF20" s="55"/>
    </row>
    <row r="21" spans="1:32" s="57" customFormat="1" ht="15.75" customHeight="1">
      <c r="A21" s="2" t="s">
        <v>75</v>
      </c>
      <c r="B21" s="2" t="s">
        <v>993</v>
      </c>
      <c r="C21" s="51">
        <v>18.989999999999998</v>
      </c>
      <c r="D21" s="51">
        <v>5</v>
      </c>
      <c r="E21" s="51">
        <v>0</v>
      </c>
      <c r="F21" s="51">
        <v>84.949999999999989</v>
      </c>
      <c r="G21" s="51">
        <v>-0.16</v>
      </c>
      <c r="H21" s="51">
        <f t="shared" si="1"/>
        <v>1.8834608593290174E-3</v>
      </c>
      <c r="I21" s="51">
        <f t="shared" si="2"/>
        <v>2.5376057843205454E-4</v>
      </c>
      <c r="J21" s="51">
        <f t="shared" si="4"/>
        <v>2.1556961137803032E-2</v>
      </c>
      <c r="K21" s="51">
        <f t="shared" si="3"/>
        <v>4.3113922275606065E-3</v>
      </c>
      <c r="L21" s="51">
        <v>39</v>
      </c>
      <c r="M21" s="51">
        <f t="shared" si="5"/>
        <v>0.12820512820512819</v>
      </c>
      <c r="N21" s="51">
        <v>81</v>
      </c>
      <c r="O21" s="51">
        <f t="shared" ref="O21:P21" si="30">D21/7</f>
        <v>0.7142857142857143</v>
      </c>
      <c r="P21" s="51">
        <f t="shared" si="30"/>
        <v>0</v>
      </c>
      <c r="Q21" s="51">
        <f t="shared" si="7"/>
        <v>113</v>
      </c>
      <c r="R21" s="55">
        <v>100</v>
      </c>
      <c r="S21" s="53" t="s">
        <v>34</v>
      </c>
      <c r="T21" s="54" t="s">
        <v>34</v>
      </c>
      <c r="U21" s="55">
        <v>0</v>
      </c>
      <c r="V21" s="55">
        <f t="shared" si="8"/>
        <v>0</v>
      </c>
      <c r="W21" s="55">
        <f t="shared" si="9"/>
        <v>0</v>
      </c>
      <c r="X21" s="55">
        <v>0</v>
      </c>
      <c r="Y21" s="55" t="s">
        <v>35</v>
      </c>
      <c r="Z21" s="56">
        <f t="shared" si="19"/>
        <v>-0.75</v>
      </c>
      <c r="AA21" s="55">
        <v>0.26882940972222219</v>
      </c>
      <c r="AB21" s="55">
        <f t="shared" si="27"/>
        <v>-3.024330859375</v>
      </c>
      <c r="AC21" s="55">
        <v>-7.32</v>
      </c>
      <c r="AD21" s="55">
        <v>-6.4803224358974356</v>
      </c>
      <c r="AE21" s="55">
        <v>0</v>
      </c>
      <c r="AF21" s="55"/>
    </row>
    <row r="22" spans="1:32" s="57" customFormat="1" ht="15.75" customHeight="1">
      <c r="A22" s="2" t="s">
        <v>77</v>
      </c>
      <c r="B22" s="2" t="s">
        <v>810</v>
      </c>
      <c r="C22" s="51">
        <v>21.99</v>
      </c>
      <c r="D22" s="51">
        <v>3</v>
      </c>
      <c r="E22" s="51">
        <v>0</v>
      </c>
      <c r="F22" s="51">
        <v>55.97999999999999</v>
      </c>
      <c r="G22" s="51">
        <v>-0.28000000000000003</v>
      </c>
      <c r="H22" s="51">
        <f t="shared" si="1"/>
        <v>5.0017863522686685E-3</v>
      </c>
      <c r="I22" s="51">
        <f t="shared" si="2"/>
        <v>7.3015973145456992E-2</v>
      </c>
      <c r="J22" s="51">
        <f t="shared" si="4"/>
        <v>4.0874341766826818</v>
      </c>
      <c r="K22" s="51">
        <f t="shared" si="3"/>
        <v>1.3624780588942274</v>
      </c>
      <c r="L22" s="51">
        <v>48</v>
      </c>
      <c r="M22" s="51">
        <f t="shared" si="5"/>
        <v>6.25E-2</v>
      </c>
      <c r="N22" s="51">
        <v>75</v>
      </c>
      <c r="O22" s="51">
        <f t="shared" ref="O22:P22" si="31">D22/7</f>
        <v>0.42857142857142855</v>
      </c>
      <c r="P22" s="51">
        <f t="shared" si="31"/>
        <v>0</v>
      </c>
      <c r="Q22" s="51">
        <f t="shared" si="7"/>
        <v>175</v>
      </c>
      <c r="R22" s="55">
        <v>100</v>
      </c>
      <c r="S22" s="53" t="s">
        <v>34</v>
      </c>
      <c r="T22" s="54" t="s">
        <v>34</v>
      </c>
      <c r="U22" s="55">
        <v>0</v>
      </c>
      <c r="V22" s="55">
        <f t="shared" si="8"/>
        <v>0</v>
      </c>
      <c r="W22" s="55">
        <f t="shared" si="9"/>
        <v>0</v>
      </c>
      <c r="X22" s="55">
        <v>0</v>
      </c>
      <c r="Y22" s="55" t="s">
        <v>35</v>
      </c>
      <c r="Z22" s="56">
        <f t="shared" si="19"/>
        <v>-0.75</v>
      </c>
      <c r="AA22" s="55">
        <v>0.26882940972222219</v>
      </c>
      <c r="AB22" s="55">
        <f t="shared" si="27"/>
        <v>-1.8145985156249997</v>
      </c>
      <c r="AC22" s="55">
        <v>-7.32</v>
      </c>
      <c r="AD22" s="55">
        <v>-6.4803224358974356</v>
      </c>
      <c r="AE22" s="55">
        <v>0</v>
      </c>
      <c r="AF22" s="55"/>
    </row>
    <row r="23" spans="1:32" s="57" customFormat="1" ht="15.75" customHeight="1">
      <c r="A23" s="2" t="s">
        <v>79</v>
      </c>
      <c r="B23" s="2"/>
      <c r="C23" s="51">
        <v>23.99</v>
      </c>
      <c r="D23" s="51">
        <v>5</v>
      </c>
      <c r="E23" s="51">
        <v>0</v>
      </c>
      <c r="F23" s="51">
        <v>101.96</v>
      </c>
      <c r="G23" s="51">
        <v>-0.14000000000000001</v>
      </c>
      <c r="H23" s="51">
        <f t="shared" si="1"/>
        <v>1.3730874852883486E-3</v>
      </c>
      <c r="I23" s="51">
        <f t="shared" si="2"/>
        <v>0.14221319106647523</v>
      </c>
      <c r="J23" s="51">
        <f t="shared" si="4"/>
        <v>14.500056961137814</v>
      </c>
      <c r="K23" s="51">
        <f t="shared" si="3"/>
        <v>2.9000113922275625</v>
      </c>
      <c r="L23" s="51">
        <v>28</v>
      </c>
      <c r="M23" s="51">
        <f t="shared" si="5"/>
        <v>0.17857142857142858</v>
      </c>
      <c r="N23" s="51">
        <v>73</v>
      </c>
      <c r="O23" s="51">
        <f t="shared" ref="O23:P23" si="32">D23/7</f>
        <v>0.7142857142857143</v>
      </c>
      <c r="P23" s="51">
        <f t="shared" si="32"/>
        <v>0</v>
      </c>
      <c r="Q23" s="51">
        <f t="shared" si="7"/>
        <v>102</v>
      </c>
      <c r="R23" s="55">
        <v>100</v>
      </c>
      <c r="S23" s="53" t="s">
        <v>34</v>
      </c>
      <c r="T23" s="54" t="s">
        <v>34</v>
      </c>
      <c r="U23" s="55">
        <v>0</v>
      </c>
      <c r="V23" s="55">
        <f t="shared" si="8"/>
        <v>0</v>
      </c>
      <c r="W23" s="55">
        <f t="shared" si="9"/>
        <v>0</v>
      </c>
      <c r="X23" s="55">
        <v>0</v>
      </c>
      <c r="Y23" s="55" t="s">
        <v>35</v>
      </c>
      <c r="Z23" s="56">
        <f t="shared" si="19"/>
        <v>-0.75</v>
      </c>
      <c r="AA23" s="55">
        <v>0.26882940972222219</v>
      </c>
      <c r="AB23" s="55">
        <f t="shared" si="27"/>
        <v>-3.024330859375</v>
      </c>
      <c r="AC23" s="55">
        <v>-7.32</v>
      </c>
      <c r="AD23" s="55">
        <v>-6.4803224358974356</v>
      </c>
      <c r="AE23" s="55">
        <v>0</v>
      </c>
      <c r="AF23" s="55"/>
    </row>
    <row r="24" spans="1:32" s="57" customFormat="1" ht="15.75" customHeight="1">
      <c r="A24" s="2" t="s">
        <v>80</v>
      </c>
      <c r="B24" s="2" t="s">
        <v>810</v>
      </c>
      <c r="C24" s="51">
        <v>23.99</v>
      </c>
      <c r="D24" s="51">
        <v>12</v>
      </c>
      <c r="E24" s="51">
        <v>0</v>
      </c>
      <c r="F24" s="51">
        <v>261.89000000000004</v>
      </c>
      <c r="G24" s="51">
        <v>-0.3</v>
      </c>
      <c r="H24" s="51">
        <f t="shared" si="1"/>
        <v>1.1455191110771696E-3</v>
      </c>
      <c r="I24" s="51">
        <f t="shared" si="2"/>
        <v>0.18879772693394478</v>
      </c>
      <c r="J24" s="51">
        <f t="shared" si="4"/>
        <v>49.444236706730806</v>
      </c>
      <c r="K24" s="51">
        <f t="shared" si="3"/>
        <v>4.1203530588942341</v>
      </c>
      <c r="L24" s="51">
        <v>57</v>
      </c>
      <c r="M24" s="51">
        <f t="shared" si="5"/>
        <v>0.21052631578947367</v>
      </c>
      <c r="N24" s="51">
        <v>54</v>
      </c>
      <c r="O24" s="51">
        <f t="shared" ref="O24:P24" si="33">D24/7</f>
        <v>1.7142857142857142</v>
      </c>
      <c r="P24" s="51">
        <f t="shared" si="33"/>
        <v>0</v>
      </c>
      <c r="Q24" s="51">
        <f t="shared" si="7"/>
        <v>31</v>
      </c>
      <c r="R24" s="55">
        <v>100</v>
      </c>
      <c r="S24" s="53" t="s">
        <v>34</v>
      </c>
      <c r="T24" s="54" t="s">
        <v>34</v>
      </c>
      <c r="U24" s="55">
        <v>2</v>
      </c>
      <c r="V24" s="55">
        <f t="shared" si="8"/>
        <v>0.16666666666666666</v>
      </c>
      <c r="W24" s="55">
        <f t="shared" si="9"/>
        <v>0.15</v>
      </c>
      <c r="X24" s="55">
        <v>0</v>
      </c>
      <c r="Y24" s="55" t="s">
        <v>35</v>
      </c>
      <c r="Z24" s="56">
        <f t="shared" si="19"/>
        <v>-0.75</v>
      </c>
      <c r="AA24" s="55">
        <v>0.26882940972222219</v>
      </c>
      <c r="AB24" s="55">
        <f t="shared" si="27"/>
        <v>-7.258394062499999</v>
      </c>
      <c r="AC24" s="55">
        <v>-7.32</v>
      </c>
      <c r="AD24" s="55">
        <v>-6.4803224358974356</v>
      </c>
      <c r="AE24" s="55">
        <v>0</v>
      </c>
      <c r="AF24" s="55"/>
    </row>
    <row r="25" spans="1:32" s="57" customFormat="1" ht="15.75" customHeight="1">
      <c r="A25" s="2" t="s">
        <v>81</v>
      </c>
      <c r="B25" s="2" t="s">
        <v>810</v>
      </c>
      <c r="C25" s="51"/>
      <c r="D25" s="51">
        <v>7</v>
      </c>
      <c r="E25" s="51">
        <v>0</v>
      </c>
      <c r="F25" s="51">
        <v>150.94</v>
      </c>
      <c r="G25" s="51">
        <v>-0.81</v>
      </c>
      <c r="H25" s="51">
        <f t="shared" si="1"/>
        <v>5.3663707433417255E-3</v>
      </c>
      <c r="I25" s="51">
        <f t="shared" si="2"/>
        <v>0.17657797631902045</v>
      </c>
      <c r="J25" s="51">
        <f t="shared" si="4"/>
        <v>26.652679745592945</v>
      </c>
      <c r="K25" s="51">
        <f t="shared" si="3"/>
        <v>3.8075256779418494</v>
      </c>
      <c r="L25" s="51">
        <v>59</v>
      </c>
      <c r="M25" s="51">
        <f t="shared" si="5"/>
        <v>0.11864406779661017</v>
      </c>
      <c r="N25" s="51">
        <v>53</v>
      </c>
      <c r="O25" s="51">
        <f t="shared" ref="O25:P25" si="34">D25/7</f>
        <v>1</v>
      </c>
      <c r="P25" s="51">
        <f t="shared" si="34"/>
        <v>0</v>
      </c>
      <c r="Q25" s="51">
        <f t="shared" si="7"/>
        <v>53</v>
      </c>
      <c r="R25" s="55">
        <v>100</v>
      </c>
      <c r="S25" s="53" t="s">
        <v>34</v>
      </c>
      <c r="T25" s="54" t="s">
        <v>34</v>
      </c>
      <c r="U25" s="55">
        <v>0</v>
      </c>
      <c r="V25" s="55">
        <f t="shared" si="8"/>
        <v>0</v>
      </c>
      <c r="W25" s="55">
        <f t="shared" si="9"/>
        <v>0.20250000000000001</v>
      </c>
      <c r="X25" s="55">
        <v>4</v>
      </c>
      <c r="Y25" s="55" t="s">
        <v>35</v>
      </c>
      <c r="Z25" s="56">
        <f t="shared" si="19"/>
        <v>-0.75</v>
      </c>
      <c r="AA25" s="55">
        <v>0.26882940972222219</v>
      </c>
      <c r="AB25" s="55">
        <f t="shared" si="27"/>
        <v>-4.2340632031249994</v>
      </c>
      <c r="AC25" s="55">
        <v>-7.32</v>
      </c>
      <c r="AD25" s="55">
        <v>-6.4803224358974356</v>
      </c>
      <c r="AE25" s="55">
        <v>0</v>
      </c>
      <c r="AF25" s="55"/>
    </row>
    <row r="26" spans="1:32" s="57" customFormat="1" ht="15.75" customHeight="1">
      <c r="A26" s="2" t="s">
        <v>83</v>
      </c>
      <c r="B26" s="2" t="s">
        <v>1032</v>
      </c>
      <c r="C26" s="51">
        <f t="shared" ref="C26:C39" si="35">IFERROR(F26/D26," - ")</f>
        <v>24.256666666666671</v>
      </c>
      <c r="D26" s="51">
        <v>15</v>
      </c>
      <c r="E26" s="51">
        <v>0</v>
      </c>
      <c r="F26" s="51">
        <v>363.85000000000008</v>
      </c>
      <c r="G26" s="51">
        <v>-1.5900000000000003</v>
      </c>
      <c r="H26" s="51">
        <f t="shared" si="1"/>
        <v>4.3699326645595714E-3</v>
      </c>
      <c r="I26" s="51">
        <f t="shared" si="2"/>
        <v>0.25176493303123126</v>
      </c>
      <c r="J26" s="51">
        <f t="shared" si="4"/>
        <v>91.604670883413519</v>
      </c>
      <c r="K26" s="51">
        <f t="shared" si="3"/>
        <v>6.1069780588942342</v>
      </c>
      <c r="L26" s="51">
        <v>72</v>
      </c>
      <c r="M26" s="51">
        <f t="shared" si="5"/>
        <v>0.20833333333333334</v>
      </c>
      <c r="N26" s="51">
        <v>34</v>
      </c>
      <c r="O26" s="51">
        <f t="shared" ref="O26:P26" si="36">D26/7</f>
        <v>2.1428571428571428</v>
      </c>
      <c r="P26" s="51">
        <f t="shared" si="36"/>
        <v>0</v>
      </c>
      <c r="Q26" s="51">
        <f t="shared" si="7"/>
        <v>15</v>
      </c>
      <c r="R26" s="55">
        <v>100</v>
      </c>
      <c r="S26" s="53" t="s">
        <v>34</v>
      </c>
      <c r="T26" s="54" t="s">
        <v>34</v>
      </c>
      <c r="U26" s="55">
        <v>4</v>
      </c>
      <c r="V26" s="55">
        <f t="shared" si="8"/>
        <v>0.26666666666666666</v>
      </c>
      <c r="W26" s="55">
        <f t="shared" si="9"/>
        <v>0.26500000000000007</v>
      </c>
      <c r="X26" s="55">
        <v>2</v>
      </c>
      <c r="Y26" s="55" t="s">
        <v>35</v>
      </c>
      <c r="Z26" s="56">
        <f t="shared" si="19"/>
        <v>-0.75</v>
      </c>
      <c r="AA26" s="55">
        <v>0.26882940972222219</v>
      </c>
      <c r="AB26" s="55">
        <f t="shared" si="27"/>
        <v>-9.0729925781249996</v>
      </c>
      <c r="AC26" s="55">
        <v>-7.32</v>
      </c>
      <c r="AD26" s="55">
        <v>-6.4803224358974356</v>
      </c>
      <c r="AE26" s="55">
        <v>0</v>
      </c>
      <c r="AF26" s="55"/>
    </row>
    <row r="27" spans="1:32" s="57" customFormat="1" ht="15.75" customHeight="1">
      <c r="A27" s="2" t="s">
        <v>84</v>
      </c>
      <c r="B27" s="2" t="s">
        <v>810</v>
      </c>
      <c r="C27" s="51">
        <f t="shared" si="35"/>
        <v>23.590000000000007</v>
      </c>
      <c r="D27" s="51">
        <v>15</v>
      </c>
      <c r="E27" s="51">
        <v>0</v>
      </c>
      <c r="F27" s="51">
        <v>353.85000000000008</v>
      </c>
      <c r="G27" s="51">
        <v>-1.6000000000000005</v>
      </c>
      <c r="H27" s="51">
        <f t="shared" si="1"/>
        <v>4.521689981630635E-3</v>
      </c>
      <c r="I27" s="51">
        <f t="shared" si="2"/>
        <v>0.23483021303776586</v>
      </c>
      <c r="J27" s="51">
        <f t="shared" si="4"/>
        <v>83.094670883413471</v>
      </c>
      <c r="K27" s="51">
        <f t="shared" si="3"/>
        <v>5.5396447255608985</v>
      </c>
      <c r="L27" s="51">
        <v>120</v>
      </c>
      <c r="M27" s="51">
        <f t="shared" si="5"/>
        <v>0.125</v>
      </c>
      <c r="N27" s="51">
        <v>23</v>
      </c>
      <c r="O27" s="51">
        <f t="shared" ref="O27:P27" si="37">D27/7</f>
        <v>2.1428571428571428</v>
      </c>
      <c r="P27" s="51">
        <f t="shared" si="37"/>
        <v>0</v>
      </c>
      <c r="Q27" s="51">
        <f t="shared" si="7"/>
        <v>10</v>
      </c>
      <c r="R27" s="55">
        <v>100</v>
      </c>
      <c r="S27" s="53" t="s">
        <v>34</v>
      </c>
      <c r="T27" s="54" t="s">
        <v>34</v>
      </c>
      <c r="U27" s="55">
        <v>1</v>
      </c>
      <c r="V27" s="55">
        <f t="shared" si="8"/>
        <v>6.6666666666666666E-2</v>
      </c>
      <c r="W27" s="55">
        <f t="shared" si="9"/>
        <v>0.32000000000000012</v>
      </c>
      <c r="X27" s="55">
        <v>4</v>
      </c>
      <c r="Y27" s="55" t="s">
        <v>35</v>
      </c>
      <c r="Z27" s="56">
        <f t="shared" si="19"/>
        <v>-0.75</v>
      </c>
      <c r="AA27" s="55">
        <v>0.26882940972222219</v>
      </c>
      <c r="AB27" s="55">
        <f t="shared" si="27"/>
        <v>-9.0729925781249996</v>
      </c>
      <c r="AC27" s="55">
        <v>-7.32</v>
      </c>
      <c r="AD27" s="55">
        <v>-6.4803224358974356</v>
      </c>
      <c r="AE27" s="55">
        <v>0</v>
      </c>
      <c r="AF27" s="55"/>
    </row>
    <row r="28" spans="1:32" s="57" customFormat="1" ht="15.75" customHeight="1">
      <c r="A28" s="2" t="s">
        <v>86</v>
      </c>
      <c r="B28" s="2" t="s">
        <v>944</v>
      </c>
      <c r="C28" s="51">
        <f t="shared" si="35"/>
        <v>26.107647058823535</v>
      </c>
      <c r="D28" s="51">
        <v>17</v>
      </c>
      <c r="E28" s="51">
        <v>0</v>
      </c>
      <c r="F28" s="51">
        <v>443.8300000000001</v>
      </c>
      <c r="G28" s="51">
        <v>-12.56</v>
      </c>
      <c r="H28" s="51">
        <f t="shared" si="1"/>
        <v>2.8299123538291684E-2</v>
      </c>
      <c r="I28" s="51">
        <f t="shared" si="2"/>
        <v>0.26993960225281904</v>
      </c>
      <c r="J28" s="51">
        <f t="shared" si="4"/>
        <v>119.80729366786869</v>
      </c>
      <c r="K28" s="51">
        <f t="shared" si="3"/>
        <v>7.0474878628158057</v>
      </c>
      <c r="L28" s="51">
        <v>183</v>
      </c>
      <c r="M28" s="51">
        <f t="shared" si="5"/>
        <v>9.2896174863387984E-2</v>
      </c>
      <c r="N28" s="51">
        <v>0</v>
      </c>
      <c r="O28" s="51">
        <f t="shared" ref="O28:P28" si="38">D28/7</f>
        <v>2.4285714285714284</v>
      </c>
      <c r="P28" s="51">
        <f t="shared" si="38"/>
        <v>0</v>
      </c>
      <c r="Q28" s="51">
        <f t="shared" si="7"/>
        <v>0</v>
      </c>
      <c r="R28" s="55">
        <v>100</v>
      </c>
      <c r="S28" s="53" t="s">
        <v>34</v>
      </c>
      <c r="T28" s="54" t="s">
        <v>34</v>
      </c>
      <c r="U28" s="55">
        <v>4</v>
      </c>
      <c r="V28" s="55">
        <f t="shared" si="8"/>
        <v>0.23529411764705882</v>
      </c>
      <c r="W28" s="55">
        <f t="shared" si="9"/>
        <v>0.83733333333333337</v>
      </c>
      <c r="X28" s="55">
        <v>11</v>
      </c>
      <c r="Y28" s="55" t="s">
        <v>35</v>
      </c>
      <c r="Z28" s="56">
        <f t="shared" si="19"/>
        <v>-0.75</v>
      </c>
      <c r="AA28" s="55">
        <v>0.26882940972222219</v>
      </c>
      <c r="AB28" s="55">
        <f t="shared" si="27"/>
        <v>-10.282724921874999</v>
      </c>
      <c r="AC28" s="55">
        <v>-7.32</v>
      </c>
      <c r="AD28" s="55">
        <v>-6.4803224358974356</v>
      </c>
      <c r="AE28" s="55">
        <v>0</v>
      </c>
      <c r="AF28" s="55"/>
    </row>
    <row r="29" spans="1:32" s="57" customFormat="1" ht="15.75" customHeight="1">
      <c r="A29" s="2" t="s">
        <v>87</v>
      </c>
      <c r="B29" s="2"/>
      <c r="C29" s="51">
        <f t="shared" si="35"/>
        <v>27.99</v>
      </c>
      <c r="D29" s="51">
        <v>5</v>
      </c>
      <c r="E29" s="51">
        <v>0</v>
      </c>
      <c r="F29" s="51">
        <v>139.94999999999999</v>
      </c>
      <c r="G29" s="51">
        <v>0</v>
      </c>
      <c r="H29" s="51">
        <f t="shared" si="1"/>
        <v>0</v>
      </c>
      <c r="I29" s="51">
        <f t="shared" si="2"/>
        <v>0.33534517299848371</v>
      </c>
      <c r="J29" s="51">
        <f t="shared" si="4"/>
        <v>46.931556961137794</v>
      </c>
      <c r="K29" s="51">
        <f t="shared" si="3"/>
        <v>9.3863113922275581</v>
      </c>
      <c r="L29" s="51">
        <v>0</v>
      </c>
      <c r="M29" s="51" t="str">
        <f t="shared" si="5"/>
        <v>-</v>
      </c>
      <c r="N29" s="51">
        <v>0</v>
      </c>
      <c r="O29" s="51">
        <f t="shared" ref="O29:P29" si="39">D29/7</f>
        <v>0.7142857142857143</v>
      </c>
      <c r="P29" s="51">
        <f t="shared" si="39"/>
        <v>0</v>
      </c>
      <c r="Q29" s="51">
        <f t="shared" si="7"/>
        <v>0</v>
      </c>
      <c r="R29" s="55">
        <v>100</v>
      </c>
      <c r="S29" s="53" t="s">
        <v>34</v>
      </c>
      <c r="T29" s="54" t="s">
        <v>34</v>
      </c>
      <c r="U29" s="55">
        <v>0</v>
      </c>
      <c r="V29" s="55">
        <f t="shared" si="8"/>
        <v>0</v>
      </c>
      <c r="W29" s="55">
        <f t="shared" si="9"/>
        <v>0</v>
      </c>
      <c r="X29" s="55">
        <v>0</v>
      </c>
      <c r="Y29" s="55" t="s">
        <v>35</v>
      </c>
      <c r="Z29" s="56">
        <f t="shared" si="19"/>
        <v>-0.75</v>
      </c>
      <c r="AA29" s="55">
        <v>0.26882940972222219</v>
      </c>
      <c r="AB29" s="55">
        <f t="shared" si="27"/>
        <v>-3.024330859375</v>
      </c>
      <c r="AC29" s="55">
        <v>-7.32</v>
      </c>
      <c r="AD29" s="55">
        <v>-6.4803224358974356</v>
      </c>
      <c r="AE29" s="55">
        <v>0</v>
      </c>
      <c r="AF29" s="55"/>
    </row>
    <row r="30" spans="1:32" s="57" customFormat="1" ht="15.75" customHeight="1">
      <c r="A30" s="2" t="s">
        <v>89</v>
      </c>
      <c r="B30" s="2"/>
      <c r="C30" s="51" t="str">
        <f t="shared" si="35"/>
        <v xml:space="preserve"> - </v>
      </c>
      <c r="D30" s="51">
        <v>0</v>
      </c>
      <c r="E30" s="51">
        <v>0</v>
      </c>
      <c r="F30" s="51">
        <v>0</v>
      </c>
      <c r="G30" s="51">
        <v>0</v>
      </c>
      <c r="H30" s="51" t="e">
        <f t="shared" si="1"/>
        <v>#DIV/0!</v>
      </c>
      <c r="I30" s="51" t="e">
        <f t="shared" si="2"/>
        <v>#DIV/0!</v>
      </c>
      <c r="J30" s="51">
        <f t="shared" si="4"/>
        <v>0</v>
      </c>
      <c r="K30" s="51" t="e">
        <f t="shared" si="3"/>
        <v>#DIV/0!</v>
      </c>
      <c r="L30" s="51">
        <v>0</v>
      </c>
      <c r="M30" s="51" t="str">
        <f t="shared" si="5"/>
        <v>-</v>
      </c>
      <c r="N30" s="51">
        <v>0</v>
      </c>
      <c r="O30" s="51">
        <f t="shared" ref="O30:P30" si="40">D30/7</f>
        <v>0</v>
      </c>
      <c r="P30" s="51">
        <f t="shared" si="40"/>
        <v>0</v>
      </c>
      <c r="Q30" s="51" t="e">
        <f t="shared" si="7"/>
        <v>#DIV/0!</v>
      </c>
      <c r="R30" s="55">
        <v>200</v>
      </c>
      <c r="S30" s="53">
        <v>100</v>
      </c>
      <c r="T30" s="54">
        <v>44058</v>
      </c>
      <c r="U30" s="55">
        <v>0</v>
      </c>
      <c r="V30" s="55">
        <f t="shared" si="8"/>
        <v>0</v>
      </c>
      <c r="W30" s="55">
        <f t="shared" si="9"/>
        <v>0</v>
      </c>
      <c r="X30" s="55">
        <v>0</v>
      </c>
      <c r="Y30" s="55" t="e">
        <v>#N/A</v>
      </c>
      <c r="Z30" s="56" t="e">
        <f t="shared" si="19"/>
        <v>#N/A</v>
      </c>
      <c r="AA30" s="55" t="e">
        <v>#N/A</v>
      </c>
      <c r="AB30" s="55">
        <f t="shared" si="27"/>
        <v>0</v>
      </c>
      <c r="AC30" s="55">
        <v>0</v>
      </c>
      <c r="AD30" s="55">
        <v>-6.4803224358974356</v>
      </c>
      <c r="AE30" s="55">
        <v>0</v>
      </c>
      <c r="AF30" s="55"/>
    </row>
    <row r="31" spans="1:32" s="57" customFormat="1" ht="15.75" customHeight="1">
      <c r="A31" s="2" t="s">
        <v>90</v>
      </c>
      <c r="B31" s="2"/>
      <c r="C31" s="51" t="str">
        <f t="shared" si="35"/>
        <v xml:space="preserve"> - </v>
      </c>
      <c r="D31" s="51">
        <v>0</v>
      </c>
      <c r="E31" s="51">
        <v>0</v>
      </c>
      <c r="F31" s="51">
        <v>0</v>
      </c>
      <c r="G31" s="51">
        <v>0</v>
      </c>
      <c r="H31" s="51" t="e">
        <f t="shared" si="1"/>
        <v>#DIV/0!</v>
      </c>
      <c r="I31" s="51" t="e">
        <f t="shared" si="2"/>
        <v>#DIV/0!</v>
      </c>
      <c r="J31" s="51">
        <f t="shared" si="4"/>
        <v>0</v>
      </c>
      <c r="K31" s="51" t="e">
        <f t="shared" si="3"/>
        <v>#DIV/0!</v>
      </c>
      <c r="L31" s="51">
        <v>0</v>
      </c>
      <c r="M31" s="51" t="str">
        <f t="shared" si="5"/>
        <v>-</v>
      </c>
      <c r="N31" s="51">
        <v>0</v>
      </c>
      <c r="O31" s="51">
        <f t="shared" ref="O31:P31" si="41">D31/7</f>
        <v>0</v>
      </c>
      <c r="P31" s="51">
        <f t="shared" si="41"/>
        <v>0</v>
      </c>
      <c r="Q31" s="51" t="e">
        <f t="shared" si="7"/>
        <v>#DIV/0!</v>
      </c>
      <c r="R31" s="55">
        <v>100</v>
      </c>
      <c r="S31" s="53">
        <v>100</v>
      </c>
      <c r="T31" s="54">
        <v>44058</v>
      </c>
      <c r="U31" s="55">
        <v>0</v>
      </c>
      <c r="V31" s="55">
        <f t="shared" si="8"/>
        <v>0</v>
      </c>
      <c r="W31" s="55">
        <f t="shared" si="9"/>
        <v>0</v>
      </c>
      <c r="X31" s="55">
        <v>0</v>
      </c>
      <c r="Y31" s="55" t="e">
        <v>#N/A</v>
      </c>
      <c r="Z31" s="56" t="e">
        <f t="shared" si="19"/>
        <v>#N/A</v>
      </c>
      <c r="AA31" s="55" t="e">
        <v>#N/A</v>
      </c>
      <c r="AB31" s="55">
        <f t="shared" si="27"/>
        <v>0</v>
      </c>
      <c r="AC31" s="55">
        <v>0</v>
      </c>
      <c r="AD31" s="55">
        <v>-6.4803224358974356</v>
      </c>
      <c r="AE31" s="55">
        <v>0</v>
      </c>
      <c r="AF31" s="55"/>
    </row>
    <row r="32" spans="1:32" s="57" customFormat="1" ht="15.75" customHeight="1">
      <c r="A32" s="2" t="s">
        <v>92</v>
      </c>
      <c r="B32" s="2"/>
      <c r="C32" s="51" t="str">
        <f t="shared" si="35"/>
        <v xml:space="preserve"> - </v>
      </c>
      <c r="D32" s="51">
        <v>0</v>
      </c>
      <c r="E32" s="51">
        <v>0</v>
      </c>
      <c r="F32" s="51">
        <v>0</v>
      </c>
      <c r="G32" s="51">
        <v>0</v>
      </c>
      <c r="H32" s="51" t="e">
        <f t="shared" si="1"/>
        <v>#DIV/0!</v>
      </c>
      <c r="I32" s="51" t="e">
        <f t="shared" si="2"/>
        <v>#DIV/0!</v>
      </c>
      <c r="J32" s="51">
        <f t="shared" si="4"/>
        <v>0</v>
      </c>
      <c r="K32" s="51" t="e">
        <f t="shared" si="3"/>
        <v>#DIV/0!</v>
      </c>
      <c r="L32" s="51">
        <v>0</v>
      </c>
      <c r="M32" s="51" t="str">
        <f t="shared" si="5"/>
        <v>-</v>
      </c>
      <c r="N32" s="51">
        <v>0</v>
      </c>
      <c r="O32" s="51">
        <f t="shared" ref="O32:P32" si="42">D32/7</f>
        <v>0</v>
      </c>
      <c r="P32" s="51">
        <f t="shared" si="42"/>
        <v>0</v>
      </c>
      <c r="Q32" s="51" t="e">
        <f t="shared" si="7"/>
        <v>#DIV/0!</v>
      </c>
      <c r="R32" s="55">
        <v>100</v>
      </c>
      <c r="S32" s="53">
        <v>100</v>
      </c>
      <c r="T32" s="54" t="s">
        <v>34</v>
      </c>
      <c r="U32" s="55">
        <v>0</v>
      </c>
      <c r="V32" s="55">
        <f t="shared" si="8"/>
        <v>0</v>
      </c>
      <c r="W32" s="55">
        <f t="shared" si="9"/>
        <v>0</v>
      </c>
      <c r="X32" s="55">
        <v>0</v>
      </c>
      <c r="Y32" s="55" t="e">
        <v>#N/A</v>
      </c>
      <c r="Z32" s="56" t="e">
        <f t="shared" si="19"/>
        <v>#N/A</v>
      </c>
      <c r="AA32" s="55" t="e">
        <v>#N/A</v>
      </c>
      <c r="AB32" s="55">
        <f t="shared" si="27"/>
        <v>0</v>
      </c>
      <c r="AC32" s="55">
        <v>0</v>
      </c>
      <c r="AD32" s="55">
        <v>-6.4803224358974356</v>
      </c>
      <c r="AE32" s="55">
        <v>0</v>
      </c>
      <c r="AF32" s="52" t="e">
        <v>#N/A</v>
      </c>
    </row>
    <row r="33" spans="1:32" s="57" customFormat="1" ht="15.75" customHeight="1">
      <c r="A33" s="2" t="s">
        <v>94</v>
      </c>
      <c r="B33" s="2"/>
      <c r="C33" s="51" t="str">
        <f t="shared" si="35"/>
        <v xml:space="preserve"> - </v>
      </c>
      <c r="D33" s="51">
        <v>0</v>
      </c>
      <c r="E33" s="51">
        <v>0</v>
      </c>
      <c r="F33" s="51">
        <v>0</v>
      </c>
      <c r="G33" s="51">
        <v>0</v>
      </c>
      <c r="H33" s="51" t="e">
        <f t="shared" si="1"/>
        <v>#DIV/0!</v>
      </c>
      <c r="I33" s="51" t="e">
        <f t="shared" si="2"/>
        <v>#DIV/0!</v>
      </c>
      <c r="J33" s="51">
        <f t="shared" si="4"/>
        <v>0</v>
      </c>
      <c r="K33" s="51" t="e">
        <f t="shared" si="3"/>
        <v>#DIV/0!</v>
      </c>
      <c r="L33" s="51">
        <v>0</v>
      </c>
      <c r="M33" s="51" t="str">
        <f t="shared" si="5"/>
        <v>-</v>
      </c>
      <c r="N33" s="51">
        <v>0</v>
      </c>
      <c r="O33" s="51">
        <f t="shared" ref="O33:P33" si="43">D33/7</f>
        <v>0</v>
      </c>
      <c r="P33" s="51">
        <f t="shared" si="43"/>
        <v>0</v>
      </c>
      <c r="Q33" s="51" t="e">
        <f t="shared" si="7"/>
        <v>#DIV/0!</v>
      </c>
      <c r="R33" s="55">
        <v>100</v>
      </c>
      <c r="S33" s="53">
        <v>100</v>
      </c>
      <c r="T33" s="54">
        <v>44058</v>
      </c>
      <c r="U33" s="55">
        <v>0</v>
      </c>
      <c r="V33" s="55">
        <f t="shared" si="8"/>
        <v>0</v>
      </c>
      <c r="W33" s="55">
        <f t="shared" si="9"/>
        <v>0</v>
      </c>
      <c r="X33" s="55">
        <v>0</v>
      </c>
      <c r="Y33" s="55" t="e">
        <v>#N/A</v>
      </c>
      <c r="Z33" s="56" t="e">
        <f t="shared" si="19"/>
        <v>#N/A</v>
      </c>
      <c r="AA33" s="55" t="e">
        <v>#N/A</v>
      </c>
      <c r="AB33" s="55">
        <f t="shared" si="27"/>
        <v>0</v>
      </c>
      <c r="AC33" s="55">
        <v>0</v>
      </c>
      <c r="AD33" s="55">
        <v>-6.4803224358974356</v>
      </c>
      <c r="AE33" s="55">
        <v>0</v>
      </c>
      <c r="AF33" s="55" t="e">
        <v>#N/A</v>
      </c>
    </row>
    <row r="34" spans="1:32" s="57" customFormat="1" ht="15.75" customHeight="1">
      <c r="A34" s="2" t="s">
        <v>95</v>
      </c>
      <c r="B34" s="2"/>
      <c r="C34" s="51" t="str">
        <f t="shared" si="35"/>
        <v xml:space="preserve"> - </v>
      </c>
      <c r="D34" s="51">
        <v>0</v>
      </c>
      <c r="E34" s="51">
        <v>0</v>
      </c>
      <c r="F34" s="51">
        <v>0</v>
      </c>
      <c r="G34" s="51">
        <v>0</v>
      </c>
      <c r="H34" s="51" t="e">
        <f t="shared" si="1"/>
        <v>#DIV/0!</v>
      </c>
      <c r="I34" s="51" t="e">
        <f t="shared" si="2"/>
        <v>#DIV/0!</v>
      </c>
      <c r="J34" s="51">
        <f t="shared" si="4"/>
        <v>0</v>
      </c>
      <c r="K34" s="51" t="e">
        <f t="shared" si="3"/>
        <v>#DIV/0!</v>
      </c>
      <c r="L34" s="51">
        <v>0</v>
      </c>
      <c r="M34" s="51" t="str">
        <f t="shared" si="5"/>
        <v>-</v>
      </c>
      <c r="N34" s="51">
        <v>0</v>
      </c>
      <c r="O34" s="51">
        <f t="shared" ref="O34:P34" si="44">D34/7</f>
        <v>0</v>
      </c>
      <c r="P34" s="51">
        <f t="shared" si="44"/>
        <v>0</v>
      </c>
      <c r="Q34" s="51" t="e">
        <f t="shared" si="7"/>
        <v>#DIV/0!</v>
      </c>
      <c r="R34" s="55">
        <v>100</v>
      </c>
      <c r="S34" s="53">
        <v>100</v>
      </c>
      <c r="T34" s="54">
        <v>44058</v>
      </c>
      <c r="U34" s="55">
        <v>0</v>
      </c>
      <c r="V34" s="55">
        <f t="shared" si="8"/>
        <v>0</v>
      </c>
      <c r="W34" s="55">
        <f t="shared" si="9"/>
        <v>0</v>
      </c>
      <c r="X34" s="55">
        <v>0</v>
      </c>
      <c r="Y34" s="55" t="e">
        <v>#N/A</v>
      </c>
      <c r="Z34" s="56" t="e">
        <f t="shared" si="19"/>
        <v>#N/A</v>
      </c>
      <c r="AA34" s="55" t="e">
        <v>#N/A</v>
      </c>
      <c r="AB34" s="55">
        <f t="shared" si="27"/>
        <v>0</v>
      </c>
      <c r="AC34" s="55">
        <v>0</v>
      </c>
      <c r="AD34" s="55">
        <v>-6.4803224358974356</v>
      </c>
      <c r="AE34" s="55">
        <v>0</v>
      </c>
      <c r="AF34" s="55" t="e">
        <v>#N/A</v>
      </c>
    </row>
    <row r="35" spans="1:32" s="57" customFormat="1" ht="15.75" customHeight="1">
      <c r="A35" s="2" t="s">
        <v>96</v>
      </c>
      <c r="B35" s="2"/>
      <c r="C35" s="51" t="str">
        <f t="shared" si="35"/>
        <v xml:space="preserve"> - </v>
      </c>
      <c r="D35" s="51">
        <v>0</v>
      </c>
      <c r="E35" s="51">
        <v>0</v>
      </c>
      <c r="F35" s="51">
        <v>0</v>
      </c>
      <c r="G35" s="51">
        <v>0</v>
      </c>
      <c r="H35" s="51" t="e">
        <f t="shared" si="1"/>
        <v>#DIV/0!</v>
      </c>
      <c r="I35" s="51" t="e">
        <f t="shared" si="2"/>
        <v>#DIV/0!</v>
      </c>
      <c r="J35" s="51">
        <f t="shared" si="4"/>
        <v>0</v>
      </c>
      <c r="K35" s="51" t="e">
        <f t="shared" si="3"/>
        <v>#DIV/0!</v>
      </c>
      <c r="L35" s="51">
        <v>0</v>
      </c>
      <c r="M35" s="51" t="str">
        <f t="shared" si="5"/>
        <v>-</v>
      </c>
      <c r="N35" s="51">
        <v>0</v>
      </c>
      <c r="O35" s="51">
        <f t="shared" ref="O35:P35" si="45">D35/7</f>
        <v>0</v>
      </c>
      <c r="P35" s="51">
        <f t="shared" si="45"/>
        <v>0</v>
      </c>
      <c r="Q35" s="51" t="e">
        <f t="shared" si="7"/>
        <v>#DIV/0!</v>
      </c>
      <c r="R35" s="55">
        <v>0</v>
      </c>
      <c r="S35" s="53" t="s">
        <v>34</v>
      </c>
      <c r="T35" s="54" t="s">
        <v>34</v>
      </c>
      <c r="U35" s="55">
        <v>0</v>
      </c>
      <c r="V35" s="55">
        <f t="shared" si="8"/>
        <v>0</v>
      </c>
      <c r="W35" s="55">
        <f t="shared" si="9"/>
        <v>0</v>
      </c>
      <c r="X35" s="55">
        <v>0</v>
      </c>
      <c r="Y35" s="55" t="e">
        <v>#N/A</v>
      </c>
      <c r="Z35" s="56" t="e">
        <f t="shared" si="19"/>
        <v>#N/A</v>
      </c>
      <c r="AA35" s="55" t="e">
        <v>#N/A</v>
      </c>
      <c r="AB35" s="55">
        <f t="shared" si="27"/>
        <v>0</v>
      </c>
      <c r="AC35" s="55">
        <v>0</v>
      </c>
      <c r="AD35" s="55">
        <v>-6.4803224358974356</v>
      </c>
      <c r="AE35" s="55">
        <v>0</v>
      </c>
      <c r="AF35" s="55" t="e">
        <v>#N/A</v>
      </c>
    </row>
    <row r="36" spans="1:32" s="57" customFormat="1" ht="15.75" customHeight="1">
      <c r="A36" s="2" t="s">
        <v>98</v>
      </c>
      <c r="B36" s="2"/>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v>0</v>
      </c>
      <c r="S36" s="53"/>
      <c r="T36" s="54" t="s">
        <v>34</v>
      </c>
      <c r="U36" s="55"/>
      <c r="V36" s="55">
        <f t="shared" si="8"/>
        <v>0</v>
      </c>
      <c r="W36" s="55">
        <f t="shared" si="9"/>
        <v>0</v>
      </c>
      <c r="X36" s="55"/>
      <c r="Y36" s="55" t="e">
        <v>#N/A</v>
      </c>
      <c r="Z36" s="56" t="e">
        <f t="shared" si="19"/>
        <v>#N/A</v>
      </c>
      <c r="AA36" s="55" t="e">
        <v>#N/A</v>
      </c>
      <c r="AB36" s="55">
        <f t="shared" si="27"/>
        <v>0</v>
      </c>
      <c r="AC36" s="55">
        <v>0</v>
      </c>
      <c r="AD36" s="55">
        <v>-6.4803224358974356</v>
      </c>
      <c r="AE36" s="55">
        <v>0</v>
      </c>
      <c r="AF36" s="55" t="e">
        <v>#N/A</v>
      </c>
    </row>
    <row r="37" spans="1:32" s="57" customFormat="1" ht="15.75" customHeight="1">
      <c r="A37" s="2" t="s">
        <v>99</v>
      </c>
      <c r="B37" s="2"/>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v>0</v>
      </c>
      <c r="S37" s="53" t="s">
        <v>34</v>
      </c>
      <c r="T37" s="54" t="s">
        <v>34</v>
      </c>
      <c r="U37" s="55">
        <v>0</v>
      </c>
      <c r="V37" s="55">
        <f t="shared" si="8"/>
        <v>0</v>
      </c>
      <c r="W37" s="55">
        <f t="shared" si="9"/>
        <v>0</v>
      </c>
      <c r="X37" s="55">
        <v>0</v>
      </c>
      <c r="Y37" s="55" t="e">
        <v>#N/A</v>
      </c>
      <c r="Z37" s="56" t="e">
        <f t="shared" si="19"/>
        <v>#N/A</v>
      </c>
      <c r="AA37" s="55" t="e">
        <v>#N/A</v>
      </c>
      <c r="AB37" s="55">
        <f t="shared" si="27"/>
        <v>0</v>
      </c>
      <c r="AC37" s="55">
        <v>0</v>
      </c>
      <c r="AD37" s="55">
        <v>-6.4803224358974356</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5">
        <v>100</v>
      </c>
      <c r="S38" s="53"/>
      <c r="T38" s="54" t="s">
        <v>34</v>
      </c>
      <c r="U38" s="55">
        <v>0</v>
      </c>
      <c r="V38" s="55">
        <f t="shared" si="8"/>
        <v>0</v>
      </c>
      <c r="W38" s="55">
        <f t="shared" si="9"/>
        <v>0</v>
      </c>
      <c r="X38" s="55">
        <v>0</v>
      </c>
      <c r="Y38" s="55" t="e">
        <v>#N/A</v>
      </c>
      <c r="Z38" s="56" t="e">
        <f t="shared" si="19"/>
        <v>#N/A</v>
      </c>
      <c r="AA38" s="55" t="e">
        <v>#N/A</v>
      </c>
      <c r="AB38" s="55">
        <f t="shared" si="27"/>
        <v>0</v>
      </c>
      <c r="AC38" s="55">
        <v>0</v>
      </c>
      <c r="AD38" s="55">
        <v>-6.4803224358974356</v>
      </c>
      <c r="AE38" s="55">
        <v>0</v>
      </c>
      <c r="AF38" s="55" t="e">
        <v>#N/A</v>
      </c>
    </row>
    <row r="39" spans="1:32" s="57" customFormat="1" ht="15.75" customHeight="1">
      <c r="A39" s="2" t="s">
        <v>101</v>
      </c>
      <c r="B39" s="2"/>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0</v>
      </c>
      <c r="O39" s="51">
        <f t="shared" ref="O39:P39" si="49">D39/7</f>
        <v>0</v>
      </c>
      <c r="P39" s="51">
        <f t="shared" si="49"/>
        <v>0</v>
      </c>
      <c r="Q39" s="51" t="e">
        <f t="shared" si="7"/>
        <v>#DIV/0!</v>
      </c>
      <c r="R39" s="55">
        <v>100</v>
      </c>
      <c r="S39" s="53" t="s">
        <v>34</v>
      </c>
      <c r="T39" s="54" t="s">
        <v>34</v>
      </c>
      <c r="U39" s="55">
        <v>0</v>
      </c>
      <c r="V39" s="55">
        <f t="shared" si="8"/>
        <v>0</v>
      </c>
      <c r="W39" s="55">
        <f t="shared" si="9"/>
        <v>0</v>
      </c>
      <c r="X39" s="55">
        <v>0</v>
      </c>
      <c r="Y39" s="55" t="e">
        <v>#N/A</v>
      </c>
      <c r="Z39" s="56" t="e">
        <f t="shared" si="19"/>
        <v>#N/A</v>
      </c>
      <c r="AA39" s="55" t="e">
        <v>#N/A</v>
      </c>
      <c r="AB39" s="55">
        <f t="shared" si="27"/>
        <v>0</v>
      </c>
      <c r="AC39" s="55">
        <v>0</v>
      </c>
      <c r="AD39" s="55">
        <v>-6.4803224358974303</v>
      </c>
      <c r="AE39" s="55">
        <v>0</v>
      </c>
      <c r="AF39" s="55" t="e">
        <v>#N/A</v>
      </c>
    </row>
    <row r="40" spans="1:32" s="57" customFormat="1" ht="15.75" customHeight="1">
      <c r="A40" s="2" t="s">
        <v>102</v>
      </c>
      <c r="B40" s="2"/>
      <c r="C40" s="51" t="s">
        <v>103</v>
      </c>
      <c r="D40" s="51">
        <v>0</v>
      </c>
      <c r="E40" s="51">
        <v>0</v>
      </c>
      <c r="F40" s="51">
        <v>0</v>
      </c>
      <c r="G40" s="51">
        <v>0</v>
      </c>
      <c r="H40" s="51" t="e">
        <v>#DIV/0!</v>
      </c>
      <c r="I40" s="51" t="e">
        <v>#DIV/0!</v>
      </c>
      <c r="J40" s="51">
        <v>0</v>
      </c>
      <c r="K40" s="51" t="e">
        <v>#DIV/0!</v>
      </c>
      <c r="L40" s="51">
        <v>0</v>
      </c>
      <c r="M40" s="51" t="s">
        <v>104</v>
      </c>
      <c r="N40" s="51">
        <v>0</v>
      </c>
      <c r="O40" s="51">
        <v>0</v>
      </c>
      <c r="P40" s="51">
        <v>0</v>
      </c>
      <c r="Q40" s="51" t="e">
        <v>#DIV/0!</v>
      </c>
      <c r="R40" s="55">
        <v>100</v>
      </c>
      <c r="S40" s="53" t="s">
        <v>34</v>
      </c>
      <c r="T40" s="54" t="s">
        <v>34</v>
      </c>
      <c r="U40" s="55">
        <v>0</v>
      </c>
      <c r="V40" s="55">
        <v>0</v>
      </c>
      <c r="W40" s="55">
        <v>0</v>
      </c>
      <c r="X40" s="55">
        <v>0</v>
      </c>
      <c r="Y40" s="55" t="e">
        <v>#N/A</v>
      </c>
      <c r="Z40" s="56" t="e">
        <v>#N/A</v>
      </c>
      <c r="AA40" s="55" t="e">
        <v>#N/A</v>
      </c>
      <c r="AB40" s="55">
        <v>0</v>
      </c>
      <c r="AC40" s="55">
        <v>0</v>
      </c>
      <c r="AD40" s="55">
        <v>-6.4803224358974303</v>
      </c>
      <c r="AE40" s="55">
        <v>0</v>
      </c>
      <c r="AF40" s="55" t="e">
        <v>#N/A</v>
      </c>
    </row>
    <row r="41" spans="1:32" s="57" customFormat="1" ht="15.75" customHeight="1">
      <c r="A41" s="2" t="s">
        <v>105</v>
      </c>
      <c r="B41" s="2"/>
      <c r="C41" s="51" t="str">
        <f t="shared" ref="C41:C56" si="50">IFERROR(F41/D41," - ")</f>
        <v xml:space="preserve"> - </v>
      </c>
      <c r="D41" s="51">
        <v>0</v>
      </c>
      <c r="E41" s="51">
        <v>0</v>
      </c>
      <c r="F41" s="51">
        <v>0</v>
      </c>
      <c r="G41" s="51">
        <v>0</v>
      </c>
      <c r="H41" s="51" t="e">
        <f t="shared" ref="H41:H56" si="51">G41/F41*-1</f>
        <v>#DIV/0!</v>
      </c>
      <c r="I41" s="51" t="e">
        <f t="shared" ref="I41:I56" si="52">J41/F41</f>
        <v>#DIV/0!</v>
      </c>
      <c r="J41" s="51">
        <f t="shared" ref="J41:J48" si="53">F41*0.85+G41+AD41*D41+D41*AC41+AE42+AB41</f>
        <v>0</v>
      </c>
      <c r="K41" s="51" t="e">
        <f t="shared" ref="K41:K56" si="54">J41/D41</f>
        <v>#DIV/0!</v>
      </c>
      <c r="L41" s="51">
        <v>0</v>
      </c>
      <c r="M41" s="51" t="str">
        <f t="shared" ref="M41:M56" si="55">IFERROR(D41/L41,"-")</f>
        <v>-</v>
      </c>
      <c r="N41" s="51">
        <v>0</v>
      </c>
      <c r="O41" s="51">
        <f t="shared" ref="O41:P41" si="56">D41/7</f>
        <v>0</v>
      </c>
      <c r="P41" s="51">
        <f t="shared" si="56"/>
        <v>0</v>
      </c>
      <c r="Q41" s="51" t="e">
        <f t="shared" ref="Q41:Q56" si="57">ROUNDDOWN(N41/(O41+P41),0)</f>
        <v>#DIV/0!</v>
      </c>
      <c r="R41" s="55">
        <v>100</v>
      </c>
      <c r="S41" s="53" t="s">
        <v>34</v>
      </c>
      <c r="T41" s="54" t="s">
        <v>34</v>
      </c>
      <c r="U41" s="55">
        <v>0</v>
      </c>
      <c r="V41" s="55">
        <f t="shared" ref="V41:V56" si="58">IFERROR(U41/D41,0)</f>
        <v>0</v>
      </c>
      <c r="W41" s="55">
        <f t="shared" ref="W41:W56" si="59">IFERROR(G41/(U41+X41)*-1,0)</f>
        <v>0</v>
      </c>
      <c r="X41" s="55">
        <v>0</v>
      </c>
      <c r="Y41" s="52" t="e">
        <v>#N/A</v>
      </c>
      <c r="Z41" s="56" t="e">
        <f t="shared" ref="Z41:Z43" si="60">IF(OR(Y41="UsLargeStandardSize",Y41="UsSmallStandardSize"),-0.75,-0.48)</f>
        <v>#N/A</v>
      </c>
      <c r="AA41" s="55" t="e">
        <v>#N/A</v>
      </c>
      <c r="AB41" s="55">
        <f t="shared" ref="AB41:AB56" si="61">IFERROR(Z41*AA41*D41*3,0)</f>
        <v>0</v>
      </c>
      <c r="AC41" s="55">
        <v>0</v>
      </c>
      <c r="AD41" s="55">
        <v>-6.4803224358974303</v>
      </c>
      <c r="AE41" s="55">
        <v>0</v>
      </c>
      <c r="AF41" s="55" t="e">
        <v>#N/A</v>
      </c>
    </row>
    <row r="42" spans="1:32" s="57" customFormat="1" ht="15.75" customHeight="1">
      <c r="A42" s="2" t="s">
        <v>106</v>
      </c>
      <c r="B42" s="2"/>
      <c r="C42" s="51" t="str">
        <f t="shared" si="50"/>
        <v xml:space="preserve"> - </v>
      </c>
      <c r="D42" s="51">
        <v>0</v>
      </c>
      <c r="E42" s="51">
        <v>0</v>
      </c>
      <c r="F42" s="51">
        <v>0</v>
      </c>
      <c r="G42" s="51">
        <v>0</v>
      </c>
      <c r="H42" s="51" t="e">
        <f t="shared" si="51"/>
        <v>#DIV/0!</v>
      </c>
      <c r="I42" s="51" t="e">
        <f t="shared" si="52"/>
        <v>#DIV/0!</v>
      </c>
      <c r="J42" s="51">
        <f t="shared" si="53"/>
        <v>0</v>
      </c>
      <c r="K42" s="51" t="e">
        <f t="shared" si="54"/>
        <v>#DIV/0!</v>
      </c>
      <c r="L42" s="51">
        <v>0</v>
      </c>
      <c r="M42" s="51" t="str">
        <f t="shared" si="55"/>
        <v>-</v>
      </c>
      <c r="N42" s="51">
        <v>0</v>
      </c>
      <c r="O42" s="51">
        <f t="shared" ref="O42:P42" si="62">D42/7</f>
        <v>0</v>
      </c>
      <c r="P42" s="51">
        <f t="shared" si="62"/>
        <v>0</v>
      </c>
      <c r="Q42" s="51" t="e">
        <f t="shared" si="57"/>
        <v>#DIV/0!</v>
      </c>
      <c r="R42" s="55">
        <f ca="1">IFERROR(__xludf.DUMMYFUNCTION("IFERROR(VLOOKUP($B$2,IMPORTRANGE(""https://docs.google.com/spreadsheets/d/1iVgg6Mw12RULLujzHmfOFIY8Q_KaAD8anoZzgtVAQ74/edit#gid=1503384807"",""Second Star - Summary!A1:AD2000""),9,FALSE),"""")"),224)</f>
        <v>224</v>
      </c>
      <c r="S42" s="53">
        <f ca="1">IFERROR(__xludf.DUMMYFUNCTION("IFERROR(VLOOKUP($B$2,IMPORTRANGE(""https://docs.google.com/spreadsheets/d/1iVgg6Mw12RULLujzHmfOFIY8Q_KaAD8anoZzgtVAQ74/edit#gid=1503384807"",""Second Star - Summary!A1:AD2000""),28,FALSE),"""")"),80)</f>
        <v>80</v>
      </c>
      <c r="T42" s="54">
        <f ca="1">IFERROR(__xludf.DUMMYFUNCTION("IFERROR(VLOOKUP($B$2,IMPORTRANGE(""https://docs.google.com/spreadsheets/d/1iVgg6Mw12RULLujzHmfOFIY8Q_KaAD8anoZzgtVAQ74/edit#gid=1503384807"",""Second Star - Summary!A1:AD2000""),29,FALSE),"""")"),44339)</f>
        <v>44339</v>
      </c>
      <c r="U42" s="55">
        <v>0</v>
      </c>
      <c r="V42" s="55">
        <f t="shared" si="58"/>
        <v>0</v>
      </c>
      <c r="W42" s="55">
        <f t="shared" si="59"/>
        <v>0</v>
      </c>
      <c r="X42" s="55">
        <v>0</v>
      </c>
      <c r="Y42" s="55" t="e">
        <v>#N/A</v>
      </c>
      <c r="Z42" s="56" t="e">
        <f t="shared" si="60"/>
        <v>#N/A</v>
      </c>
      <c r="AA42" s="55" t="e">
        <v>#N/A</v>
      </c>
      <c r="AB42" s="55">
        <f t="shared" si="61"/>
        <v>0</v>
      </c>
      <c r="AC42" s="55">
        <v>0</v>
      </c>
      <c r="AD42" s="55">
        <v>-6.4803224358974303</v>
      </c>
      <c r="AE42" s="55">
        <v>0</v>
      </c>
      <c r="AF42" s="55" t="e">
        <v>#N/A</v>
      </c>
    </row>
    <row r="43" spans="1:32" s="57" customFormat="1" ht="15.75" customHeight="1">
      <c r="A43" s="2" t="s">
        <v>107</v>
      </c>
      <c r="B43" s="2"/>
      <c r="C43" s="51" t="str">
        <f t="shared" si="50"/>
        <v xml:space="preserve"> - </v>
      </c>
      <c r="D43" s="51">
        <v>0</v>
      </c>
      <c r="E43" s="51">
        <v>0</v>
      </c>
      <c r="F43" s="51">
        <v>0</v>
      </c>
      <c r="G43" s="51">
        <v>0</v>
      </c>
      <c r="H43" s="51" t="e">
        <f t="shared" si="51"/>
        <v>#DIV/0!</v>
      </c>
      <c r="I43" s="51" t="e">
        <f t="shared" si="52"/>
        <v>#DIV/0!</v>
      </c>
      <c r="J43" s="51">
        <f t="shared" si="53"/>
        <v>0</v>
      </c>
      <c r="K43" s="51" t="e">
        <f t="shared" si="54"/>
        <v>#DIV/0!</v>
      </c>
      <c r="L43" s="51">
        <v>0</v>
      </c>
      <c r="M43" s="51" t="str">
        <f t="shared" si="55"/>
        <v>-</v>
      </c>
      <c r="N43" s="51">
        <v>0</v>
      </c>
      <c r="O43" s="51">
        <f t="shared" ref="O43:P43" si="63">D43/7</f>
        <v>0</v>
      </c>
      <c r="P43" s="51">
        <f t="shared" si="63"/>
        <v>0</v>
      </c>
      <c r="Q43" s="51" t="e">
        <f t="shared" si="57"/>
        <v>#DIV/0!</v>
      </c>
      <c r="R43" s="55">
        <v>100</v>
      </c>
      <c r="S43" s="53" t="s">
        <v>34</v>
      </c>
      <c r="T43" s="54" t="s">
        <v>34</v>
      </c>
      <c r="U43" s="55">
        <v>0</v>
      </c>
      <c r="V43" s="55">
        <f t="shared" si="58"/>
        <v>0</v>
      </c>
      <c r="W43" s="55">
        <f t="shared" si="59"/>
        <v>0</v>
      </c>
      <c r="X43" s="55">
        <v>0</v>
      </c>
      <c r="Y43" s="55" t="e">
        <v>#N/A</v>
      </c>
      <c r="Z43" s="56" t="e">
        <f t="shared" si="60"/>
        <v>#N/A</v>
      </c>
      <c r="AA43" s="55" t="e">
        <v>#N/A</v>
      </c>
      <c r="AB43" s="55">
        <f t="shared" si="61"/>
        <v>0</v>
      </c>
      <c r="AC43" s="55">
        <v>0</v>
      </c>
      <c r="AD43" s="55">
        <v>-6.4803224358974303</v>
      </c>
      <c r="AE43" s="55">
        <v>0</v>
      </c>
      <c r="AF43" s="55" t="e">
        <v>#N/A</v>
      </c>
    </row>
    <row r="44" spans="1:32" s="57" customFormat="1" ht="15.75" customHeight="1">
      <c r="A44" s="2" t="s">
        <v>108</v>
      </c>
      <c r="B44" s="2"/>
      <c r="C44" s="51" t="str">
        <f t="shared" si="50"/>
        <v xml:space="preserve"> - </v>
      </c>
      <c r="D44" s="51">
        <v>0</v>
      </c>
      <c r="E44" s="51">
        <v>0</v>
      </c>
      <c r="F44" s="51">
        <v>0</v>
      </c>
      <c r="G44" s="51">
        <v>0</v>
      </c>
      <c r="H44" s="51" t="e">
        <f t="shared" si="51"/>
        <v>#DIV/0!</v>
      </c>
      <c r="I44" s="51" t="e">
        <f t="shared" si="52"/>
        <v>#DIV/0!</v>
      </c>
      <c r="J44" s="51">
        <f t="shared" si="53"/>
        <v>0</v>
      </c>
      <c r="K44" s="51" t="e">
        <f t="shared" si="54"/>
        <v>#DIV/0!</v>
      </c>
      <c r="L44" s="51">
        <v>0</v>
      </c>
      <c r="M44" s="51" t="str">
        <f t="shared" si="55"/>
        <v>-</v>
      </c>
      <c r="N44" s="51">
        <v>0</v>
      </c>
      <c r="O44" s="51">
        <f t="shared" ref="O44:P44" si="64">D44/7</f>
        <v>0</v>
      </c>
      <c r="P44" s="51">
        <f t="shared" si="64"/>
        <v>0</v>
      </c>
      <c r="Q44" s="51" t="e">
        <f t="shared" si="57"/>
        <v>#DIV/0!</v>
      </c>
      <c r="R44" s="55">
        <v>100</v>
      </c>
      <c r="S44" s="53" t="s">
        <v>34</v>
      </c>
      <c r="T44" s="54" t="s">
        <v>34</v>
      </c>
      <c r="U44" s="55">
        <v>0</v>
      </c>
      <c r="V44" s="55">
        <f t="shared" si="58"/>
        <v>0</v>
      </c>
      <c r="W44" s="55">
        <f t="shared" si="59"/>
        <v>0</v>
      </c>
      <c r="X44" s="55">
        <v>0</v>
      </c>
      <c r="Y44" s="55" t="e">
        <v>#N/A</v>
      </c>
      <c r="Z44" s="56" t="e">
        <f t="shared" ref="Z44:Z56" si="65">IF(OR(Y44="UsLargeStandardSize",Y44="UsSmallStandardSize"),-2.4,-1.2)</f>
        <v>#N/A</v>
      </c>
      <c r="AA44" s="55" t="e">
        <v>#N/A</v>
      </c>
      <c r="AB44" s="55">
        <f t="shared" si="61"/>
        <v>0</v>
      </c>
      <c r="AC44" s="55">
        <v>0</v>
      </c>
      <c r="AD44" s="55">
        <v>-6.4803224358974303</v>
      </c>
      <c r="AE44" s="55">
        <v>0</v>
      </c>
      <c r="AF44" s="55" t="e">
        <v>#N/A</v>
      </c>
    </row>
    <row r="45" spans="1:32" s="57" customFormat="1" ht="15.75" customHeight="1">
      <c r="A45" s="2" t="s">
        <v>109</v>
      </c>
      <c r="B45" s="2"/>
      <c r="C45" s="51" t="str">
        <f t="shared" si="50"/>
        <v xml:space="preserve"> - </v>
      </c>
      <c r="D45" s="51">
        <v>0</v>
      </c>
      <c r="E45" s="51">
        <v>0</v>
      </c>
      <c r="F45" s="51">
        <v>0</v>
      </c>
      <c r="G45" s="51">
        <v>0</v>
      </c>
      <c r="H45" s="51" t="e">
        <f t="shared" si="51"/>
        <v>#DIV/0!</v>
      </c>
      <c r="I45" s="51" t="e">
        <f t="shared" si="52"/>
        <v>#DIV/0!</v>
      </c>
      <c r="J45" s="51">
        <f t="shared" si="53"/>
        <v>0</v>
      </c>
      <c r="K45" s="51" t="e">
        <f t="shared" si="54"/>
        <v>#DIV/0!</v>
      </c>
      <c r="L45" s="51">
        <v>0</v>
      </c>
      <c r="M45" s="51" t="str">
        <f t="shared" si="55"/>
        <v>-</v>
      </c>
      <c r="N45" s="51">
        <v>0</v>
      </c>
      <c r="O45" s="51">
        <f t="shared" ref="O45:P45" si="66">D45/7</f>
        <v>0</v>
      </c>
      <c r="P45" s="51">
        <f t="shared" si="66"/>
        <v>0</v>
      </c>
      <c r="Q45" s="51" t="e">
        <f t="shared" si="57"/>
        <v>#DIV/0!</v>
      </c>
      <c r="R45" s="55">
        <v>100</v>
      </c>
      <c r="S45" s="53" t="s">
        <v>34</v>
      </c>
      <c r="T45" s="54" t="s">
        <v>34</v>
      </c>
      <c r="U45" s="55">
        <v>0</v>
      </c>
      <c r="V45" s="55">
        <f t="shared" si="58"/>
        <v>0</v>
      </c>
      <c r="W45" s="55">
        <f t="shared" si="59"/>
        <v>0</v>
      </c>
      <c r="X45" s="55">
        <v>0</v>
      </c>
      <c r="Y45" s="55" t="e">
        <v>#N/A</v>
      </c>
      <c r="Z45" s="56" t="e">
        <f t="shared" si="65"/>
        <v>#N/A</v>
      </c>
      <c r="AA45" s="55" t="e">
        <v>#N/A</v>
      </c>
      <c r="AB45" s="55">
        <f t="shared" si="61"/>
        <v>0</v>
      </c>
      <c r="AC45" s="55">
        <v>0</v>
      </c>
      <c r="AD45" s="55">
        <v>-6.4803224358974303</v>
      </c>
      <c r="AE45" s="55">
        <v>0</v>
      </c>
      <c r="AF45" s="55" t="e">
        <v>#N/A</v>
      </c>
    </row>
    <row r="46" spans="1:32" s="57" customFormat="1" ht="15.75" customHeight="1">
      <c r="A46" s="2" t="s">
        <v>111</v>
      </c>
      <c r="B46" s="2"/>
      <c r="C46" s="51" t="str">
        <f t="shared" si="50"/>
        <v xml:space="preserve"> - </v>
      </c>
      <c r="D46" s="51">
        <v>0</v>
      </c>
      <c r="E46" s="51">
        <v>0</v>
      </c>
      <c r="F46" s="51">
        <v>0</v>
      </c>
      <c r="G46" s="51">
        <v>0</v>
      </c>
      <c r="H46" s="51" t="e">
        <f t="shared" si="51"/>
        <v>#DIV/0!</v>
      </c>
      <c r="I46" s="51" t="e">
        <f t="shared" si="52"/>
        <v>#DIV/0!</v>
      </c>
      <c r="J46" s="51">
        <f t="shared" si="53"/>
        <v>0</v>
      </c>
      <c r="K46" s="51" t="e">
        <f t="shared" si="54"/>
        <v>#DIV/0!</v>
      </c>
      <c r="L46" s="51">
        <v>0</v>
      </c>
      <c r="M46" s="51" t="str">
        <f t="shared" si="55"/>
        <v>-</v>
      </c>
      <c r="N46" s="51">
        <v>0</v>
      </c>
      <c r="O46" s="51">
        <f t="shared" ref="O46:P46" si="67">D46/7</f>
        <v>0</v>
      </c>
      <c r="P46" s="51">
        <f t="shared" si="67"/>
        <v>0</v>
      </c>
      <c r="Q46" s="51" t="e">
        <f t="shared" si="57"/>
        <v>#DIV/0!</v>
      </c>
      <c r="R46" s="55">
        <v>100</v>
      </c>
      <c r="S46" s="53" t="s">
        <v>34</v>
      </c>
      <c r="T46" s="54" t="s">
        <v>34</v>
      </c>
      <c r="U46" s="55">
        <v>0</v>
      </c>
      <c r="V46" s="55">
        <f t="shared" si="58"/>
        <v>0</v>
      </c>
      <c r="W46" s="55">
        <f t="shared" si="59"/>
        <v>0</v>
      </c>
      <c r="X46" s="55">
        <v>0</v>
      </c>
      <c r="Y46" s="55" t="e">
        <v>#N/A</v>
      </c>
      <c r="Z46" s="56" t="e">
        <f t="shared" si="65"/>
        <v>#N/A</v>
      </c>
      <c r="AA46" s="55" t="e">
        <v>#N/A</v>
      </c>
      <c r="AB46" s="55">
        <f t="shared" si="61"/>
        <v>0</v>
      </c>
      <c r="AC46" s="55">
        <v>0</v>
      </c>
      <c r="AD46" s="55">
        <v>-6.4803224358974303</v>
      </c>
      <c r="AE46" s="55">
        <v>0</v>
      </c>
      <c r="AF46" s="55" t="e">
        <v>#N/A</v>
      </c>
    </row>
    <row r="47" spans="1:32" s="57" customFormat="1" ht="15.75" customHeight="1">
      <c r="A47" s="2" t="s">
        <v>113</v>
      </c>
      <c r="B47" s="2"/>
      <c r="C47" s="51" t="str">
        <f t="shared" si="50"/>
        <v xml:space="preserve"> - </v>
      </c>
      <c r="D47" s="51">
        <v>0</v>
      </c>
      <c r="E47" s="51">
        <v>0</v>
      </c>
      <c r="F47" s="51">
        <v>0</v>
      </c>
      <c r="G47" s="51">
        <v>0</v>
      </c>
      <c r="H47" s="51" t="e">
        <f t="shared" si="51"/>
        <v>#DIV/0!</v>
      </c>
      <c r="I47" s="51" t="e">
        <f t="shared" si="52"/>
        <v>#DIV/0!</v>
      </c>
      <c r="J47" s="51">
        <f t="shared" si="53"/>
        <v>0</v>
      </c>
      <c r="K47" s="51" t="e">
        <f t="shared" si="54"/>
        <v>#DIV/0!</v>
      </c>
      <c r="L47" s="51">
        <v>0</v>
      </c>
      <c r="M47" s="51" t="str">
        <f t="shared" si="55"/>
        <v>-</v>
      </c>
      <c r="N47" s="51">
        <v>0</v>
      </c>
      <c r="O47" s="51">
        <f t="shared" ref="O47:P47" si="68">D47/7</f>
        <v>0</v>
      </c>
      <c r="P47" s="51">
        <f t="shared" si="68"/>
        <v>0</v>
      </c>
      <c r="Q47" s="51" t="e">
        <f t="shared" si="57"/>
        <v>#DIV/0!</v>
      </c>
      <c r="R47" s="55">
        <v>100</v>
      </c>
      <c r="S47" s="53" t="s">
        <v>34</v>
      </c>
      <c r="T47" s="54" t="s">
        <v>34</v>
      </c>
      <c r="U47" s="55">
        <v>0</v>
      </c>
      <c r="V47" s="55">
        <f t="shared" si="58"/>
        <v>0</v>
      </c>
      <c r="W47" s="55">
        <f t="shared" si="59"/>
        <v>0</v>
      </c>
      <c r="X47" s="55">
        <v>0</v>
      </c>
      <c r="Y47" s="55" t="e">
        <v>#N/A</v>
      </c>
      <c r="Z47" s="56" t="e">
        <f t="shared" si="65"/>
        <v>#N/A</v>
      </c>
      <c r="AA47" s="55" t="e">
        <v>#N/A</v>
      </c>
      <c r="AB47" s="55">
        <f t="shared" si="61"/>
        <v>0</v>
      </c>
      <c r="AC47" s="55">
        <v>0</v>
      </c>
      <c r="AD47" s="55">
        <v>-6.4803224358974303</v>
      </c>
      <c r="AE47" s="55">
        <v>0</v>
      </c>
      <c r="AF47" s="55" t="e">
        <v>#N/A</v>
      </c>
    </row>
    <row r="48" spans="1:32" s="57" customFormat="1" ht="15.75" customHeight="1">
      <c r="A48" s="2" t="s">
        <v>115</v>
      </c>
      <c r="B48" s="2"/>
      <c r="C48" s="51" t="str">
        <f t="shared" si="50"/>
        <v xml:space="preserve"> - </v>
      </c>
      <c r="D48" s="51">
        <v>0</v>
      </c>
      <c r="E48" s="51">
        <v>0</v>
      </c>
      <c r="F48" s="51">
        <v>0</v>
      </c>
      <c r="G48" s="51">
        <v>0</v>
      </c>
      <c r="H48" s="51" t="e">
        <f t="shared" si="51"/>
        <v>#DIV/0!</v>
      </c>
      <c r="I48" s="51" t="e">
        <f t="shared" si="52"/>
        <v>#DIV/0!</v>
      </c>
      <c r="J48" s="51">
        <f t="shared" si="53"/>
        <v>0</v>
      </c>
      <c r="K48" s="51" t="e">
        <f t="shared" si="54"/>
        <v>#DIV/0!</v>
      </c>
      <c r="L48" s="51">
        <v>0</v>
      </c>
      <c r="M48" s="51" t="str">
        <f t="shared" si="55"/>
        <v>-</v>
      </c>
      <c r="N48" s="51">
        <v>0</v>
      </c>
      <c r="O48" s="51">
        <f t="shared" ref="O48:P48" si="69">D48/7</f>
        <v>0</v>
      </c>
      <c r="P48" s="51">
        <f t="shared" si="69"/>
        <v>0</v>
      </c>
      <c r="Q48" s="51" t="e">
        <f t="shared" si="57"/>
        <v>#DIV/0!</v>
      </c>
      <c r="R48" s="55">
        <f ca="1">IFERROR(__xludf.DUMMYFUNCTION("IFERROR(VLOOKUP($B$2,IMPORTRANGE(""https://docs.google.com/spreadsheets/d/1iVgg6Mw12RULLujzHmfOFIY8Q_KaAD8anoZzgtVAQ74/edit#gid=1503384807"",""Second Star - Summary!A1:AD2000""),9,FALSE),"""")"),224)</f>
        <v>224</v>
      </c>
      <c r="S48" s="53">
        <f ca="1">IFERROR(__xludf.DUMMYFUNCTION("IFERROR(VLOOKUP($B$2,IMPORTRANGE(""https://docs.google.com/spreadsheets/d/1iVgg6Mw12RULLujzHmfOFIY8Q_KaAD8anoZzgtVAQ74/edit#gid=1503384807"",""Second Star - Summary!A1:AD2000""),28,FALSE),"""")"),80)</f>
        <v>80</v>
      </c>
      <c r="T48" s="54">
        <f ca="1">IFERROR(__xludf.DUMMYFUNCTION("IFERROR(VLOOKUP($B$2,IMPORTRANGE(""https://docs.google.com/spreadsheets/d/1iVgg6Mw12RULLujzHmfOFIY8Q_KaAD8anoZzgtVAQ74/edit#gid=1503384807"",""Second Star - Summary!A1:AD2000""),29,FALSE),"""")"),44339)</f>
        <v>44339</v>
      </c>
      <c r="U48" s="55">
        <v>0</v>
      </c>
      <c r="V48" s="55">
        <f t="shared" si="58"/>
        <v>0</v>
      </c>
      <c r="W48" s="55">
        <f t="shared" si="59"/>
        <v>0</v>
      </c>
      <c r="X48" s="55">
        <v>0</v>
      </c>
      <c r="Y48" s="55" t="e">
        <v>#N/A</v>
      </c>
      <c r="Z48" s="56" t="e">
        <f t="shared" si="65"/>
        <v>#N/A</v>
      </c>
      <c r="AA48" s="55" t="e">
        <v>#N/A</v>
      </c>
      <c r="AB48" s="55">
        <f t="shared" si="61"/>
        <v>0</v>
      </c>
      <c r="AC48" s="55">
        <v>0</v>
      </c>
      <c r="AD48" s="55">
        <v>-6.4803224358974303</v>
      </c>
      <c r="AE48" s="55">
        <v>0</v>
      </c>
      <c r="AF48" s="55" t="e">
        <v>#N/A</v>
      </c>
    </row>
    <row r="49" spans="1:32" s="57" customFormat="1" ht="15.75" customHeight="1">
      <c r="A49" s="2" t="s">
        <v>117</v>
      </c>
      <c r="B49" s="2"/>
      <c r="C49" s="51" t="str">
        <f t="shared" si="50"/>
        <v xml:space="preserve"> - </v>
      </c>
      <c r="D49" s="51">
        <v>0</v>
      </c>
      <c r="E49" s="51">
        <v>0</v>
      </c>
      <c r="F49" s="51">
        <v>0</v>
      </c>
      <c r="G49" s="51">
        <v>0</v>
      </c>
      <c r="H49" s="51" t="e">
        <f t="shared" si="51"/>
        <v>#DIV/0!</v>
      </c>
      <c r="I49" s="51" t="e">
        <f t="shared" si="52"/>
        <v>#DIV/0!</v>
      </c>
      <c r="J49" s="51">
        <f t="shared" ref="J49:J56" si="70">F49*0.85+G49+AD49*D49+D49*AC49+AE49+AB49</f>
        <v>0</v>
      </c>
      <c r="K49" s="51" t="e">
        <f t="shared" si="54"/>
        <v>#DIV/0!</v>
      </c>
      <c r="L49" s="51">
        <v>0</v>
      </c>
      <c r="M49" s="51" t="str">
        <f t="shared" si="55"/>
        <v>-</v>
      </c>
      <c r="N49" s="51">
        <v>0</v>
      </c>
      <c r="O49" s="51">
        <f t="shared" ref="O49:P49" si="71">D49/7</f>
        <v>0</v>
      </c>
      <c r="P49" s="51">
        <f t="shared" si="71"/>
        <v>0</v>
      </c>
      <c r="Q49" s="51" t="e">
        <f t="shared" si="57"/>
        <v>#DIV/0!</v>
      </c>
      <c r="R49" s="55">
        <f ca="1">IFERROR(__xludf.DUMMYFUNCTION("IFERROR(VLOOKUP($B$2,IMPORTRANGE(""https://docs.google.com/spreadsheets/d/1iVgg6Mw12RULLujzHmfOFIY8Q_KaAD8anoZzgtVAQ74/edit#gid=1503384807"",""Second Star - Summary!A1:AD2000""),9,FALSE),"""")"),224)</f>
        <v>224</v>
      </c>
      <c r="S49" s="53">
        <f ca="1">IFERROR(__xludf.DUMMYFUNCTION("IFERROR(VLOOKUP($B$2,IMPORTRANGE(""https://docs.google.com/spreadsheets/d/1iVgg6Mw12RULLujzHmfOFIY8Q_KaAD8anoZzgtVAQ74/edit#gid=1503384807"",""Second Star - Summary!A1:AD2000""),28,FALSE),"""")"),80)</f>
        <v>80</v>
      </c>
      <c r="T49" s="54">
        <f ca="1">IFERROR(__xludf.DUMMYFUNCTION("IFERROR(VLOOKUP($B$2,IMPORTRANGE(""https://docs.google.com/spreadsheets/d/1iVgg6Mw12RULLujzHmfOFIY8Q_KaAD8anoZzgtVAQ74/edit#gid=1503384807"",""Second Star - Summary!A1:AD2000""),29,FALSE),"""")"),44339)</f>
        <v>44339</v>
      </c>
      <c r="U49" s="55">
        <v>0</v>
      </c>
      <c r="V49" s="55">
        <f t="shared" si="58"/>
        <v>0</v>
      </c>
      <c r="W49" s="55">
        <f t="shared" si="59"/>
        <v>0</v>
      </c>
      <c r="X49" s="55">
        <v>0</v>
      </c>
      <c r="Y49" s="55" t="e">
        <v>#N/A</v>
      </c>
      <c r="Z49" s="56" t="e">
        <f t="shared" si="65"/>
        <v>#N/A</v>
      </c>
      <c r="AA49" s="55" t="e">
        <v>#N/A</v>
      </c>
      <c r="AB49" s="55">
        <f t="shared" si="61"/>
        <v>0</v>
      </c>
      <c r="AC49" s="55">
        <v>0</v>
      </c>
      <c r="AD49" s="55">
        <v>-6.4803224358974303</v>
      </c>
      <c r="AE49" s="55"/>
      <c r="AF49" s="55" t="e">
        <v>#N/A</v>
      </c>
    </row>
    <row r="50" spans="1:32" s="57" customFormat="1" ht="15.75" customHeight="1">
      <c r="A50" s="2" t="s">
        <v>119</v>
      </c>
      <c r="B50" s="2"/>
      <c r="C50" s="51" t="str">
        <f t="shared" si="50"/>
        <v xml:space="preserve"> - </v>
      </c>
      <c r="D50" s="51">
        <v>0</v>
      </c>
      <c r="E50" s="51">
        <v>0</v>
      </c>
      <c r="F50" s="51">
        <v>0</v>
      </c>
      <c r="G50" s="51">
        <v>0</v>
      </c>
      <c r="H50" s="51" t="e">
        <f t="shared" si="51"/>
        <v>#DIV/0!</v>
      </c>
      <c r="I50" s="51" t="e">
        <f t="shared" si="52"/>
        <v>#DIV/0!</v>
      </c>
      <c r="J50" s="51">
        <f t="shared" si="70"/>
        <v>0</v>
      </c>
      <c r="K50" s="51" t="e">
        <f t="shared" si="54"/>
        <v>#DIV/0!</v>
      </c>
      <c r="L50" s="51">
        <v>0</v>
      </c>
      <c r="M50" s="51" t="str">
        <f t="shared" si="55"/>
        <v>-</v>
      </c>
      <c r="N50" s="51">
        <v>0</v>
      </c>
      <c r="O50" s="51">
        <f t="shared" ref="O50:P50" si="72">D50/7</f>
        <v>0</v>
      </c>
      <c r="P50" s="51">
        <f t="shared" si="72"/>
        <v>0</v>
      </c>
      <c r="Q50" s="51" t="e">
        <f t="shared" si="57"/>
        <v>#DIV/0!</v>
      </c>
      <c r="R50" s="55">
        <f ca="1">IFERROR(__xludf.DUMMYFUNCTION("IFERROR(VLOOKUP($B$2,IMPORTRANGE(""https://docs.google.com/spreadsheets/d/1iVgg6Mw12RULLujzHmfOFIY8Q_KaAD8anoZzgtVAQ74/edit#gid=1503384807"",""Second Star - Summary!A1:AD2000""),9,FALSE),"""")"),224)</f>
        <v>224</v>
      </c>
      <c r="S50" s="53">
        <f ca="1">IFERROR(__xludf.DUMMYFUNCTION("IFERROR(VLOOKUP($B$2,IMPORTRANGE(""https://docs.google.com/spreadsheets/d/1iVgg6Mw12RULLujzHmfOFIY8Q_KaAD8anoZzgtVAQ74/edit#gid=1503384807"",""Second Star - Summary!A1:AD2000""),28,FALSE),"""")"),80)</f>
        <v>80</v>
      </c>
      <c r="T50" s="54">
        <f ca="1">IFERROR(__xludf.DUMMYFUNCTION("IFERROR(VLOOKUP($B$2,IMPORTRANGE(""https://docs.google.com/spreadsheets/d/1iVgg6Mw12RULLujzHmfOFIY8Q_KaAD8anoZzgtVAQ74/edit#gid=1503384807"",""Second Star - Summary!A1:AD2000""),29,FALSE),"""")"),44339)</f>
        <v>44339</v>
      </c>
      <c r="U50" s="55">
        <v>0</v>
      </c>
      <c r="V50" s="55">
        <f t="shared" si="58"/>
        <v>0</v>
      </c>
      <c r="W50" s="55">
        <f t="shared" si="59"/>
        <v>0</v>
      </c>
      <c r="X50" s="55">
        <v>0</v>
      </c>
      <c r="Y50" s="55" t="e">
        <v>#N/A</v>
      </c>
      <c r="Z50" s="56" t="e">
        <f t="shared" si="65"/>
        <v>#N/A</v>
      </c>
      <c r="AA50" s="55" t="e">
        <v>#N/A</v>
      </c>
      <c r="AB50" s="55">
        <f t="shared" si="61"/>
        <v>0</v>
      </c>
      <c r="AC50" s="55">
        <v>0</v>
      </c>
      <c r="AD50" s="55">
        <v>-6.4803224358974303</v>
      </c>
      <c r="AE50" s="55">
        <v>0</v>
      </c>
      <c r="AF50" s="55" t="e">
        <v>#N/A</v>
      </c>
    </row>
    <row r="51" spans="1:32" s="57" customFormat="1" ht="15.75" customHeight="1">
      <c r="A51" s="2" t="s">
        <v>121</v>
      </c>
      <c r="B51" s="2"/>
      <c r="C51" s="51" t="str">
        <f t="shared" si="50"/>
        <v xml:space="preserve"> - </v>
      </c>
      <c r="D51" s="51">
        <v>0</v>
      </c>
      <c r="E51" s="51">
        <v>0</v>
      </c>
      <c r="F51" s="51">
        <v>0</v>
      </c>
      <c r="G51" s="51">
        <v>0</v>
      </c>
      <c r="H51" s="51" t="e">
        <f t="shared" si="51"/>
        <v>#DIV/0!</v>
      </c>
      <c r="I51" s="51" t="e">
        <f t="shared" si="52"/>
        <v>#DIV/0!</v>
      </c>
      <c r="J51" s="51">
        <f t="shared" si="70"/>
        <v>0</v>
      </c>
      <c r="K51" s="51" t="e">
        <f t="shared" si="54"/>
        <v>#DIV/0!</v>
      </c>
      <c r="L51" s="51">
        <v>0</v>
      </c>
      <c r="M51" s="51" t="str">
        <f t="shared" si="55"/>
        <v>-</v>
      </c>
      <c r="N51" s="51">
        <v>0</v>
      </c>
      <c r="O51" s="51">
        <f t="shared" ref="O51:P51" si="73">D51/7</f>
        <v>0</v>
      </c>
      <c r="P51" s="51">
        <f t="shared" si="73"/>
        <v>0</v>
      </c>
      <c r="Q51" s="51" t="e">
        <f t="shared" si="57"/>
        <v>#DIV/0!</v>
      </c>
      <c r="R51" s="55">
        <f ca="1">IFERROR(__xludf.DUMMYFUNCTION("IFERROR(VLOOKUP($B$2,IMPORTRANGE(""https://docs.google.com/spreadsheets/d/1iVgg6Mw12RULLujzHmfOFIY8Q_KaAD8anoZzgtVAQ74/edit#gid=1503384807"",""Second Star - Summary!A1:AD2000""),9,FALSE),"""")"),224)</f>
        <v>224</v>
      </c>
      <c r="S51" s="53">
        <f ca="1">IFERROR(__xludf.DUMMYFUNCTION("IFERROR(VLOOKUP($B$2,IMPORTRANGE(""https://docs.google.com/spreadsheets/d/1iVgg6Mw12RULLujzHmfOFIY8Q_KaAD8anoZzgtVAQ74/edit#gid=1503384807"",""Second Star - Summary!A1:AD2000""),28,FALSE),"""")"),80)</f>
        <v>80</v>
      </c>
      <c r="T51" s="54">
        <f ca="1">IFERROR(__xludf.DUMMYFUNCTION("IFERROR(VLOOKUP($B$2,IMPORTRANGE(""https://docs.google.com/spreadsheets/d/1iVgg6Mw12RULLujzHmfOFIY8Q_KaAD8anoZzgtVAQ74/edit#gid=1503384807"",""Second Star - Summary!A1:AD2000""),29,FALSE),"""")"),44339)</f>
        <v>44339</v>
      </c>
      <c r="U51" s="55">
        <v>0</v>
      </c>
      <c r="V51" s="55">
        <f t="shared" si="58"/>
        <v>0</v>
      </c>
      <c r="W51" s="55">
        <f t="shared" si="59"/>
        <v>0</v>
      </c>
      <c r="X51" s="55">
        <v>0</v>
      </c>
      <c r="Y51" s="55" t="e">
        <v>#N/A</v>
      </c>
      <c r="Z51" s="56" t="e">
        <f t="shared" si="65"/>
        <v>#N/A</v>
      </c>
      <c r="AA51" s="55" t="e">
        <v>#N/A</v>
      </c>
      <c r="AB51" s="55">
        <f t="shared" si="61"/>
        <v>0</v>
      </c>
      <c r="AC51" s="55">
        <v>0</v>
      </c>
      <c r="AD51" s="55">
        <v>-6.4803224358974303</v>
      </c>
      <c r="AE51" s="55">
        <v>0</v>
      </c>
      <c r="AF51" s="55" t="e">
        <v>#N/A</v>
      </c>
    </row>
    <row r="52" spans="1:32" s="57" customFormat="1" ht="15.75" customHeight="1">
      <c r="A52" s="2" t="s">
        <v>123</v>
      </c>
      <c r="B52" s="2"/>
      <c r="C52" s="51" t="str">
        <f t="shared" si="50"/>
        <v xml:space="preserve"> - </v>
      </c>
      <c r="D52" s="51">
        <v>0</v>
      </c>
      <c r="E52" s="51">
        <v>0</v>
      </c>
      <c r="F52" s="51">
        <v>0</v>
      </c>
      <c r="G52" s="51">
        <v>0</v>
      </c>
      <c r="H52" s="51" t="e">
        <f t="shared" si="51"/>
        <v>#DIV/0!</v>
      </c>
      <c r="I52" s="51" t="e">
        <f t="shared" si="52"/>
        <v>#DIV/0!</v>
      </c>
      <c r="J52" s="51">
        <f t="shared" si="70"/>
        <v>0</v>
      </c>
      <c r="K52" s="51" t="e">
        <f t="shared" si="54"/>
        <v>#DIV/0!</v>
      </c>
      <c r="L52" s="51">
        <v>0</v>
      </c>
      <c r="M52" s="51" t="str">
        <f t="shared" si="55"/>
        <v>-</v>
      </c>
      <c r="N52" s="51">
        <v>0</v>
      </c>
      <c r="O52" s="51">
        <f t="shared" ref="O52:P52" si="74">D52/7</f>
        <v>0</v>
      </c>
      <c r="P52" s="51">
        <f t="shared" si="74"/>
        <v>0</v>
      </c>
      <c r="Q52" s="51" t="e">
        <f t="shared" si="57"/>
        <v>#DIV/0!</v>
      </c>
      <c r="R52" s="55">
        <f ca="1">IFERROR(__xludf.DUMMYFUNCTION("IFERROR(VLOOKUP($B$2,IMPORTRANGE(""https://docs.google.com/spreadsheets/d/1iVgg6Mw12RULLujzHmfOFIY8Q_KaAD8anoZzgtVAQ74/edit#gid=1503384807"",""Second Star - Summary!A1:AD2000""),9,FALSE),"""")"),224)</f>
        <v>224</v>
      </c>
      <c r="S52" s="53">
        <f ca="1">IFERROR(__xludf.DUMMYFUNCTION("IFERROR(VLOOKUP($B$2,IMPORTRANGE(""https://docs.google.com/spreadsheets/d/1iVgg6Mw12RULLujzHmfOFIY8Q_KaAD8anoZzgtVAQ74/edit#gid=1503384807"",""Second Star - Summary!A1:AD2000""),28,FALSE),"""")"),80)</f>
        <v>80</v>
      </c>
      <c r="T52" s="54">
        <f ca="1">IFERROR(__xludf.DUMMYFUNCTION("IFERROR(VLOOKUP($B$2,IMPORTRANGE(""https://docs.google.com/spreadsheets/d/1iVgg6Mw12RULLujzHmfOFIY8Q_KaAD8anoZzgtVAQ74/edit#gid=1503384807"",""Second Star - Summary!A1:AD2000""),29,FALSE),"""")"),44339)</f>
        <v>44339</v>
      </c>
      <c r="U52" s="55">
        <v>0</v>
      </c>
      <c r="V52" s="55">
        <f t="shared" si="58"/>
        <v>0</v>
      </c>
      <c r="W52" s="55">
        <f t="shared" si="59"/>
        <v>0</v>
      </c>
      <c r="X52" s="55">
        <v>0</v>
      </c>
      <c r="Y52" s="55" t="e">
        <v>#N/A</v>
      </c>
      <c r="Z52" s="56" t="e">
        <f t="shared" si="65"/>
        <v>#N/A</v>
      </c>
      <c r="AA52" s="55" t="e">
        <v>#N/A</v>
      </c>
      <c r="AB52" s="55">
        <f t="shared" si="61"/>
        <v>0</v>
      </c>
      <c r="AC52" s="55">
        <v>0</v>
      </c>
      <c r="AD52" s="55">
        <v>-6.4803224358974303</v>
      </c>
      <c r="AE52" s="55">
        <v>0</v>
      </c>
      <c r="AF52" s="55">
        <v>0</v>
      </c>
    </row>
    <row r="53" spans="1:32" s="57" customFormat="1">
      <c r="A53" s="2" t="s">
        <v>38</v>
      </c>
      <c r="B53" s="2"/>
      <c r="C53" s="51" t="str">
        <f t="shared" si="50"/>
        <v xml:space="preserve"> - </v>
      </c>
      <c r="D53" s="51">
        <v>0</v>
      </c>
      <c r="E53" s="51">
        <v>0</v>
      </c>
      <c r="F53" s="51">
        <v>0</v>
      </c>
      <c r="G53" s="51">
        <v>0</v>
      </c>
      <c r="H53" s="51" t="e">
        <f t="shared" si="51"/>
        <v>#DIV/0!</v>
      </c>
      <c r="I53" s="51" t="e">
        <f t="shared" si="52"/>
        <v>#DIV/0!</v>
      </c>
      <c r="J53" s="51">
        <f t="shared" si="70"/>
        <v>0</v>
      </c>
      <c r="K53" s="51" t="e">
        <f t="shared" si="54"/>
        <v>#DIV/0!</v>
      </c>
      <c r="L53" s="51">
        <v>0</v>
      </c>
      <c r="M53" s="51" t="str">
        <f t="shared" si="55"/>
        <v>-</v>
      </c>
      <c r="N53" s="51">
        <v>0</v>
      </c>
      <c r="O53" s="51">
        <f t="shared" ref="O53:P53" si="75">D53/7</f>
        <v>0</v>
      </c>
      <c r="P53" s="51">
        <f t="shared" si="75"/>
        <v>0</v>
      </c>
      <c r="Q53" s="51" t="e">
        <f t="shared" si="57"/>
        <v>#DIV/0!</v>
      </c>
      <c r="R53" s="55">
        <f ca="1">IFERROR(__xludf.DUMMYFUNCTION("IFERROR(VLOOKUP($B$2,IMPORTRANGE(""https://docs.google.com/spreadsheets/d/1iVgg6Mw12RULLujzHmfOFIY8Q_KaAD8anoZzgtVAQ74/edit#gid=1503384807"",""Second Star - Summary!A1:AD2000""),9,FALSE),"""")"),224)</f>
        <v>224</v>
      </c>
      <c r="S53" s="53">
        <f ca="1">IFERROR(__xludf.DUMMYFUNCTION("IFERROR(VLOOKUP($B$2,IMPORTRANGE(""https://docs.google.com/spreadsheets/d/1iVgg6Mw12RULLujzHmfOFIY8Q_KaAD8anoZzgtVAQ74/edit#gid=1503384807"",""Second Star - Summary!A1:AD2000""),28,FALSE),"""")"),80)</f>
        <v>80</v>
      </c>
      <c r="T53" s="54">
        <f ca="1">IFERROR(__xludf.DUMMYFUNCTION("IFERROR(VLOOKUP($B$2,IMPORTRANGE(""https://docs.google.com/spreadsheets/d/1iVgg6Mw12RULLujzHmfOFIY8Q_KaAD8anoZzgtVAQ74/edit#gid=1503384807"",""Second Star - Summary!A1:AD2000""),29,FALSE),"""")"),44339)</f>
        <v>44339</v>
      </c>
      <c r="U53" s="55">
        <v>0</v>
      </c>
      <c r="V53" s="55">
        <f t="shared" si="58"/>
        <v>0</v>
      </c>
      <c r="W53" s="55">
        <f t="shared" si="59"/>
        <v>0</v>
      </c>
      <c r="X53" s="55">
        <v>0</v>
      </c>
      <c r="Y53" s="55" t="e">
        <v>#N/A</v>
      </c>
      <c r="Z53" s="56" t="e">
        <f t="shared" si="65"/>
        <v>#N/A</v>
      </c>
      <c r="AA53" s="55" t="e">
        <v>#N/A</v>
      </c>
      <c r="AB53" s="55">
        <f t="shared" si="61"/>
        <v>0</v>
      </c>
      <c r="AC53" s="55">
        <v>0</v>
      </c>
      <c r="AD53" s="55">
        <v>-6.4803224358974303</v>
      </c>
      <c r="AE53" s="55">
        <v>0</v>
      </c>
      <c r="AF53" s="55">
        <v>0</v>
      </c>
    </row>
    <row r="54" spans="1:32" s="57" customFormat="1">
      <c r="A54" s="2" t="s">
        <v>40</v>
      </c>
      <c r="B54" s="2"/>
      <c r="C54" s="51" t="str">
        <f t="shared" si="50"/>
        <v xml:space="preserve"> - </v>
      </c>
      <c r="D54" s="51">
        <v>0</v>
      </c>
      <c r="E54" s="51">
        <v>0</v>
      </c>
      <c r="F54" s="51">
        <v>0</v>
      </c>
      <c r="G54" s="51">
        <v>0</v>
      </c>
      <c r="H54" s="51" t="e">
        <f t="shared" si="51"/>
        <v>#DIV/0!</v>
      </c>
      <c r="I54" s="51" t="e">
        <f t="shared" si="52"/>
        <v>#DIV/0!</v>
      </c>
      <c r="J54" s="51">
        <f t="shared" si="70"/>
        <v>0</v>
      </c>
      <c r="K54" s="51" t="e">
        <f t="shared" si="54"/>
        <v>#DIV/0!</v>
      </c>
      <c r="L54" s="51">
        <v>0</v>
      </c>
      <c r="M54" s="51" t="str">
        <f t="shared" si="55"/>
        <v>-</v>
      </c>
      <c r="N54" s="51">
        <v>0</v>
      </c>
      <c r="O54" s="51">
        <f t="shared" ref="O54:P54" si="76">D54/7</f>
        <v>0</v>
      </c>
      <c r="P54" s="51">
        <f t="shared" si="76"/>
        <v>0</v>
      </c>
      <c r="Q54" s="51" t="e">
        <f t="shared" si="57"/>
        <v>#DIV/0!</v>
      </c>
      <c r="R54" s="55">
        <f ca="1">IFERROR(__xludf.DUMMYFUNCTION("IFERROR(VLOOKUP($B$2,IMPORTRANGE(""https://docs.google.com/spreadsheets/d/1iVgg6Mw12RULLujzHmfOFIY8Q_KaAD8anoZzgtVAQ74/edit#gid=1503384807"",""Second Star - Summary!A1:AD2000""),9,FALSE),"""")"),224)</f>
        <v>224</v>
      </c>
      <c r="S54" s="53">
        <f ca="1">IFERROR(__xludf.DUMMYFUNCTION("IFERROR(VLOOKUP($B$2,IMPORTRANGE(""https://docs.google.com/spreadsheets/d/1iVgg6Mw12RULLujzHmfOFIY8Q_KaAD8anoZzgtVAQ74/edit#gid=1503384807"",""Second Star - Summary!A1:AD2000""),28,FALSE),"""")"),80)</f>
        <v>80</v>
      </c>
      <c r="T54" s="54">
        <f ca="1">IFERROR(__xludf.DUMMYFUNCTION("IFERROR(VLOOKUP($B$2,IMPORTRANGE(""https://docs.google.com/spreadsheets/d/1iVgg6Mw12RULLujzHmfOFIY8Q_KaAD8anoZzgtVAQ74/edit#gid=1503384807"",""Second Star - Summary!A1:AD2000""),29,FALSE),"""")"),44339)</f>
        <v>44339</v>
      </c>
      <c r="U54" s="55">
        <v>0</v>
      </c>
      <c r="V54" s="55">
        <f t="shared" si="58"/>
        <v>0</v>
      </c>
      <c r="W54" s="55">
        <f t="shared" si="59"/>
        <v>0</v>
      </c>
      <c r="X54" s="55">
        <v>0</v>
      </c>
      <c r="Y54" s="55" t="e">
        <v>#N/A</v>
      </c>
      <c r="Z54" s="56" t="e">
        <f t="shared" si="65"/>
        <v>#N/A</v>
      </c>
      <c r="AA54" s="55" t="e">
        <v>#N/A</v>
      </c>
      <c r="AB54" s="55">
        <f t="shared" si="61"/>
        <v>0</v>
      </c>
      <c r="AC54" s="55">
        <v>0</v>
      </c>
      <c r="AD54" s="55">
        <v>-6.4803224358974303</v>
      </c>
      <c r="AE54" s="55">
        <v>0</v>
      </c>
      <c r="AF54" s="55">
        <v>0</v>
      </c>
    </row>
    <row r="55" spans="1:32" s="57" customFormat="1" ht="15.75" customHeight="1">
      <c r="A55" s="2" t="s">
        <v>32</v>
      </c>
      <c r="B55" s="2"/>
      <c r="C55" s="51" t="str">
        <f t="shared" si="50"/>
        <v xml:space="preserve"> - </v>
      </c>
      <c r="D55" s="51">
        <v>0</v>
      </c>
      <c r="E55" s="51">
        <v>0</v>
      </c>
      <c r="F55" s="51">
        <v>0</v>
      </c>
      <c r="G55" s="51">
        <v>0</v>
      </c>
      <c r="H55" s="51" t="e">
        <f t="shared" si="51"/>
        <v>#DIV/0!</v>
      </c>
      <c r="I55" s="51" t="e">
        <f t="shared" si="52"/>
        <v>#DIV/0!</v>
      </c>
      <c r="J55" s="51">
        <f t="shared" si="70"/>
        <v>0</v>
      </c>
      <c r="K55" s="51" t="e">
        <f t="shared" si="54"/>
        <v>#DIV/0!</v>
      </c>
      <c r="L55" s="51">
        <v>0</v>
      </c>
      <c r="M55" s="51" t="str">
        <f t="shared" si="55"/>
        <v>-</v>
      </c>
      <c r="N55" s="51">
        <v>0</v>
      </c>
      <c r="O55" s="51">
        <f t="shared" ref="O55:P55" si="77">D55/7</f>
        <v>0</v>
      </c>
      <c r="P55" s="51">
        <f t="shared" si="77"/>
        <v>0</v>
      </c>
      <c r="Q55" s="51" t="e">
        <f t="shared" si="57"/>
        <v>#DIV/0!</v>
      </c>
      <c r="R55" s="55">
        <v>100</v>
      </c>
      <c r="S55" s="53" t="s">
        <v>34</v>
      </c>
      <c r="T55" s="54" t="s">
        <v>34</v>
      </c>
      <c r="U55" s="55">
        <v>0</v>
      </c>
      <c r="V55" s="55">
        <f t="shared" si="58"/>
        <v>0</v>
      </c>
      <c r="W55" s="55">
        <f t="shared" si="59"/>
        <v>0</v>
      </c>
      <c r="X55" s="55">
        <v>0</v>
      </c>
      <c r="Y55" s="55" t="e">
        <v>#N/A</v>
      </c>
      <c r="Z55" s="56" t="e">
        <f t="shared" si="65"/>
        <v>#N/A</v>
      </c>
      <c r="AA55" s="55" t="e">
        <v>#N/A</v>
      </c>
      <c r="AB55" s="55">
        <f t="shared" si="61"/>
        <v>0</v>
      </c>
      <c r="AC55" s="55">
        <v>0</v>
      </c>
      <c r="AD55" s="55">
        <v>-6.4803224358974303</v>
      </c>
      <c r="AE55" s="55">
        <v>0</v>
      </c>
      <c r="AF55" s="55" t="e">
        <v>#N/A</v>
      </c>
    </row>
    <row r="56" spans="1:32" s="57" customFormat="1" ht="15.75" customHeight="1">
      <c r="A56" s="2" t="s">
        <v>36</v>
      </c>
      <c r="B56" s="2"/>
      <c r="C56" s="51" t="str">
        <f t="shared" si="50"/>
        <v xml:space="preserve"> - </v>
      </c>
      <c r="D56" s="51">
        <v>0</v>
      </c>
      <c r="E56" s="51">
        <v>0</v>
      </c>
      <c r="F56" s="51">
        <v>0</v>
      </c>
      <c r="G56" s="51">
        <v>0</v>
      </c>
      <c r="H56" s="51" t="e">
        <f t="shared" si="51"/>
        <v>#DIV/0!</v>
      </c>
      <c r="I56" s="51" t="e">
        <f t="shared" si="52"/>
        <v>#DIV/0!</v>
      </c>
      <c r="J56" s="51">
        <f t="shared" si="70"/>
        <v>0</v>
      </c>
      <c r="K56" s="51" t="e">
        <f t="shared" si="54"/>
        <v>#DIV/0!</v>
      </c>
      <c r="L56" s="51">
        <v>0</v>
      </c>
      <c r="M56" s="51" t="str">
        <f t="shared" si="55"/>
        <v>-</v>
      </c>
      <c r="N56" s="51">
        <v>0</v>
      </c>
      <c r="O56" s="51">
        <f t="shared" ref="O56:P56" si="78">D56/7</f>
        <v>0</v>
      </c>
      <c r="P56" s="51">
        <f t="shared" si="78"/>
        <v>0</v>
      </c>
      <c r="Q56" s="51" t="e">
        <f t="shared" si="57"/>
        <v>#DIV/0!</v>
      </c>
      <c r="R56" s="55">
        <f ca="1">IFERROR(__xludf.DUMMYFUNCTION("IFERROR(VLOOKUP($B$2,IMPORTRANGE(""https://docs.google.com/spreadsheets/d/1iVgg6Mw12RULLujzHmfOFIY8Q_KaAD8anoZzgtVAQ74/edit#gid=1503384807"",""Second Star - Summary!A1:AD2000""),9,FALSE),"""")"),224)</f>
        <v>224</v>
      </c>
      <c r="S56" s="53">
        <f ca="1">IFERROR(__xludf.DUMMYFUNCTION("IFERROR(VLOOKUP($B$2,IMPORTRANGE(""https://docs.google.com/spreadsheets/d/1iVgg6Mw12RULLujzHmfOFIY8Q_KaAD8anoZzgtVAQ74/edit#gid=1503384807"",""Second Star - Summary!A1:AD2000""),28,FALSE),"""")"),80)</f>
        <v>80</v>
      </c>
      <c r="T56" s="54">
        <f ca="1">IFERROR(__xludf.DUMMYFUNCTION("IFERROR(VLOOKUP($B$2,IMPORTRANGE(""https://docs.google.com/spreadsheets/d/1iVgg6Mw12RULLujzHmfOFIY8Q_KaAD8anoZzgtVAQ74/edit#gid=1503384807"",""Second Star - Summary!A1:AD2000""),29,FALSE),"""")"),44339)</f>
        <v>44339</v>
      </c>
      <c r="U56" s="55">
        <v>0</v>
      </c>
      <c r="V56" s="55">
        <f t="shared" si="58"/>
        <v>0</v>
      </c>
      <c r="W56" s="55">
        <f t="shared" si="59"/>
        <v>0</v>
      </c>
      <c r="X56" s="55">
        <v>0</v>
      </c>
      <c r="Y56" s="55" t="e">
        <v>#N/A</v>
      </c>
      <c r="Z56" s="56" t="e">
        <f t="shared" si="65"/>
        <v>#N/A</v>
      </c>
      <c r="AA56" s="55" t="e">
        <v>#N/A</v>
      </c>
      <c r="AB56" s="55">
        <f t="shared" si="61"/>
        <v>0</v>
      </c>
      <c r="AC56" s="55">
        <v>0</v>
      </c>
      <c r="AD56" s="55">
        <v>-6.4803224358974303</v>
      </c>
      <c r="AE56" s="55">
        <v>0</v>
      </c>
      <c r="AF56" s="55" t="e">
        <v>#N/A</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96" priority="1" operator="lessThan">
      <formula>100</formula>
    </cfRule>
  </conditionalFormatting>
  <conditionalFormatting sqref="Q1:Q3 Q57:Q1000">
    <cfRule type="cellIs" dxfId="95" priority="2" operator="lessThan">
      <formula>100</formula>
    </cfRule>
  </conditionalFormatting>
  <conditionalFormatting sqref="I1:I3 I57:I1000">
    <cfRule type="cellIs" dxfId="94" priority="3" operator="lessThan">
      <formula>0.05</formula>
    </cfRule>
  </conditionalFormatting>
  <conditionalFormatting sqref="I4:I17">
    <cfRule type="cellIs" dxfId="93" priority="4" operator="lessThan">
      <formula>0.05</formula>
    </cfRule>
  </conditionalFormatting>
  <conditionalFormatting sqref="I18:I56">
    <cfRule type="cellIs" dxfId="92" priority="5" operator="lessThan">
      <formula>0.05</formula>
    </cfRule>
  </conditionalFormatting>
  <conditionalFormatting sqref="Q4:Q56">
    <cfRule type="cellIs" dxfId="91" priority="6" operator="lessThan">
      <formula>100</formula>
    </cfRule>
  </conditionalFormatting>
  <conditionalFormatting sqref="Q4:Q56">
    <cfRule type="cellIs" dxfId="90" priority="7" operator="lessThan">
      <formula>100</formula>
    </cfRule>
  </conditionalFormatting>
  <pageMargins left="0.7" right="0.7" top="0.75" bottom="0.75" header="0" footer="0"/>
  <pageSetup orientation="portrait"/>
  <legacy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8.6640625" customWidth="1"/>
    <col min="3" max="3" width="9.1640625" customWidth="1"/>
    <col min="4" max="4" width="23"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Info!B1:BJ5000""),4,FALSE),"""")"),"Corn Filled Cornhole Bean Bags - Set of 8 Bags for Corn Hole Toss Game - Regulation Size &amp; Weight - 4 Red and 4 Black")</f>
        <v>Corn Filled Cornhole Bean Bags - Set of 8 Bags for Corn Hole Toss Game - Regulation Size &amp; Weight - 4 Red and 4 Black</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Info!B1:BJ5000""),3,FALSE),"""")"),"B07VPRC5GN")</f>
        <v>B07VPRC5GN</v>
      </c>
      <c r="B2" s="2" t="s">
        <v>1122</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7.6239087481146237</v>
      </c>
      <c r="D3" s="8">
        <f>SUM(D4:D99819)</f>
        <v>208</v>
      </c>
      <c r="E3" s="8"/>
      <c r="F3" s="9">
        <f t="shared" ref="F3:G3" si="0">SUM(F4:F99819)</f>
        <v>4044.0200000000009</v>
      </c>
      <c r="G3" s="9">
        <f t="shared" si="0"/>
        <v>-99.649999999999991</v>
      </c>
      <c r="H3" s="10">
        <f t="shared" ref="H3:H39" si="1">G3/F3*-1</f>
        <v>2.464132224865356E-2</v>
      </c>
      <c r="I3" s="11">
        <f t="shared" ref="I3:I39" si="2">J3/F3</f>
        <v>6.8924117877517052E-2</v>
      </c>
      <c r="J3" s="9">
        <f>SUM(J4:J99819)</f>
        <v>278.73051117903657</v>
      </c>
      <c r="K3" s="9">
        <f t="shared" ref="K3:K39" si="3">J3/D3</f>
        <v>1.340050534514599</v>
      </c>
      <c r="L3" s="8"/>
      <c r="M3" s="12"/>
      <c r="N3" s="13"/>
      <c r="O3" s="8" t="str">
        <f ca="1">IFERROR(__xludf.DUMMYFUNCTION("IFERROR(VLOOKUP(B2,IMPORTRANGE(""https://docs.google.com/spreadsheets/d/1owCo6kL_VFQ5nPTdNogErmCBLjNiktT1m3SzTrxu3R0/edit#gid=2146806407"",""Second Star - Compiled!b1:g5000""),2,FALSE),"""")"),"2 - March
2 - April
2 - May
2 - Jun
2 - Jul
2 - Aug
2 - Sept
2 - Oct
2 - Nov
2 - Dec
2 - Jan
2 - Feb")</f>
        <v>2 - March
2 - April
2 - May
2 - Jun
2 - Jul
2 - Aug
2 - Sept
2 - Oct
2 - Nov
2 - Dec
2 - Jan
2 - Feb</v>
      </c>
      <c r="P3" s="8"/>
      <c r="Q3" s="14"/>
      <c r="R3" s="13"/>
      <c r="S3" s="13"/>
      <c r="T3" s="13"/>
      <c r="U3" s="8">
        <f>SUM(U4:U99819)</f>
        <v>18</v>
      </c>
      <c r="V3" s="10">
        <f>AVERAGE(V4:V99819)</f>
        <v>4.8601083646685153E-2</v>
      </c>
      <c r="W3" s="9">
        <f>ROUND(AVERAGE(W4:W99819),2)</f>
        <v>0.65</v>
      </c>
      <c r="X3" s="8"/>
      <c r="Y3" s="8"/>
      <c r="Z3" s="8"/>
      <c r="AA3" s="8"/>
      <c r="AB3" s="8"/>
      <c r="AC3" s="15"/>
      <c r="AD3" s="9"/>
      <c r="AE3" s="9">
        <f>SUM(AE4:AE99819)</f>
        <v>0</v>
      </c>
      <c r="AF3" s="16"/>
    </row>
    <row r="4" spans="1:32" s="57" customFormat="1">
      <c r="A4" s="17" t="s">
        <v>48</v>
      </c>
      <c r="B4" s="2" t="s">
        <v>946</v>
      </c>
      <c r="C4" s="50">
        <v>17.989999999999998</v>
      </c>
      <c r="D4" s="51">
        <v>3</v>
      </c>
      <c r="E4" s="51">
        <v>0</v>
      </c>
      <c r="F4" s="51">
        <v>53.97</v>
      </c>
      <c r="G4" s="51">
        <v>0</v>
      </c>
      <c r="H4" s="51">
        <f t="shared" si="1"/>
        <v>0</v>
      </c>
      <c r="I4" s="51">
        <f t="shared" si="2"/>
        <v>-3.7975069393965347E-2</v>
      </c>
      <c r="J4" s="51">
        <f t="shared" ref="J4:J38" si="4">F4*0.85+G4+AD4*D4+D4*AC4+AE4+AB4</f>
        <v>-2.0495144951923097</v>
      </c>
      <c r="K4" s="51">
        <f t="shared" si="3"/>
        <v>-0.68317149839743652</v>
      </c>
      <c r="L4" s="51">
        <v>28</v>
      </c>
      <c r="M4" s="51">
        <f t="shared" ref="M4:M39" si="5">IFERROR(D4/L4,"-")</f>
        <v>0.10714285714285714</v>
      </c>
      <c r="N4" s="51">
        <v>160</v>
      </c>
      <c r="O4" s="51">
        <f t="shared" ref="O4:P4" si="6">D4/7</f>
        <v>0.42857142857142855</v>
      </c>
      <c r="P4" s="51">
        <f t="shared" si="6"/>
        <v>0</v>
      </c>
      <c r="Q4" s="51">
        <f t="shared" ref="Q4:Q39" si="7">ROUNDDOWN(N4/(O4+P4),0)</f>
        <v>373</v>
      </c>
      <c r="R4" s="52">
        <v>302</v>
      </c>
      <c r="S4" s="53">
        <v>50</v>
      </c>
      <c r="T4" s="54">
        <v>43876</v>
      </c>
      <c r="U4" s="52">
        <v>0</v>
      </c>
      <c r="V4" s="55">
        <f t="shared" ref="V4:V39" si="8">IFERROR(U4/D4,0)</f>
        <v>0</v>
      </c>
      <c r="W4" s="55">
        <f t="shared" ref="W4:W39" si="9">IFERROR(G4/(U4+X4)*-1,0)</f>
        <v>0</v>
      </c>
      <c r="X4" s="52">
        <v>0</v>
      </c>
      <c r="Y4" s="56" t="s">
        <v>35</v>
      </c>
      <c r="Z4" s="56">
        <f t="shared" ref="Z4:Z10" si="10">IF(OR(Y4="UsLargeStandardSize",Y4="UsSmallStandardSize"),-0.69,-0.48)</f>
        <v>-0.69</v>
      </c>
      <c r="AA4" s="55">
        <v>0.25373359374999999</v>
      </c>
      <c r="AB4" s="55">
        <f t="shared" ref="AB4:AB17" si="11">IFERROR((Z4*AA4*N4)/4,0)</f>
        <v>-7.0030471874999991</v>
      </c>
      <c r="AC4" s="55">
        <v>-7.16</v>
      </c>
      <c r="AD4" s="55">
        <v>-6.4803224358974356</v>
      </c>
      <c r="AE4" s="55">
        <v>0</v>
      </c>
      <c r="AF4" s="55"/>
    </row>
    <row r="5" spans="1:32" s="57" customFormat="1" ht="15.75" customHeight="1">
      <c r="A5" s="2" t="s">
        <v>49</v>
      </c>
      <c r="B5" s="2" t="s">
        <v>1123</v>
      </c>
      <c r="C5" s="51">
        <v>16.989999999999998</v>
      </c>
      <c r="D5" s="51">
        <v>2</v>
      </c>
      <c r="E5" s="51">
        <v>0</v>
      </c>
      <c r="F5" s="51">
        <v>33.979999999999997</v>
      </c>
      <c r="G5" s="51">
        <v>0</v>
      </c>
      <c r="H5" s="51">
        <f t="shared" si="1"/>
        <v>0</v>
      </c>
      <c r="I5" s="51">
        <f t="shared" si="2"/>
        <v>-0.15507312903264422</v>
      </c>
      <c r="J5" s="51">
        <f t="shared" si="4"/>
        <v>-5.2693849245292501</v>
      </c>
      <c r="K5" s="51">
        <f t="shared" si="3"/>
        <v>-2.6346924622646251</v>
      </c>
      <c r="L5" s="51">
        <v>32</v>
      </c>
      <c r="M5" s="51">
        <f t="shared" si="5"/>
        <v>6.25E-2</v>
      </c>
      <c r="N5" s="51">
        <v>157</v>
      </c>
      <c r="O5" s="51">
        <f t="shared" ref="O5:P5" si="12">D5/7</f>
        <v>0.2857142857142857</v>
      </c>
      <c r="P5" s="51">
        <f t="shared" si="12"/>
        <v>0</v>
      </c>
      <c r="Q5" s="51">
        <f t="shared" si="7"/>
        <v>549</v>
      </c>
      <c r="R5" s="55">
        <v>302</v>
      </c>
      <c r="S5" s="53">
        <v>50</v>
      </c>
      <c r="T5" s="54">
        <v>43876</v>
      </c>
      <c r="U5" s="55">
        <v>0</v>
      </c>
      <c r="V5" s="55">
        <f t="shared" si="8"/>
        <v>0</v>
      </c>
      <c r="W5" s="55">
        <f t="shared" si="9"/>
        <v>0</v>
      </c>
      <c r="X5" s="55">
        <v>0</v>
      </c>
      <c r="Y5" s="55" t="s">
        <v>35</v>
      </c>
      <c r="Z5" s="56">
        <f t="shared" si="10"/>
        <v>-0.69</v>
      </c>
      <c r="AA5" s="55">
        <v>0.25373359374999999</v>
      </c>
      <c r="AB5" s="55">
        <f t="shared" si="11"/>
        <v>-6.8717400527343742</v>
      </c>
      <c r="AC5" s="55">
        <v>-7.16</v>
      </c>
      <c r="AD5" s="55">
        <v>-6.4803224358974356</v>
      </c>
      <c r="AE5" s="55">
        <v>0</v>
      </c>
      <c r="AF5" s="55"/>
    </row>
    <row r="6" spans="1:32" s="57" customFormat="1" ht="15.75" customHeight="1">
      <c r="A6" s="2" t="s">
        <v>51</v>
      </c>
      <c r="B6" s="2" t="s">
        <v>1124</v>
      </c>
      <c r="C6" s="51">
        <v>16.989999999999998</v>
      </c>
      <c r="D6" s="51">
        <v>5</v>
      </c>
      <c r="E6" s="51">
        <v>0</v>
      </c>
      <c r="F6" s="51">
        <v>84.949999999999989</v>
      </c>
      <c r="G6" s="51">
        <v>0</v>
      </c>
      <c r="H6" s="51">
        <f t="shared" si="1"/>
        <v>0</v>
      </c>
      <c r="I6" s="51">
        <f t="shared" si="2"/>
        <v>-3.0644355064041444E-2</v>
      </c>
      <c r="J6" s="51">
        <f t="shared" si="4"/>
        <v>-2.6032379626903204</v>
      </c>
      <c r="K6" s="51">
        <f t="shared" si="3"/>
        <v>-0.52064759253806403</v>
      </c>
      <c r="L6" s="51">
        <v>30</v>
      </c>
      <c r="M6" s="51">
        <f t="shared" si="5"/>
        <v>0.16666666666666666</v>
      </c>
      <c r="N6" s="51">
        <v>151</v>
      </c>
      <c r="O6" s="51">
        <f t="shared" ref="O6:P6" si="13">D6/7</f>
        <v>0.7142857142857143</v>
      </c>
      <c r="P6" s="51">
        <f t="shared" si="13"/>
        <v>0</v>
      </c>
      <c r="Q6" s="51">
        <f t="shared" si="7"/>
        <v>211</v>
      </c>
      <c r="R6" s="55">
        <v>304</v>
      </c>
      <c r="S6" s="53">
        <v>52</v>
      </c>
      <c r="T6" s="54">
        <v>43884</v>
      </c>
      <c r="U6" s="55">
        <v>0</v>
      </c>
      <c r="V6" s="55">
        <f t="shared" si="8"/>
        <v>0</v>
      </c>
      <c r="W6" s="55">
        <f t="shared" si="9"/>
        <v>0</v>
      </c>
      <c r="X6" s="55">
        <v>0</v>
      </c>
      <c r="Y6" s="55" t="s">
        <v>35</v>
      </c>
      <c r="Z6" s="56">
        <f t="shared" si="10"/>
        <v>-0.69</v>
      </c>
      <c r="AA6" s="55">
        <v>0.25373359374999999</v>
      </c>
      <c r="AB6" s="55">
        <f t="shared" si="11"/>
        <v>-6.6091257832031243</v>
      </c>
      <c r="AC6" s="55">
        <v>-7.16</v>
      </c>
      <c r="AD6" s="55">
        <v>-6.4803224358974356</v>
      </c>
      <c r="AE6" s="55">
        <v>0</v>
      </c>
      <c r="AF6" s="55"/>
    </row>
    <row r="7" spans="1:32" s="57" customFormat="1" ht="15.75" customHeight="1">
      <c r="A7" s="2" t="s">
        <v>53</v>
      </c>
      <c r="B7" s="2" t="s">
        <v>1125</v>
      </c>
      <c r="C7" s="51">
        <v>16.989999999999998</v>
      </c>
      <c r="D7" s="51">
        <v>3</v>
      </c>
      <c r="E7" s="51">
        <v>0</v>
      </c>
      <c r="F7" s="51">
        <v>50.97</v>
      </c>
      <c r="G7" s="51">
        <v>0</v>
      </c>
      <c r="H7" s="51">
        <f t="shared" si="1"/>
        <v>0</v>
      </c>
      <c r="I7" s="51">
        <f t="shared" si="2"/>
        <v>-8.2511145593396742E-2</v>
      </c>
      <c r="J7" s="51">
        <f t="shared" si="4"/>
        <v>-4.205593090895432</v>
      </c>
      <c r="K7" s="51">
        <f t="shared" si="3"/>
        <v>-1.4018643636318107</v>
      </c>
      <c r="L7" s="51">
        <v>24</v>
      </c>
      <c r="M7" s="51">
        <f t="shared" si="5"/>
        <v>0.125</v>
      </c>
      <c r="N7" s="51">
        <v>151</v>
      </c>
      <c r="O7" s="51">
        <f t="shared" ref="O7:P7" si="14">D7/7</f>
        <v>0.42857142857142855</v>
      </c>
      <c r="P7" s="51">
        <f t="shared" si="14"/>
        <v>0</v>
      </c>
      <c r="Q7" s="51">
        <f t="shared" si="7"/>
        <v>352</v>
      </c>
      <c r="R7" s="55">
        <v>304</v>
      </c>
      <c r="S7" s="53">
        <v>52</v>
      </c>
      <c r="T7" s="54">
        <v>43884</v>
      </c>
      <c r="U7" s="55">
        <v>0</v>
      </c>
      <c r="V7" s="55">
        <f t="shared" si="8"/>
        <v>0</v>
      </c>
      <c r="W7" s="55">
        <f t="shared" si="9"/>
        <v>0</v>
      </c>
      <c r="X7" s="55">
        <v>0</v>
      </c>
      <c r="Y7" s="55" t="s">
        <v>35</v>
      </c>
      <c r="Z7" s="56">
        <f t="shared" si="10"/>
        <v>-0.69</v>
      </c>
      <c r="AA7" s="55">
        <v>0.25373359374999999</v>
      </c>
      <c r="AB7" s="55">
        <f t="shared" si="11"/>
        <v>-6.6091257832031243</v>
      </c>
      <c r="AC7" s="55">
        <v>-7.16</v>
      </c>
      <c r="AD7" s="55">
        <v>-6.4803224358974356</v>
      </c>
      <c r="AE7" s="55">
        <v>0</v>
      </c>
      <c r="AF7" s="55"/>
    </row>
    <row r="8" spans="1:32" s="57" customFormat="1" ht="15.75" customHeight="1">
      <c r="A8" s="2" t="s">
        <v>54</v>
      </c>
      <c r="B8" s="2" t="s">
        <v>927</v>
      </c>
      <c r="C8" s="51">
        <v>16.989999999999998</v>
      </c>
      <c r="D8" s="51">
        <v>3</v>
      </c>
      <c r="E8" s="51">
        <v>0</v>
      </c>
      <c r="F8" s="51">
        <v>50.97</v>
      </c>
      <c r="G8" s="51">
        <v>0</v>
      </c>
      <c r="H8" s="51">
        <f t="shared" si="1"/>
        <v>0</v>
      </c>
      <c r="I8" s="51">
        <f t="shared" si="2"/>
        <v>-7.8217537105867305E-2</v>
      </c>
      <c r="J8" s="51">
        <f t="shared" si="4"/>
        <v>-3.9867478662860565</v>
      </c>
      <c r="K8" s="51">
        <f t="shared" si="3"/>
        <v>-1.3289159554286856</v>
      </c>
      <c r="L8" s="51">
        <v>16</v>
      </c>
      <c r="M8" s="51">
        <f t="shared" si="5"/>
        <v>0.1875</v>
      </c>
      <c r="N8" s="51">
        <v>146</v>
      </c>
      <c r="O8" s="51">
        <f t="shared" ref="O8:P8" si="15">D8/7</f>
        <v>0.42857142857142855</v>
      </c>
      <c r="P8" s="51">
        <f t="shared" si="15"/>
        <v>0</v>
      </c>
      <c r="Q8" s="51">
        <f t="shared" si="7"/>
        <v>340</v>
      </c>
      <c r="R8" s="55">
        <v>304</v>
      </c>
      <c r="S8" s="53">
        <v>52</v>
      </c>
      <c r="T8" s="54">
        <v>43884</v>
      </c>
      <c r="U8" s="55">
        <v>0</v>
      </c>
      <c r="V8" s="55">
        <f t="shared" si="8"/>
        <v>0</v>
      </c>
      <c r="W8" s="55">
        <f t="shared" si="9"/>
        <v>0</v>
      </c>
      <c r="X8" s="55">
        <v>0</v>
      </c>
      <c r="Y8" s="55" t="s">
        <v>35</v>
      </c>
      <c r="Z8" s="56">
        <f t="shared" si="10"/>
        <v>-0.69</v>
      </c>
      <c r="AA8" s="55">
        <v>0.25373359374999999</v>
      </c>
      <c r="AB8" s="55">
        <f t="shared" si="11"/>
        <v>-6.3902805585937488</v>
      </c>
      <c r="AC8" s="55">
        <v>-7.16</v>
      </c>
      <c r="AD8" s="55">
        <v>-6.4803224358974356</v>
      </c>
      <c r="AE8" s="55">
        <v>0</v>
      </c>
      <c r="AF8" s="55"/>
    </row>
    <row r="9" spans="1:32" s="57" customFormat="1" ht="15.75" customHeight="1">
      <c r="A9" s="2" t="s">
        <v>56</v>
      </c>
      <c r="B9" s="2" t="s">
        <v>1126</v>
      </c>
      <c r="C9" s="51">
        <v>16.989999999999998</v>
      </c>
      <c r="D9" s="51">
        <v>5</v>
      </c>
      <c r="E9" s="51">
        <v>0</v>
      </c>
      <c r="F9" s="51">
        <v>84.949999999999989</v>
      </c>
      <c r="G9" s="51">
        <v>0</v>
      </c>
      <c r="H9" s="51">
        <f t="shared" si="1"/>
        <v>0</v>
      </c>
      <c r="I9" s="51">
        <f t="shared" si="2"/>
        <v>-2.6007257897509663E-2</v>
      </c>
      <c r="J9" s="51">
        <f t="shared" si="4"/>
        <v>-2.2093165583934455</v>
      </c>
      <c r="K9" s="51">
        <f t="shared" si="3"/>
        <v>-0.44186331167868909</v>
      </c>
      <c r="L9" s="51">
        <v>18</v>
      </c>
      <c r="M9" s="51">
        <f t="shared" si="5"/>
        <v>0.27777777777777779</v>
      </c>
      <c r="N9" s="51">
        <v>142</v>
      </c>
      <c r="O9" s="51">
        <f t="shared" ref="O9:P9" si="16">D9/7</f>
        <v>0.7142857142857143</v>
      </c>
      <c r="P9" s="51">
        <f t="shared" si="16"/>
        <v>0</v>
      </c>
      <c r="Q9" s="51">
        <f t="shared" si="7"/>
        <v>198</v>
      </c>
      <c r="R9" s="55">
        <v>252</v>
      </c>
      <c r="S9" s="53">
        <v>52</v>
      </c>
      <c r="T9" s="54">
        <v>43881</v>
      </c>
      <c r="U9" s="55">
        <v>0</v>
      </c>
      <c r="V9" s="55">
        <f t="shared" si="8"/>
        <v>0</v>
      </c>
      <c r="W9" s="55">
        <f t="shared" si="9"/>
        <v>0</v>
      </c>
      <c r="X9" s="55">
        <v>0</v>
      </c>
      <c r="Y9" s="55" t="s">
        <v>35</v>
      </c>
      <c r="Z9" s="56">
        <f t="shared" si="10"/>
        <v>-0.69</v>
      </c>
      <c r="AA9" s="55">
        <v>0.25373359374999999</v>
      </c>
      <c r="AB9" s="55">
        <f t="shared" si="11"/>
        <v>-6.2152043789062494</v>
      </c>
      <c r="AC9" s="55">
        <v>-7.16</v>
      </c>
      <c r="AD9" s="55">
        <v>-6.4803224358974356</v>
      </c>
      <c r="AE9" s="55">
        <v>0</v>
      </c>
      <c r="AF9" s="55"/>
    </row>
    <row r="10" spans="1:32" s="57" customFormat="1" ht="15.75" customHeight="1">
      <c r="A10" s="2" t="s">
        <v>58</v>
      </c>
      <c r="B10" s="2" t="s">
        <v>824</v>
      </c>
      <c r="C10" s="51">
        <v>16.989999999999998</v>
      </c>
      <c r="D10" s="51">
        <v>4</v>
      </c>
      <c r="E10" s="51">
        <v>0</v>
      </c>
      <c r="F10" s="51">
        <v>67.959999999999994</v>
      </c>
      <c r="G10" s="51">
        <v>-0.21</v>
      </c>
      <c r="H10" s="51">
        <f t="shared" si="1"/>
        <v>3.0900529723366689E-3</v>
      </c>
      <c r="I10" s="51">
        <f t="shared" si="2"/>
        <v>-4.3523835387945138E-2</v>
      </c>
      <c r="J10" s="51">
        <f t="shared" si="4"/>
        <v>-2.9578798529647514</v>
      </c>
      <c r="K10" s="51">
        <f t="shared" si="3"/>
        <v>-0.73946996324118786</v>
      </c>
      <c r="L10" s="51">
        <v>26</v>
      </c>
      <c r="M10" s="51">
        <f t="shared" si="5"/>
        <v>0.15384615384615385</v>
      </c>
      <c r="N10" s="51">
        <v>136</v>
      </c>
      <c r="O10" s="51">
        <f t="shared" ref="O10:P10" si="17">D10/7</f>
        <v>0.5714285714285714</v>
      </c>
      <c r="P10" s="51">
        <f t="shared" si="17"/>
        <v>0</v>
      </c>
      <c r="Q10" s="51">
        <f t="shared" si="7"/>
        <v>238</v>
      </c>
      <c r="R10" s="55">
        <v>252</v>
      </c>
      <c r="S10" s="53">
        <v>52</v>
      </c>
      <c r="T10" s="54">
        <v>43885</v>
      </c>
      <c r="U10" s="55">
        <v>0</v>
      </c>
      <c r="V10" s="55">
        <f t="shared" si="8"/>
        <v>0</v>
      </c>
      <c r="W10" s="55">
        <f t="shared" si="9"/>
        <v>0.105</v>
      </c>
      <c r="X10" s="55">
        <v>2</v>
      </c>
      <c r="Y10" s="55" t="s">
        <v>35</v>
      </c>
      <c r="Z10" s="56">
        <f t="shared" si="10"/>
        <v>-0.69</v>
      </c>
      <c r="AA10" s="55">
        <v>0.25373359374999999</v>
      </c>
      <c r="AB10" s="55">
        <f t="shared" si="11"/>
        <v>-5.9525901093749987</v>
      </c>
      <c r="AC10" s="55">
        <v>-7.16</v>
      </c>
      <c r="AD10" s="55">
        <v>-6.4803224358974356</v>
      </c>
      <c r="AE10" s="55">
        <v>0</v>
      </c>
      <c r="AF10" s="55"/>
    </row>
    <row r="11" spans="1:32" s="57" customFormat="1" ht="15.75" customHeight="1">
      <c r="A11" s="2" t="s">
        <v>60</v>
      </c>
      <c r="B11" s="2" t="s">
        <v>1127</v>
      </c>
      <c r="C11" s="51">
        <v>17.989999999999998</v>
      </c>
      <c r="D11" s="51">
        <v>2</v>
      </c>
      <c r="E11" s="51">
        <v>0</v>
      </c>
      <c r="F11" s="51">
        <v>33.979999999999997</v>
      </c>
      <c r="G11" s="51">
        <v>-3.33</v>
      </c>
      <c r="H11" s="51">
        <f t="shared" si="1"/>
        <v>9.7998822836962929E-2</v>
      </c>
      <c r="I11" s="51">
        <f t="shared" si="2"/>
        <v>-0.25067249889405163</v>
      </c>
      <c r="J11" s="51">
        <f t="shared" si="4"/>
        <v>-8.5178515124198739</v>
      </c>
      <c r="K11" s="51">
        <f t="shared" si="3"/>
        <v>-4.258925756209937</v>
      </c>
      <c r="L11" s="51">
        <v>20</v>
      </c>
      <c r="M11" s="51">
        <f t="shared" si="5"/>
        <v>0.1</v>
      </c>
      <c r="N11" s="51">
        <v>136</v>
      </c>
      <c r="O11" s="51">
        <f t="shared" ref="O11:P11" si="18">D11/7</f>
        <v>0.2857142857142857</v>
      </c>
      <c r="P11" s="51">
        <f t="shared" si="18"/>
        <v>0</v>
      </c>
      <c r="Q11" s="51">
        <f t="shared" si="7"/>
        <v>476</v>
      </c>
      <c r="R11" s="55">
        <v>200</v>
      </c>
      <c r="S11" s="53" t="s">
        <v>34</v>
      </c>
      <c r="T11" s="54" t="s">
        <v>34</v>
      </c>
      <c r="U11" s="55">
        <v>0</v>
      </c>
      <c r="V11" s="55">
        <f t="shared" si="8"/>
        <v>0</v>
      </c>
      <c r="W11" s="55">
        <f t="shared" si="9"/>
        <v>0</v>
      </c>
      <c r="X11" s="55">
        <v>0</v>
      </c>
      <c r="Y11" s="55" t="s">
        <v>35</v>
      </c>
      <c r="Z11" s="56">
        <f t="shared" ref="Z11:Z39" si="19">IF(OR(Y11="UsLargeStandardSize",Y11="UsSmallStandardSize"),-0.75,-0.48)</f>
        <v>-0.75</v>
      </c>
      <c r="AA11" s="55">
        <v>0.25373359374999999</v>
      </c>
      <c r="AB11" s="55">
        <f t="shared" si="11"/>
        <v>-6.4702066406249994</v>
      </c>
      <c r="AC11" s="55">
        <v>-7.32</v>
      </c>
      <c r="AD11" s="55">
        <v>-6.4803224358974356</v>
      </c>
      <c r="AE11" s="55">
        <v>0</v>
      </c>
      <c r="AF11" s="55"/>
    </row>
    <row r="12" spans="1:32" s="57" customFormat="1" ht="15.75" customHeight="1">
      <c r="A12" s="2" t="s">
        <v>62</v>
      </c>
      <c r="B12" s="2" t="s">
        <v>927</v>
      </c>
      <c r="C12" s="51">
        <v>17.989999999999998</v>
      </c>
      <c r="D12" s="51">
        <v>0</v>
      </c>
      <c r="E12" s="51">
        <v>0</v>
      </c>
      <c r="F12" s="51">
        <v>0</v>
      </c>
      <c r="G12" s="51">
        <v>-5.91</v>
      </c>
      <c r="H12" s="51" t="e">
        <f t="shared" si="1"/>
        <v>#DIV/0!</v>
      </c>
      <c r="I12" s="51" t="e">
        <f t="shared" si="2"/>
        <v>#DIV/0!</v>
      </c>
      <c r="J12" s="51">
        <f t="shared" si="4"/>
        <v>-14.806534130859374</v>
      </c>
      <c r="K12" s="51" t="e">
        <f t="shared" si="3"/>
        <v>#DIV/0!</v>
      </c>
      <c r="L12" s="51">
        <v>0</v>
      </c>
      <c r="M12" s="51" t="str">
        <f t="shared" si="5"/>
        <v>-</v>
      </c>
      <c r="N12" s="51">
        <v>187</v>
      </c>
      <c r="O12" s="51">
        <f t="shared" ref="O12:P12" si="20">D12/7</f>
        <v>0</v>
      </c>
      <c r="P12" s="51">
        <f t="shared" si="20"/>
        <v>0</v>
      </c>
      <c r="Q12" s="51" t="e">
        <f t="shared" si="7"/>
        <v>#DIV/0!</v>
      </c>
      <c r="R12" s="55">
        <v>200</v>
      </c>
      <c r="S12" s="53" t="s">
        <v>34</v>
      </c>
      <c r="T12" s="54" t="s">
        <v>34</v>
      </c>
      <c r="U12" s="55">
        <v>0</v>
      </c>
      <c r="V12" s="55">
        <f t="shared" si="8"/>
        <v>0</v>
      </c>
      <c r="W12" s="55">
        <f t="shared" si="9"/>
        <v>2.9550000000000001</v>
      </c>
      <c r="X12" s="55">
        <v>2</v>
      </c>
      <c r="Y12" s="55" t="s">
        <v>35</v>
      </c>
      <c r="Z12" s="56">
        <f t="shared" si="19"/>
        <v>-0.75</v>
      </c>
      <c r="AA12" s="55">
        <v>0.25373359374999999</v>
      </c>
      <c r="AB12" s="55">
        <f t="shared" si="11"/>
        <v>-8.8965341308593739</v>
      </c>
      <c r="AC12" s="55">
        <v>-7.32</v>
      </c>
      <c r="AD12" s="55">
        <v>-6.4803224358974356</v>
      </c>
      <c r="AE12" s="55">
        <v>0</v>
      </c>
      <c r="AF12" s="55"/>
    </row>
    <row r="13" spans="1:32" s="57" customFormat="1" ht="15.75" customHeight="1">
      <c r="A13" s="2" t="s">
        <v>63</v>
      </c>
      <c r="B13" s="2" t="s">
        <v>1128</v>
      </c>
      <c r="C13" s="51">
        <v>17.989999999999998</v>
      </c>
      <c r="D13" s="51">
        <v>1</v>
      </c>
      <c r="E13" s="51">
        <v>0</v>
      </c>
      <c r="F13" s="51">
        <v>17.989999999999998</v>
      </c>
      <c r="G13" s="51">
        <v>-3.4</v>
      </c>
      <c r="H13" s="51">
        <f t="shared" si="1"/>
        <v>0.18899388549193999</v>
      </c>
      <c r="I13" s="51">
        <f t="shared" si="2"/>
        <v>-0.59798674363138904</v>
      </c>
      <c r="J13" s="51">
        <f t="shared" si="4"/>
        <v>-10.757781517928688</v>
      </c>
      <c r="K13" s="51">
        <f t="shared" si="3"/>
        <v>-10.757781517928688</v>
      </c>
      <c r="L13" s="51">
        <v>17</v>
      </c>
      <c r="M13" s="51">
        <f t="shared" si="5"/>
        <v>5.8823529411764705E-2</v>
      </c>
      <c r="N13" s="51">
        <v>186</v>
      </c>
      <c r="O13" s="51">
        <f t="shared" ref="O13:P13" si="21">D13/7</f>
        <v>0.14285714285714285</v>
      </c>
      <c r="P13" s="51">
        <f t="shared" si="21"/>
        <v>0</v>
      </c>
      <c r="Q13" s="51">
        <f t="shared" si="7"/>
        <v>1302</v>
      </c>
      <c r="R13" s="55">
        <v>200</v>
      </c>
      <c r="S13" s="53" t="s">
        <v>34</v>
      </c>
      <c r="T13" s="54" t="s">
        <v>34</v>
      </c>
      <c r="U13" s="55">
        <v>1</v>
      </c>
      <c r="V13" s="55">
        <f t="shared" si="8"/>
        <v>1</v>
      </c>
      <c r="W13" s="55">
        <f t="shared" si="9"/>
        <v>3.4</v>
      </c>
      <c r="X13" s="55">
        <v>0</v>
      </c>
      <c r="Y13" s="55" t="s">
        <v>35</v>
      </c>
      <c r="Z13" s="56">
        <f t="shared" si="19"/>
        <v>-0.75</v>
      </c>
      <c r="AA13" s="55">
        <v>0.25373359374999999</v>
      </c>
      <c r="AB13" s="55">
        <f t="shared" si="11"/>
        <v>-8.8489590820312483</v>
      </c>
      <c r="AC13" s="55">
        <v>-7.32</v>
      </c>
      <c r="AD13" s="55">
        <v>-6.4803224358974356</v>
      </c>
      <c r="AE13" s="55">
        <v>0</v>
      </c>
      <c r="AF13" s="55"/>
    </row>
    <row r="14" spans="1:32" s="57" customFormat="1" ht="15.75" customHeight="1">
      <c r="A14" s="2" t="s">
        <v>64</v>
      </c>
      <c r="B14" s="2"/>
      <c r="C14" s="51">
        <v>16.989999999999998</v>
      </c>
      <c r="D14" s="51">
        <v>4</v>
      </c>
      <c r="E14" s="51">
        <v>0</v>
      </c>
      <c r="F14" s="51">
        <v>71.959999999999994</v>
      </c>
      <c r="G14" s="51">
        <v>-3.7699999999999996</v>
      </c>
      <c r="H14" s="51">
        <f t="shared" si="1"/>
        <v>5.2390216787103948E-2</v>
      </c>
      <c r="I14" s="51">
        <f t="shared" si="2"/>
        <v>-9.0488100043588551E-2</v>
      </c>
      <c r="J14" s="51">
        <f t="shared" si="4"/>
        <v>-6.5115236791366318</v>
      </c>
      <c r="K14" s="51">
        <f t="shared" si="3"/>
        <v>-1.6278809197841579</v>
      </c>
      <c r="L14" s="51">
        <v>9</v>
      </c>
      <c r="M14" s="51">
        <f t="shared" si="5"/>
        <v>0.44444444444444442</v>
      </c>
      <c r="N14" s="51">
        <v>183</v>
      </c>
      <c r="O14" s="51">
        <f t="shared" ref="O14:P14" si="22">D14/7</f>
        <v>0.5714285714285714</v>
      </c>
      <c r="P14" s="51">
        <f t="shared" si="22"/>
        <v>0</v>
      </c>
      <c r="Q14" s="51">
        <f t="shared" si="7"/>
        <v>320</v>
      </c>
      <c r="R14" s="55">
        <v>200</v>
      </c>
      <c r="S14" s="53" t="s">
        <v>34</v>
      </c>
      <c r="T14" s="54" t="s">
        <v>34</v>
      </c>
      <c r="U14" s="55">
        <v>1</v>
      </c>
      <c r="V14" s="55">
        <f t="shared" si="8"/>
        <v>0.25</v>
      </c>
      <c r="W14" s="55">
        <f t="shared" si="9"/>
        <v>1.8849999999999998</v>
      </c>
      <c r="X14" s="55">
        <v>1</v>
      </c>
      <c r="Y14" s="55" t="s">
        <v>35</v>
      </c>
      <c r="Z14" s="56">
        <f t="shared" si="19"/>
        <v>-0.75</v>
      </c>
      <c r="AA14" s="55">
        <v>0.25373359374999999</v>
      </c>
      <c r="AB14" s="55">
        <f t="shared" si="11"/>
        <v>-8.7062339355468747</v>
      </c>
      <c r="AC14" s="55">
        <v>-7.32</v>
      </c>
      <c r="AD14" s="55">
        <v>-6.4803224358974356</v>
      </c>
      <c r="AE14" s="55">
        <v>0</v>
      </c>
      <c r="AF14" s="55"/>
    </row>
    <row r="15" spans="1:32" s="57" customFormat="1" ht="15.75" customHeight="1">
      <c r="A15" s="2" t="s">
        <v>65</v>
      </c>
      <c r="B15" s="2" t="s">
        <v>950</v>
      </c>
      <c r="C15" s="51">
        <v>16.989999999999998</v>
      </c>
      <c r="D15" s="51">
        <v>0</v>
      </c>
      <c r="E15" s="51">
        <v>0</v>
      </c>
      <c r="F15" s="51">
        <v>0</v>
      </c>
      <c r="G15" s="51">
        <v>-1.21</v>
      </c>
      <c r="H15" s="51" t="e">
        <f t="shared" si="1"/>
        <v>#DIV/0!</v>
      </c>
      <c r="I15" s="51" t="e">
        <f t="shared" si="2"/>
        <v>#DIV/0!</v>
      </c>
      <c r="J15" s="51">
        <f t="shared" si="4"/>
        <v>-9.9162339355468738</v>
      </c>
      <c r="K15" s="51" t="e">
        <f t="shared" si="3"/>
        <v>#DIV/0!</v>
      </c>
      <c r="L15" s="51">
        <v>0</v>
      </c>
      <c r="M15" s="51" t="str">
        <f t="shared" si="5"/>
        <v>-</v>
      </c>
      <c r="N15" s="51">
        <v>183</v>
      </c>
      <c r="O15" s="51">
        <f t="shared" ref="O15:P15" si="23">D15/7</f>
        <v>0</v>
      </c>
      <c r="P15" s="51">
        <f t="shared" si="23"/>
        <v>0</v>
      </c>
      <c r="Q15" s="51" t="e">
        <f t="shared" si="7"/>
        <v>#DIV/0!</v>
      </c>
      <c r="R15" s="55">
        <v>200</v>
      </c>
      <c r="S15" s="53" t="s">
        <v>34</v>
      </c>
      <c r="T15" s="54" t="s">
        <v>34</v>
      </c>
      <c r="U15" s="55">
        <v>0</v>
      </c>
      <c r="V15" s="55">
        <f t="shared" si="8"/>
        <v>0</v>
      </c>
      <c r="W15" s="55">
        <f t="shared" si="9"/>
        <v>0</v>
      </c>
      <c r="X15" s="55">
        <v>0</v>
      </c>
      <c r="Y15" s="55" t="s">
        <v>35</v>
      </c>
      <c r="Z15" s="56">
        <f t="shared" si="19"/>
        <v>-0.75</v>
      </c>
      <c r="AA15" s="55">
        <v>0.25373359374999999</v>
      </c>
      <c r="AB15" s="55">
        <f t="shared" si="11"/>
        <v>-8.7062339355468747</v>
      </c>
      <c r="AC15" s="55">
        <v>-7.32</v>
      </c>
      <c r="AD15" s="55">
        <v>-6.4803224358974356</v>
      </c>
      <c r="AE15" s="55">
        <v>0</v>
      </c>
      <c r="AF15" s="55"/>
    </row>
    <row r="16" spans="1:32" s="57" customFormat="1" ht="15.75" customHeight="1">
      <c r="A16" s="2" t="s">
        <v>66</v>
      </c>
      <c r="B16" s="2" t="s">
        <v>950</v>
      </c>
      <c r="C16" s="51">
        <v>16.989999999999998</v>
      </c>
      <c r="D16" s="51">
        <v>3</v>
      </c>
      <c r="E16" s="51">
        <v>0</v>
      </c>
      <c r="F16" s="51">
        <v>48</v>
      </c>
      <c r="G16" s="51">
        <v>-8.3000000000000007</v>
      </c>
      <c r="H16" s="51">
        <f t="shared" si="1"/>
        <v>0.17291666666666669</v>
      </c>
      <c r="I16" s="51">
        <f t="shared" si="2"/>
        <v>-0.3608698114639674</v>
      </c>
      <c r="J16" s="51">
        <f t="shared" si="4"/>
        <v>-17.321750950270435</v>
      </c>
      <c r="K16" s="51">
        <f t="shared" si="3"/>
        <v>-5.7739169834234785</v>
      </c>
      <c r="L16" s="51">
        <v>16</v>
      </c>
      <c r="M16" s="51">
        <f t="shared" si="5"/>
        <v>0.1875</v>
      </c>
      <c r="N16" s="51">
        <v>177</v>
      </c>
      <c r="O16" s="51">
        <f t="shared" ref="O16:P16" si="24">D16/7</f>
        <v>0.42857142857142855</v>
      </c>
      <c r="P16" s="51">
        <f t="shared" si="24"/>
        <v>0</v>
      </c>
      <c r="Q16" s="51">
        <f t="shared" si="7"/>
        <v>413</v>
      </c>
      <c r="R16" s="55">
        <v>200</v>
      </c>
      <c r="S16" s="53" t="s">
        <v>34</v>
      </c>
      <c r="T16" s="54" t="s">
        <v>34</v>
      </c>
      <c r="U16" s="55">
        <v>0</v>
      </c>
      <c r="V16" s="55">
        <f t="shared" si="8"/>
        <v>0</v>
      </c>
      <c r="W16" s="55">
        <f t="shared" si="9"/>
        <v>8.3000000000000007</v>
      </c>
      <c r="X16" s="55">
        <v>1</v>
      </c>
      <c r="Y16" s="55" t="s">
        <v>35</v>
      </c>
      <c r="Z16" s="56">
        <f t="shared" si="19"/>
        <v>-0.75</v>
      </c>
      <c r="AA16" s="55">
        <v>0.25373359374999999</v>
      </c>
      <c r="AB16" s="55">
        <f t="shared" si="11"/>
        <v>-8.4207836425781242</v>
      </c>
      <c r="AC16" s="55">
        <v>-7.32</v>
      </c>
      <c r="AD16" s="55">
        <v>-6.4803224358974356</v>
      </c>
      <c r="AE16" s="55">
        <v>0</v>
      </c>
      <c r="AF16" s="55"/>
    </row>
    <row r="17" spans="1:32" s="57" customFormat="1" ht="15.75" customHeight="1">
      <c r="A17" s="2" t="s">
        <v>67</v>
      </c>
      <c r="B17" s="2" t="s">
        <v>940</v>
      </c>
      <c r="C17" s="51">
        <v>17.989999999999998</v>
      </c>
      <c r="D17" s="51">
        <v>4</v>
      </c>
      <c r="E17" s="51">
        <v>0</v>
      </c>
      <c r="F17" s="51">
        <v>70.959999999999994</v>
      </c>
      <c r="G17" s="51">
        <v>-34.520000000000003</v>
      </c>
      <c r="H17" s="51">
        <f t="shared" si="1"/>
        <v>0.48647125140924474</v>
      </c>
      <c r="I17" s="51">
        <f t="shared" si="2"/>
        <v>-0.53105056707558485</v>
      </c>
      <c r="J17" s="51">
        <f t="shared" si="4"/>
        <v>-37.683348239683497</v>
      </c>
      <c r="K17" s="51">
        <f t="shared" si="3"/>
        <v>-9.4208370599208742</v>
      </c>
      <c r="L17" s="51">
        <v>33</v>
      </c>
      <c r="M17" s="51">
        <f t="shared" si="5"/>
        <v>0.12121212121212122</v>
      </c>
      <c r="N17" s="51">
        <v>174</v>
      </c>
      <c r="O17" s="51">
        <f t="shared" ref="O17:P17" si="25">D17/7</f>
        <v>0.5714285714285714</v>
      </c>
      <c r="P17" s="51">
        <f t="shared" si="25"/>
        <v>0</v>
      </c>
      <c r="Q17" s="51">
        <f t="shared" si="7"/>
        <v>304</v>
      </c>
      <c r="R17" s="55">
        <v>200</v>
      </c>
      <c r="S17" s="53" t="s">
        <v>34</v>
      </c>
      <c r="T17" s="54" t="s">
        <v>34</v>
      </c>
      <c r="U17" s="55">
        <v>2</v>
      </c>
      <c r="V17" s="55">
        <f t="shared" si="8"/>
        <v>0.5</v>
      </c>
      <c r="W17" s="55">
        <f t="shared" si="9"/>
        <v>6.9040000000000008</v>
      </c>
      <c r="X17" s="55">
        <v>3</v>
      </c>
      <c r="Y17" s="55" t="s">
        <v>35</v>
      </c>
      <c r="Z17" s="56">
        <f t="shared" si="19"/>
        <v>-0.75</v>
      </c>
      <c r="AA17" s="55">
        <v>0.25373359374999999</v>
      </c>
      <c r="AB17" s="55">
        <f t="shared" si="11"/>
        <v>-8.2780584960937489</v>
      </c>
      <c r="AC17" s="55">
        <v>-7.32</v>
      </c>
      <c r="AD17" s="55">
        <v>-6.4803224358974356</v>
      </c>
      <c r="AE17" s="55">
        <v>0</v>
      </c>
      <c r="AF17" s="55"/>
    </row>
    <row r="18" spans="1:32" s="57" customFormat="1" ht="15.75" customHeight="1">
      <c r="A18" s="2" t="s">
        <v>69</v>
      </c>
      <c r="B18" s="2" t="s">
        <v>1129</v>
      </c>
      <c r="C18" s="51">
        <v>20.99</v>
      </c>
      <c r="D18" s="51">
        <v>2</v>
      </c>
      <c r="E18" s="51">
        <v>0</v>
      </c>
      <c r="F18" s="51">
        <v>35.979999999999997</v>
      </c>
      <c r="G18" s="51">
        <v>-29.1</v>
      </c>
      <c r="H18" s="51">
        <f t="shared" si="1"/>
        <v>0.80878265703168439</v>
      </c>
      <c r="I18" s="51">
        <f t="shared" si="2"/>
        <v>-0.7576277388457443</v>
      </c>
      <c r="J18" s="51">
        <f t="shared" si="4"/>
        <v>-27.259446043669879</v>
      </c>
      <c r="K18" s="51">
        <f t="shared" si="3"/>
        <v>-13.629723021834939</v>
      </c>
      <c r="L18" s="51">
        <v>27</v>
      </c>
      <c r="M18" s="51">
        <f t="shared" si="5"/>
        <v>7.407407407407407E-2</v>
      </c>
      <c r="N18" s="51">
        <v>171</v>
      </c>
      <c r="O18" s="51">
        <f t="shared" ref="O18:P18" si="26">D18/7</f>
        <v>0.2857142857142857</v>
      </c>
      <c r="P18" s="51">
        <f t="shared" si="26"/>
        <v>0</v>
      </c>
      <c r="Q18" s="51">
        <f t="shared" si="7"/>
        <v>598</v>
      </c>
      <c r="R18" s="55">
        <v>200</v>
      </c>
      <c r="S18" s="53" t="s">
        <v>34</v>
      </c>
      <c r="T18" s="54" t="s">
        <v>34</v>
      </c>
      <c r="U18" s="55">
        <v>1</v>
      </c>
      <c r="V18" s="55">
        <f t="shared" si="8"/>
        <v>0.5</v>
      </c>
      <c r="W18" s="55">
        <f t="shared" si="9"/>
        <v>9.7000000000000011</v>
      </c>
      <c r="X18" s="55">
        <v>2</v>
      </c>
      <c r="Y18" s="55" t="s">
        <v>35</v>
      </c>
      <c r="Z18" s="56">
        <f t="shared" si="19"/>
        <v>-0.75</v>
      </c>
      <c r="AA18" s="55">
        <v>0.25373359374999999</v>
      </c>
      <c r="AB18" s="58">
        <f t="shared" ref="AB18:AB39" si="27">IFERROR(Z18*AA18*D18*3,0)</f>
        <v>-1.1418011718749999</v>
      </c>
      <c r="AC18" s="55">
        <v>-7.32</v>
      </c>
      <c r="AD18" s="55">
        <v>-6.4803224358974356</v>
      </c>
      <c r="AE18" s="55">
        <v>0</v>
      </c>
      <c r="AF18" s="55"/>
    </row>
    <row r="19" spans="1:32" s="57" customFormat="1" ht="15.75" customHeight="1">
      <c r="A19" s="2" t="s">
        <v>71</v>
      </c>
      <c r="B19" s="2"/>
      <c r="C19" s="51">
        <v>19.989999999999998</v>
      </c>
      <c r="D19" s="51">
        <v>6</v>
      </c>
      <c r="E19" s="51">
        <v>0</v>
      </c>
      <c r="F19" s="51">
        <v>118.94</v>
      </c>
      <c r="G19" s="51">
        <v>0</v>
      </c>
      <c r="H19" s="51">
        <f t="shared" si="1"/>
        <v>0</v>
      </c>
      <c r="I19" s="51">
        <f t="shared" si="2"/>
        <v>0.12503499133168297</v>
      </c>
      <c r="J19" s="51">
        <f t="shared" si="4"/>
        <v>14.871661868990373</v>
      </c>
      <c r="K19" s="51">
        <f t="shared" si="3"/>
        <v>2.4786103114983953</v>
      </c>
      <c r="L19" s="51">
        <v>18</v>
      </c>
      <c r="M19" s="51">
        <f t="shared" si="5"/>
        <v>0.33333333333333331</v>
      </c>
      <c r="N19" s="51">
        <v>168</v>
      </c>
      <c r="O19" s="51">
        <f t="shared" ref="O19:P19" si="28">D19/7</f>
        <v>0.8571428571428571</v>
      </c>
      <c r="P19" s="51">
        <f t="shared" si="28"/>
        <v>0</v>
      </c>
      <c r="Q19" s="51">
        <f t="shared" si="7"/>
        <v>196</v>
      </c>
      <c r="R19" s="55">
        <v>200</v>
      </c>
      <c r="S19" s="53" t="s">
        <v>34</v>
      </c>
      <c r="T19" s="54" t="s">
        <v>34</v>
      </c>
      <c r="U19" s="55">
        <v>0</v>
      </c>
      <c r="V19" s="55">
        <f t="shared" si="8"/>
        <v>0</v>
      </c>
      <c r="W19" s="55">
        <f t="shared" si="9"/>
        <v>0</v>
      </c>
      <c r="X19" s="55">
        <v>0</v>
      </c>
      <c r="Y19" s="55" t="s">
        <v>35</v>
      </c>
      <c r="Z19" s="56">
        <f t="shared" si="19"/>
        <v>-0.75</v>
      </c>
      <c r="AA19" s="55">
        <v>0.25373359374999999</v>
      </c>
      <c r="AB19" s="55">
        <f t="shared" si="27"/>
        <v>-3.4254035156249998</v>
      </c>
      <c r="AC19" s="55">
        <v>-7.32</v>
      </c>
      <c r="AD19" s="55">
        <v>-6.4803224358974356</v>
      </c>
      <c r="AE19" s="55">
        <v>0</v>
      </c>
      <c r="AF19" s="55"/>
    </row>
    <row r="20" spans="1:32" s="57" customFormat="1" ht="15.75" customHeight="1">
      <c r="A20" s="2" t="s">
        <v>73</v>
      </c>
      <c r="B20" s="2" t="s">
        <v>810</v>
      </c>
      <c r="C20" s="51">
        <v>19.989999999999998</v>
      </c>
      <c r="D20" s="51">
        <v>1</v>
      </c>
      <c r="E20" s="51">
        <v>0</v>
      </c>
      <c r="F20" s="51">
        <v>19.989999999999998</v>
      </c>
      <c r="G20" s="51">
        <v>0</v>
      </c>
      <c r="H20" s="51">
        <f t="shared" si="1"/>
        <v>0</v>
      </c>
      <c r="I20" s="51">
        <f t="shared" si="2"/>
        <v>0.13107938860255447</v>
      </c>
      <c r="J20" s="51">
        <f t="shared" si="4"/>
        <v>2.6202769781650637</v>
      </c>
      <c r="K20" s="51">
        <f t="shared" si="3"/>
        <v>2.6202769781650637</v>
      </c>
      <c r="L20" s="51">
        <v>19</v>
      </c>
      <c r="M20" s="51">
        <f t="shared" si="5"/>
        <v>5.2631578947368418E-2</v>
      </c>
      <c r="N20" s="51">
        <v>166</v>
      </c>
      <c r="O20" s="51">
        <f t="shared" ref="O20:P20" si="29">D20/7</f>
        <v>0.14285714285714285</v>
      </c>
      <c r="P20" s="51">
        <f t="shared" si="29"/>
        <v>0</v>
      </c>
      <c r="Q20" s="51">
        <f t="shared" si="7"/>
        <v>1162</v>
      </c>
      <c r="R20" s="55">
        <v>200</v>
      </c>
      <c r="S20" s="53" t="s">
        <v>34</v>
      </c>
      <c r="T20" s="54" t="s">
        <v>34</v>
      </c>
      <c r="U20" s="55">
        <v>0</v>
      </c>
      <c r="V20" s="55">
        <f t="shared" si="8"/>
        <v>0</v>
      </c>
      <c r="W20" s="55">
        <f t="shared" si="9"/>
        <v>0</v>
      </c>
      <c r="X20" s="55">
        <v>0</v>
      </c>
      <c r="Y20" s="55" t="s">
        <v>35</v>
      </c>
      <c r="Z20" s="56">
        <f t="shared" si="19"/>
        <v>-0.75</v>
      </c>
      <c r="AA20" s="55">
        <v>0.25373359374999999</v>
      </c>
      <c r="AB20" s="55">
        <f t="shared" si="27"/>
        <v>-0.57090058593749993</v>
      </c>
      <c r="AC20" s="55">
        <v>-7.32</v>
      </c>
      <c r="AD20" s="55">
        <v>-6.4803224358974356</v>
      </c>
      <c r="AE20" s="55">
        <v>0</v>
      </c>
      <c r="AF20" s="55"/>
    </row>
    <row r="21" spans="1:32" s="57" customFormat="1" ht="15.75" customHeight="1">
      <c r="A21" s="2" t="s">
        <v>75</v>
      </c>
      <c r="B21" s="2" t="s">
        <v>810</v>
      </c>
      <c r="C21" s="51">
        <v>22.99</v>
      </c>
      <c r="D21" s="51">
        <v>2</v>
      </c>
      <c r="E21" s="51">
        <v>0</v>
      </c>
      <c r="F21" s="51">
        <v>40.98</v>
      </c>
      <c r="G21" s="51">
        <v>0</v>
      </c>
      <c r="H21" s="51">
        <f t="shared" si="1"/>
        <v>0</v>
      </c>
      <c r="I21" s="51">
        <f t="shared" si="2"/>
        <v>0.14862259532284355</v>
      </c>
      <c r="J21" s="51">
        <f t="shared" si="4"/>
        <v>6.0905539563301287</v>
      </c>
      <c r="K21" s="51">
        <f t="shared" si="3"/>
        <v>3.0452769781650644</v>
      </c>
      <c r="L21" s="51">
        <v>13</v>
      </c>
      <c r="M21" s="51">
        <f t="shared" si="5"/>
        <v>0.15384615384615385</v>
      </c>
      <c r="N21" s="51">
        <v>164</v>
      </c>
      <c r="O21" s="51">
        <f t="shared" ref="O21:P21" si="30">D21/7</f>
        <v>0.2857142857142857</v>
      </c>
      <c r="P21" s="51">
        <f t="shared" si="30"/>
        <v>0</v>
      </c>
      <c r="Q21" s="51">
        <f t="shared" si="7"/>
        <v>574</v>
      </c>
      <c r="R21" s="55">
        <v>200</v>
      </c>
      <c r="S21" s="53" t="s">
        <v>34</v>
      </c>
      <c r="T21" s="54" t="s">
        <v>34</v>
      </c>
      <c r="U21" s="55">
        <v>0</v>
      </c>
      <c r="V21" s="55">
        <f t="shared" si="8"/>
        <v>0</v>
      </c>
      <c r="W21" s="55">
        <f t="shared" si="9"/>
        <v>0</v>
      </c>
      <c r="X21" s="55">
        <v>0</v>
      </c>
      <c r="Y21" s="55" t="s">
        <v>35</v>
      </c>
      <c r="Z21" s="56">
        <f t="shared" si="19"/>
        <v>-0.75</v>
      </c>
      <c r="AA21" s="55">
        <v>0.25373359374999999</v>
      </c>
      <c r="AB21" s="55">
        <f t="shared" si="27"/>
        <v>-1.1418011718749999</v>
      </c>
      <c r="AC21" s="55">
        <v>-7.32</v>
      </c>
      <c r="AD21" s="55">
        <v>-6.4803224358974356</v>
      </c>
      <c r="AE21" s="55">
        <v>0</v>
      </c>
      <c r="AF21" s="55"/>
    </row>
    <row r="22" spans="1:32" s="57" customFormat="1" ht="15.75" customHeight="1">
      <c r="A22" s="2" t="s">
        <v>77</v>
      </c>
      <c r="B22" s="2" t="s">
        <v>1130</v>
      </c>
      <c r="C22" s="51">
        <v>18.989999999999998</v>
      </c>
      <c r="D22" s="51">
        <v>2</v>
      </c>
      <c r="E22" s="51">
        <v>0</v>
      </c>
      <c r="F22" s="51">
        <v>42.98</v>
      </c>
      <c r="G22" s="51">
        <v>0</v>
      </c>
      <c r="H22" s="51">
        <f t="shared" si="1"/>
        <v>0</v>
      </c>
      <c r="I22" s="51">
        <f t="shared" si="2"/>
        <v>0.18125998037064042</v>
      </c>
      <c r="J22" s="51">
        <f t="shared" si="4"/>
        <v>7.7905539563301245</v>
      </c>
      <c r="K22" s="51">
        <f t="shared" si="3"/>
        <v>3.8952769781650622</v>
      </c>
      <c r="L22" s="51">
        <v>12</v>
      </c>
      <c r="M22" s="51">
        <f t="shared" si="5"/>
        <v>0.16666666666666666</v>
      </c>
      <c r="N22" s="51">
        <v>160</v>
      </c>
      <c r="O22" s="51">
        <f t="shared" ref="O22:P22" si="31">D22/7</f>
        <v>0.2857142857142857</v>
      </c>
      <c r="P22" s="51">
        <f t="shared" si="31"/>
        <v>0</v>
      </c>
      <c r="Q22" s="51">
        <f t="shared" si="7"/>
        <v>560</v>
      </c>
      <c r="R22" s="55">
        <v>200</v>
      </c>
      <c r="S22" s="53" t="s">
        <v>34</v>
      </c>
      <c r="T22" s="54" t="s">
        <v>34</v>
      </c>
      <c r="U22" s="55">
        <v>0</v>
      </c>
      <c r="V22" s="55">
        <f t="shared" si="8"/>
        <v>0</v>
      </c>
      <c r="W22" s="55">
        <f t="shared" si="9"/>
        <v>0</v>
      </c>
      <c r="X22" s="55">
        <v>0</v>
      </c>
      <c r="Y22" s="55" t="s">
        <v>35</v>
      </c>
      <c r="Z22" s="56">
        <f t="shared" si="19"/>
        <v>-0.75</v>
      </c>
      <c r="AA22" s="55">
        <v>0.25373359374999999</v>
      </c>
      <c r="AB22" s="55">
        <f t="shared" si="27"/>
        <v>-1.1418011718749999</v>
      </c>
      <c r="AC22" s="55">
        <v>-7.32</v>
      </c>
      <c r="AD22" s="55">
        <v>-6.4803224358974356</v>
      </c>
      <c r="AE22" s="55">
        <v>0</v>
      </c>
      <c r="AF22" s="55"/>
    </row>
    <row r="23" spans="1:32" s="57" customFormat="1" ht="15.75" customHeight="1">
      <c r="A23" s="2" t="s">
        <v>79</v>
      </c>
      <c r="B23" s="2"/>
      <c r="C23" s="51">
        <v>20.99</v>
      </c>
      <c r="D23" s="51">
        <v>3</v>
      </c>
      <c r="E23" s="51">
        <v>0</v>
      </c>
      <c r="F23" s="51">
        <v>59.97</v>
      </c>
      <c r="G23" s="51">
        <v>-0.24</v>
      </c>
      <c r="H23" s="51">
        <f t="shared" si="1"/>
        <v>4.0020010005002498E-3</v>
      </c>
      <c r="I23" s="51">
        <f t="shared" si="2"/>
        <v>0.12707738760205417</v>
      </c>
      <c r="J23" s="51">
        <f t="shared" si="4"/>
        <v>7.6208309344951886</v>
      </c>
      <c r="K23" s="51">
        <f t="shared" si="3"/>
        <v>2.5402769781650627</v>
      </c>
      <c r="L23" s="51">
        <v>20</v>
      </c>
      <c r="M23" s="51">
        <f t="shared" si="5"/>
        <v>0.15</v>
      </c>
      <c r="N23" s="51">
        <v>158</v>
      </c>
      <c r="O23" s="51">
        <f t="shared" ref="O23:P23" si="32">D23/7</f>
        <v>0.42857142857142855</v>
      </c>
      <c r="P23" s="51">
        <f t="shared" si="32"/>
        <v>0</v>
      </c>
      <c r="Q23" s="51">
        <f t="shared" si="7"/>
        <v>368</v>
      </c>
      <c r="R23" s="55">
        <v>200</v>
      </c>
      <c r="S23" s="53" t="s">
        <v>34</v>
      </c>
      <c r="T23" s="54" t="s">
        <v>34</v>
      </c>
      <c r="U23" s="55">
        <v>0</v>
      </c>
      <c r="V23" s="55">
        <f t="shared" si="8"/>
        <v>0</v>
      </c>
      <c r="W23" s="55">
        <f t="shared" si="9"/>
        <v>0</v>
      </c>
      <c r="X23" s="55">
        <v>0</v>
      </c>
      <c r="Y23" s="55" t="s">
        <v>35</v>
      </c>
      <c r="Z23" s="56">
        <f t="shared" si="19"/>
        <v>-0.75</v>
      </c>
      <c r="AA23" s="55">
        <v>0.25373359374999999</v>
      </c>
      <c r="AB23" s="55">
        <f t="shared" si="27"/>
        <v>-1.7127017578124999</v>
      </c>
      <c r="AC23" s="55">
        <v>-7.32</v>
      </c>
      <c r="AD23" s="55">
        <v>-6.4803224358974356</v>
      </c>
      <c r="AE23" s="55">
        <v>0</v>
      </c>
      <c r="AF23" s="55"/>
    </row>
    <row r="24" spans="1:32" s="57" customFormat="1" ht="15.75" customHeight="1">
      <c r="A24" s="2" t="s">
        <v>80</v>
      </c>
      <c r="B24" s="2" t="s">
        <v>1131</v>
      </c>
      <c r="C24" s="51">
        <v>20.99</v>
      </c>
      <c r="D24" s="51">
        <v>9</v>
      </c>
      <c r="E24" s="51">
        <v>0</v>
      </c>
      <c r="F24" s="51">
        <v>195.91000000000003</v>
      </c>
      <c r="G24" s="51">
        <v>-0.28999999999999998</v>
      </c>
      <c r="H24" s="51">
        <f t="shared" si="1"/>
        <v>1.4802715532642537E-3</v>
      </c>
      <c r="I24" s="51">
        <f t="shared" si="2"/>
        <v>0.18831347457243422</v>
      </c>
      <c r="J24" s="51">
        <f t="shared" si="4"/>
        <v>36.892492803485595</v>
      </c>
      <c r="K24" s="51">
        <f t="shared" si="3"/>
        <v>4.099165867053955</v>
      </c>
      <c r="L24" s="51">
        <v>22</v>
      </c>
      <c r="M24" s="51">
        <f t="shared" si="5"/>
        <v>0.40909090909090912</v>
      </c>
      <c r="N24" s="51">
        <v>146</v>
      </c>
      <c r="O24" s="51">
        <f t="shared" ref="O24:P24" si="33">D24/7</f>
        <v>1.2857142857142858</v>
      </c>
      <c r="P24" s="51">
        <f t="shared" si="33"/>
        <v>0</v>
      </c>
      <c r="Q24" s="51">
        <f t="shared" si="7"/>
        <v>113</v>
      </c>
      <c r="R24" s="55">
        <v>200</v>
      </c>
      <c r="S24" s="53" t="s">
        <v>34</v>
      </c>
      <c r="T24" s="54" t="s">
        <v>34</v>
      </c>
      <c r="U24" s="55">
        <v>0</v>
      </c>
      <c r="V24" s="55">
        <f t="shared" si="8"/>
        <v>0</v>
      </c>
      <c r="W24" s="55">
        <f t="shared" si="9"/>
        <v>0</v>
      </c>
      <c r="X24" s="55">
        <v>0</v>
      </c>
      <c r="Y24" s="55" t="s">
        <v>35</v>
      </c>
      <c r="Z24" s="56">
        <f t="shared" si="19"/>
        <v>-0.75</v>
      </c>
      <c r="AA24" s="55">
        <v>0.25373359374999999</v>
      </c>
      <c r="AB24" s="55">
        <f t="shared" si="27"/>
        <v>-5.1381052734374997</v>
      </c>
      <c r="AC24" s="55">
        <v>-7.32</v>
      </c>
      <c r="AD24" s="55">
        <v>-6.4803224358974356</v>
      </c>
      <c r="AE24" s="55">
        <v>0</v>
      </c>
      <c r="AF24" s="55"/>
    </row>
    <row r="25" spans="1:32" s="57" customFormat="1" ht="15.75" customHeight="1">
      <c r="A25" s="2" t="s">
        <v>81</v>
      </c>
      <c r="B25" s="2" t="s">
        <v>1013</v>
      </c>
      <c r="C25" s="51"/>
      <c r="D25" s="51">
        <v>9</v>
      </c>
      <c r="E25" s="51">
        <v>0</v>
      </c>
      <c r="F25" s="51">
        <v>186.90999999999997</v>
      </c>
      <c r="G25" s="51">
        <v>-0.86</v>
      </c>
      <c r="H25" s="51">
        <f t="shared" si="1"/>
        <v>4.601144936065487E-3</v>
      </c>
      <c r="I25" s="51">
        <f t="shared" si="2"/>
        <v>0.15340266868271119</v>
      </c>
      <c r="J25" s="51">
        <f t="shared" si="4"/>
        <v>28.672492803485543</v>
      </c>
      <c r="K25" s="51">
        <f t="shared" si="3"/>
        <v>3.1858325337206157</v>
      </c>
      <c r="L25" s="51">
        <v>27</v>
      </c>
      <c r="M25" s="51">
        <f t="shared" si="5"/>
        <v>0.33333333333333331</v>
      </c>
      <c r="N25" s="51">
        <v>142</v>
      </c>
      <c r="O25" s="51">
        <f t="shared" ref="O25:P25" si="34">D25/7</f>
        <v>1.2857142857142858</v>
      </c>
      <c r="P25" s="51">
        <f t="shared" si="34"/>
        <v>0</v>
      </c>
      <c r="Q25" s="51">
        <f t="shared" si="7"/>
        <v>110</v>
      </c>
      <c r="R25" s="55">
        <v>200</v>
      </c>
      <c r="S25" s="53" t="s">
        <v>34</v>
      </c>
      <c r="T25" s="54" t="s">
        <v>34</v>
      </c>
      <c r="U25" s="55">
        <v>0</v>
      </c>
      <c r="V25" s="55">
        <f t="shared" si="8"/>
        <v>0</v>
      </c>
      <c r="W25" s="55">
        <f t="shared" si="9"/>
        <v>0.28666666666666668</v>
      </c>
      <c r="X25" s="55">
        <v>3</v>
      </c>
      <c r="Y25" s="55" t="s">
        <v>35</v>
      </c>
      <c r="Z25" s="56">
        <f t="shared" si="19"/>
        <v>-0.75</v>
      </c>
      <c r="AA25" s="55">
        <v>0.25373359374999999</v>
      </c>
      <c r="AB25" s="55">
        <f t="shared" si="27"/>
        <v>-5.1381052734374997</v>
      </c>
      <c r="AC25" s="55">
        <v>-7.32</v>
      </c>
      <c r="AD25" s="55">
        <v>-6.4803224358974356</v>
      </c>
      <c r="AE25" s="55">
        <v>0</v>
      </c>
      <c r="AF25" s="55"/>
    </row>
    <row r="26" spans="1:32" s="57" customFormat="1" ht="15.75" customHeight="1">
      <c r="A26" s="2" t="s">
        <v>83</v>
      </c>
      <c r="B26" s="2" t="s">
        <v>1132</v>
      </c>
      <c r="C26" s="51">
        <f t="shared" ref="C26:C39" si="35">IFERROR(F26/D26," - ")</f>
        <v>19.682307692307699</v>
      </c>
      <c r="D26" s="51">
        <v>26</v>
      </c>
      <c r="E26" s="51">
        <v>0</v>
      </c>
      <c r="F26" s="51">
        <v>511.74000000000018</v>
      </c>
      <c r="G26" s="51">
        <v>-1.0499999999999998</v>
      </c>
      <c r="H26" s="51">
        <f t="shared" si="1"/>
        <v>2.0518231914644146E-3</v>
      </c>
      <c r="I26" s="51">
        <f t="shared" si="2"/>
        <v>0.11778872363366513</v>
      </c>
      <c r="J26" s="51">
        <f t="shared" si="4"/>
        <v>60.277201432291818</v>
      </c>
      <c r="K26" s="51">
        <f t="shared" si="3"/>
        <v>2.3183539012419931</v>
      </c>
      <c r="L26" s="51">
        <v>62</v>
      </c>
      <c r="M26" s="51">
        <f t="shared" si="5"/>
        <v>0.41935483870967744</v>
      </c>
      <c r="N26" s="51">
        <v>86</v>
      </c>
      <c r="O26" s="51">
        <f t="shared" ref="O26:P26" si="36">D26/7</f>
        <v>3.7142857142857144</v>
      </c>
      <c r="P26" s="51">
        <f t="shared" si="36"/>
        <v>0</v>
      </c>
      <c r="Q26" s="51">
        <f t="shared" si="7"/>
        <v>23</v>
      </c>
      <c r="R26" s="55">
        <v>200</v>
      </c>
      <c r="S26" s="53" t="s">
        <v>34</v>
      </c>
      <c r="T26" s="54" t="s">
        <v>34</v>
      </c>
      <c r="U26" s="55">
        <v>2</v>
      </c>
      <c r="V26" s="55">
        <f t="shared" si="8"/>
        <v>7.6923076923076927E-2</v>
      </c>
      <c r="W26" s="55">
        <f t="shared" si="9"/>
        <v>0.34999999999999992</v>
      </c>
      <c r="X26" s="55">
        <v>1</v>
      </c>
      <c r="Y26" s="55" t="s">
        <v>35</v>
      </c>
      <c r="Z26" s="56">
        <f t="shared" si="19"/>
        <v>-0.75</v>
      </c>
      <c r="AA26" s="55">
        <v>0.25373359374999999</v>
      </c>
      <c r="AB26" s="55">
        <f t="shared" si="27"/>
        <v>-14.843415234374998</v>
      </c>
      <c r="AC26" s="55">
        <v>-7.32</v>
      </c>
      <c r="AD26" s="55">
        <v>-6.4803224358974356</v>
      </c>
      <c r="AE26" s="55">
        <v>0</v>
      </c>
      <c r="AF26" s="55"/>
    </row>
    <row r="27" spans="1:32" s="57" customFormat="1" ht="15.75" customHeight="1">
      <c r="A27" s="2" t="s">
        <v>84</v>
      </c>
      <c r="B27" s="2" t="s">
        <v>1061</v>
      </c>
      <c r="C27" s="51">
        <f t="shared" si="35"/>
        <v>18.798695652173919</v>
      </c>
      <c r="D27" s="51">
        <v>69</v>
      </c>
      <c r="E27" s="51">
        <v>0</v>
      </c>
      <c r="F27" s="51">
        <v>1297.1100000000004</v>
      </c>
      <c r="G27" s="51">
        <v>-2.3800000000000003</v>
      </c>
      <c r="H27" s="51">
        <f t="shared" si="1"/>
        <v>1.8348482395479178E-3</v>
      </c>
      <c r="I27" s="51">
        <f t="shared" si="2"/>
        <v>8.3685355516023643E-2</v>
      </c>
      <c r="J27" s="51">
        <f t="shared" si="4"/>
        <v>108.54911149338946</v>
      </c>
      <c r="K27" s="51">
        <f t="shared" si="3"/>
        <v>1.5731755288897022</v>
      </c>
      <c r="L27" s="51">
        <v>180</v>
      </c>
      <c r="M27" s="51">
        <f t="shared" si="5"/>
        <v>0.38333333333333336</v>
      </c>
      <c r="N27" s="51">
        <v>43</v>
      </c>
      <c r="O27" s="51">
        <f t="shared" ref="O27:P27" si="37">D27/7</f>
        <v>9.8571428571428577</v>
      </c>
      <c r="P27" s="51">
        <f t="shared" si="37"/>
        <v>0</v>
      </c>
      <c r="Q27" s="51">
        <f t="shared" si="7"/>
        <v>4</v>
      </c>
      <c r="R27" s="55">
        <v>200</v>
      </c>
      <c r="S27" s="53" t="s">
        <v>34</v>
      </c>
      <c r="T27" s="54" t="s">
        <v>34</v>
      </c>
      <c r="U27" s="55">
        <v>5</v>
      </c>
      <c r="V27" s="55">
        <f t="shared" si="8"/>
        <v>7.2463768115942032E-2</v>
      </c>
      <c r="W27" s="55">
        <f t="shared" si="9"/>
        <v>0.29750000000000004</v>
      </c>
      <c r="X27" s="55">
        <v>3</v>
      </c>
      <c r="Y27" s="55" t="s">
        <v>35</v>
      </c>
      <c r="Z27" s="56">
        <f t="shared" si="19"/>
        <v>-0.75</v>
      </c>
      <c r="AA27" s="55">
        <v>0.25373359374999999</v>
      </c>
      <c r="AB27" s="55">
        <f t="shared" si="27"/>
        <v>-39.392140429687494</v>
      </c>
      <c r="AC27" s="55">
        <v>-7.32</v>
      </c>
      <c r="AD27" s="55">
        <v>-6.4803224358974356</v>
      </c>
      <c r="AE27" s="55">
        <v>0</v>
      </c>
      <c r="AF27" s="55"/>
    </row>
    <row r="28" spans="1:32" s="57" customFormat="1" ht="15.75" customHeight="1">
      <c r="A28" s="2" t="s">
        <v>86</v>
      </c>
      <c r="B28" s="2" t="s">
        <v>944</v>
      </c>
      <c r="C28" s="51">
        <f t="shared" si="35"/>
        <v>21.384411764705877</v>
      </c>
      <c r="D28" s="51">
        <v>34</v>
      </c>
      <c r="E28" s="51">
        <v>2</v>
      </c>
      <c r="F28" s="51">
        <v>727.06999999999982</v>
      </c>
      <c r="G28" s="51">
        <v>-4.9200000000000008</v>
      </c>
      <c r="H28" s="51">
        <f t="shared" si="1"/>
        <v>6.7668862695476392E-3</v>
      </c>
      <c r="I28" s="51">
        <f t="shared" si="2"/>
        <v>0.17119110574994451</v>
      </c>
      <c r="J28" s="51">
        <f t="shared" si="4"/>
        <v>124.46791725761213</v>
      </c>
      <c r="K28" s="51">
        <f t="shared" si="3"/>
        <v>3.6608210958121212</v>
      </c>
      <c r="L28" s="51">
        <v>99</v>
      </c>
      <c r="M28" s="51">
        <f t="shared" si="5"/>
        <v>0.34343434343434343</v>
      </c>
      <c r="N28" s="51">
        <v>0</v>
      </c>
      <c r="O28" s="51">
        <f t="shared" ref="O28:P28" si="38">D28/7</f>
        <v>4.8571428571428568</v>
      </c>
      <c r="P28" s="51">
        <f t="shared" si="38"/>
        <v>0.2857142857142857</v>
      </c>
      <c r="Q28" s="51">
        <f t="shared" si="7"/>
        <v>0</v>
      </c>
      <c r="R28" s="55">
        <v>200</v>
      </c>
      <c r="S28" s="53" t="s">
        <v>34</v>
      </c>
      <c r="T28" s="54" t="s">
        <v>34</v>
      </c>
      <c r="U28" s="55">
        <v>6</v>
      </c>
      <c r="V28" s="55">
        <f t="shared" si="8"/>
        <v>0.17647058823529413</v>
      </c>
      <c r="W28" s="55">
        <f t="shared" si="9"/>
        <v>0.4920000000000001</v>
      </c>
      <c r="X28" s="55">
        <v>4</v>
      </c>
      <c r="Y28" s="55" t="s">
        <v>35</v>
      </c>
      <c r="Z28" s="56">
        <f t="shared" si="19"/>
        <v>-0.75</v>
      </c>
      <c r="AA28" s="55">
        <v>0.25373359374999999</v>
      </c>
      <c r="AB28" s="55">
        <f t="shared" si="27"/>
        <v>-19.410619921874996</v>
      </c>
      <c r="AC28" s="55">
        <v>-7.32</v>
      </c>
      <c r="AD28" s="55">
        <v>-6.4803224358974356</v>
      </c>
      <c r="AE28" s="55">
        <v>0</v>
      </c>
      <c r="AF28" s="55"/>
    </row>
    <row r="29" spans="1:32" s="57" customFormat="1" ht="15.75" customHeight="1">
      <c r="A29" s="2" t="s">
        <v>87</v>
      </c>
      <c r="B29" s="2"/>
      <c r="C29" s="51">
        <f t="shared" si="35"/>
        <v>21.716666666666669</v>
      </c>
      <c r="D29" s="51">
        <v>3</v>
      </c>
      <c r="E29" s="51">
        <v>0</v>
      </c>
      <c r="F29" s="51">
        <v>65.150000000000006</v>
      </c>
      <c r="G29" s="51">
        <v>0</v>
      </c>
      <c r="H29" s="51">
        <f t="shared" si="1"/>
        <v>0</v>
      </c>
      <c r="I29" s="51">
        <f t="shared" si="2"/>
        <v>0.18823992224858313</v>
      </c>
      <c r="J29" s="51">
        <f t="shared" si="4"/>
        <v>12.263830934495193</v>
      </c>
      <c r="K29" s="51">
        <f t="shared" si="3"/>
        <v>4.0879436448317312</v>
      </c>
      <c r="L29" s="51">
        <v>0</v>
      </c>
      <c r="M29" s="51" t="str">
        <f t="shared" si="5"/>
        <v>-</v>
      </c>
      <c r="N29" s="51">
        <v>0</v>
      </c>
      <c r="O29" s="51">
        <f t="shared" ref="O29:P29" si="39">D29/7</f>
        <v>0.42857142857142855</v>
      </c>
      <c r="P29" s="51">
        <f t="shared" si="39"/>
        <v>0</v>
      </c>
      <c r="Q29" s="51">
        <f t="shared" si="7"/>
        <v>0</v>
      </c>
      <c r="R29" s="55">
        <v>200</v>
      </c>
      <c r="S29" s="53" t="s">
        <v>34</v>
      </c>
      <c r="T29" s="54" t="s">
        <v>34</v>
      </c>
      <c r="U29" s="55">
        <v>0</v>
      </c>
      <c r="V29" s="55">
        <f t="shared" si="8"/>
        <v>0</v>
      </c>
      <c r="W29" s="55">
        <f t="shared" si="9"/>
        <v>0</v>
      </c>
      <c r="X29" s="55">
        <v>0</v>
      </c>
      <c r="Y29" s="55" t="s">
        <v>35</v>
      </c>
      <c r="Z29" s="56">
        <f t="shared" si="19"/>
        <v>-0.75</v>
      </c>
      <c r="AA29" s="55">
        <v>0.25373359374999999</v>
      </c>
      <c r="AB29" s="55">
        <f t="shared" si="27"/>
        <v>-1.7127017578124999</v>
      </c>
      <c r="AC29" s="55">
        <v>-7.32</v>
      </c>
      <c r="AD29" s="55">
        <v>-6.4803224358974356</v>
      </c>
      <c r="AE29" s="55">
        <v>0</v>
      </c>
      <c r="AF29" s="55"/>
    </row>
    <row r="30" spans="1:32" s="57" customFormat="1" ht="15.75" customHeight="1">
      <c r="A30" s="2" t="s">
        <v>89</v>
      </c>
      <c r="B30" s="2"/>
      <c r="C30" s="51" t="str">
        <f t="shared" si="35"/>
        <v xml:space="preserve"> - </v>
      </c>
      <c r="D30" s="51">
        <v>0</v>
      </c>
      <c r="E30" s="51">
        <v>0</v>
      </c>
      <c r="F30" s="51">
        <v>0</v>
      </c>
      <c r="G30" s="51">
        <v>0</v>
      </c>
      <c r="H30" s="51" t="e">
        <f t="shared" si="1"/>
        <v>#DIV/0!</v>
      </c>
      <c r="I30" s="51" t="e">
        <f t="shared" si="2"/>
        <v>#DIV/0!</v>
      </c>
      <c r="J30" s="51">
        <f t="shared" si="4"/>
        <v>0</v>
      </c>
      <c r="K30" s="51" t="e">
        <f t="shared" si="3"/>
        <v>#DIV/0!</v>
      </c>
      <c r="L30" s="51">
        <v>0</v>
      </c>
      <c r="M30" s="51" t="str">
        <f t="shared" si="5"/>
        <v>-</v>
      </c>
      <c r="N30" s="51">
        <v>1</v>
      </c>
      <c r="O30" s="51">
        <f t="shared" ref="O30:P30" si="40">D30/7</f>
        <v>0</v>
      </c>
      <c r="P30" s="51">
        <f t="shared" si="40"/>
        <v>0</v>
      </c>
      <c r="Q30" s="51" t="e">
        <f t="shared" si="7"/>
        <v>#DIV/0!</v>
      </c>
      <c r="R30" s="55">
        <v>300</v>
      </c>
      <c r="S30" s="53">
        <v>100</v>
      </c>
      <c r="T30" s="54">
        <v>44058</v>
      </c>
      <c r="U30" s="55">
        <v>0</v>
      </c>
      <c r="V30" s="55">
        <f t="shared" si="8"/>
        <v>0</v>
      </c>
      <c r="W30" s="55">
        <f t="shared" si="9"/>
        <v>0</v>
      </c>
      <c r="X30" s="55">
        <v>0</v>
      </c>
      <c r="Y30" s="55" t="s">
        <v>35</v>
      </c>
      <c r="Z30" s="56">
        <f t="shared" si="19"/>
        <v>-0.75</v>
      </c>
      <c r="AA30" s="55">
        <v>0.25373359374999999</v>
      </c>
      <c r="AB30" s="55">
        <f t="shared" si="27"/>
        <v>0</v>
      </c>
      <c r="AC30" s="55">
        <v>-7.32</v>
      </c>
      <c r="AD30" s="55">
        <v>-6.4803224358974356</v>
      </c>
      <c r="AE30" s="55">
        <v>0</v>
      </c>
      <c r="AF30" s="55"/>
    </row>
    <row r="31" spans="1:32" s="57" customFormat="1" ht="15.75" customHeight="1">
      <c r="A31" s="2" t="s">
        <v>90</v>
      </c>
      <c r="B31" s="2"/>
      <c r="C31" s="51">
        <f t="shared" si="35"/>
        <v>23.55</v>
      </c>
      <c r="D31" s="51">
        <v>1</v>
      </c>
      <c r="E31" s="51">
        <v>0</v>
      </c>
      <c r="F31" s="51">
        <v>23.55</v>
      </c>
      <c r="G31" s="51">
        <v>0</v>
      </c>
      <c r="H31" s="51">
        <f t="shared" si="1"/>
        <v>0</v>
      </c>
      <c r="I31" s="51">
        <f t="shared" si="2"/>
        <v>0.23975698421083083</v>
      </c>
      <c r="J31" s="51">
        <f t="shared" si="4"/>
        <v>5.6462769781650666</v>
      </c>
      <c r="K31" s="51">
        <f t="shared" si="3"/>
        <v>5.6462769781650666</v>
      </c>
      <c r="L31" s="51">
        <v>1</v>
      </c>
      <c r="M31" s="51">
        <f t="shared" si="5"/>
        <v>1</v>
      </c>
      <c r="N31" s="51">
        <v>0</v>
      </c>
      <c r="O31" s="51">
        <f t="shared" ref="O31:P31" si="41">D31/7</f>
        <v>0.14285714285714285</v>
      </c>
      <c r="P31" s="51">
        <f t="shared" si="41"/>
        <v>0</v>
      </c>
      <c r="Q31" s="51">
        <f t="shared" si="7"/>
        <v>0</v>
      </c>
      <c r="R31" s="55">
        <v>200</v>
      </c>
      <c r="S31" s="53">
        <v>100</v>
      </c>
      <c r="T31" s="54">
        <v>44058</v>
      </c>
      <c r="U31" s="55">
        <v>0</v>
      </c>
      <c r="V31" s="55">
        <f t="shared" si="8"/>
        <v>0</v>
      </c>
      <c r="W31" s="55">
        <f t="shared" si="9"/>
        <v>0</v>
      </c>
      <c r="X31" s="55">
        <v>0</v>
      </c>
      <c r="Y31" s="55" t="s">
        <v>35</v>
      </c>
      <c r="Z31" s="56">
        <f t="shared" si="19"/>
        <v>-0.75</v>
      </c>
      <c r="AA31" s="55">
        <v>0.25373359374999999</v>
      </c>
      <c r="AB31" s="55">
        <f t="shared" si="27"/>
        <v>-0.57090058593749993</v>
      </c>
      <c r="AC31" s="55">
        <v>-7.32</v>
      </c>
      <c r="AD31" s="55">
        <v>-6.4803224358974356</v>
      </c>
      <c r="AE31" s="55">
        <v>0</v>
      </c>
      <c r="AF31" s="55"/>
    </row>
    <row r="32" spans="1:32" s="57" customFormat="1" ht="15.75" customHeight="1">
      <c r="A32" s="2" t="s">
        <v>92</v>
      </c>
      <c r="B32" s="2"/>
      <c r="C32" s="51" t="str">
        <f t="shared" si="35"/>
        <v xml:space="preserve"> - </v>
      </c>
      <c r="D32" s="51">
        <v>0</v>
      </c>
      <c r="E32" s="51">
        <v>0</v>
      </c>
      <c r="F32" s="51">
        <v>0</v>
      </c>
      <c r="G32" s="51">
        <v>0</v>
      </c>
      <c r="H32" s="51" t="e">
        <f t="shared" si="1"/>
        <v>#DIV/0!</v>
      </c>
      <c r="I32" s="51" t="e">
        <f t="shared" si="2"/>
        <v>#DIV/0!</v>
      </c>
      <c r="J32" s="51">
        <f t="shared" si="4"/>
        <v>0</v>
      </c>
      <c r="K32" s="51" t="e">
        <f t="shared" si="3"/>
        <v>#DIV/0!</v>
      </c>
      <c r="L32" s="51">
        <v>0</v>
      </c>
      <c r="M32" s="51" t="str">
        <f t="shared" si="5"/>
        <v>-</v>
      </c>
      <c r="N32" s="51">
        <v>0</v>
      </c>
      <c r="O32" s="51">
        <f t="shared" ref="O32:P32" si="42">D32/7</f>
        <v>0</v>
      </c>
      <c r="P32" s="51">
        <f t="shared" si="42"/>
        <v>0</v>
      </c>
      <c r="Q32" s="51" t="e">
        <f t="shared" si="7"/>
        <v>#DIV/0!</v>
      </c>
      <c r="R32" s="55">
        <v>200</v>
      </c>
      <c r="S32" s="53">
        <v>100</v>
      </c>
      <c r="T32" s="54" t="s">
        <v>34</v>
      </c>
      <c r="U32" s="55">
        <v>0</v>
      </c>
      <c r="V32" s="55">
        <f t="shared" si="8"/>
        <v>0</v>
      </c>
      <c r="W32" s="55">
        <f t="shared" si="9"/>
        <v>0</v>
      </c>
      <c r="X32" s="55">
        <v>0</v>
      </c>
      <c r="Y32" s="55" t="e">
        <v>#N/A</v>
      </c>
      <c r="Z32" s="56" t="e">
        <f t="shared" si="19"/>
        <v>#N/A</v>
      </c>
      <c r="AA32" s="55" t="e">
        <v>#N/A</v>
      </c>
      <c r="AB32" s="55">
        <f t="shared" si="27"/>
        <v>0</v>
      </c>
      <c r="AC32" s="55">
        <v>0</v>
      </c>
      <c r="AD32" s="55">
        <v>-6.4803224358974356</v>
      </c>
      <c r="AE32" s="55">
        <v>0</v>
      </c>
      <c r="AF32" s="52" t="e">
        <v>#N/A</v>
      </c>
    </row>
    <row r="33" spans="1:32" s="57" customFormat="1" ht="15.75" customHeight="1">
      <c r="A33" s="2" t="s">
        <v>94</v>
      </c>
      <c r="B33" s="2"/>
      <c r="C33" s="51" t="str">
        <f t="shared" si="35"/>
        <v xml:space="preserve"> - </v>
      </c>
      <c r="D33" s="51">
        <v>0</v>
      </c>
      <c r="E33" s="51">
        <v>0</v>
      </c>
      <c r="F33" s="51">
        <v>0</v>
      </c>
      <c r="G33" s="51">
        <v>0</v>
      </c>
      <c r="H33" s="51" t="e">
        <f t="shared" si="1"/>
        <v>#DIV/0!</v>
      </c>
      <c r="I33" s="51" t="e">
        <f t="shared" si="2"/>
        <v>#DIV/0!</v>
      </c>
      <c r="J33" s="51">
        <f t="shared" si="4"/>
        <v>0</v>
      </c>
      <c r="K33" s="51" t="e">
        <f t="shared" si="3"/>
        <v>#DIV/0!</v>
      </c>
      <c r="L33" s="51">
        <v>0</v>
      </c>
      <c r="M33" s="51" t="str">
        <f t="shared" si="5"/>
        <v>-</v>
      </c>
      <c r="N33" s="51">
        <v>0</v>
      </c>
      <c r="O33" s="51">
        <f t="shared" ref="O33:P33" si="43">D33/7</f>
        <v>0</v>
      </c>
      <c r="P33" s="51">
        <f t="shared" si="43"/>
        <v>0</v>
      </c>
      <c r="Q33" s="51" t="e">
        <f t="shared" si="7"/>
        <v>#DIV/0!</v>
      </c>
      <c r="R33" s="55">
        <v>200</v>
      </c>
      <c r="S33" s="53">
        <v>100</v>
      </c>
      <c r="T33" s="54">
        <v>44058</v>
      </c>
      <c r="U33" s="55">
        <v>0</v>
      </c>
      <c r="V33" s="55">
        <f t="shared" si="8"/>
        <v>0</v>
      </c>
      <c r="W33" s="55">
        <f t="shared" si="9"/>
        <v>0</v>
      </c>
      <c r="X33" s="55">
        <v>0</v>
      </c>
      <c r="Y33" s="55" t="e">
        <v>#N/A</v>
      </c>
      <c r="Z33" s="56" t="e">
        <f t="shared" si="19"/>
        <v>#N/A</v>
      </c>
      <c r="AA33" s="55" t="e">
        <v>#N/A</v>
      </c>
      <c r="AB33" s="55">
        <f t="shared" si="27"/>
        <v>0</v>
      </c>
      <c r="AC33" s="55">
        <v>0</v>
      </c>
      <c r="AD33" s="55">
        <v>-6.4803224358974356</v>
      </c>
      <c r="AE33" s="55">
        <v>0</v>
      </c>
      <c r="AF33" s="55" t="e">
        <v>#N/A</v>
      </c>
    </row>
    <row r="34" spans="1:32" s="57" customFormat="1" ht="15.75" customHeight="1">
      <c r="A34" s="2" t="s">
        <v>95</v>
      </c>
      <c r="B34" s="2"/>
      <c r="C34" s="51" t="str">
        <f t="shared" si="35"/>
        <v xml:space="preserve"> - </v>
      </c>
      <c r="D34" s="51">
        <v>0</v>
      </c>
      <c r="E34" s="51">
        <v>0</v>
      </c>
      <c r="F34" s="51">
        <v>0</v>
      </c>
      <c r="G34" s="51">
        <v>0</v>
      </c>
      <c r="H34" s="51" t="e">
        <f t="shared" si="1"/>
        <v>#DIV/0!</v>
      </c>
      <c r="I34" s="51" t="e">
        <f t="shared" si="2"/>
        <v>#DIV/0!</v>
      </c>
      <c r="J34" s="51">
        <f t="shared" si="4"/>
        <v>0</v>
      </c>
      <c r="K34" s="51" t="e">
        <f t="shared" si="3"/>
        <v>#DIV/0!</v>
      </c>
      <c r="L34" s="51">
        <v>0</v>
      </c>
      <c r="M34" s="51" t="str">
        <f t="shared" si="5"/>
        <v>-</v>
      </c>
      <c r="N34" s="51">
        <v>0</v>
      </c>
      <c r="O34" s="51">
        <f t="shared" ref="O34:P34" si="44">D34/7</f>
        <v>0</v>
      </c>
      <c r="P34" s="51">
        <f t="shared" si="44"/>
        <v>0</v>
      </c>
      <c r="Q34" s="51" t="e">
        <f t="shared" si="7"/>
        <v>#DIV/0!</v>
      </c>
      <c r="R34" s="55">
        <v>200</v>
      </c>
      <c r="S34" s="53">
        <v>100</v>
      </c>
      <c r="T34" s="54">
        <v>44058</v>
      </c>
      <c r="U34" s="55">
        <v>0</v>
      </c>
      <c r="V34" s="55">
        <f t="shared" si="8"/>
        <v>0</v>
      </c>
      <c r="W34" s="55">
        <f t="shared" si="9"/>
        <v>0</v>
      </c>
      <c r="X34" s="55">
        <v>0</v>
      </c>
      <c r="Y34" s="55" t="e">
        <v>#N/A</v>
      </c>
      <c r="Z34" s="56" t="e">
        <f t="shared" si="19"/>
        <v>#N/A</v>
      </c>
      <c r="AA34" s="55" t="e">
        <v>#N/A</v>
      </c>
      <c r="AB34" s="55">
        <f t="shared" si="27"/>
        <v>0</v>
      </c>
      <c r="AC34" s="55">
        <v>0</v>
      </c>
      <c r="AD34" s="55">
        <v>-6.4803224358974356</v>
      </c>
      <c r="AE34" s="55">
        <v>0</v>
      </c>
      <c r="AF34" s="55" t="e">
        <v>#N/A</v>
      </c>
    </row>
    <row r="35" spans="1:32" s="57" customFormat="1" ht="15.75" customHeight="1">
      <c r="A35" s="2" t="s">
        <v>96</v>
      </c>
      <c r="B35" s="2"/>
      <c r="C35" s="51" t="str">
        <f t="shared" si="35"/>
        <v xml:space="preserve"> - </v>
      </c>
      <c r="D35" s="51">
        <v>0</v>
      </c>
      <c r="E35" s="51">
        <v>0</v>
      </c>
      <c r="F35" s="51">
        <v>0</v>
      </c>
      <c r="G35" s="51">
        <v>0</v>
      </c>
      <c r="H35" s="51" t="e">
        <f t="shared" si="1"/>
        <v>#DIV/0!</v>
      </c>
      <c r="I35" s="51" t="e">
        <f t="shared" si="2"/>
        <v>#DIV/0!</v>
      </c>
      <c r="J35" s="51">
        <f t="shared" si="4"/>
        <v>0</v>
      </c>
      <c r="K35" s="51" t="e">
        <f t="shared" si="3"/>
        <v>#DIV/0!</v>
      </c>
      <c r="L35" s="51">
        <v>0</v>
      </c>
      <c r="M35" s="51" t="str">
        <f t="shared" si="5"/>
        <v>-</v>
      </c>
      <c r="N35" s="51">
        <v>0</v>
      </c>
      <c r="O35" s="51">
        <f t="shared" ref="O35:P35" si="45">D35/7</f>
        <v>0</v>
      </c>
      <c r="P35" s="51">
        <f t="shared" si="45"/>
        <v>0</v>
      </c>
      <c r="Q35" s="51" t="e">
        <f t="shared" si="7"/>
        <v>#DIV/0!</v>
      </c>
      <c r="R35" s="55">
        <v>100</v>
      </c>
      <c r="S35" s="53" t="s">
        <v>34</v>
      </c>
      <c r="T35" s="54" t="s">
        <v>34</v>
      </c>
      <c r="U35" s="55">
        <v>0</v>
      </c>
      <c r="V35" s="55">
        <f t="shared" si="8"/>
        <v>0</v>
      </c>
      <c r="W35" s="55">
        <f t="shared" si="9"/>
        <v>0</v>
      </c>
      <c r="X35" s="55">
        <v>0</v>
      </c>
      <c r="Y35" s="55" t="e">
        <v>#N/A</v>
      </c>
      <c r="Z35" s="56" t="e">
        <f t="shared" si="19"/>
        <v>#N/A</v>
      </c>
      <c r="AA35" s="55" t="e">
        <v>#N/A</v>
      </c>
      <c r="AB35" s="55">
        <f t="shared" si="27"/>
        <v>0</v>
      </c>
      <c r="AC35" s="55">
        <v>0</v>
      </c>
      <c r="AD35" s="55">
        <v>-6.4803224358974356</v>
      </c>
      <c r="AE35" s="55">
        <v>0</v>
      </c>
      <c r="AF35" s="55" t="e">
        <v>#N/A</v>
      </c>
    </row>
    <row r="36" spans="1:32" s="57" customFormat="1" ht="15.75" customHeight="1">
      <c r="A36" s="2" t="s">
        <v>98</v>
      </c>
      <c r="B36" s="2"/>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v>100</v>
      </c>
      <c r="S36" s="53"/>
      <c r="T36" s="54" t="s">
        <v>34</v>
      </c>
      <c r="U36" s="55"/>
      <c r="V36" s="55">
        <f t="shared" si="8"/>
        <v>0</v>
      </c>
      <c r="W36" s="55">
        <f t="shared" si="9"/>
        <v>0</v>
      </c>
      <c r="X36" s="55"/>
      <c r="Y36" s="55" t="e">
        <v>#N/A</v>
      </c>
      <c r="Z36" s="56" t="e">
        <f t="shared" si="19"/>
        <v>#N/A</v>
      </c>
      <c r="AA36" s="55" t="e">
        <v>#N/A</v>
      </c>
      <c r="AB36" s="55">
        <f t="shared" si="27"/>
        <v>0</v>
      </c>
      <c r="AC36" s="55">
        <v>0</v>
      </c>
      <c r="AD36" s="55">
        <v>-6.4803224358974356</v>
      </c>
      <c r="AE36" s="55">
        <v>0</v>
      </c>
      <c r="AF36" s="55" t="e">
        <v>#N/A</v>
      </c>
    </row>
    <row r="37" spans="1:32" s="57" customFormat="1" ht="15.75" customHeight="1">
      <c r="A37" s="2" t="s">
        <v>99</v>
      </c>
      <c r="B37" s="2"/>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v>100</v>
      </c>
      <c r="S37" s="53" t="s">
        <v>34</v>
      </c>
      <c r="T37" s="54" t="s">
        <v>34</v>
      </c>
      <c r="U37" s="55">
        <v>0</v>
      </c>
      <c r="V37" s="55">
        <f t="shared" si="8"/>
        <v>0</v>
      </c>
      <c r="W37" s="55">
        <f t="shared" si="9"/>
        <v>0</v>
      </c>
      <c r="X37" s="55">
        <v>0</v>
      </c>
      <c r="Y37" s="55" t="e">
        <v>#N/A</v>
      </c>
      <c r="Z37" s="56" t="e">
        <f t="shared" si="19"/>
        <v>#N/A</v>
      </c>
      <c r="AA37" s="55" t="e">
        <v>#N/A</v>
      </c>
      <c r="AB37" s="55">
        <f t="shared" si="27"/>
        <v>0</v>
      </c>
      <c r="AC37" s="55">
        <v>0</v>
      </c>
      <c r="AD37" s="55">
        <v>-6.4803224358974356</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5">
        <v>200</v>
      </c>
      <c r="S38" s="53"/>
      <c r="T38" s="54" t="s">
        <v>34</v>
      </c>
      <c r="U38" s="55">
        <v>0</v>
      </c>
      <c r="V38" s="55">
        <f t="shared" si="8"/>
        <v>0</v>
      </c>
      <c r="W38" s="55">
        <f t="shared" si="9"/>
        <v>0</v>
      </c>
      <c r="X38" s="55">
        <v>0</v>
      </c>
      <c r="Y38" s="55" t="e">
        <v>#N/A</v>
      </c>
      <c r="Z38" s="56" t="e">
        <f t="shared" si="19"/>
        <v>#N/A</v>
      </c>
      <c r="AA38" s="55" t="e">
        <v>#N/A</v>
      </c>
      <c r="AB38" s="55">
        <f t="shared" si="27"/>
        <v>0</v>
      </c>
      <c r="AC38" s="55">
        <v>0</v>
      </c>
      <c r="AD38" s="55">
        <v>-6.4803224358974356</v>
      </c>
      <c r="AE38" s="55">
        <v>0</v>
      </c>
      <c r="AF38" s="55" t="e">
        <v>#N/A</v>
      </c>
    </row>
    <row r="39" spans="1:32" s="57" customFormat="1" ht="15.75" customHeight="1">
      <c r="A39" s="2" t="s">
        <v>101</v>
      </c>
      <c r="B39" s="2"/>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0</v>
      </c>
      <c r="O39" s="51">
        <f t="shared" ref="O39:P39" si="49">D39/7</f>
        <v>0</v>
      </c>
      <c r="P39" s="51">
        <f t="shared" si="49"/>
        <v>0</v>
      </c>
      <c r="Q39" s="51" t="e">
        <f t="shared" si="7"/>
        <v>#DIV/0!</v>
      </c>
      <c r="R39" s="55">
        <v>200</v>
      </c>
      <c r="S39" s="53" t="s">
        <v>34</v>
      </c>
      <c r="T39" s="54" t="s">
        <v>34</v>
      </c>
      <c r="U39" s="55">
        <v>0</v>
      </c>
      <c r="V39" s="55">
        <f t="shared" si="8"/>
        <v>0</v>
      </c>
      <c r="W39" s="55">
        <f t="shared" si="9"/>
        <v>0</v>
      </c>
      <c r="X39" s="55">
        <v>0</v>
      </c>
      <c r="Y39" s="55" t="e">
        <v>#N/A</v>
      </c>
      <c r="Z39" s="56" t="e">
        <f t="shared" si="19"/>
        <v>#N/A</v>
      </c>
      <c r="AA39" s="55" t="e">
        <v>#N/A</v>
      </c>
      <c r="AB39" s="55">
        <f t="shared" si="27"/>
        <v>0</v>
      </c>
      <c r="AC39" s="55">
        <v>0</v>
      </c>
      <c r="AD39" s="55">
        <v>-6.4803224358974303</v>
      </c>
      <c r="AE39" s="55">
        <v>0</v>
      </c>
      <c r="AF39" s="55" t="e">
        <v>#N/A</v>
      </c>
    </row>
    <row r="40" spans="1:32" s="57" customFormat="1" ht="15.75" customHeight="1">
      <c r="A40" s="2" t="s">
        <v>102</v>
      </c>
      <c r="B40" s="2"/>
      <c r="C40" s="51">
        <v>23.55</v>
      </c>
      <c r="D40" s="51">
        <v>1</v>
      </c>
      <c r="E40" s="51">
        <v>0</v>
      </c>
      <c r="F40" s="51">
        <v>23.55</v>
      </c>
      <c r="G40" s="51">
        <v>0</v>
      </c>
      <c r="H40" s="51">
        <v>0</v>
      </c>
      <c r="I40" s="51">
        <v>0.239756984210831</v>
      </c>
      <c r="J40" s="51">
        <v>5.6462769781650701</v>
      </c>
      <c r="K40" s="51">
        <v>5.6462769781650701</v>
      </c>
      <c r="L40" s="51">
        <v>4</v>
      </c>
      <c r="M40" s="51">
        <v>0.25</v>
      </c>
      <c r="N40" s="51">
        <v>0</v>
      </c>
      <c r="O40" s="51">
        <v>0.14285714285714285</v>
      </c>
      <c r="P40" s="51">
        <v>0</v>
      </c>
      <c r="Q40" s="51">
        <v>0</v>
      </c>
      <c r="R40" s="55">
        <v>200</v>
      </c>
      <c r="S40" s="53" t="s">
        <v>34</v>
      </c>
      <c r="T40" s="54" t="s">
        <v>34</v>
      </c>
      <c r="U40" s="55">
        <v>0</v>
      </c>
      <c r="V40" s="55">
        <v>0</v>
      </c>
      <c r="W40" s="55">
        <v>0</v>
      </c>
      <c r="X40" s="55">
        <v>0</v>
      </c>
      <c r="Y40" s="55" t="s">
        <v>35</v>
      </c>
      <c r="Z40" s="56">
        <v>-0.75</v>
      </c>
      <c r="AA40" s="55">
        <v>0.25373359374999999</v>
      </c>
      <c r="AB40" s="55">
        <v>-0.57090058593749993</v>
      </c>
      <c r="AC40" s="55">
        <v>-7.32</v>
      </c>
      <c r="AD40" s="55">
        <v>-6.4803224358974303</v>
      </c>
      <c r="AE40" s="55">
        <v>0</v>
      </c>
      <c r="AF40" s="55" t="e">
        <v>#N/A</v>
      </c>
    </row>
    <row r="41" spans="1:32" s="57" customFormat="1" ht="15.75" customHeight="1">
      <c r="A41" s="2" t="s">
        <v>105</v>
      </c>
      <c r="B41" s="2"/>
      <c r="C41" s="51" t="str">
        <f t="shared" ref="C41:C56" si="50">IFERROR(F41/D41," - ")</f>
        <v xml:space="preserve"> - </v>
      </c>
      <c r="D41" s="51">
        <v>0</v>
      </c>
      <c r="E41" s="51">
        <v>0</v>
      </c>
      <c r="F41" s="51">
        <v>0</v>
      </c>
      <c r="G41" s="51">
        <v>0</v>
      </c>
      <c r="H41" s="51" t="e">
        <f t="shared" ref="H41:H56" si="51">G41/F41*-1</f>
        <v>#DIV/0!</v>
      </c>
      <c r="I41" s="51" t="e">
        <f t="shared" ref="I41:I56" si="52">J41/F41</f>
        <v>#DIV/0!</v>
      </c>
      <c r="J41" s="51">
        <f t="shared" ref="J41:J48" si="53">F41*0.85+G41+AD41*D41+D41*AC41+AE42+AB41</f>
        <v>0</v>
      </c>
      <c r="K41" s="51" t="e">
        <f t="shared" ref="K41:K56" si="54">J41/D41</f>
        <v>#DIV/0!</v>
      </c>
      <c r="L41" s="51">
        <v>0</v>
      </c>
      <c r="M41" s="51" t="str">
        <f t="shared" ref="M41:M56" si="55">IFERROR(D41/L41,"-")</f>
        <v>-</v>
      </c>
      <c r="N41" s="51">
        <v>0</v>
      </c>
      <c r="O41" s="51">
        <f t="shared" ref="O41:P41" si="56">D41/7</f>
        <v>0</v>
      </c>
      <c r="P41" s="51">
        <f t="shared" si="56"/>
        <v>0</v>
      </c>
      <c r="Q41" s="51" t="e">
        <f t="shared" ref="Q41:Q56" si="57">ROUNDDOWN(N41/(O41+P41),0)</f>
        <v>#DIV/0!</v>
      </c>
      <c r="R41" s="55">
        <v>200</v>
      </c>
      <c r="S41" s="53" t="s">
        <v>34</v>
      </c>
      <c r="T41" s="54" t="s">
        <v>34</v>
      </c>
      <c r="U41" s="55">
        <v>0</v>
      </c>
      <c r="V41" s="55">
        <f t="shared" ref="V41:V56" si="58">IFERROR(U41/D41,0)</f>
        <v>0</v>
      </c>
      <c r="W41" s="55">
        <f t="shared" ref="W41:W56" si="59">IFERROR(G41/(U41+X41)*-1,0)</f>
        <v>0</v>
      </c>
      <c r="X41" s="55">
        <v>0</v>
      </c>
      <c r="Y41" s="55" t="s">
        <v>35</v>
      </c>
      <c r="Z41" s="56">
        <f t="shared" ref="Z41:Z43" si="60">IF(OR(Y41="UsLargeStandardSize",Y41="UsSmallStandardSize"),-0.75,-0.48)</f>
        <v>-0.75</v>
      </c>
      <c r="AA41" s="55">
        <v>0.25373359374999999</v>
      </c>
      <c r="AB41" s="55">
        <f t="shared" ref="AB41:AB56" si="61">IFERROR(Z41*AA41*D41*3,0)</f>
        <v>0</v>
      </c>
      <c r="AC41" s="55">
        <v>-7.32</v>
      </c>
      <c r="AD41" s="55">
        <v>-6.4803224358974303</v>
      </c>
      <c r="AE41" s="55">
        <v>0</v>
      </c>
      <c r="AF41" s="55" t="e">
        <v>#N/A</v>
      </c>
    </row>
    <row r="42" spans="1:32" s="57" customFormat="1" ht="15.75" customHeight="1">
      <c r="A42" s="2" t="s">
        <v>106</v>
      </c>
      <c r="B42" s="2"/>
      <c r="C42" s="51" t="str">
        <f t="shared" si="50"/>
        <v xml:space="preserve"> - </v>
      </c>
      <c r="D42" s="51">
        <v>0</v>
      </c>
      <c r="E42" s="51">
        <v>0</v>
      </c>
      <c r="F42" s="51">
        <v>0</v>
      </c>
      <c r="G42" s="51">
        <v>0</v>
      </c>
      <c r="H42" s="51" t="e">
        <f t="shared" si="51"/>
        <v>#DIV/0!</v>
      </c>
      <c r="I42" s="51" t="e">
        <f t="shared" si="52"/>
        <v>#DIV/0!</v>
      </c>
      <c r="J42" s="51">
        <f t="shared" si="53"/>
        <v>0</v>
      </c>
      <c r="K42" s="51" t="e">
        <f t="shared" si="54"/>
        <v>#DIV/0!</v>
      </c>
      <c r="L42" s="51">
        <v>0</v>
      </c>
      <c r="M42" s="51" t="str">
        <f t="shared" si="55"/>
        <v>-</v>
      </c>
      <c r="N42" s="51">
        <v>0</v>
      </c>
      <c r="O42" s="51">
        <f t="shared" ref="O42:P42" si="62">D42/7</f>
        <v>0</v>
      </c>
      <c r="P42" s="51">
        <f t="shared" si="62"/>
        <v>0</v>
      </c>
      <c r="Q42" s="51" t="e">
        <f t="shared" si="57"/>
        <v>#DIV/0!</v>
      </c>
      <c r="R42" s="55">
        <f ca="1">IFERROR(__xludf.DUMMYFUNCTION("IFERROR(VLOOKUP($B$2,IMPORTRANGE(""https://docs.google.com/spreadsheets/d/1iVgg6Mw12RULLujzHmfOFIY8Q_KaAD8anoZzgtVAQ74/edit#gid=1503384807"",""Second Star - Summary!A1:AD2000""),9,FALSE),"""")"),752)</f>
        <v>752</v>
      </c>
      <c r="S42" s="53">
        <f ca="1">IFERROR(__xludf.DUMMYFUNCTION("IFERROR(VLOOKUP($B$2,IMPORTRANGE(""https://docs.google.com/spreadsheets/d/1iVgg6Mw12RULLujzHmfOFIY8Q_KaAD8anoZzgtVAQ74/edit#gid=1503384807"",""Second Star - Summary!A1:AD2000""),28,FALSE),"""")"),120)</f>
        <v>120</v>
      </c>
      <c r="T42" s="54">
        <f ca="1">IFERROR(__xludf.DUMMYFUNCTION("IFERROR(VLOOKUP($B$2,IMPORTRANGE(""https://docs.google.com/spreadsheets/d/1iVgg6Mw12RULLujzHmfOFIY8Q_KaAD8anoZzgtVAQ74/edit#gid=1503384807"",""Second Star - Summary!A1:AD2000""),29,FALSE),"""")"),44339)</f>
        <v>44339</v>
      </c>
      <c r="U42" s="55">
        <v>0</v>
      </c>
      <c r="V42" s="55">
        <f t="shared" si="58"/>
        <v>0</v>
      </c>
      <c r="W42" s="55">
        <f t="shared" si="59"/>
        <v>0</v>
      </c>
      <c r="X42" s="55">
        <v>0</v>
      </c>
      <c r="Y42" s="55" t="e">
        <v>#N/A</v>
      </c>
      <c r="Z42" s="56" t="e">
        <f t="shared" si="60"/>
        <v>#N/A</v>
      </c>
      <c r="AA42" s="55" t="e">
        <v>#N/A</v>
      </c>
      <c r="AB42" s="55">
        <f t="shared" si="61"/>
        <v>0</v>
      </c>
      <c r="AC42" s="55">
        <v>-7.32</v>
      </c>
      <c r="AD42" s="55">
        <v>-6.4803224358974303</v>
      </c>
      <c r="AE42" s="55">
        <v>0</v>
      </c>
      <c r="AF42" s="55" t="e">
        <v>#N/A</v>
      </c>
    </row>
    <row r="43" spans="1:32" s="57" customFormat="1" ht="15.75" customHeight="1">
      <c r="A43" s="2" t="s">
        <v>107</v>
      </c>
      <c r="B43" s="2"/>
      <c r="C43" s="51" t="str">
        <f t="shared" si="50"/>
        <v xml:space="preserve"> - </v>
      </c>
      <c r="D43" s="51">
        <v>0</v>
      </c>
      <c r="E43" s="51">
        <v>0</v>
      </c>
      <c r="F43" s="51">
        <v>0</v>
      </c>
      <c r="G43" s="51">
        <v>0</v>
      </c>
      <c r="H43" s="51" t="e">
        <f t="shared" si="51"/>
        <v>#DIV/0!</v>
      </c>
      <c r="I43" s="51" t="e">
        <f t="shared" si="52"/>
        <v>#DIV/0!</v>
      </c>
      <c r="J43" s="51">
        <f t="shared" si="53"/>
        <v>0</v>
      </c>
      <c r="K43" s="51" t="e">
        <f t="shared" si="54"/>
        <v>#DIV/0!</v>
      </c>
      <c r="L43" s="51">
        <v>0</v>
      </c>
      <c r="M43" s="51" t="str">
        <f t="shared" si="55"/>
        <v>-</v>
      </c>
      <c r="N43" s="51">
        <v>0</v>
      </c>
      <c r="O43" s="51">
        <f t="shared" ref="O43:P43" si="63">D43/7</f>
        <v>0</v>
      </c>
      <c r="P43" s="51">
        <f t="shared" si="63"/>
        <v>0</v>
      </c>
      <c r="Q43" s="51" t="e">
        <f t="shared" si="57"/>
        <v>#DIV/0!</v>
      </c>
      <c r="R43" s="55">
        <v>200</v>
      </c>
      <c r="S43" s="53" t="s">
        <v>34</v>
      </c>
      <c r="T43" s="54" t="s">
        <v>34</v>
      </c>
      <c r="U43" s="55">
        <v>0</v>
      </c>
      <c r="V43" s="55">
        <f t="shared" si="58"/>
        <v>0</v>
      </c>
      <c r="W43" s="55">
        <f t="shared" si="59"/>
        <v>0</v>
      </c>
      <c r="X43" s="55">
        <v>0</v>
      </c>
      <c r="Y43" s="55" t="e">
        <v>#N/A</v>
      </c>
      <c r="Z43" s="56" t="e">
        <f t="shared" si="60"/>
        <v>#N/A</v>
      </c>
      <c r="AA43" s="55" t="e">
        <v>#N/A</v>
      </c>
      <c r="AB43" s="55">
        <f t="shared" si="61"/>
        <v>0</v>
      </c>
      <c r="AC43" s="55">
        <v>0</v>
      </c>
      <c r="AD43" s="55">
        <v>-6.4803224358974303</v>
      </c>
      <c r="AE43" s="55">
        <v>0</v>
      </c>
      <c r="AF43" s="55" t="e">
        <v>#N/A</v>
      </c>
    </row>
    <row r="44" spans="1:32" s="57" customFormat="1" ht="15.75" customHeight="1">
      <c r="A44" s="2" t="s">
        <v>108</v>
      </c>
      <c r="B44" s="2"/>
      <c r="C44" s="51" t="str">
        <f t="shared" si="50"/>
        <v xml:space="preserve"> - </v>
      </c>
      <c r="D44" s="51">
        <v>0</v>
      </c>
      <c r="E44" s="51">
        <v>0</v>
      </c>
      <c r="F44" s="51">
        <v>0</v>
      </c>
      <c r="G44" s="51">
        <v>0</v>
      </c>
      <c r="H44" s="51" t="e">
        <f t="shared" si="51"/>
        <v>#DIV/0!</v>
      </c>
      <c r="I44" s="51" t="e">
        <f t="shared" si="52"/>
        <v>#DIV/0!</v>
      </c>
      <c r="J44" s="51">
        <f t="shared" si="53"/>
        <v>0</v>
      </c>
      <c r="K44" s="51" t="e">
        <f t="shared" si="54"/>
        <v>#DIV/0!</v>
      </c>
      <c r="L44" s="51">
        <v>0</v>
      </c>
      <c r="M44" s="51" t="str">
        <f t="shared" si="55"/>
        <v>-</v>
      </c>
      <c r="N44" s="51">
        <v>0</v>
      </c>
      <c r="O44" s="51">
        <f t="shared" ref="O44:P44" si="64">D44/7</f>
        <v>0</v>
      </c>
      <c r="P44" s="51">
        <f t="shared" si="64"/>
        <v>0</v>
      </c>
      <c r="Q44" s="51" t="e">
        <f t="shared" si="57"/>
        <v>#DIV/0!</v>
      </c>
      <c r="R44" s="55">
        <v>200</v>
      </c>
      <c r="S44" s="53" t="s">
        <v>34</v>
      </c>
      <c r="T44" s="54" t="s">
        <v>34</v>
      </c>
      <c r="U44" s="55">
        <v>0</v>
      </c>
      <c r="V44" s="55">
        <f t="shared" si="58"/>
        <v>0</v>
      </c>
      <c r="W44" s="55">
        <f t="shared" si="59"/>
        <v>0</v>
      </c>
      <c r="X44" s="55">
        <v>0</v>
      </c>
      <c r="Y44" s="55" t="e">
        <v>#N/A</v>
      </c>
      <c r="Z44" s="56" t="e">
        <f t="shared" ref="Z44:Z56" si="65">IF(OR(Y44="UsLargeStandardSize",Y44="UsSmallStandardSize"),-2.4,-1.2)</f>
        <v>#N/A</v>
      </c>
      <c r="AA44" s="55" t="e">
        <v>#N/A</v>
      </c>
      <c r="AB44" s="55">
        <f t="shared" si="61"/>
        <v>0</v>
      </c>
      <c r="AC44" s="55">
        <v>0</v>
      </c>
      <c r="AD44" s="55">
        <v>-6.4803224358974303</v>
      </c>
      <c r="AE44" s="55">
        <v>0</v>
      </c>
      <c r="AF44" s="55" t="e">
        <v>#N/A</v>
      </c>
    </row>
    <row r="45" spans="1:32" s="57" customFormat="1" ht="15.75" customHeight="1">
      <c r="A45" s="2" t="s">
        <v>109</v>
      </c>
      <c r="B45" s="2"/>
      <c r="C45" s="51" t="str">
        <f t="shared" si="50"/>
        <v xml:space="preserve"> - </v>
      </c>
      <c r="D45" s="51">
        <v>0</v>
      </c>
      <c r="E45" s="51">
        <v>0</v>
      </c>
      <c r="F45" s="51">
        <v>0</v>
      </c>
      <c r="G45" s="51">
        <v>0</v>
      </c>
      <c r="H45" s="51" t="e">
        <f t="shared" si="51"/>
        <v>#DIV/0!</v>
      </c>
      <c r="I45" s="51" t="e">
        <f t="shared" si="52"/>
        <v>#DIV/0!</v>
      </c>
      <c r="J45" s="51">
        <f t="shared" si="53"/>
        <v>0</v>
      </c>
      <c r="K45" s="51" t="e">
        <f t="shared" si="54"/>
        <v>#DIV/0!</v>
      </c>
      <c r="L45" s="51">
        <v>0</v>
      </c>
      <c r="M45" s="51" t="str">
        <f t="shared" si="55"/>
        <v>-</v>
      </c>
      <c r="N45" s="51">
        <v>0</v>
      </c>
      <c r="O45" s="51">
        <f t="shared" ref="O45:P45" si="66">D45/7</f>
        <v>0</v>
      </c>
      <c r="P45" s="51">
        <f t="shared" si="66"/>
        <v>0</v>
      </c>
      <c r="Q45" s="51" t="e">
        <f t="shared" si="57"/>
        <v>#DIV/0!</v>
      </c>
      <c r="R45" s="55">
        <v>200</v>
      </c>
      <c r="S45" s="53" t="s">
        <v>34</v>
      </c>
      <c r="T45" s="54" t="s">
        <v>34</v>
      </c>
      <c r="U45" s="55">
        <v>0</v>
      </c>
      <c r="V45" s="55">
        <f t="shared" si="58"/>
        <v>0</v>
      </c>
      <c r="W45" s="55">
        <f t="shared" si="59"/>
        <v>0</v>
      </c>
      <c r="X45" s="55">
        <v>0</v>
      </c>
      <c r="Y45" s="55" t="e">
        <v>#N/A</v>
      </c>
      <c r="Z45" s="56" t="e">
        <f t="shared" si="65"/>
        <v>#N/A</v>
      </c>
      <c r="AA45" s="55" t="e">
        <v>#N/A</v>
      </c>
      <c r="AB45" s="55">
        <f t="shared" si="61"/>
        <v>0</v>
      </c>
      <c r="AC45" s="55">
        <v>0</v>
      </c>
      <c r="AD45" s="55">
        <v>-6.4803224358974303</v>
      </c>
      <c r="AE45" s="55">
        <v>0</v>
      </c>
      <c r="AF45" s="55" t="e">
        <v>#N/A</v>
      </c>
    </row>
    <row r="46" spans="1:32" s="57" customFormat="1" ht="15.75" customHeight="1">
      <c r="A46" s="2" t="s">
        <v>111</v>
      </c>
      <c r="B46" s="2"/>
      <c r="C46" s="51" t="str">
        <f t="shared" si="50"/>
        <v xml:space="preserve"> - </v>
      </c>
      <c r="D46" s="51">
        <v>0</v>
      </c>
      <c r="E46" s="51">
        <v>0</v>
      </c>
      <c r="F46" s="51">
        <v>0</v>
      </c>
      <c r="G46" s="51">
        <v>0</v>
      </c>
      <c r="H46" s="51" t="e">
        <f t="shared" si="51"/>
        <v>#DIV/0!</v>
      </c>
      <c r="I46" s="51" t="e">
        <f t="shared" si="52"/>
        <v>#DIV/0!</v>
      </c>
      <c r="J46" s="51">
        <f t="shared" si="53"/>
        <v>0</v>
      </c>
      <c r="K46" s="51" t="e">
        <f t="shared" si="54"/>
        <v>#DIV/0!</v>
      </c>
      <c r="L46" s="51">
        <v>0</v>
      </c>
      <c r="M46" s="51" t="str">
        <f t="shared" si="55"/>
        <v>-</v>
      </c>
      <c r="N46" s="51">
        <v>0</v>
      </c>
      <c r="O46" s="51">
        <f t="shared" ref="O46:P46" si="67">D46/7</f>
        <v>0</v>
      </c>
      <c r="P46" s="51">
        <f t="shared" si="67"/>
        <v>0</v>
      </c>
      <c r="Q46" s="51" t="e">
        <f t="shared" si="57"/>
        <v>#DIV/0!</v>
      </c>
      <c r="R46" s="55">
        <v>200</v>
      </c>
      <c r="S46" s="53" t="s">
        <v>34</v>
      </c>
      <c r="T46" s="54" t="s">
        <v>34</v>
      </c>
      <c r="U46" s="55">
        <v>0</v>
      </c>
      <c r="V46" s="55">
        <f t="shared" si="58"/>
        <v>0</v>
      </c>
      <c r="W46" s="55">
        <f t="shared" si="59"/>
        <v>0</v>
      </c>
      <c r="X46" s="55">
        <v>0</v>
      </c>
      <c r="Y46" s="55" t="e">
        <v>#N/A</v>
      </c>
      <c r="Z46" s="56" t="e">
        <f t="shared" si="65"/>
        <v>#N/A</v>
      </c>
      <c r="AA46" s="55" t="e">
        <v>#N/A</v>
      </c>
      <c r="AB46" s="55">
        <f t="shared" si="61"/>
        <v>0</v>
      </c>
      <c r="AC46" s="55">
        <v>0</v>
      </c>
      <c r="AD46" s="55">
        <v>-6.4803224358974303</v>
      </c>
      <c r="AE46" s="55">
        <v>0</v>
      </c>
      <c r="AF46" s="55" t="e">
        <v>#N/A</v>
      </c>
    </row>
    <row r="47" spans="1:32" s="57" customFormat="1" ht="15.75" customHeight="1">
      <c r="A47" s="2" t="s">
        <v>113</v>
      </c>
      <c r="B47" s="2"/>
      <c r="C47" s="51" t="str">
        <f t="shared" si="50"/>
        <v xml:space="preserve"> - </v>
      </c>
      <c r="D47" s="51">
        <v>0</v>
      </c>
      <c r="E47" s="51">
        <v>0</v>
      </c>
      <c r="F47" s="51">
        <v>0</v>
      </c>
      <c r="G47" s="51">
        <v>0</v>
      </c>
      <c r="H47" s="51" t="e">
        <f t="shared" si="51"/>
        <v>#DIV/0!</v>
      </c>
      <c r="I47" s="51" t="e">
        <f t="shared" si="52"/>
        <v>#DIV/0!</v>
      </c>
      <c r="J47" s="51">
        <f t="shared" si="53"/>
        <v>0</v>
      </c>
      <c r="K47" s="51" t="e">
        <f t="shared" si="54"/>
        <v>#DIV/0!</v>
      </c>
      <c r="L47" s="51">
        <v>0</v>
      </c>
      <c r="M47" s="51" t="str">
        <f t="shared" si="55"/>
        <v>-</v>
      </c>
      <c r="N47" s="51">
        <v>0</v>
      </c>
      <c r="O47" s="51">
        <f t="shared" ref="O47:P47" si="68">D47/7</f>
        <v>0</v>
      </c>
      <c r="P47" s="51">
        <f t="shared" si="68"/>
        <v>0</v>
      </c>
      <c r="Q47" s="51" t="e">
        <f t="shared" si="57"/>
        <v>#DIV/0!</v>
      </c>
      <c r="R47" s="55">
        <v>200</v>
      </c>
      <c r="S47" s="53" t="s">
        <v>34</v>
      </c>
      <c r="T47" s="54" t="s">
        <v>34</v>
      </c>
      <c r="U47" s="55">
        <v>0</v>
      </c>
      <c r="V47" s="55">
        <f t="shared" si="58"/>
        <v>0</v>
      </c>
      <c r="W47" s="55">
        <f t="shared" si="59"/>
        <v>0</v>
      </c>
      <c r="X47" s="55">
        <v>0</v>
      </c>
      <c r="Y47" s="55" t="e">
        <v>#N/A</v>
      </c>
      <c r="Z47" s="56" t="e">
        <f t="shared" si="65"/>
        <v>#N/A</v>
      </c>
      <c r="AA47" s="55" t="e">
        <v>#N/A</v>
      </c>
      <c r="AB47" s="55">
        <f t="shared" si="61"/>
        <v>0</v>
      </c>
      <c r="AC47" s="55">
        <v>0</v>
      </c>
      <c r="AD47" s="55">
        <v>-6.4803224358974303</v>
      </c>
      <c r="AE47" s="55">
        <v>0</v>
      </c>
      <c r="AF47" s="55" t="e">
        <v>#N/A</v>
      </c>
    </row>
    <row r="48" spans="1:32" s="57" customFormat="1" ht="15.75" customHeight="1">
      <c r="A48" s="2" t="s">
        <v>115</v>
      </c>
      <c r="B48" s="2"/>
      <c r="C48" s="51" t="str">
        <f t="shared" si="50"/>
        <v xml:space="preserve"> - </v>
      </c>
      <c r="D48" s="51">
        <v>0</v>
      </c>
      <c r="E48" s="51">
        <v>0</v>
      </c>
      <c r="F48" s="51">
        <v>0</v>
      </c>
      <c r="G48" s="51">
        <v>0</v>
      </c>
      <c r="H48" s="51" t="e">
        <f t="shared" si="51"/>
        <v>#DIV/0!</v>
      </c>
      <c r="I48" s="51" t="e">
        <f t="shared" si="52"/>
        <v>#DIV/0!</v>
      </c>
      <c r="J48" s="51">
        <f t="shared" si="53"/>
        <v>0</v>
      </c>
      <c r="K48" s="51" t="e">
        <f t="shared" si="54"/>
        <v>#DIV/0!</v>
      </c>
      <c r="L48" s="51">
        <v>0</v>
      </c>
      <c r="M48" s="51" t="str">
        <f t="shared" si="55"/>
        <v>-</v>
      </c>
      <c r="N48" s="51">
        <v>0</v>
      </c>
      <c r="O48" s="51">
        <f t="shared" ref="O48:P48" si="69">D48/7</f>
        <v>0</v>
      </c>
      <c r="P48" s="51">
        <f t="shared" si="69"/>
        <v>0</v>
      </c>
      <c r="Q48" s="51" t="e">
        <f t="shared" si="57"/>
        <v>#DIV/0!</v>
      </c>
      <c r="R48" s="55">
        <f ca="1">IFERROR(__xludf.DUMMYFUNCTION("IFERROR(VLOOKUP($B$2,IMPORTRANGE(""https://docs.google.com/spreadsheets/d/1iVgg6Mw12RULLujzHmfOFIY8Q_KaAD8anoZzgtVAQ74/edit#gid=1503384807"",""Second Star - Summary!A1:AD2000""),9,FALSE),"""")"),752)</f>
        <v>752</v>
      </c>
      <c r="S48" s="53">
        <f ca="1">IFERROR(__xludf.DUMMYFUNCTION("IFERROR(VLOOKUP($B$2,IMPORTRANGE(""https://docs.google.com/spreadsheets/d/1iVgg6Mw12RULLujzHmfOFIY8Q_KaAD8anoZzgtVAQ74/edit#gid=1503384807"",""Second Star - Summary!A1:AD2000""),28,FALSE),"""")"),120)</f>
        <v>120</v>
      </c>
      <c r="T48" s="54">
        <f ca="1">IFERROR(__xludf.DUMMYFUNCTION("IFERROR(VLOOKUP($B$2,IMPORTRANGE(""https://docs.google.com/spreadsheets/d/1iVgg6Mw12RULLujzHmfOFIY8Q_KaAD8anoZzgtVAQ74/edit#gid=1503384807"",""Second Star - Summary!A1:AD2000""),29,FALSE),"""")"),44339)</f>
        <v>44339</v>
      </c>
      <c r="U48" s="55">
        <v>0</v>
      </c>
      <c r="V48" s="55">
        <f t="shared" si="58"/>
        <v>0</v>
      </c>
      <c r="W48" s="55">
        <f t="shared" si="59"/>
        <v>0</v>
      </c>
      <c r="X48" s="55">
        <v>0</v>
      </c>
      <c r="Y48" s="55" t="e">
        <v>#N/A</v>
      </c>
      <c r="Z48" s="56" t="e">
        <f t="shared" si="65"/>
        <v>#N/A</v>
      </c>
      <c r="AA48" s="55" t="e">
        <v>#N/A</v>
      </c>
      <c r="AB48" s="55">
        <f t="shared" si="61"/>
        <v>0</v>
      </c>
      <c r="AC48" s="55">
        <v>0</v>
      </c>
      <c r="AD48" s="55">
        <v>-6.4803224358974303</v>
      </c>
      <c r="AE48" s="55">
        <v>0</v>
      </c>
      <c r="AF48" s="55" t="e">
        <v>#N/A</v>
      </c>
    </row>
    <row r="49" spans="1:32" s="57" customFormat="1" ht="15.75" customHeight="1">
      <c r="A49" s="2" t="s">
        <v>117</v>
      </c>
      <c r="B49" s="2"/>
      <c r="C49" s="51" t="str">
        <f t="shared" si="50"/>
        <v xml:space="preserve"> - </v>
      </c>
      <c r="D49" s="51">
        <v>0</v>
      </c>
      <c r="E49" s="51">
        <v>0</v>
      </c>
      <c r="F49" s="51">
        <v>0</v>
      </c>
      <c r="G49" s="51">
        <v>0</v>
      </c>
      <c r="H49" s="51" t="e">
        <f t="shared" si="51"/>
        <v>#DIV/0!</v>
      </c>
      <c r="I49" s="51" t="e">
        <f t="shared" si="52"/>
        <v>#DIV/0!</v>
      </c>
      <c r="J49" s="51">
        <f t="shared" ref="J49:J56" si="70">F49*0.85+G49+AD49*D49+D49*AC49+AE49+AB49</f>
        <v>0</v>
      </c>
      <c r="K49" s="51" t="e">
        <f t="shared" si="54"/>
        <v>#DIV/0!</v>
      </c>
      <c r="L49" s="51">
        <v>0</v>
      </c>
      <c r="M49" s="51" t="str">
        <f t="shared" si="55"/>
        <v>-</v>
      </c>
      <c r="N49" s="51">
        <v>0</v>
      </c>
      <c r="O49" s="51">
        <f t="shared" ref="O49:P49" si="71">D49/7</f>
        <v>0</v>
      </c>
      <c r="P49" s="51">
        <f t="shared" si="71"/>
        <v>0</v>
      </c>
      <c r="Q49" s="51" t="e">
        <f t="shared" si="57"/>
        <v>#DIV/0!</v>
      </c>
      <c r="R49" s="55">
        <f ca="1">IFERROR(__xludf.DUMMYFUNCTION("IFERROR(VLOOKUP($B$2,IMPORTRANGE(""https://docs.google.com/spreadsheets/d/1iVgg6Mw12RULLujzHmfOFIY8Q_KaAD8anoZzgtVAQ74/edit#gid=1503384807"",""Second Star - Summary!A1:AD2000""),9,FALSE),"""")"),752)</f>
        <v>752</v>
      </c>
      <c r="S49" s="53">
        <f ca="1">IFERROR(__xludf.DUMMYFUNCTION("IFERROR(VLOOKUP($B$2,IMPORTRANGE(""https://docs.google.com/spreadsheets/d/1iVgg6Mw12RULLujzHmfOFIY8Q_KaAD8anoZzgtVAQ74/edit#gid=1503384807"",""Second Star - Summary!A1:AD2000""),28,FALSE),"""")"),120)</f>
        <v>120</v>
      </c>
      <c r="T49" s="54">
        <f ca="1">IFERROR(__xludf.DUMMYFUNCTION("IFERROR(VLOOKUP($B$2,IMPORTRANGE(""https://docs.google.com/spreadsheets/d/1iVgg6Mw12RULLujzHmfOFIY8Q_KaAD8anoZzgtVAQ74/edit#gid=1503384807"",""Second Star - Summary!A1:AD2000""),29,FALSE),"""")"),44339)</f>
        <v>44339</v>
      </c>
      <c r="U49" s="55">
        <v>0</v>
      </c>
      <c r="V49" s="55">
        <f t="shared" si="58"/>
        <v>0</v>
      </c>
      <c r="W49" s="55">
        <f t="shared" si="59"/>
        <v>0</v>
      </c>
      <c r="X49" s="55">
        <v>0</v>
      </c>
      <c r="Y49" s="55" t="e">
        <v>#N/A</v>
      </c>
      <c r="Z49" s="56" t="e">
        <f t="shared" si="65"/>
        <v>#N/A</v>
      </c>
      <c r="AA49" s="55" t="e">
        <v>#N/A</v>
      </c>
      <c r="AB49" s="55">
        <f t="shared" si="61"/>
        <v>0</v>
      </c>
      <c r="AC49" s="55">
        <v>0</v>
      </c>
      <c r="AD49" s="55">
        <v>-6.4803224358974303</v>
      </c>
      <c r="AE49" s="55"/>
      <c r="AF49" s="55" t="e">
        <v>#N/A</v>
      </c>
    </row>
    <row r="50" spans="1:32" s="57" customFormat="1" ht="15.75" customHeight="1">
      <c r="A50" s="2" t="s">
        <v>119</v>
      </c>
      <c r="B50" s="2"/>
      <c r="C50" s="51" t="str">
        <f t="shared" si="50"/>
        <v xml:space="preserve"> - </v>
      </c>
      <c r="D50" s="51">
        <v>0</v>
      </c>
      <c r="E50" s="51">
        <v>0</v>
      </c>
      <c r="F50" s="51">
        <v>0</v>
      </c>
      <c r="G50" s="51">
        <v>0</v>
      </c>
      <c r="H50" s="51" t="e">
        <f t="shared" si="51"/>
        <v>#DIV/0!</v>
      </c>
      <c r="I50" s="51" t="e">
        <f t="shared" si="52"/>
        <v>#DIV/0!</v>
      </c>
      <c r="J50" s="51">
        <f t="shared" si="70"/>
        <v>0</v>
      </c>
      <c r="K50" s="51" t="e">
        <f t="shared" si="54"/>
        <v>#DIV/0!</v>
      </c>
      <c r="L50" s="51">
        <v>0</v>
      </c>
      <c r="M50" s="51" t="str">
        <f t="shared" si="55"/>
        <v>-</v>
      </c>
      <c r="N50" s="51">
        <v>0</v>
      </c>
      <c r="O50" s="51">
        <f t="shared" ref="O50:P50" si="72">D50/7</f>
        <v>0</v>
      </c>
      <c r="P50" s="51">
        <f t="shared" si="72"/>
        <v>0</v>
      </c>
      <c r="Q50" s="51" t="e">
        <f t="shared" si="57"/>
        <v>#DIV/0!</v>
      </c>
      <c r="R50" s="55">
        <f ca="1">IFERROR(__xludf.DUMMYFUNCTION("IFERROR(VLOOKUP($B$2,IMPORTRANGE(""https://docs.google.com/spreadsheets/d/1iVgg6Mw12RULLujzHmfOFIY8Q_KaAD8anoZzgtVAQ74/edit#gid=1503384807"",""Second Star - Summary!A1:AD2000""),9,FALSE),"""")"),752)</f>
        <v>752</v>
      </c>
      <c r="S50" s="53">
        <f ca="1">IFERROR(__xludf.DUMMYFUNCTION("IFERROR(VLOOKUP($B$2,IMPORTRANGE(""https://docs.google.com/spreadsheets/d/1iVgg6Mw12RULLujzHmfOFIY8Q_KaAD8anoZzgtVAQ74/edit#gid=1503384807"",""Second Star - Summary!A1:AD2000""),28,FALSE),"""")"),120)</f>
        <v>120</v>
      </c>
      <c r="T50" s="54">
        <f ca="1">IFERROR(__xludf.DUMMYFUNCTION("IFERROR(VLOOKUP($B$2,IMPORTRANGE(""https://docs.google.com/spreadsheets/d/1iVgg6Mw12RULLujzHmfOFIY8Q_KaAD8anoZzgtVAQ74/edit#gid=1503384807"",""Second Star - Summary!A1:AD2000""),29,FALSE),"""")"),44339)</f>
        <v>44339</v>
      </c>
      <c r="U50" s="55">
        <v>0</v>
      </c>
      <c r="V50" s="55">
        <f t="shared" si="58"/>
        <v>0</v>
      </c>
      <c r="W50" s="55">
        <f t="shared" si="59"/>
        <v>0</v>
      </c>
      <c r="X50" s="55">
        <v>0</v>
      </c>
      <c r="Y50" s="55" t="e">
        <v>#N/A</v>
      </c>
      <c r="Z50" s="56" t="e">
        <f t="shared" si="65"/>
        <v>#N/A</v>
      </c>
      <c r="AA50" s="55" t="e">
        <v>#N/A</v>
      </c>
      <c r="AB50" s="55">
        <f t="shared" si="61"/>
        <v>0</v>
      </c>
      <c r="AC50" s="55">
        <v>0</v>
      </c>
      <c r="AD50" s="55">
        <v>-6.4803224358974303</v>
      </c>
      <c r="AE50" s="55">
        <v>0</v>
      </c>
      <c r="AF50" s="55" t="e">
        <v>#N/A</v>
      </c>
    </row>
    <row r="51" spans="1:32" s="57" customFormat="1" ht="15.75" customHeight="1">
      <c r="A51" s="2" t="s">
        <v>121</v>
      </c>
      <c r="B51" s="2"/>
      <c r="C51" s="51" t="str">
        <f t="shared" si="50"/>
        <v xml:space="preserve"> - </v>
      </c>
      <c r="D51" s="51">
        <v>0</v>
      </c>
      <c r="E51" s="51">
        <v>0</v>
      </c>
      <c r="F51" s="51">
        <v>0</v>
      </c>
      <c r="G51" s="51">
        <v>0</v>
      </c>
      <c r="H51" s="51" t="e">
        <f t="shared" si="51"/>
        <v>#DIV/0!</v>
      </c>
      <c r="I51" s="51" t="e">
        <f t="shared" si="52"/>
        <v>#DIV/0!</v>
      </c>
      <c r="J51" s="51">
        <f t="shared" si="70"/>
        <v>0</v>
      </c>
      <c r="K51" s="51" t="e">
        <f t="shared" si="54"/>
        <v>#DIV/0!</v>
      </c>
      <c r="L51" s="51">
        <v>0</v>
      </c>
      <c r="M51" s="51" t="str">
        <f t="shared" si="55"/>
        <v>-</v>
      </c>
      <c r="N51" s="51">
        <v>1</v>
      </c>
      <c r="O51" s="51">
        <f t="shared" ref="O51:P51" si="73">D51/7</f>
        <v>0</v>
      </c>
      <c r="P51" s="51">
        <f t="shared" si="73"/>
        <v>0</v>
      </c>
      <c r="Q51" s="51" t="e">
        <f t="shared" si="57"/>
        <v>#DIV/0!</v>
      </c>
      <c r="R51" s="55">
        <f ca="1">IFERROR(__xludf.DUMMYFUNCTION("IFERROR(VLOOKUP($B$2,IMPORTRANGE(""https://docs.google.com/spreadsheets/d/1iVgg6Mw12RULLujzHmfOFIY8Q_KaAD8anoZzgtVAQ74/edit#gid=1503384807"",""Second Star - Summary!A1:AD2000""),9,FALSE),"""")"),752)</f>
        <v>752</v>
      </c>
      <c r="S51" s="53">
        <f ca="1">IFERROR(__xludf.DUMMYFUNCTION("IFERROR(VLOOKUP($B$2,IMPORTRANGE(""https://docs.google.com/spreadsheets/d/1iVgg6Mw12RULLujzHmfOFIY8Q_KaAD8anoZzgtVAQ74/edit#gid=1503384807"",""Second Star - Summary!A1:AD2000""),28,FALSE),"""")"),120)</f>
        <v>120</v>
      </c>
      <c r="T51" s="54">
        <f ca="1">IFERROR(__xludf.DUMMYFUNCTION("IFERROR(VLOOKUP($B$2,IMPORTRANGE(""https://docs.google.com/spreadsheets/d/1iVgg6Mw12RULLujzHmfOFIY8Q_KaAD8anoZzgtVAQ74/edit#gid=1503384807"",""Second Star - Summary!A1:AD2000""),29,FALSE),"""")"),44339)</f>
        <v>44339</v>
      </c>
      <c r="U51" s="55">
        <v>0</v>
      </c>
      <c r="V51" s="55">
        <f t="shared" si="58"/>
        <v>0</v>
      </c>
      <c r="W51" s="55">
        <f t="shared" si="59"/>
        <v>0</v>
      </c>
      <c r="X51" s="55">
        <v>0</v>
      </c>
      <c r="Y51" s="55" t="s">
        <v>35</v>
      </c>
      <c r="Z51" s="56">
        <f t="shared" si="65"/>
        <v>-2.4</v>
      </c>
      <c r="AA51" s="55">
        <v>0.25373359374999999</v>
      </c>
      <c r="AB51" s="55">
        <f t="shared" si="61"/>
        <v>0</v>
      </c>
      <c r="AC51" s="55">
        <v>-7.32</v>
      </c>
      <c r="AD51" s="55">
        <v>-6.4803224358974303</v>
      </c>
      <c r="AE51" s="55">
        <v>0</v>
      </c>
      <c r="AF51" s="55" t="e">
        <v>#N/A</v>
      </c>
    </row>
    <row r="52" spans="1:32" s="57" customFormat="1" ht="15.75" customHeight="1">
      <c r="A52" s="2" t="s">
        <v>123</v>
      </c>
      <c r="B52" s="2"/>
      <c r="C52" s="51" t="str">
        <f t="shared" si="50"/>
        <v xml:space="preserve"> - </v>
      </c>
      <c r="D52" s="51">
        <v>0</v>
      </c>
      <c r="E52" s="51">
        <v>0</v>
      </c>
      <c r="F52" s="51">
        <v>0</v>
      </c>
      <c r="G52" s="51">
        <v>-0.08</v>
      </c>
      <c r="H52" s="51" t="e">
        <f t="shared" si="51"/>
        <v>#DIV/0!</v>
      </c>
      <c r="I52" s="51" t="e">
        <f t="shared" si="52"/>
        <v>#DIV/0!</v>
      </c>
      <c r="J52" s="51">
        <f t="shared" si="70"/>
        <v>-0.08</v>
      </c>
      <c r="K52" s="51" t="e">
        <f t="shared" si="54"/>
        <v>#DIV/0!</v>
      </c>
      <c r="L52" s="51">
        <v>0</v>
      </c>
      <c r="M52" s="51" t="str">
        <f t="shared" si="55"/>
        <v>-</v>
      </c>
      <c r="N52" s="51">
        <v>1</v>
      </c>
      <c r="O52" s="51">
        <f t="shared" ref="O52:P52" si="74">D52/7</f>
        <v>0</v>
      </c>
      <c r="P52" s="51">
        <f t="shared" si="74"/>
        <v>0</v>
      </c>
      <c r="Q52" s="51" t="e">
        <f t="shared" si="57"/>
        <v>#DIV/0!</v>
      </c>
      <c r="R52" s="55">
        <f ca="1">IFERROR(__xludf.DUMMYFUNCTION("IFERROR(VLOOKUP($B$2,IMPORTRANGE(""https://docs.google.com/spreadsheets/d/1iVgg6Mw12RULLujzHmfOFIY8Q_KaAD8anoZzgtVAQ74/edit#gid=1503384807"",""Second Star - Summary!A1:AD2000""),9,FALSE),"""")"),752)</f>
        <v>752</v>
      </c>
      <c r="S52" s="53">
        <f ca="1">IFERROR(__xludf.DUMMYFUNCTION("IFERROR(VLOOKUP($B$2,IMPORTRANGE(""https://docs.google.com/spreadsheets/d/1iVgg6Mw12RULLujzHmfOFIY8Q_KaAD8anoZzgtVAQ74/edit#gid=1503384807"",""Second Star - Summary!A1:AD2000""),28,FALSE),"""")"),120)</f>
        <v>120</v>
      </c>
      <c r="T52" s="54">
        <f ca="1">IFERROR(__xludf.DUMMYFUNCTION("IFERROR(VLOOKUP($B$2,IMPORTRANGE(""https://docs.google.com/spreadsheets/d/1iVgg6Mw12RULLujzHmfOFIY8Q_KaAD8anoZzgtVAQ74/edit#gid=1503384807"",""Second Star - Summary!A1:AD2000""),29,FALSE),"""")"),44339)</f>
        <v>44339</v>
      </c>
      <c r="U52" s="55">
        <v>0</v>
      </c>
      <c r="V52" s="55">
        <f t="shared" si="58"/>
        <v>0</v>
      </c>
      <c r="W52" s="55">
        <f t="shared" si="59"/>
        <v>0</v>
      </c>
      <c r="X52" s="55">
        <v>0</v>
      </c>
      <c r="Y52" s="55" t="s">
        <v>35</v>
      </c>
      <c r="Z52" s="56">
        <f t="shared" si="65"/>
        <v>-2.4</v>
      </c>
      <c r="AA52" s="55">
        <v>0.25373359374999999</v>
      </c>
      <c r="AB52" s="55">
        <f t="shared" si="61"/>
        <v>0</v>
      </c>
      <c r="AC52" s="55">
        <v>-7.32</v>
      </c>
      <c r="AD52" s="55">
        <v>-6.4803224358974303</v>
      </c>
      <c r="AE52" s="55">
        <v>0</v>
      </c>
      <c r="AF52" s="55">
        <v>2</v>
      </c>
    </row>
    <row r="53" spans="1:32" s="57" customFormat="1">
      <c r="A53" s="2" t="s">
        <v>38</v>
      </c>
      <c r="B53" s="2"/>
      <c r="C53" s="51" t="str">
        <f t="shared" si="50"/>
        <v xml:space="preserve"> - </v>
      </c>
      <c r="D53" s="51">
        <v>0</v>
      </c>
      <c r="E53" s="51">
        <v>0</v>
      </c>
      <c r="F53" s="51">
        <v>0</v>
      </c>
      <c r="G53" s="51">
        <v>-0.08</v>
      </c>
      <c r="H53" s="51" t="e">
        <f t="shared" si="51"/>
        <v>#DIV/0!</v>
      </c>
      <c r="I53" s="51" t="e">
        <f t="shared" si="52"/>
        <v>#DIV/0!</v>
      </c>
      <c r="J53" s="51">
        <f t="shared" si="70"/>
        <v>-0.08</v>
      </c>
      <c r="K53" s="51" t="e">
        <f t="shared" si="54"/>
        <v>#DIV/0!</v>
      </c>
      <c r="L53" s="51">
        <v>0</v>
      </c>
      <c r="M53" s="51" t="str">
        <f t="shared" si="55"/>
        <v>-</v>
      </c>
      <c r="N53" s="51">
        <v>1</v>
      </c>
      <c r="O53" s="51">
        <f t="shared" ref="O53:P53" si="75">D53/7</f>
        <v>0</v>
      </c>
      <c r="P53" s="51">
        <f t="shared" si="75"/>
        <v>0</v>
      </c>
      <c r="Q53" s="51" t="e">
        <f t="shared" si="57"/>
        <v>#DIV/0!</v>
      </c>
      <c r="R53" s="55">
        <f ca="1">IFERROR(__xludf.DUMMYFUNCTION("IFERROR(VLOOKUP($B$2,IMPORTRANGE(""https://docs.google.com/spreadsheets/d/1iVgg6Mw12RULLujzHmfOFIY8Q_KaAD8anoZzgtVAQ74/edit#gid=1503384807"",""Second Star - Summary!A1:AD2000""),9,FALSE),"""")"),752)</f>
        <v>752</v>
      </c>
      <c r="S53" s="53">
        <f ca="1">IFERROR(__xludf.DUMMYFUNCTION("IFERROR(VLOOKUP($B$2,IMPORTRANGE(""https://docs.google.com/spreadsheets/d/1iVgg6Mw12RULLujzHmfOFIY8Q_KaAD8anoZzgtVAQ74/edit#gid=1503384807"",""Second Star - Summary!A1:AD2000""),28,FALSE),"""")"),120)</f>
        <v>120</v>
      </c>
      <c r="T53" s="54">
        <f ca="1">IFERROR(__xludf.DUMMYFUNCTION("IFERROR(VLOOKUP($B$2,IMPORTRANGE(""https://docs.google.com/spreadsheets/d/1iVgg6Mw12RULLujzHmfOFIY8Q_KaAD8anoZzgtVAQ74/edit#gid=1503384807"",""Second Star - Summary!A1:AD2000""),29,FALSE),"""")"),44339)</f>
        <v>44339</v>
      </c>
      <c r="U53" s="55">
        <v>0</v>
      </c>
      <c r="V53" s="55">
        <f t="shared" si="58"/>
        <v>0</v>
      </c>
      <c r="W53" s="55">
        <f t="shared" si="59"/>
        <v>0</v>
      </c>
      <c r="X53" s="55">
        <v>0</v>
      </c>
      <c r="Y53" s="55" t="s">
        <v>35</v>
      </c>
      <c r="Z53" s="56">
        <f t="shared" si="65"/>
        <v>-2.4</v>
      </c>
      <c r="AA53" s="55">
        <v>0.25373359374999999</v>
      </c>
      <c r="AB53" s="55">
        <f t="shared" si="61"/>
        <v>0</v>
      </c>
      <c r="AC53" s="55">
        <v>-7.32</v>
      </c>
      <c r="AD53" s="55">
        <v>-6.4803224358974303</v>
      </c>
      <c r="AE53" s="55">
        <v>0</v>
      </c>
      <c r="AF53" s="55">
        <v>0</v>
      </c>
    </row>
    <row r="54" spans="1:32" s="57" customFormat="1">
      <c r="A54" s="2" t="s">
        <v>40</v>
      </c>
      <c r="B54" s="2"/>
      <c r="C54" s="51">
        <f t="shared" si="50"/>
        <v>23.55</v>
      </c>
      <c r="D54" s="51">
        <v>1</v>
      </c>
      <c r="E54" s="51">
        <v>0</v>
      </c>
      <c r="F54" s="51">
        <v>23.55</v>
      </c>
      <c r="G54" s="51">
        <v>0</v>
      </c>
      <c r="H54" s="51">
        <f t="shared" si="51"/>
        <v>0</v>
      </c>
      <c r="I54" s="51">
        <f t="shared" si="52"/>
        <v>0.5748270727856718</v>
      </c>
      <c r="J54" s="51">
        <f t="shared" si="70"/>
        <v>13.537177564102571</v>
      </c>
      <c r="K54" s="51">
        <f t="shared" si="54"/>
        <v>13.537177564102571</v>
      </c>
      <c r="L54" s="51">
        <v>2</v>
      </c>
      <c r="M54" s="51">
        <f t="shared" si="55"/>
        <v>0.5</v>
      </c>
      <c r="N54" s="51">
        <v>0</v>
      </c>
      <c r="O54" s="51">
        <f t="shared" ref="O54:P54" si="76">D54/7</f>
        <v>0.14285714285714285</v>
      </c>
      <c r="P54" s="51">
        <f t="shared" si="76"/>
        <v>0</v>
      </c>
      <c r="Q54" s="51">
        <f t="shared" si="57"/>
        <v>0</v>
      </c>
      <c r="R54" s="55">
        <f ca="1">IFERROR(__xludf.DUMMYFUNCTION("IFERROR(VLOOKUP($B$2,IMPORTRANGE(""https://docs.google.com/spreadsheets/d/1iVgg6Mw12RULLujzHmfOFIY8Q_KaAD8anoZzgtVAQ74/edit#gid=1503384807"",""Second Star - Summary!A1:AD2000""),9,FALSE),"""")"),752)</f>
        <v>752</v>
      </c>
      <c r="S54" s="53">
        <f ca="1">IFERROR(__xludf.DUMMYFUNCTION("IFERROR(VLOOKUP($B$2,IMPORTRANGE(""https://docs.google.com/spreadsheets/d/1iVgg6Mw12RULLujzHmfOFIY8Q_KaAD8anoZzgtVAQ74/edit#gid=1503384807"",""Second Star - Summary!A1:AD2000""),28,FALSE),"""")"),120)</f>
        <v>120</v>
      </c>
      <c r="T54" s="54">
        <f ca="1">IFERROR(__xludf.DUMMYFUNCTION("IFERROR(VLOOKUP($B$2,IMPORTRANGE(""https://docs.google.com/spreadsheets/d/1iVgg6Mw12RULLujzHmfOFIY8Q_KaAD8anoZzgtVAQ74/edit#gid=1503384807"",""Second Star - Summary!A1:AD2000""),29,FALSE),"""")"),44339)</f>
        <v>44339</v>
      </c>
      <c r="U54" s="55">
        <v>0</v>
      </c>
      <c r="V54" s="55">
        <f t="shared" si="58"/>
        <v>0</v>
      </c>
      <c r="W54" s="55">
        <f t="shared" si="59"/>
        <v>0</v>
      </c>
      <c r="X54" s="55">
        <v>0</v>
      </c>
      <c r="Y54" s="55" t="e">
        <v>#N/A</v>
      </c>
      <c r="Z54" s="56" t="e">
        <f t="shared" si="65"/>
        <v>#N/A</v>
      </c>
      <c r="AA54" s="55" t="e">
        <v>#N/A</v>
      </c>
      <c r="AB54" s="55">
        <f t="shared" si="61"/>
        <v>0</v>
      </c>
      <c r="AC54" s="55">
        <v>0</v>
      </c>
      <c r="AD54" s="55">
        <v>-6.4803224358974303</v>
      </c>
      <c r="AE54" s="55">
        <v>0</v>
      </c>
      <c r="AF54" s="55">
        <v>0</v>
      </c>
    </row>
    <row r="55" spans="1:32" s="57" customFormat="1" ht="15.75" customHeight="1">
      <c r="A55" s="2" t="s">
        <v>32</v>
      </c>
      <c r="B55" s="2"/>
      <c r="C55" s="51" t="str">
        <f t="shared" si="50"/>
        <v xml:space="preserve"> - </v>
      </c>
      <c r="D55" s="51">
        <v>0</v>
      </c>
      <c r="E55" s="51">
        <v>0</v>
      </c>
      <c r="F55" s="51">
        <v>0</v>
      </c>
      <c r="G55" s="51">
        <v>0</v>
      </c>
      <c r="H55" s="51" t="e">
        <f t="shared" si="51"/>
        <v>#DIV/0!</v>
      </c>
      <c r="I55" s="51" t="e">
        <f t="shared" si="52"/>
        <v>#DIV/0!</v>
      </c>
      <c r="J55" s="51">
        <f t="shared" si="70"/>
        <v>0</v>
      </c>
      <c r="K55" s="51" t="e">
        <f t="shared" si="54"/>
        <v>#DIV/0!</v>
      </c>
      <c r="L55" s="51">
        <v>0</v>
      </c>
      <c r="M55" s="51" t="str">
        <f t="shared" si="55"/>
        <v>-</v>
      </c>
      <c r="N55" s="51">
        <v>0</v>
      </c>
      <c r="O55" s="51">
        <f t="shared" ref="O55:P55" si="77">D55/7</f>
        <v>0</v>
      </c>
      <c r="P55" s="51">
        <f t="shared" si="77"/>
        <v>0</v>
      </c>
      <c r="Q55" s="51" t="e">
        <f t="shared" si="57"/>
        <v>#DIV/0!</v>
      </c>
      <c r="R55" s="55">
        <v>320</v>
      </c>
      <c r="S55" s="53" t="s">
        <v>34</v>
      </c>
      <c r="T55" s="54" t="s">
        <v>34</v>
      </c>
      <c r="U55" s="55">
        <v>0</v>
      </c>
      <c r="V55" s="55">
        <f t="shared" si="58"/>
        <v>0</v>
      </c>
      <c r="W55" s="55">
        <f t="shared" si="59"/>
        <v>0</v>
      </c>
      <c r="X55" s="55">
        <v>0</v>
      </c>
      <c r="Y55" s="55" t="e">
        <v>#N/A</v>
      </c>
      <c r="Z55" s="56" t="e">
        <f t="shared" si="65"/>
        <v>#N/A</v>
      </c>
      <c r="AA55" s="55" t="e">
        <v>#N/A</v>
      </c>
      <c r="AB55" s="55">
        <f t="shared" si="61"/>
        <v>0</v>
      </c>
      <c r="AC55" s="55">
        <v>0</v>
      </c>
      <c r="AD55" s="55">
        <v>-6.4803224358974303</v>
      </c>
      <c r="AE55" s="55">
        <v>0</v>
      </c>
      <c r="AF55" s="55" t="e">
        <v>#N/A</v>
      </c>
    </row>
    <row r="56" spans="1:32" s="57" customFormat="1" ht="15.75" customHeight="1">
      <c r="A56" s="2" t="s">
        <v>36</v>
      </c>
      <c r="B56" s="2"/>
      <c r="C56" s="51" t="str">
        <f t="shared" si="50"/>
        <v xml:space="preserve"> - </v>
      </c>
      <c r="D56" s="51">
        <v>0</v>
      </c>
      <c r="E56" s="51">
        <v>0</v>
      </c>
      <c r="F56" s="51">
        <v>0</v>
      </c>
      <c r="G56" s="51">
        <v>0</v>
      </c>
      <c r="H56" s="51" t="e">
        <f t="shared" si="51"/>
        <v>#DIV/0!</v>
      </c>
      <c r="I56" s="51" t="e">
        <f t="shared" si="52"/>
        <v>#DIV/0!</v>
      </c>
      <c r="J56" s="51">
        <f t="shared" si="70"/>
        <v>0</v>
      </c>
      <c r="K56" s="51" t="e">
        <f t="shared" si="54"/>
        <v>#DIV/0!</v>
      </c>
      <c r="L56" s="51">
        <v>0</v>
      </c>
      <c r="M56" s="51" t="str">
        <f t="shared" si="55"/>
        <v>-</v>
      </c>
      <c r="N56" s="51">
        <v>0</v>
      </c>
      <c r="O56" s="51">
        <f t="shared" ref="O56:P56" si="78">D56/7</f>
        <v>0</v>
      </c>
      <c r="P56" s="51">
        <f t="shared" si="78"/>
        <v>0</v>
      </c>
      <c r="Q56" s="51" t="e">
        <f t="shared" si="57"/>
        <v>#DIV/0!</v>
      </c>
      <c r="R56" s="55">
        <f ca="1">IFERROR(__xludf.DUMMYFUNCTION("IFERROR(VLOOKUP($B$2,IMPORTRANGE(""https://docs.google.com/spreadsheets/d/1iVgg6Mw12RULLujzHmfOFIY8Q_KaAD8anoZzgtVAQ74/edit#gid=1503384807"",""Second Star - Summary!A1:AD2000""),9,FALSE),"""")"),752)</f>
        <v>752</v>
      </c>
      <c r="S56" s="53">
        <f ca="1">IFERROR(__xludf.DUMMYFUNCTION("IFERROR(VLOOKUP($B$2,IMPORTRANGE(""https://docs.google.com/spreadsheets/d/1iVgg6Mw12RULLujzHmfOFIY8Q_KaAD8anoZzgtVAQ74/edit#gid=1503384807"",""Second Star - Summary!A1:AD2000""),28,FALSE),"""")"),120)</f>
        <v>120</v>
      </c>
      <c r="T56" s="54">
        <f ca="1">IFERROR(__xludf.DUMMYFUNCTION("IFERROR(VLOOKUP($B$2,IMPORTRANGE(""https://docs.google.com/spreadsheets/d/1iVgg6Mw12RULLujzHmfOFIY8Q_KaAD8anoZzgtVAQ74/edit#gid=1503384807"",""Second Star - Summary!A1:AD2000""),29,FALSE),"""")"),44339)</f>
        <v>44339</v>
      </c>
      <c r="U56" s="55">
        <v>0</v>
      </c>
      <c r="V56" s="55">
        <f t="shared" si="58"/>
        <v>0</v>
      </c>
      <c r="W56" s="55">
        <f t="shared" si="59"/>
        <v>0</v>
      </c>
      <c r="X56" s="55">
        <v>0</v>
      </c>
      <c r="Y56" s="55" t="e">
        <v>#N/A</v>
      </c>
      <c r="Z56" s="56" t="e">
        <f t="shared" si="65"/>
        <v>#N/A</v>
      </c>
      <c r="AA56" s="55" t="e">
        <v>#N/A</v>
      </c>
      <c r="AB56" s="55">
        <f t="shared" si="61"/>
        <v>0</v>
      </c>
      <c r="AC56" s="55">
        <v>0</v>
      </c>
      <c r="AD56" s="55">
        <v>-6.4803224358974303</v>
      </c>
      <c r="AE56" s="55">
        <v>0</v>
      </c>
      <c r="AF56" s="55" t="e">
        <v>#N/A</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89" priority="1" operator="lessThan">
      <formula>100</formula>
    </cfRule>
  </conditionalFormatting>
  <conditionalFormatting sqref="Q1:Q3 Q57:Q1000">
    <cfRule type="cellIs" dxfId="88" priority="2" operator="lessThan">
      <formula>100</formula>
    </cfRule>
  </conditionalFormatting>
  <conditionalFormatting sqref="I1:I3 I57:I1000">
    <cfRule type="cellIs" dxfId="87" priority="3" operator="lessThan">
      <formula>0.05</formula>
    </cfRule>
  </conditionalFormatting>
  <conditionalFormatting sqref="I4:I17">
    <cfRule type="cellIs" dxfId="86" priority="4" operator="lessThan">
      <formula>0.05</formula>
    </cfRule>
  </conditionalFormatting>
  <conditionalFormatting sqref="I18:I56">
    <cfRule type="cellIs" dxfId="85" priority="5" operator="lessThan">
      <formula>0.05</formula>
    </cfRule>
  </conditionalFormatting>
  <conditionalFormatting sqref="Q4:Q56">
    <cfRule type="cellIs" dxfId="84" priority="6" operator="lessThan">
      <formula>100</formula>
    </cfRule>
  </conditionalFormatting>
  <conditionalFormatting sqref="Q4:Q56">
    <cfRule type="cellIs" dxfId="83" priority="7" operator="lessThan">
      <formula>100</formula>
    </cfRule>
  </conditionalFormatting>
  <pageMargins left="0.7" right="0.7" top="0.75" bottom="0.75" header="0" footer="0"/>
  <pageSetup orientation="portrait"/>
  <legacyDrawing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8.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Info!B1:BJ5000""),4,FALSE),"""")"),"Corn Filled Cornhole Bean Bags - Set of 8 Bags for Corn Hole Toss Game - Regulation Size &amp; Weight - 4 Red and 4 Blue")</f>
        <v>Corn Filled Cornhole Bean Bags - Set of 8 Bags for Corn Hole Toss Game - Regulation Size &amp; Weight - 4 Red and 4 Blue</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Info!B1:BJ5000""),3,FALSE),"""")"),"B07VPRFZRZ")</f>
        <v>B07VPRFZRZ</v>
      </c>
      <c r="B2" s="4" t="s">
        <v>1133</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7.6239087481146237</v>
      </c>
      <c r="D3" s="8">
        <f>SUM(D4:D99819)</f>
        <v>219</v>
      </c>
      <c r="E3" s="8"/>
      <c r="F3" s="9">
        <f t="shared" ref="F3:G3" si="0">SUM(F4:F99819)</f>
        <v>4079.9399999999996</v>
      </c>
      <c r="G3" s="9">
        <f t="shared" si="0"/>
        <v>-172.89000000000001</v>
      </c>
      <c r="H3" s="10">
        <f t="shared" ref="H3:H39" si="1">G3/F3*-1</f>
        <v>4.2375623170928994E-2</v>
      </c>
      <c r="I3" s="11">
        <f t="shared" ref="I3:I39" si="2">J3/F3</f>
        <v>6.5495001937559777E-2</v>
      </c>
      <c r="J3" s="9">
        <f>SUM(J4:J99819)</f>
        <v>267.21567820512763</v>
      </c>
      <c r="K3" s="9">
        <f t="shared" ref="K3:K39" si="3">J3/D3</f>
        <v>1.220162914178665</v>
      </c>
      <c r="L3" s="8"/>
      <c r="M3" s="12"/>
      <c r="N3" s="13"/>
      <c r="O3" s="8" t="str">
        <f ca="1">IFERROR(__xludf.DUMMYFUNCTION("IFERROR(VLOOKUP(B2,IMPORTRANGE(""https://docs.google.com/spreadsheets/d/1owCo6kL_VFQ5nPTdNogErmCBLjNiktT1m3SzTrxu3R0/edit#gid=2146806407"",""Second Star - Compiled!b1:g5000""),2,FALSE),"""")"),"1 - March
1 - April
1 - May
1 - Jun
1 - Jul
1 - Aug
1 - Sept
1 - Oct
1 - Nov
1 - Dec
1 - Jan
1 - Feb")</f>
        <v>1 - March
1 - April
1 - May
1 - Jun
1 - Jul
1 - Aug
1 - Sept
1 - Oct
1 - Nov
1 - Dec
1 - Jan
1 - Feb</v>
      </c>
      <c r="P3" s="8"/>
      <c r="Q3" s="14"/>
      <c r="R3" s="13"/>
      <c r="S3" s="13"/>
      <c r="T3" s="13"/>
      <c r="U3" s="8">
        <f>SUM(U4:U99819)</f>
        <v>16</v>
      </c>
      <c r="V3" s="10">
        <f>AVERAGE(V4:V99819)</f>
        <v>4.6242138364779882E-2</v>
      </c>
      <c r="W3" s="9">
        <f>ROUND(AVERAGE(W4:W99819),2)</f>
        <v>1.46</v>
      </c>
      <c r="X3" s="8"/>
      <c r="Y3" s="8"/>
      <c r="Z3" s="8"/>
      <c r="AA3" s="8"/>
      <c r="AB3" s="8"/>
      <c r="AC3" s="15"/>
      <c r="AD3" s="9"/>
      <c r="AE3" s="9">
        <f>SUM(AE4:AE99819)</f>
        <v>0</v>
      </c>
      <c r="AF3" s="16"/>
    </row>
    <row r="4" spans="1:32" s="57" customFormat="1">
      <c r="A4" s="17" t="s">
        <v>48</v>
      </c>
      <c r="B4" s="2" t="s">
        <v>1134</v>
      </c>
      <c r="C4" s="50">
        <v>16.989999999999998</v>
      </c>
      <c r="D4" s="51">
        <v>2</v>
      </c>
      <c r="E4" s="51">
        <v>0</v>
      </c>
      <c r="F4" s="51">
        <v>33.979999999999997</v>
      </c>
      <c r="G4" s="51">
        <v>0</v>
      </c>
      <c r="H4" s="51">
        <f t="shared" si="1"/>
        <v>0</v>
      </c>
      <c r="I4" s="51">
        <f t="shared" si="2"/>
        <v>3.1503240971310305E-2</v>
      </c>
      <c r="J4" s="51">
        <f t="shared" ref="J4:J38" si="4">F4*0.85+G4+AD4*D4+D4*AC4+AE4+AB4</f>
        <v>1.0704801282051242</v>
      </c>
      <c r="K4" s="51">
        <f t="shared" si="3"/>
        <v>0.53524006410256209</v>
      </c>
      <c r="L4" s="51">
        <v>6</v>
      </c>
      <c r="M4" s="51">
        <f t="shared" ref="M4:M39" si="5">IFERROR(D4/L4,"-")</f>
        <v>0.33333333333333331</v>
      </c>
      <c r="N4" s="51">
        <v>222</v>
      </c>
      <c r="O4" s="51">
        <f t="shared" ref="O4:P4" si="6">D4/7</f>
        <v>0.2857142857142857</v>
      </c>
      <c r="P4" s="51">
        <f t="shared" si="6"/>
        <v>0</v>
      </c>
      <c r="Q4" s="51">
        <f t="shared" ref="Q4:Q39" si="7">ROUNDDOWN(N4/(O4+P4),0)</f>
        <v>777</v>
      </c>
      <c r="R4" s="52">
        <v>200</v>
      </c>
      <c r="S4" s="53" t="s">
        <v>34</v>
      </c>
      <c r="T4" s="54" t="s">
        <v>34</v>
      </c>
      <c r="U4" s="52">
        <v>0</v>
      </c>
      <c r="V4" s="55">
        <f t="shared" ref="V4:V39" si="8">IFERROR(U4/D4,0)</f>
        <v>0</v>
      </c>
      <c r="W4" s="55">
        <f t="shared" ref="W4:W39" si="9">IFERROR(G4/(U4+X4)*-1,0)</f>
        <v>0</v>
      </c>
      <c r="X4" s="52">
        <v>0</v>
      </c>
      <c r="Y4" s="56" t="s">
        <v>35</v>
      </c>
      <c r="Z4" s="56">
        <f t="shared" ref="Z4:Z10" si="10">IF(OR(Y4="UsLargeStandardSize",Y4="UsSmallStandardSize"),-0.69,-0.48)</f>
        <v>-0.69</v>
      </c>
      <c r="AA4" s="55">
        <v>1.3888888888888888E-2</v>
      </c>
      <c r="AB4" s="55">
        <f t="shared" ref="AB4:AB17" si="11">IFERROR((Z4*AA4*N4)/4,0)</f>
        <v>-0.53187499999999999</v>
      </c>
      <c r="AC4" s="55">
        <v>-7.16</v>
      </c>
      <c r="AD4" s="55">
        <v>-6.4803224358974356</v>
      </c>
      <c r="AE4" s="55">
        <v>0</v>
      </c>
      <c r="AF4" s="55"/>
    </row>
    <row r="5" spans="1:32" s="57" customFormat="1" ht="15.75" customHeight="1">
      <c r="A5" s="2" t="s">
        <v>49</v>
      </c>
      <c r="B5" s="2" t="s">
        <v>1135</v>
      </c>
      <c r="C5" s="51">
        <v>16.989999999999998</v>
      </c>
      <c r="D5" s="51">
        <v>8</v>
      </c>
      <c r="E5" s="51">
        <v>0</v>
      </c>
      <c r="F5" s="51">
        <v>135.91999999999999</v>
      </c>
      <c r="G5" s="51">
        <v>-2.25</v>
      </c>
      <c r="H5" s="51">
        <f t="shared" si="1"/>
        <v>1.6553855208946439E-2</v>
      </c>
      <c r="I5" s="51">
        <f t="shared" si="2"/>
        <v>2.6794588822987762E-2</v>
      </c>
      <c r="J5" s="51">
        <f t="shared" si="4"/>
        <v>3.6419205128204961</v>
      </c>
      <c r="K5" s="51">
        <f t="shared" si="3"/>
        <v>0.45524006410256201</v>
      </c>
      <c r="L5" s="51">
        <v>14</v>
      </c>
      <c r="M5" s="51">
        <f t="shared" si="5"/>
        <v>0.5714285714285714</v>
      </c>
      <c r="N5" s="51">
        <v>216</v>
      </c>
      <c r="O5" s="51">
        <f t="shared" ref="O5:P5" si="12">D5/7</f>
        <v>1.1428571428571428</v>
      </c>
      <c r="P5" s="51">
        <f t="shared" si="12"/>
        <v>0</v>
      </c>
      <c r="Q5" s="51">
        <f t="shared" si="7"/>
        <v>189</v>
      </c>
      <c r="R5" s="55">
        <v>200</v>
      </c>
      <c r="S5" s="53" t="s">
        <v>34</v>
      </c>
      <c r="T5" s="54" t="s">
        <v>34</v>
      </c>
      <c r="U5" s="55">
        <v>0</v>
      </c>
      <c r="V5" s="55">
        <f t="shared" si="8"/>
        <v>0</v>
      </c>
      <c r="W5" s="55">
        <f t="shared" si="9"/>
        <v>0</v>
      </c>
      <c r="X5" s="55">
        <v>0</v>
      </c>
      <c r="Y5" s="55" t="s">
        <v>35</v>
      </c>
      <c r="Z5" s="56">
        <f t="shared" si="10"/>
        <v>-0.69</v>
      </c>
      <c r="AA5" s="55">
        <v>1.3888888888888888E-2</v>
      </c>
      <c r="AB5" s="55">
        <f t="shared" si="11"/>
        <v>-0.51749999999999996</v>
      </c>
      <c r="AC5" s="55">
        <v>-7.16</v>
      </c>
      <c r="AD5" s="55">
        <v>-6.4803224358974356</v>
      </c>
      <c r="AE5" s="55">
        <v>0</v>
      </c>
      <c r="AF5" s="55"/>
    </row>
    <row r="6" spans="1:32" s="57" customFormat="1" ht="15.75" customHeight="1">
      <c r="A6" s="2" t="s">
        <v>51</v>
      </c>
      <c r="B6" s="2" t="s">
        <v>1136</v>
      </c>
      <c r="C6" s="51">
        <v>16.989999999999998</v>
      </c>
      <c r="D6" s="51">
        <v>5</v>
      </c>
      <c r="E6" s="51">
        <v>0</v>
      </c>
      <c r="F6" s="51">
        <v>84.949999999999989</v>
      </c>
      <c r="G6" s="51">
        <v>-10.55</v>
      </c>
      <c r="H6" s="51">
        <f t="shared" si="1"/>
        <v>0.12419070041200708</v>
      </c>
      <c r="I6" s="51">
        <f t="shared" si="2"/>
        <v>-8.2872862619037008E-2</v>
      </c>
      <c r="J6" s="51">
        <f t="shared" si="4"/>
        <v>-7.0400496794871934</v>
      </c>
      <c r="K6" s="51">
        <f t="shared" si="3"/>
        <v>-1.4080099358974387</v>
      </c>
      <c r="L6" s="51">
        <v>16</v>
      </c>
      <c r="M6" s="51">
        <f t="shared" si="5"/>
        <v>0.3125</v>
      </c>
      <c r="N6" s="51">
        <v>207</v>
      </c>
      <c r="O6" s="51">
        <f t="shared" ref="O6:P6" si="13">D6/7</f>
        <v>0.7142857142857143</v>
      </c>
      <c r="P6" s="51">
        <f t="shared" si="13"/>
        <v>0</v>
      </c>
      <c r="Q6" s="51">
        <f t="shared" si="7"/>
        <v>289</v>
      </c>
      <c r="R6" s="55">
        <v>200</v>
      </c>
      <c r="S6" s="53" t="s">
        <v>34</v>
      </c>
      <c r="T6" s="54" t="s">
        <v>34</v>
      </c>
      <c r="U6" s="55">
        <v>2</v>
      </c>
      <c r="V6" s="55">
        <f t="shared" si="8"/>
        <v>0.4</v>
      </c>
      <c r="W6" s="55">
        <f t="shared" si="9"/>
        <v>2.6375000000000002</v>
      </c>
      <c r="X6" s="55">
        <v>2</v>
      </c>
      <c r="Y6" s="55" t="s">
        <v>35</v>
      </c>
      <c r="Z6" s="56">
        <f t="shared" si="10"/>
        <v>-0.69</v>
      </c>
      <c r="AA6" s="55">
        <v>1.3888888888888888E-2</v>
      </c>
      <c r="AB6" s="55">
        <f t="shared" si="11"/>
        <v>-0.49593749999999998</v>
      </c>
      <c r="AC6" s="55">
        <v>-7.16</v>
      </c>
      <c r="AD6" s="55">
        <v>-6.4803224358974356</v>
      </c>
      <c r="AE6" s="55">
        <v>0</v>
      </c>
      <c r="AF6" s="55"/>
    </row>
    <row r="7" spans="1:32" s="57" customFormat="1" ht="15.75" customHeight="1">
      <c r="A7" s="2" t="s">
        <v>53</v>
      </c>
      <c r="B7" s="2" t="s">
        <v>810</v>
      </c>
      <c r="C7" s="51">
        <v>16.989999999999998</v>
      </c>
      <c r="D7" s="51">
        <v>8</v>
      </c>
      <c r="E7" s="51">
        <v>0</v>
      </c>
      <c r="F7" s="51">
        <v>135.91999999999999</v>
      </c>
      <c r="G7" s="51">
        <v>-3.88</v>
      </c>
      <c r="H7" s="51">
        <f t="shared" si="1"/>
        <v>2.8546203649205418E-2</v>
      </c>
      <c r="I7" s="51">
        <f t="shared" si="2"/>
        <v>1.5049015446491816E-2</v>
      </c>
      <c r="J7" s="51">
        <f t="shared" si="4"/>
        <v>2.0454621794871675</v>
      </c>
      <c r="K7" s="51">
        <f t="shared" si="3"/>
        <v>0.25568277243589593</v>
      </c>
      <c r="L7" s="51">
        <v>15</v>
      </c>
      <c r="M7" s="51">
        <f t="shared" si="5"/>
        <v>0.53333333333333333</v>
      </c>
      <c r="N7" s="51">
        <v>202</v>
      </c>
      <c r="O7" s="51">
        <f t="shared" ref="O7:P7" si="14">D7/7</f>
        <v>1.1428571428571428</v>
      </c>
      <c r="P7" s="51">
        <f t="shared" si="14"/>
        <v>0</v>
      </c>
      <c r="Q7" s="51">
        <f t="shared" si="7"/>
        <v>176</v>
      </c>
      <c r="R7" s="55">
        <v>200</v>
      </c>
      <c r="S7" s="53" t="s">
        <v>34</v>
      </c>
      <c r="T7" s="54" t="s">
        <v>34</v>
      </c>
      <c r="U7" s="55">
        <v>1</v>
      </c>
      <c r="V7" s="55">
        <f t="shared" si="8"/>
        <v>0.125</v>
      </c>
      <c r="W7" s="55">
        <f t="shared" si="9"/>
        <v>3.88</v>
      </c>
      <c r="X7" s="55">
        <v>0</v>
      </c>
      <c r="Y7" s="55" t="s">
        <v>35</v>
      </c>
      <c r="Z7" s="56">
        <f t="shared" si="10"/>
        <v>-0.69</v>
      </c>
      <c r="AA7" s="55">
        <v>1.3888888888888888E-2</v>
      </c>
      <c r="AB7" s="55">
        <f t="shared" si="11"/>
        <v>-0.48395833333333327</v>
      </c>
      <c r="AC7" s="55">
        <v>-7.16</v>
      </c>
      <c r="AD7" s="55">
        <v>-6.4803224358974356</v>
      </c>
      <c r="AE7" s="55">
        <v>0</v>
      </c>
      <c r="AF7" s="55"/>
    </row>
    <row r="8" spans="1:32" s="57" customFormat="1" ht="15.75" customHeight="1">
      <c r="A8" s="2" t="s">
        <v>54</v>
      </c>
      <c r="B8" s="2" t="s">
        <v>1137</v>
      </c>
      <c r="C8" s="51">
        <v>16.989999999999998</v>
      </c>
      <c r="D8" s="51">
        <v>10</v>
      </c>
      <c r="E8" s="51">
        <v>0</v>
      </c>
      <c r="F8" s="51">
        <v>169.89999999999998</v>
      </c>
      <c r="G8" s="51">
        <v>-8.26</v>
      </c>
      <c r="H8" s="51">
        <f t="shared" si="1"/>
        <v>4.8616833431430258E-2</v>
      </c>
      <c r="I8" s="51">
        <f t="shared" si="2"/>
        <v>-4.168477686723856E-3</v>
      </c>
      <c r="J8" s="51">
        <f t="shared" si="4"/>
        <v>-0.70822435897438307</v>
      </c>
      <c r="K8" s="51">
        <f t="shared" si="3"/>
        <v>-7.0822435897438307E-2</v>
      </c>
      <c r="L8" s="51">
        <v>20</v>
      </c>
      <c r="M8" s="51">
        <f t="shared" si="5"/>
        <v>0.5</v>
      </c>
      <c r="N8" s="51">
        <v>192</v>
      </c>
      <c r="O8" s="51">
        <f t="shared" ref="O8:P8" si="15">D8/7</f>
        <v>1.4285714285714286</v>
      </c>
      <c r="P8" s="51">
        <f t="shared" si="15"/>
        <v>0</v>
      </c>
      <c r="Q8" s="51">
        <f t="shared" si="7"/>
        <v>134</v>
      </c>
      <c r="R8" s="55">
        <v>200</v>
      </c>
      <c r="S8" s="53" t="s">
        <v>34</v>
      </c>
      <c r="T8" s="54" t="s">
        <v>34</v>
      </c>
      <c r="U8" s="55">
        <v>1</v>
      </c>
      <c r="V8" s="55">
        <f t="shared" si="8"/>
        <v>0.1</v>
      </c>
      <c r="W8" s="55">
        <f t="shared" si="9"/>
        <v>8.26</v>
      </c>
      <c r="X8" s="55">
        <v>0</v>
      </c>
      <c r="Y8" s="55" t="s">
        <v>35</v>
      </c>
      <c r="Z8" s="56">
        <f t="shared" si="10"/>
        <v>-0.69</v>
      </c>
      <c r="AA8" s="55">
        <v>1.3888888888888888E-2</v>
      </c>
      <c r="AB8" s="55">
        <f t="shared" si="11"/>
        <v>-0.45999999999999996</v>
      </c>
      <c r="AC8" s="55">
        <v>-7.16</v>
      </c>
      <c r="AD8" s="55">
        <v>-6.4803224358974356</v>
      </c>
      <c r="AE8" s="55">
        <v>0</v>
      </c>
      <c r="AF8" s="55"/>
    </row>
    <row r="9" spans="1:32" s="57" customFormat="1" ht="15.75" customHeight="1">
      <c r="A9" s="2" t="s">
        <v>56</v>
      </c>
      <c r="B9" s="2" t="s">
        <v>1138</v>
      </c>
      <c r="C9" s="51">
        <v>16.989999999999998</v>
      </c>
      <c r="D9" s="51">
        <v>1</v>
      </c>
      <c r="E9" s="51">
        <v>0</v>
      </c>
      <c r="F9" s="51">
        <v>16.989999999999998</v>
      </c>
      <c r="G9" s="51">
        <v>-15.090000000000002</v>
      </c>
      <c r="H9" s="51">
        <f t="shared" si="1"/>
        <v>0.8881695114773398</v>
      </c>
      <c r="I9" s="51">
        <f t="shared" si="2"/>
        <v>-0.86808843060020258</v>
      </c>
      <c r="J9" s="51">
        <f t="shared" si="4"/>
        <v>-14.748822435897441</v>
      </c>
      <c r="K9" s="51">
        <f t="shared" si="3"/>
        <v>-14.748822435897441</v>
      </c>
      <c r="L9" s="51">
        <v>22</v>
      </c>
      <c r="M9" s="51">
        <f t="shared" si="5"/>
        <v>4.5454545454545456E-2</v>
      </c>
      <c r="N9" s="51">
        <v>192</v>
      </c>
      <c r="O9" s="51">
        <f t="shared" ref="O9:P9" si="16">D9/7</f>
        <v>0.14285714285714285</v>
      </c>
      <c r="P9" s="51">
        <f t="shared" si="16"/>
        <v>0</v>
      </c>
      <c r="Q9" s="51">
        <f t="shared" si="7"/>
        <v>1344</v>
      </c>
      <c r="R9" s="55">
        <v>0</v>
      </c>
      <c r="S9" s="53" t="s">
        <v>34</v>
      </c>
      <c r="T9" s="54" t="s">
        <v>34</v>
      </c>
      <c r="U9" s="55">
        <v>0</v>
      </c>
      <c r="V9" s="55">
        <f t="shared" si="8"/>
        <v>0</v>
      </c>
      <c r="W9" s="55">
        <f t="shared" si="9"/>
        <v>7.5450000000000008</v>
      </c>
      <c r="X9" s="55">
        <v>2</v>
      </c>
      <c r="Y9" s="55" t="s">
        <v>35</v>
      </c>
      <c r="Z9" s="56">
        <f t="shared" si="10"/>
        <v>-0.69</v>
      </c>
      <c r="AA9" s="55">
        <v>1.3888888888888888E-2</v>
      </c>
      <c r="AB9" s="55">
        <f t="shared" si="11"/>
        <v>-0.45999999999999996</v>
      </c>
      <c r="AC9" s="55">
        <v>-7.16</v>
      </c>
      <c r="AD9" s="55">
        <v>-6.4803224358974356</v>
      </c>
      <c r="AE9" s="55">
        <v>0</v>
      </c>
      <c r="AF9" s="55"/>
    </row>
    <row r="10" spans="1:32" s="57" customFormat="1" ht="15.75" customHeight="1">
      <c r="A10" s="2" t="s">
        <v>58</v>
      </c>
      <c r="B10" s="2" t="s">
        <v>824</v>
      </c>
      <c r="C10" s="51">
        <v>16.989999999999998</v>
      </c>
      <c r="D10" s="51">
        <v>4</v>
      </c>
      <c r="E10" s="51">
        <v>0</v>
      </c>
      <c r="F10" s="51">
        <v>67.959999999999994</v>
      </c>
      <c r="G10" s="51">
        <v>-22.370000000000005</v>
      </c>
      <c r="H10" s="51">
        <f t="shared" si="1"/>
        <v>0.32916421424367287</v>
      </c>
      <c r="I10" s="51">
        <f t="shared" si="2"/>
        <v>-0.28856554949366919</v>
      </c>
      <c r="J10" s="51">
        <f t="shared" si="4"/>
        <v>-19.610914743589756</v>
      </c>
      <c r="K10" s="51">
        <f t="shared" si="3"/>
        <v>-4.902728685897439</v>
      </c>
      <c r="L10" s="51">
        <v>22</v>
      </c>
      <c r="M10" s="51">
        <f t="shared" si="5"/>
        <v>0.18181818181818182</v>
      </c>
      <c r="N10" s="51">
        <v>186</v>
      </c>
      <c r="O10" s="51">
        <f t="shared" ref="O10:P10" si="17">D10/7</f>
        <v>0.5714285714285714</v>
      </c>
      <c r="P10" s="51">
        <f t="shared" si="17"/>
        <v>0</v>
      </c>
      <c r="Q10" s="51">
        <f t="shared" si="7"/>
        <v>325</v>
      </c>
      <c r="R10" s="55">
        <v>0</v>
      </c>
      <c r="S10" s="53" t="s">
        <v>34</v>
      </c>
      <c r="T10" s="54" t="s">
        <v>34</v>
      </c>
      <c r="U10" s="55">
        <v>2</v>
      </c>
      <c r="V10" s="55">
        <f t="shared" si="8"/>
        <v>0.5</v>
      </c>
      <c r="W10" s="55">
        <f t="shared" si="9"/>
        <v>4.4740000000000011</v>
      </c>
      <c r="X10" s="55">
        <v>3</v>
      </c>
      <c r="Y10" s="55" t="s">
        <v>35</v>
      </c>
      <c r="Z10" s="56">
        <f t="shared" si="10"/>
        <v>-0.69</v>
      </c>
      <c r="AA10" s="55">
        <v>1.3888888888888888E-2</v>
      </c>
      <c r="AB10" s="55">
        <f t="shared" si="11"/>
        <v>-0.44562499999999994</v>
      </c>
      <c r="AC10" s="55">
        <v>-7.16</v>
      </c>
      <c r="AD10" s="55">
        <v>-6.4803224358974356</v>
      </c>
      <c r="AE10" s="55">
        <v>0</v>
      </c>
      <c r="AF10" s="55"/>
    </row>
    <row r="11" spans="1:32" s="57" customFormat="1" ht="15.75" customHeight="1">
      <c r="A11" s="2" t="s">
        <v>60</v>
      </c>
      <c r="B11" s="2" t="s">
        <v>912</v>
      </c>
      <c r="C11" s="51">
        <v>17.989999999999998</v>
      </c>
      <c r="D11" s="51">
        <v>5</v>
      </c>
      <c r="E11" s="51">
        <v>0</v>
      </c>
      <c r="F11" s="51">
        <v>84.949999999999989</v>
      </c>
      <c r="G11" s="51">
        <v>-26.11</v>
      </c>
      <c r="H11" s="51">
        <f t="shared" si="1"/>
        <v>0.30735726898175403</v>
      </c>
      <c r="I11" s="51">
        <f t="shared" si="2"/>
        <v>-0.27519800485957074</v>
      </c>
      <c r="J11" s="51">
        <f t="shared" si="4"/>
        <v>-23.378070512820532</v>
      </c>
      <c r="K11" s="51">
        <f t="shared" si="3"/>
        <v>-4.675614102564106</v>
      </c>
      <c r="L11" s="51">
        <v>27</v>
      </c>
      <c r="M11" s="51">
        <f t="shared" si="5"/>
        <v>0.18518518518518517</v>
      </c>
      <c r="N11" s="51">
        <v>182</v>
      </c>
      <c r="O11" s="51">
        <f t="shared" ref="O11:P11" si="18">D11/7</f>
        <v>0.7142857142857143</v>
      </c>
      <c r="P11" s="51">
        <f t="shared" si="18"/>
        <v>0</v>
      </c>
      <c r="Q11" s="51">
        <f t="shared" si="7"/>
        <v>254</v>
      </c>
      <c r="R11" s="55">
        <v>0</v>
      </c>
      <c r="S11" s="53" t="s">
        <v>34</v>
      </c>
      <c r="T11" s="54" t="s">
        <v>34</v>
      </c>
      <c r="U11" s="55">
        <v>0</v>
      </c>
      <c r="V11" s="55">
        <f t="shared" si="8"/>
        <v>0</v>
      </c>
      <c r="W11" s="55">
        <f t="shared" si="9"/>
        <v>26.11</v>
      </c>
      <c r="X11" s="55">
        <v>1</v>
      </c>
      <c r="Y11" s="55" t="s">
        <v>35</v>
      </c>
      <c r="Z11" s="56">
        <f t="shared" ref="Z11:Z39" si="19">IF(OR(Y11="UsLargeStandardSize",Y11="UsSmallStandardSize"),-0.75,-0.48)</f>
        <v>-0.75</v>
      </c>
      <c r="AA11" s="55">
        <v>1.3888888888888888E-2</v>
      </c>
      <c r="AB11" s="55">
        <f t="shared" si="11"/>
        <v>-0.47395833333333331</v>
      </c>
      <c r="AC11" s="55">
        <v>-7.32</v>
      </c>
      <c r="AD11" s="55">
        <v>-6.4803224358974356</v>
      </c>
      <c r="AE11" s="55">
        <v>0</v>
      </c>
      <c r="AF11" s="55"/>
    </row>
    <row r="12" spans="1:32" s="57" customFormat="1" ht="15.75" customHeight="1">
      <c r="A12" s="2" t="s">
        <v>62</v>
      </c>
      <c r="B12" s="2" t="s">
        <v>1088</v>
      </c>
      <c r="C12" s="51">
        <v>17.989999999999998</v>
      </c>
      <c r="D12" s="51">
        <v>5</v>
      </c>
      <c r="E12" s="51">
        <v>0</v>
      </c>
      <c r="F12" s="51">
        <v>89.949999999999989</v>
      </c>
      <c r="G12" s="51">
        <v>-44.31</v>
      </c>
      <c r="H12" s="51">
        <f t="shared" si="1"/>
        <v>0.49260700389105067</v>
      </c>
      <c r="I12" s="51">
        <f t="shared" si="2"/>
        <v>-0.41478422841749718</v>
      </c>
      <c r="J12" s="51">
        <f t="shared" si="4"/>
        <v>-37.309841346153867</v>
      </c>
      <c r="K12" s="51">
        <f t="shared" si="3"/>
        <v>-7.4619682692307734</v>
      </c>
      <c r="L12" s="51">
        <v>45</v>
      </c>
      <c r="M12" s="51">
        <f t="shared" si="5"/>
        <v>0.1111111111111111</v>
      </c>
      <c r="N12" s="51">
        <v>175</v>
      </c>
      <c r="O12" s="51">
        <f t="shared" ref="O12:P12" si="20">D12/7</f>
        <v>0.7142857142857143</v>
      </c>
      <c r="P12" s="51">
        <f t="shared" si="20"/>
        <v>0</v>
      </c>
      <c r="Q12" s="51">
        <f t="shared" si="7"/>
        <v>245</v>
      </c>
      <c r="R12" s="55">
        <v>200</v>
      </c>
      <c r="S12" s="53" t="s">
        <v>34</v>
      </c>
      <c r="T12" s="54" t="s">
        <v>34</v>
      </c>
      <c r="U12" s="55">
        <v>3</v>
      </c>
      <c r="V12" s="55">
        <f t="shared" si="8"/>
        <v>0.6</v>
      </c>
      <c r="W12" s="55">
        <f t="shared" si="9"/>
        <v>6.33</v>
      </c>
      <c r="X12" s="55">
        <v>4</v>
      </c>
      <c r="Y12" s="55" t="s">
        <v>35</v>
      </c>
      <c r="Z12" s="56">
        <f t="shared" si="19"/>
        <v>-0.75</v>
      </c>
      <c r="AA12" s="55">
        <v>1.3888888888888888E-2</v>
      </c>
      <c r="AB12" s="55">
        <f t="shared" si="11"/>
        <v>-0.45572916666666663</v>
      </c>
      <c r="AC12" s="55">
        <v>-7.32</v>
      </c>
      <c r="AD12" s="55">
        <v>-6.4803224358974356</v>
      </c>
      <c r="AE12" s="55">
        <v>0</v>
      </c>
      <c r="AF12" s="55"/>
    </row>
    <row r="13" spans="1:32" s="57" customFormat="1" ht="15.75" customHeight="1">
      <c r="A13" s="2" t="s">
        <v>63</v>
      </c>
      <c r="B13" s="2" t="s">
        <v>1139</v>
      </c>
      <c r="C13" s="51">
        <v>17.989999999999998</v>
      </c>
      <c r="D13" s="51">
        <v>4</v>
      </c>
      <c r="E13" s="51">
        <v>0</v>
      </c>
      <c r="F13" s="51">
        <v>71.959999999999994</v>
      </c>
      <c r="G13" s="51">
        <v>-21.13</v>
      </c>
      <c r="H13" s="51">
        <f t="shared" si="1"/>
        <v>0.29363535297387439</v>
      </c>
      <c r="I13" s="51">
        <f t="shared" si="2"/>
        <v>-0.21704300644232571</v>
      </c>
      <c r="J13" s="51">
        <f t="shared" si="4"/>
        <v>-15.618414743589756</v>
      </c>
      <c r="K13" s="51">
        <f t="shared" si="3"/>
        <v>-3.9046036858974391</v>
      </c>
      <c r="L13" s="51">
        <v>32</v>
      </c>
      <c r="M13" s="51">
        <f t="shared" si="5"/>
        <v>0.125</v>
      </c>
      <c r="N13" s="51">
        <v>174</v>
      </c>
      <c r="O13" s="51">
        <f t="shared" ref="O13:P13" si="21">D13/7</f>
        <v>0.5714285714285714</v>
      </c>
      <c r="P13" s="51">
        <f t="shared" si="21"/>
        <v>0</v>
      </c>
      <c r="Q13" s="51">
        <f t="shared" si="7"/>
        <v>304</v>
      </c>
      <c r="R13" s="55">
        <v>200</v>
      </c>
      <c r="S13" s="53" t="s">
        <v>34</v>
      </c>
      <c r="T13" s="54" t="s">
        <v>34</v>
      </c>
      <c r="U13" s="55">
        <v>1</v>
      </c>
      <c r="V13" s="55">
        <f t="shared" si="8"/>
        <v>0.25</v>
      </c>
      <c r="W13" s="55">
        <f t="shared" si="9"/>
        <v>7.043333333333333</v>
      </c>
      <c r="X13" s="55">
        <v>2</v>
      </c>
      <c r="Y13" s="55" t="s">
        <v>35</v>
      </c>
      <c r="Z13" s="56">
        <f t="shared" si="19"/>
        <v>-0.75</v>
      </c>
      <c r="AA13" s="55">
        <v>1.3888888888888888E-2</v>
      </c>
      <c r="AB13" s="55">
        <f t="shared" si="11"/>
        <v>-0.453125</v>
      </c>
      <c r="AC13" s="55">
        <v>-7.32</v>
      </c>
      <c r="AD13" s="55">
        <v>-6.4803224358974356</v>
      </c>
      <c r="AE13" s="55">
        <v>0</v>
      </c>
      <c r="AF13" s="55"/>
    </row>
    <row r="14" spans="1:32" s="57" customFormat="1" ht="15.75" customHeight="1">
      <c r="A14" s="2" t="s">
        <v>64</v>
      </c>
      <c r="B14" s="2"/>
      <c r="C14" s="51">
        <v>20.99</v>
      </c>
      <c r="D14" s="51">
        <v>3</v>
      </c>
      <c r="E14" s="51">
        <v>0</v>
      </c>
      <c r="F14" s="51">
        <v>56.97</v>
      </c>
      <c r="G14" s="51">
        <v>-7.7299999999999986</v>
      </c>
      <c r="H14" s="51">
        <f t="shared" si="1"/>
        <v>0.13568544848165698</v>
      </c>
      <c r="I14" s="51">
        <f t="shared" si="2"/>
        <v>-2.0217303979152373E-2</v>
      </c>
      <c r="J14" s="51">
        <f t="shared" si="4"/>
        <v>-1.1517798076923107</v>
      </c>
      <c r="K14" s="51">
        <f t="shared" si="3"/>
        <v>-0.38392660256410355</v>
      </c>
      <c r="L14" s="51">
        <v>17</v>
      </c>
      <c r="M14" s="51">
        <f t="shared" si="5"/>
        <v>0.17647058823529413</v>
      </c>
      <c r="N14" s="51">
        <v>171</v>
      </c>
      <c r="O14" s="51">
        <f t="shared" ref="O14:P14" si="22">D14/7</f>
        <v>0.42857142857142855</v>
      </c>
      <c r="P14" s="51">
        <f t="shared" si="22"/>
        <v>0</v>
      </c>
      <c r="Q14" s="51">
        <f t="shared" si="7"/>
        <v>399</v>
      </c>
      <c r="R14" s="55">
        <v>200</v>
      </c>
      <c r="S14" s="53" t="s">
        <v>34</v>
      </c>
      <c r="T14" s="54" t="s">
        <v>34</v>
      </c>
      <c r="U14" s="55">
        <v>0</v>
      </c>
      <c r="V14" s="55">
        <f t="shared" si="8"/>
        <v>0</v>
      </c>
      <c r="W14" s="55">
        <f t="shared" si="9"/>
        <v>7.7299999999999986</v>
      </c>
      <c r="X14" s="55">
        <v>1</v>
      </c>
      <c r="Y14" s="55" t="s">
        <v>35</v>
      </c>
      <c r="Z14" s="56">
        <f t="shared" si="19"/>
        <v>-0.75</v>
      </c>
      <c r="AA14" s="55">
        <v>1.3888888888888888E-2</v>
      </c>
      <c r="AB14" s="55">
        <f t="shared" si="11"/>
        <v>-0.4453125</v>
      </c>
      <c r="AC14" s="55">
        <v>-7.32</v>
      </c>
      <c r="AD14" s="55">
        <v>-6.4803224358974356</v>
      </c>
      <c r="AE14" s="55">
        <v>0</v>
      </c>
      <c r="AF14" s="55"/>
    </row>
    <row r="15" spans="1:32" s="57" customFormat="1" ht="15.75" customHeight="1">
      <c r="A15" s="2" t="s">
        <v>65</v>
      </c>
      <c r="B15" s="2" t="s">
        <v>1046</v>
      </c>
      <c r="C15" s="51">
        <v>17.989999999999998</v>
      </c>
      <c r="D15" s="51">
        <v>0</v>
      </c>
      <c r="E15" s="51">
        <v>0</v>
      </c>
      <c r="F15" s="51">
        <v>0</v>
      </c>
      <c r="G15" s="51">
        <v>-2.9</v>
      </c>
      <c r="H15" s="51" t="e">
        <f t="shared" si="1"/>
        <v>#DIV/0!</v>
      </c>
      <c r="I15" s="51" t="e">
        <f t="shared" si="2"/>
        <v>#DIV/0!</v>
      </c>
      <c r="J15" s="51">
        <f t="shared" si="4"/>
        <v>-3.3453124999999999</v>
      </c>
      <c r="K15" s="51" t="e">
        <f t="shared" si="3"/>
        <v>#DIV/0!</v>
      </c>
      <c r="L15" s="51">
        <v>0</v>
      </c>
      <c r="M15" s="51" t="str">
        <f t="shared" si="5"/>
        <v>-</v>
      </c>
      <c r="N15" s="51">
        <v>171</v>
      </c>
      <c r="O15" s="51">
        <f t="shared" ref="O15:P15" si="23">D15/7</f>
        <v>0</v>
      </c>
      <c r="P15" s="51">
        <f t="shared" si="23"/>
        <v>0</v>
      </c>
      <c r="Q15" s="51" t="e">
        <f t="shared" si="7"/>
        <v>#DIV/0!</v>
      </c>
      <c r="R15" s="55">
        <v>200</v>
      </c>
      <c r="S15" s="53" t="s">
        <v>34</v>
      </c>
      <c r="T15" s="54" t="s">
        <v>34</v>
      </c>
      <c r="U15" s="55">
        <v>0</v>
      </c>
      <c r="V15" s="55">
        <f t="shared" si="8"/>
        <v>0</v>
      </c>
      <c r="W15" s="55">
        <f t="shared" si="9"/>
        <v>2.9</v>
      </c>
      <c r="X15" s="55">
        <v>1</v>
      </c>
      <c r="Y15" s="55" t="s">
        <v>35</v>
      </c>
      <c r="Z15" s="56">
        <f t="shared" si="19"/>
        <v>-0.75</v>
      </c>
      <c r="AA15" s="55">
        <v>1.3888888888888888E-2</v>
      </c>
      <c r="AB15" s="55">
        <f t="shared" si="11"/>
        <v>-0.4453125</v>
      </c>
      <c r="AC15" s="55">
        <v>-7.32</v>
      </c>
      <c r="AD15" s="55">
        <v>-6.4803224358974356</v>
      </c>
      <c r="AE15" s="55">
        <v>0</v>
      </c>
      <c r="AF15" s="55"/>
    </row>
    <row r="16" spans="1:32" s="57" customFormat="1" ht="15.75" customHeight="1">
      <c r="A16" s="2" t="s">
        <v>66</v>
      </c>
      <c r="B16" s="2" t="s">
        <v>1140</v>
      </c>
      <c r="C16" s="51">
        <v>20.99</v>
      </c>
      <c r="D16" s="51">
        <v>0</v>
      </c>
      <c r="E16" s="51">
        <v>0</v>
      </c>
      <c r="F16" s="51">
        <v>0</v>
      </c>
      <c r="G16" s="51">
        <v>-4.8199999999999994</v>
      </c>
      <c r="H16" s="51" t="e">
        <f t="shared" si="1"/>
        <v>#DIV/0!</v>
      </c>
      <c r="I16" s="51" t="e">
        <f t="shared" si="2"/>
        <v>#DIV/0!</v>
      </c>
      <c r="J16" s="51">
        <f t="shared" si="4"/>
        <v>-5.2653124999999994</v>
      </c>
      <c r="K16" s="51" t="e">
        <f t="shared" si="3"/>
        <v>#DIV/0!</v>
      </c>
      <c r="L16" s="51">
        <v>17</v>
      </c>
      <c r="M16" s="51">
        <f t="shared" si="5"/>
        <v>0</v>
      </c>
      <c r="N16" s="51">
        <v>171</v>
      </c>
      <c r="O16" s="51">
        <f t="shared" ref="O16:P16" si="24">D16/7</f>
        <v>0</v>
      </c>
      <c r="P16" s="51">
        <f t="shared" si="24"/>
        <v>0</v>
      </c>
      <c r="Q16" s="51" t="e">
        <f t="shared" si="7"/>
        <v>#DIV/0!</v>
      </c>
      <c r="R16" s="55">
        <v>200</v>
      </c>
      <c r="S16" s="53" t="s">
        <v>34</v>
      </c>
      <c r="T16" s="54" t="s">
        <v>34</v>
      </c>
      <c r="U16" s="55">
        <v>0</v>
      </c>
      <c r="V16" s="55">
        <f t="shared" si="8"/>
        <v>0</v>
      </c>
      <c r="W16" s="55">
        <f t="shared" si="9"/>
        <v>0</v>
      </c>
      <c r="X16" s="55">
        <v>0</v>
      </c>
      <c r="Y16" s="55" t="s">
        <v>35</v>
      </c>
      <c r="Z16" s="56">
        <f t="shared" si="19"/>
        <v>-0.75</v>
      </c>
      <c r="AA16" s="55">
        <v>1.3888888888888888E-2</v>
      </c>
      <c r="AB16" s="55">
        <f t="shared" si="11"/>
        <v>-0.4453125</v>
      </c>
      <c r="AC16" s="55">
        <v>-7.32</v>
      </c>
      <c r="AD16" s="55">
        <v>-6.4803224358974356</v>
      </c>
      <c r="AE16" s="55">
        <v>0</v>
      </c>
      <c r="AF16" s="55"/>
    </row>
    <row r="17" spans="1:32" s="57" customFormat="1" ht="15.75" customHeight="1">
      <c r="A17" s="2" t="s">
        <v>67</v>
      </c>
      <c r="B17" s="2" t="s">
        <v>983</v>
      </c>
      <c r="C17" s="51">
        <v>17.989999999999998</v>
      </c>
      <c r="D17" s="51">
        <v>1</v>
      </c>
      <c r="E17" s="51">
        <v>0</v>
      </c>
      <c r="F17" s="51">
        <v>17.989999999999998</v>
      </c>
      <c r="G17" s="51">
        <v>0</v>
      </c>
      <c r="H17" s="51">
        <f t="shared" si="1"/>
        <v>0</v>
      </c>
      <c r="I17" s="51">
        <f t="shared" si="2"/>
        <v>5.8135912401476419E-2</v>
      </c>
      <c r="J17" s="51">
        <f t="shared" si="4"/>
        <v>1.0458650641025606</v>
      </c>
      <c r="K17" s="51">
        <f t="shared" si="3"/>
        <v>1.0458650641025606</v>
      </c>
      <c r="L17" s="51">
        <v>0</v>
      </c>
      <c r="M17" s="51" t="str">
        <f t="shared" si="5"/>
        <v>-</v>
      </c>
      <c r="N17" s="51">
        <v>171</v>
      </c>
      <c r="O17" s="51">
        <f t="shared" ref="O17:P17" si="25">D17/7</f>
        <v>0.14285714285714285</v>
      </c>
      <c r="P17" s="51">
        <f t="shared" si="25"/>
        <v>0</v>
      </c>
      <c r="Q17" s="51">
        <f t="shared" si="7"/>
        <v>1197</v>
      </c>
      <c r="R17" s="55">
        <v>200</v>
      </c>
      <c r="S17" s="53" t="s">
        <v>34</v>
      </c>
      <c r="T17" s="54" t="s">
        <v>34</v>
      </c>
      <c r="U17" s="55">
        <v>0</v>
      </c>
      <c r="V17" s="55">
        <f t="shared" si="8"/>
        <v>0</v>
      </c>
      <c r="W17" s="55">
        <f t="shared" si="9"/>
        <v>0</v>
      </c>
      <c r="X17" s="55">
        <v>0</v>
      </c>
      <c r="Y17" s="55" t="s">
        <v>35</v>
      </c>
      <c r="Z17" s="56">
        <f t="shared" si="19"/>
        <v>-0.75</v>
      </c>
      <c r="AA17" s="55">
        <v>1.3888888888888888E-2</v>
      </c>
      <c r="AB17" s="55">
        <f t="shared" si="11"/>
        <v>-0.4453125</v>
      </c>
      <c r="AC17" s="55">
        <v>-7.32</v>
      </c>
      <c r="AD17" s="55">
        <v>-6.4803224358974356</v>
      </c>
      <c r="AE17" s="55">
        <v>0</v>
      </c>
      <c r="AF17" s="55"/>
    </row>
    <row r="18" spans="1:32" s="57" customFormat="1" ht="15.75" customHeight="1">
      <c r="A18" s="2" t="s">
        <v>69</v>
      </c>
      <c r="B18" s="2" t="s">
        <v>810</v>
      </c>
      <c r="C18" s="51">
        <v>16.899999999999999</v>
      </c>
      <c r="D18" s="51">
        <v>2</v>
      </c>
      <c r="E18" s="51">
        <v>0</v>
      </c>
      <c r="F18" s="51">
        <v>34.92</v>
      </c>
      <c r="G18" s="51">
        <v>0</v>
      </c>
      <c r="H18" s="51">
        <f t="shared" si="1"/>
        <v>0</v>
      </c>
      <c r="I18" s="51">
        <f t="shared" si="2"/>
        <v>5.7813720738978579E-2</v>
      </c>
      <c r="J18" s="51">
        <f t="shared" si="4"/>
        <v>2.0188551282051321</v>
      </c>
      <c r="K18" s="51">
        <f t="shared" si="3"/>
        <v>1.0094275641025661</v>
      </c>
      <c r="L18" s="51">
        <v>10</v>
      </c>
      <c r="M18" s="51">
        <f t="shared" si="5"/>
        <v>0.2</v>
      </c>
      <c r="N18" s="51">
        <v>165</v>
      </c>
      <c r="O18" s="51">
        <f t="shared" ref="O18:P18" si="26">D18/7</f>
        <v>0.2857142857142857</v>
      </c>
      <c r="P18" s="51">
        <f t="shared" si="26"/>
        <v>0</v>
      </c>
      <c r="Q18" s="51">
        <f t="shared" si="7"/>
        <v>577</v>
      </c>
      <c r="R18" s="55">
        <v>200</v>
      </c>
      <c r="S18" s="53" t="s">
        <v>34</v>
      </c>
      <c r="T18" s="54" t="s">
        <v>34</v>
      </c>
      <c r="U18" s="55">
        <v>0</v>
      </c>
      <c r="V18" s="55">
        <f t="shared" si="8"/>
        <v>0</v>
      </c>
      <c r="W18" s="55">
        <f t="shared" si="9"/>
        <v>0</v>
      </c>
      <c r="X18" s="55">
        <v>0</v>
      </c>
      <c r="Y18" s="55" t="s">
        <v>35</v>
      </c>
      <c r="Z18" s="56">
        <f t="shared" si="19"/>
        <v>-0.75</v>
      </c>
      <c r="AA18" s="55">
        <v>1.3888888888888888E-2</v>
      </c>
      <c r="AB18" s="58">
        <f t="shared" ref="AB18:AB39" si="27">IFERROR(Z18*AA18*D18*3,0)</f>
        <v>-6.25E-2</v>
      </c>
      <c r="AC18" s="55">
        <v>-7.32</v>
      </c>
      <c r="AD18" s="55">
        <v>-6.4803224358974356</v>
      </c>
      <c r="AE18" s="55">
        <v>0</v>
      </c>
      <c r="AF18" s="55"/>
    </row>
    <row r="19" spans="1:32" s="57" customFormat="1" ht="15.75" customHeight="1">
      <c r="A19" s="2" t="s">
        <v>71</v>
      </c>
      <c r="B19" s="2"/>
      <c r="C19" s="51">
        <v>16.899999999999999</v>
      </c>
      <c r="D19" s="51">
        <v>3</v>
      </c>
      <c r="E19" s="51">
        <v>0</v>
      </c>
      <c r="F19" s="51">
        <v>50.699999999999996</v>
      </c>
      <c r="G19" s="51">
        <v>0</v>
      </c>
      <c r="H19" s="51">
        <f t="shared" si="1"/>
        <v>0</v>
      </c>
      <c r="I19" s="51">
        <f t="shared" si="2"/>
        <v>3.1563761189500654E-2</v>
      </c>
      <c r="J19" s="51">
        <f t="shared" si="4"/>
        <v>1.6002826923076832</v>
      </c>
      <c r="K19" s="51">
        <f t="shared" si="3"/>
        <v>0.53342756410256109</v>
      </c>
      <c r="L19" s="51">
        <v>11</v>
      </c>
      <c r="M19" s="51">
        <f t="shared" si="5"/>
        <v>0.27272727272727271</v>
      </c>
      <c r="N19" s="51">
        <v>165</v>
      </c>
      <c r="O19" s="51">
        <f t="shared" ref="O19:P19" si="28">D19/7</f>
        <v>0.42857142857142855</v>
      </c>
      <c r="P19" s="51">
        <f t="shared" si="28"/>
        <v>0</v>
      </c>
      <c r="Q19" s="51">
        <f t="shared" si="7"/>
        <v>385</v>
      </c>
      <c r="R19" s="55">
        <v>200</v>
      </c>
      <c r="S19" s="53" t="s">
        <v>34</v>
      </c>
      <c r="T19" s="54" t="s">
        <v>34</v>
      </c>
      <c r="U19" s="55">
        <v>0</v>
      </c>
      <c r="V19" s="55">
        <f t="shared" si="8"/>
        <v>0</v>
      </c>
      <c r="W19" s="55">
        <f t="shared" si="9"/>
        <v>0</v>
      </c>
      <c r="X19" s="55">
        <v>0</v>
      </c>
      <c r="Y19" s="55" t="s">
        <v>35</v>
      </c>
      <c r="Z19" s="56">
        <f t="shared" si="19"/>
        <v>-0.75</v>
      </c>
      <c r="AA19" s="55">
        <v>1.3888888888888888E-2</v>
      </c>
      <c r="AB19" s="55">
        <f t="shared" si="27"/>
        <v>-9.375E-2</v>
      </c>
      <c r="AC19" s="55">
        <v>-7.32</v>
      </c>
      <c r="AD19" s="55">
        <v>-6.4803224358974356</v>
      </c>
      <c r="AE19" s="55">
        <v>0</v>
      </c>
      <c r="AF19" s="55"/>
    </row>
    <row r="20" spans="1:32" s="57" customFormat="1" ht="15.75" customHeight="1">
      <c r="A20" s="2" t="s">
        <v>73</v>
      </c>
      <c r="B20" s="2" t="s">
        <v>987</v>
      </c>
      <c r="C20" s="51">
        <v>16.899999999999999</v>
      </c>
      <c r="D20" s="51">
        <v>4</v>
      </c>
      <c r="E20" s="51">
        <v>0</v>
      </c>
      <c r="F20" s="51">
        <v>68.97</v>
      </c>
      <c r="G20" s="51">
        <v>0</v>
      </c>
      <c r="H20" s="51">
        <f t="shared" si="1"/>
        <v>0</v>
      </c>
      <c r="I20" s="51">
        <f t="shared" si="2"/>
        <v>4.7820940356825541E-2</v>
      </c>
      <c r="J20" s="51">
        <f t="shared" si="4"/>
        <v>3.2982102564102576</v>
      </c>
      <c r="K20" s="51">
        <f t="shared" si="3"/>
        <v>0.82455256410256439</v>
      </c>
      <c r="L20" s="51">
        <v>15</v>
      </c>
      <c r="M20" s="51">
        <f t="shared" si="5"/>
        <v>0.26666666666666666</v>
      </c>
      <c r="N20" s="51">
        <v>156</v>
      </c>
      <c r="O20" s="51">
        <f t="shared" ref="O20:P20" si="29">D20/7</f>
        <v>0.5714285714285714</v>
      </c>
      <c r="P20" s="51">
        <f t="shared" si="29"/>
        <v>0</v>
      </c>
      <c r="Q20" s="51">
        <f t="shared" si="7"/>
        <v>273</v>
      </c>
      <c r="R20" s="55">
        <v>200</v>
      </c>
      <c r="S20" s="53" t="s">
        <v>34</v>
      </c>
      <c r="T20" s="54" t="s">
        <v>34</v>
      </c>
      <c r="U20" s="55">
        <v>0</v>
      </c>
      <c r="V20" s="55">
        <f t="shared" si="8"/>
        <v>0</v>
      </c>
      <c r="W20" s="55">
        <f t="shared" si="9"/>
        <v>0</v>
      </c>
      <c r="X20" s="55">
        <v>0</v>
      </c>
      <c r="Y20" s="55" t="s">
        <v>35</v>
      </c>
      <c r="Z20" s="56">
        <f t="shared" si="19"/>
        <v>-0.75</v>
      </c>
      <c r="AA20" s="55">
        <v>1.3888888888888888E-2</v>
      </c>
      <c r="AB20" s="55">
        <f t="shared" si="27"/>
        <v>-0.125</v>
      </c>
      <c r="AC20" s="55">
        <v>-7.32</v>
      </c>
      <c r="AD20" s="55">
        <v>-6.4803224358974356</v>
      </c>
      <c r="AE20" s="55">
        <v>0</v>
      </c>
      <c r="AF20" s="55"/>
    </row>
    <row r="21" spans="1:32" s="57" customFormat="1" ht="15.75" customHeight="1">
      <c r="A21" s="2" t="s">
        <v>75</v>
      </c>
      <c r="B21" s="2" t="s">
        <v>1114</v>
      </c>
      <c r="C21" s="51">
        <v>17.899999999999999</v>
      </c>
      <c r="D21" s="51">
        <v>2</v>
      </c>
      <c r="E21" s="51">
        <v>0</v>
      </c>
      <c r="F21" s="51">
        <v>33.799999999999997</v>
      </c>
      <c r="G21" s="51">
        <v>-0.18</v>
      </c>
      <c r="H21" s="51">
        <f t="shared" si="1"/>
        <v>5.3254437869822485E-3</v>
      </c>
      <c r="I21" s="51">
        <f t="shared" si="2"/>
        <v>2.6238317402518505E-2</v>
      </c>
      <c r="J21" s="51">
        <f t="shared" si="4"/>
        <v>0.88685512820512535</v>
      </c>
      <c r="K21" s="51">
        <f t="shared" si="3"/>
        <v>0.44342756410256268</v>
      </c>
      <c r="L21" s="51">
        <v>16</v>
      </c>
      <c r="M21" s="51">
        <f t="shared" si="5"/>
        <v>0.125</v>
      </c>
      <c r="N21" s="51">
        <v>156</v>
      </c>
      <c r="O21" s="51">
        <f t="shared" ref="O21:P21" si="30">D21/7</f>
        <v>0.2857142857142857</v>
      </c>
      <c r="P21" s="51">
        <f t="shared" si="30"/>
        <v>0</v>
      </c>
      <c r="Q21" s="51">
        <f t="shared" si="7"/>
        <v>546</v>
      </c>
      <c r="R21" s="55">
        <v>200</v>
      </c>
      <c r="S21" s="53" t="s">
        <v>34</v>
      </c>
      <c r="T21" s="54" t="s">
        <v>34</v>
      </c>
      <c r="U21" s="55">
        <v>0</v>
      </c>
      <c r="V21" s="55">
        <f t="shared" si="8"/>
        <v>0</v>
      </c>
      <c r="W21" s="55">
        <f t="shared" si="9"/>
        <v>0</v>
      </c>
      <c r="X21" s="55">
        <v>0</v>
      </c>
      <c r="Y21" s="55" t="s">
        <v>35</v>
      </c>
      <c r="Z21" s="56">
        <f t="shared" si="19"/>
        <v>-0.75</v>
      </c>
      <c r="AA21" s="55">
        <v>1.3888888888888888E-2</v>
      </c>
      <c r="AB21" s="55">
        <f t="shared" si="27"/>
        <v>-6.25E-2</v>
      </c>
      <c r="AC21" s="55">
        <v>-7.32</v>
      </c>
      <c r="AD21" s="55">
        <v>-6.4803224358974356</v>
      </c>
      <c r="AE21" s="55">
        <v>0</v>
      </c>
      <c r="AF21" s="55"/>
    </row>
    <row r="22" spans="1:32" s="57" customFormat="1" ht="15.75" customHeight="1">
      <c r="A22" s="2" t="s">
        <v>77</v>
      </c>
      <c r="B22" s="2" t="s">
        <v>810</v>
      </c>
      <c r="C22" s="51">
        <v>19</v>
      </c>
      <c r="D22" s="51">
        <v>9</v>
      </c>
      <c r="E22" s="51">
        <v>0</v>
      </c>
      <c r="F22" s="51">
        <v>160.1</v>
      </c>
      <c r="G22" s="51">
        <v>-0.08</v>
      </c>
      <c r="H22" s="51">
        <f t="shared" si="1"/>
        <v>4.9968769519050593E-4</v>
      </c>
      <c r="I22" s="51">
        <f t="shared" si="2"/>
        <v>7.1960325277470608E-2</v>
      </c>
      <c r="J22" s="51">
        <f t="shared" si="4"/>
        <v>11.520848076923045</v>
      </c>
      <c r="K22" s="51">
        <f t="shared" si="3"/>
        <v>1.2800942307692271</v>
      </c>
      <c r="L22" s="51">
        <v>19</v>
      </c>
      <c r="M22" s="51">
        <f t="shared" si="5"/>
        <v>0.47368421052631576</v>
      </c>
      <c r="N22" s="51">
        <v>146</v>
      </c>
      <c r="O22" s="51">
        <f t="shared" ref="O22:P22" si="31">D22/7</f>
        <v>1.2857142857142858</v>
      </c>
      <c r="P22" s="51">
        <f t="shared" si="31"/>
        <v>0</v>
      </c>
      <c r="Q22" s="51">
        <f t="shared" si="7"/>
        <v>113</v>
      </c>
      <c r="R22" s="55">
        <v>200</v>
      </c>
      <c r="S22" s="53" t="s">
        <v>34</v>
      </c>
      <c r="T22" s="54" t="s">
        <v>34</v>
      </c>
      <c r="U22" s="55">
        <v>0</v>
      </c>
      <c r="V22" s="55">
        <f t="shared" si="8"/>
        <v>0</v>
      </c>
      <c r="W22" s="55">
        <f t="shared" si="9"/>
        <v>0</v>
      </c>
      <c r="X22" s="55">
        <v>0</v>
      </c>
      <c r="Y22" s="55" t="s">
        <v>35</v>
      </c>
      <c r="Z22" s="56">
        <f t="shared" si="19"/>
        <v>-0.75</v>
      </c>
      <c r="AA22" s="55">
        <v>1.3888888888888888E-2</v>
      </c>
      <c r="AB22" s="55">
        <f t="shared" si="27"/>
        <v>-0.28125</v>
      </c>
      <c r="AC22" s="55">
        <v>-7.32</v>
      </c>
      <c r="AD22" s="55">
        <v>-6.4803224358974356</v>
      </c>
      <c r="AE22" s="55">
        <v>0</v>
      </c>
      <c r="AF22" s="55"/>
    </row>
    <row r="23" spans="1:32" s="57" customFormat="1" ht="15.75" customHeight="1">
      <c r="A23" s="2" t="s">
        <v>79</v>
      </c>
      <c r="B23" s="2" t="s">
        <v>810</v>
      </c>
      <c r="C23" s="51">
        <v>19</v>
      </c>
      <c r="D23" s="51">
        <v>1</v>
      </c>
      <c r="E23" s="51">
        <v>0</v>
      </c>
      <c r="F23" s="51">
        <v>19</v>
      </c>
      <c r="G23" s="51">
        <v>-0.08</v>
      </c>
      <c r="H23" s="51">
        <f t="shared" si="1"/>
        <v>4.2105263157894736E-3</v>
      </c>
      <c r="I23" s="51">
        <f t="shared" si="2"/>
        <v>0.11781197705802975</v>
      </c>
      <c r="J23" s="51">
        <f t="shared" si="4"/>
        <v>2.2384275641025653</v>
      </c>
      <c r="K23" s="51">
        <f t="shared" si="3"/>
        <v>2.2384275641025653</v>
      </c>
      <c r="L23" s="51">
        <v>12</v>
      </c>
      <c r="M23" s="51">
        <f t="shared" si="5"/>
        <v>8.3333333333333329E-2</v>
      </c>
      <c r="N23" s="51">
        <v>144</v>
      </c>
      <c r="O23" s="51">
        <f t="shared" ref="O23:P23" si="32">D23/7</f>
        <v>0.14285714285714285</v>
      </c>
      <c r="P23" s="51">
        <f t="shared" si="32"/>
        <v>0</v>
      </c>
      <c r="Q23" s="51">
        <f t="shared" si="7"/>
        <v>1008</v>
      </c>
      <c r="R23" s="55">
        <v>200</v>
      </c>
      <c r="S23" s="53" t="s">
        <v>34</v>
      </c>
      <c r="T23" s="54" t="s">
        <v>34</v>
      </c>
      <c r="U23" s="55">
        <v>0</v>
      </c>
      <c r="V23" s="55">
        <f t="shared" si="8"/>
        <v>0</v>
      </c>
      <c r="W23" s="55">
        <f t="shared" si="9"/>
        <v>0.08</v>
      </c>
      <c r="X23" s="55">
        <v>1</v>
      </c>
      <c r="Y23" s="55" t="s">
        <v>35</v>
      </c>
      <c r="Z23" s="56">
        <f t="shared" si="19"/>
        <v>-0.75</v>
      </c>
      <c r="AA23" s="55">
        <v>1.3888888888888888E-2</v>
      </c>
      <c r="AB23" s="55">
        <f t="shared" si="27"/>
        <v>-3.125E-2</v>
      </c>
      <c r="AC23" s="55">
        <v>-7.32</v>
      </c>
      <c r="AD23" s="55">
        <v>-6.4803224358974356</v>
      </c>
      <c r="AE23" s="55">
        <v>0</v>
      </c>
      <c r="AF23" s="55"/>
    </row>
    <row r="24" spans="1:32" s="57" customFormat="1" ht="15.75" customHeight="1">
      <c r="A24" s="2" t="s">
        <v>80</v>
      </c>
      <c r="B24" s="2" t="s">
        <v>810</v>
      </c>
      <c r="C24" s="51">
        <v>19</v>
      </c>
      <c r="D24" s="51">
        <v>9</v>
      </c>
      <c r="E24" s="51">
        <v>0</v>
      </c>
      <c r="F24" s="51">
        <v>171.47</v>
      </c>
      <c r="G24" s="51">
        <v>-0.36</v>
      </c>
      <c r="H24" s="51">
        <f t="shared" si="1"/>
        <v>2.0994926226162009E-3</v>
      </c>
      <c r="I24" s="51">
        <f t="shared" si="2"/>
        <v>0.12191840016867701</v>
      </c>
      <c r="J24" s="51">
        <f t="shared" si="4"/>
        <v>20.905348076923048</v>
      </c>
      <c r="K24" s="51">
        <f t="shared" si="3"/>
        <v>2.3228164529914497</v>
      </c>
      <c r="L24" s="51">
        <v>33</v>
      </c>
      <c r="M24" s="51">
        <f t="shared" si="5"/>
        <v>0.27272727272727271</v>
      </c>
      <c r="N24" s="51">
        <v>129</v>
      </c>
      <c r="O24" s="51">
        <f t="shared" ref="O24:P24" si="33">D24/7</f>
        <v>1.2857142857142858</v>
      </c>
      <c r="P24" s="51">
        <f t="shared" si="33"/>
        <v>0</v>
      </c>
      <c r="Q24" s="51">
        <f t="shared" si="7"/>
        <v>100</v>
      </c>
      <c r="R24" s="55">
        <v>200</v>
      </c>
      <c r="S24" s="53" t="s">
        <v>34</v>
      </c>
      <c r="T24" s="54" t="s">
        <v>34</v>
      </c>
      <c r="U24" s="55">
        <v>3</v>
      </c>
      <c r="V24" s="55">
        <f t="shared" si="8"/>
        <v>0.33333333333333331</v>
      </c>
      <c r="W24" s="55">
        <f t="shared" si="9"/>
        <v>0.09</v>
      </c>
      <c r="X24" s="55">
        <v>1</v>
      </c>
      <c r="Y24" s="55" t="s">
        <v>35</v>
      </c>
      <c r="Z24" s="56">
        <f t="shared" si="19"/>
        <v>-0.75</v>
      </c>
      <c r="AA24" s="55">
        <v>1.3888888888888888E-2</v>
      </c>
      <c r="AB24" s="55">
        <f t="shared" si="27"/>
        <v>-0.28125</v>
      </c>
      <c r="AC24" s="55">
        <v>-7.32</v>
      </c>
      <c r="AD24" s="55">
        <v>-6.4803224358974356</v>
      </c>
      <c r="AE24" s="55">
        <v>0</v>
      </c>
      <c r="AF24" s="55"/>
    </row>
    <row r="25" spans="1:32" s="57" customFormat="1" ht="15.75" customHeight="1">
      <c r="A25" s="2" t="s">
        <v>81</v>
      </c>
      <c r="B25" s="2" t="s">
        <v>810</v>
      </c>
      <c r="C25" s="51"/>
      <c r="D25" s="51">
        <v>16</v>
      </c>
      <c r="E25" s="51">
        <v>0</v>
      </c>
      <c r="F25" s="51">
        <v>304.12</v>
      </c>
      <c r="G25" s="51">
        <v>-0.35000000000000003</v>
      </c>
      <c r="H25" s="51">
        <f t="shared" si="1"/>
        <v>1.1508615020386691E-3</v>
      </c>
      <c r="I25" s="51">
        <f t="shared" si="2"/>
        <v>0.12115888802328366</v>
      </c>
      <c r="J25" s="51">
        <f t="shared" si="4"/>
        <v>36.846841025641027</v>
      </c>
      <c r="K25" s="51">
        <f t="shared" si="3"/>
        <v>2.3029275641025642</v>
      </c>
      <c r="L25" s="51">
        <v>24</v>
      </c>
      <c r="M25" s="51">
        <f t="shared" si="5"/>
        <v>0.66666666666666663</v>
      </c>
      <c r="N25" s="51">
        <v>119</v>
      </c>
      <c r="O25" s="51">
        <f t="shared" ref="O25:P25" si="34">D25/7</f>
        <v>2.2857142857142856</v>
      </c>
      <c r="P25" s="51">
        <f t="shared" si="34"/>
        <v>0</v>
      </c>
      <c r="Q25" s="51">
        <f t="shared" si="7"/>
        <v>52</v>
      </c>
      <c r="R25" s="55">
        <v>200</v>
      </c>
      <c r="S25" s="53" t="s">
        <v>34</v>
      </c>
      <c r="T25" s="54" t="s">
        <v>34</v>
      </c>
      <c r="U25" s="55">
        <v>1</v>
      </c>
      <c r="V25" s="55">
        <f t="shared" si="8"/>
        <v>6.25E-2</v>
      </c>
      <c r="W25" s="55">
        <f t="shared" si="9"/>
        <v>2.1875000000000002E-2</v>
      </c>
      <c r="X25" s="55">
        <v>15</v>
      </c>
      <c r="Y25" s="55" t="s">
        <v>35</v>
      </c>
      <c r="Z25" s="56">
        <f t="shared" si="19"/>
        <v>-0.75</v>
      </c>
      <c r="AA25" s="55">
        <v>1.3888888888888888E-2</v>
      </c>
      <c r="AB25" s="55">
        <f t="shared" si="27"/>
        <v>-0.5</v>
      </c>
      <c r="AC25" s="55">
        <v>-7.32</v>
      </c>
      <c r="AD25" s="55">
        <v>-6.4803224358974356</v>
      </c>
      <c r="AE25" s="55">
        <v>0</v>
      </c>
      <c r="AF25" s="55"/>
    </row>
    <row r="26" spans="1:32" s="57" customFormat="1" ht="15.75" customHeight="1">
      <c r="A26" s="2" t="s">
        <v>83</v>
      </c>
      <c r="B26" s="2" t="s">
        <v>1132</v>
      </c>
      <c r="C26" s="51">
        <f t="shared" ref="C26:C39" si="35">IFERROR(F26/D26," - ")</f>
        <v>18.115833333333331</v>
      </c>
      <c r="D26" s="51">
        <v>36</v>
      </c>
      <c r="E26" s="51">
        <v>0</v>
      </c>
      <c r="F26" s="51">
        <v>652.16999999999996</v>
      </c>
      <c r="G26" s="51">
        <v>-0.4</v>
      </c>
      <c r="H26" s="51">
        <f t="shared" si="1"/>
        <v>6.1333701335541349E-4</v>
      </c>
      <c r="I26" s="51">
        <f t="shared" si="2"/>
        <v>8.5879283480829016E-2</v>
      </c>
      <c r="J26" s="51">
        <f t="shared" si="4"/>
        <v>56.007892307692259</v>
      </c>
      <c r="K26" s="51">
        <f t="shared" si="3"/>
        <v>1.5557747863247851</v>
      </c>
      <c r="L26" s="51">
        <v>44</v>
      </c>
      <c r="M26" s="51">
        <f t="shared" si="5"/>
        <v>0.81818181818181823</v>
      </c>
      <c r="N26" s="51">
        <v>72</v>
      </c>
      <c r="O26" s="51">
        <f t="shared" ref="O26:P26" si="36">D26/7</f>
        <v>5.1428571428571432</v>
      </c>
      <c r="P26" s="51">
        <f t="shared" si="36"/>
        <v>0</v>
      </c>
      <c r="Q26" s="51">
        <f t="shared" si="7"/>
        <v>14</v>
      </c>
      <c r="R26" s="55">
        <v>200</v>
      </c>
      <c r="S26" s="53" t="s">
        <v>34</v>
      </c>
      <c r="T26" s="54" t="s">
        <v>34</v>
      </c>
      <c r="U26" s="55">
        <v>0</v>
      </c>
      <c r="V26" s="55">
        <f t="shared" si="8"/>
        <v>0</v>
      </c>
      <c r="W26" s="55">
        <f t="shared" si="9"/>
        <v>0.05</v>
      </c>
      <c r="X26" s="55">
        <v>8</v>
      </c>
      <c r="Y26" s="55" t="s">
        <v>35</v>
      </c>
      <c r="Z26" s="56">
        <f t="shared" si="19"/>
        <v>-0.75</v>
      </c>
      <c r="AA26" s="55">
        <v>1.3888888888888888E-2</v>
      </c>
      <c r="AB26" s="55">
        <f t="shared" si="27"/>
        <v>-1.125</v>
      </c>
      <c r="AC26" s="55">
        <v>-7.32</v>
      </c>
      <c r="AD26" s="55">
        <v>-6.4803224358974356</v>
      </c>
      <c r="AE26" s="55">
        <v>0</v>
      </c>
      <c r="AF26" s="55"/>
    </row>
    <row r="27" spans="1:32" s="57" customFormat="1" ht="15.75" customHeight="1">
      <c r="A27" s="2" t="s">
        <v>84</v>
      </c>
      <c r="B27" s="2" t="s">
        <v>1061</v>
      </c>
      <c r="C27" s="51">
        <f t="shared" si="35"/>
        <v>19.412499999999994</v>
      </c>
      <c r="D27" s="51">
        <v>52</v>
      </c>
      <c r="E27" s="51">
        <v>0</v>
      </c>
      <c r="F27" s="51">
        <v>1009.4499999999997</v>
      </c>
      <c r="G27" s="51">
        <v>-0.84</v>
      </c>
      <c r="H27" s="51">
        <f t="shared" si="1"/>
        <v>8.3213631185298943E-4</v>
      </c>
      <c r="I27" s="51">
        <f t="shared" si="2"/>
        <v>0.13665930292073214</v>
      </c>
      <c r="J27" s="51">
        <f t="shared" si="4"/>
        <v>137.95073333333301</v>
      </c>
      <c r="K27" s="51">
        <f t="shared" si="3"/>
        <v>2.6528987179487116</v>
      </c>
      <c r="L27" s="51">
        <v>110</v>
      </c>
      <c r="M27" s="51">
        <f t="shared" si="5"/>
        <v>0.47272727272727272</v>
      </c>
      <c r="N27" s="51">
        <v>25</v>
      </c>
      <c r="O27" s="51">
        <f t="shared" ref="O27:P27" si="37">D27/7</f>
        <v>7.4285714285714288</v>
      </c>
      <c r="P27" s="51">
        <f t="shared" si="37"/>
        <v>0</v>
      </c>
      <c r="Q27" s="51">
        <f t="shared" si="7"/>
        <v>3</v>
      </c>
      <c r="R27" s="55">
        <v>200</v>
      </c>
      <c r="S27" s="53" t="s">
        <v>34</v>
      </c>
      <c r="T27" s="54" t="s">
        <v>34</v>
      </c>
      <c r="U27" s="55">
        <v>0</v>
      </c>
      <c r="V27" s="55">
        <f t="shared" si="8"/>
        <v>0</v>
      </c>
      <c r="W27" s="55">
        <f t="shared" si="9"/>
        <v>0</v>
      </c>
      <c r="X27" s="55">
        <v>0</v>
      </c>
      <c r="Y27" s="55" t="s">
        <v>35</v>
      </c>
      <c r="Z27" s="56">
        <f t="shared" si="19"/>
        <v>-0.75</v>
      </c>
      <c r="AA27" s="55">
        <v>1.3888888888888888E-2</v>
      </c>
      <c r="AB27" s="55">
        <f t="shared" si="27"/>
        <v>-1.625</v>
      </c>
      <c r="AC27" s="55">
        <v>-7.32</v>
      </c>
      <c r="AD27" s="55">
        <v>-6.4803224358974356</v>
      </c>
      <c r="AE27" s="55">
        <v>0</v>
      </c>
      <c r="AF27" s="55"/>
    </row>
    <row r="28" spans="1:32" s="57" customFormat="1" ht="15.75" customHeight="1">
      <c r="A28" s="2" t="s">
        <v>86</v>
      </c>
      <c r="B28" s="2" t="s">
        <v>921</v>
      </c>
      <c r="C28" s="51">
        <f t="shared" si="35"/>
        <v>20.822399999999998</v>
      </c>
      <c r="D28" s="51">
        <v>25</v>
      </c>
      <c r="E28" s="51">
        <v>0</v>
      </c>
      <c r="F28" s="51">
        <v>520.55999999999995</v>
      </c>
      <c r="G28" s="51">
        <v>-1.2000000000000002</v>
      </c>
      <c r="H28" s="51">
        <f t="shared" si="1"/>
        <v>2.3052097740894426E-3</v>
      </c>
      <c r="I28" s="51">
        <f t="shared" si="2"/>
        <v>0.18343070751222545</v>
      </c>
      <c r="J28" s="51">
        <f t="shared" si="4"/>
        <v>95.486689102564071</v>
      </c>
      <c r="K28" s="51">
        <f t="shared" si="3"/>
        <v>3.8194675641025628</v>
      </c>
      <c r="L28" s="51">
        <v>68</v>
      </c>
      <c r="M28" s="51">
        <f t="shared" si="5"/>
        <v>0.36764705882352944</v>
      </c>
      <c r="N28" s="51">
        <v>0</v>
      </c>
      <c r="O28" s="51">
        <f t="shared" ref="O28:P28" si="38">D28/7</f>
        <v>3.5714285714285716</v>
      </c>
      <c r="P28" s="51">
        <f t="shared" si="38"/>
        <v>0</v>
      </c>
      <c r="Q28" s="51">
        <f t="shared" si="7"/>
        <v>0</v>
      </c>
      <c r="R28" s="55">
        <v>200</v>
      </c>
      <c r="S28" s="53" t="s">
        <v>34</v>
      </c>
      <c r="T28" s="54" t="s">
        <v>34</v>
      </c>
      <c r="U28" s="55">
        <v>2</v>
      </c>
      <c r="V28" s="55">
        <f t="shared" si="8"/>
        <v>0.08</v>
      </c>
      <c r="W28" s="55">
        <f t="shared" si="9"/>
        <v>0.24000000000000005</v>
      </c>
      <c r="X28" s="55">
        <v>3</v>
      </c>
      <c r="Y28" s="55" t="s">
        <v>35</v>
      </c>
      <c r="Z28" s="56">
        <f t="shared" si="19"/>
        <v>-0.75</v>
      </c>
      <c r="AA28" s="55">
        <v>1.3888888888888888E-2</v>
      </c>
      <c r="AB28" s="55">
        <f t="shared" si="27"/>
        <v>-0.78124999999999989</v>
      </c>
      <c r="AC28" s="55">
        <v>-7.32</v>
      </c>
      <c r="AD28" s="55">
        <v>-6.4803224358974356</v>
      </c>
      <c r="AE28" s="55">
        <v>0</v>
      </c>
      <c r="AF28" s="55"/>
    </row>
    <row r="29" spans="1:32" s="57" customFormat="1" ht="15.75" customHeight="1">
      <c r="A29" s="2" t="s">
        <v>87</v>
      </c>
      <c r="B29" s="2"/>
      <c r="C29" s="51">
        <f t="shared" si="35"/>
        <v>21.810000000000002</v>
      </c>
      <c r="D29" s="51">
        <v>4</v>
      </c>
      <c r="E29" s="51">
        <v>0</v>
      </c>
      <c r="F29" s="51">
        <v>87.240000000000009</v>
      </c>
      <c r="G29" s="51">
        <v>0</v>
      </c>
      <c r="H29" s="51">
        <f t="shared" si="1"/>
        <v>0</v>
      </c>
      <c r="I29" s="51">
        <f t="shared" si="2"/>
        <v>0.21581511068787562</v>
      </c>
      <c r="J29" s="51">
        <f t="shared" si="4"/>
        <v>18.827710256410271</v>
      </c>
      <c r="K29" s="51">
        <f t="shared" si="3"/>
        <v>4.7069275641025676</v>
      </c>
      <c r="L29" s="51">
        <v>0</v>
      </c>
      <c r="M29" s="51" t="str">
        <f t="shared" si="5"/>
        <v>-</v>
      </c>
      <c r="N29" s="51">
        <v>0</v>
      </c>
      <c r="O29" s="51">
        <f t="shared" ref="O29:P29" si="39">D29/7</f>
        <v>0.5714285714285714</v>
      </c>
      <c r="P29" s="51">
        <f t="shared" si="39"/>
        <v>0</v>
      </c>
      <c r="Q29" s="51">
        <f t="shared" si="7"/>
        <v>0</v>
      </c>
      <c r="R29" s="55">
        <v>200</v>
      </c>
      <c r="S29" s="53" t="s">
        <v>34</v>
      </c>
      <c r="T29" s="54" t="s">
        <v>34</v>
      </c>
      <c r="U29" s="55">
        <v>0</v>
      </c>
      <c r="V29" s="55">
        <f t="shared" si="8"/>
        <v>0</v>
      </c>
      <c r="W29" s="55">
        <f t="shared" si="9"/>
        <v>0</v>
      </c>
      <c r="X29" s="55">
        <v>0</v>
      </c>
      <c r="Y29" s="55" t="s">
        <v>35</v>
      </c>
      <c r="Z29" s="56">
        <f t="shared" si="19"/>
        <v>-0.75</v>
      </c>
      <c r="AA29" s="55">
        <v>1.3888888888888888E-2</v>
      </c>
      <c r="AB29" s="55">
        <f t="shared" si="27"/>
        <v>-0.125</v>
      </c>
      <c r="AC29" s="55">
        <v>-7.32</v>
      </c>
      <c r="AD29" s="55">
        <v>-6.4803224358974356</v>
      </c>
      <c r="AE29" s="55">
        <v>0</v>
      </c>
      <c r="AF29" s="55"/>
    </row>
    <row r="30" spans="1:32" s="57" customFormat="1" ht="15.75" customHeight="1">
      <c r="A30" s="2" t="s">
        <v>89</v>
      </c>
      <c r="B30" s="2"/>
      <c r="C30" s="51" t="str">
        <f t="shared" si="35"/>
        <v xml:space="preserve"> - </v>
      </c>
      <c r="D30" s="51">
        <v>0</v>
      </c>
      <c r="E30" s="51">
        <v>0</v>
      </c>
      <c r="F30" s="51">
        <v>0</v>
      </c>
      <c r="G30" s="51">
        <v>0</v>
      </c>
      <c r="H30" s="51" t="e">
        <f t="shared" si="1"/>
        <v>#DIV/0!</v>
      </c>
      <c r="I30" s="51" t="e">
        <f t="shared" si="2"/>
        <v>#DIV/0!</v>
      </c>
      <c r="J30" s="51">
        <f t="shared" si="4"/>
        <v>0</v>
      </c>
      <c r="K30" s="51" t="e">
        <f t="shared" si="3"/>
        <v>#DIV/0!</v>
      </c>
      <c r="L30" s="51">
        <v>0</v>
      </c>
      <c r="M30" s="51" t="str">
        <f t="shared" si="5"/>
        <v>-</v>
      </c>
      <c r="N30" s="51">
        <v>0</v>
      </c>
      <c r="O30" s="51">
        <f t="shared" ref="O30:P30" si="40">D30/7</f>
        <v>0</v>
      </c>
      <c r="P30" s="51">
        <f t="shared" si="40"/>
        <v>0</v>
      </c>
      <c r="Q30" s="51" t="e">
        <f t="shared" si="7"/>
        <v>#DIV/0!</v>
      </c>
      <c r="R30" s="55">
        <v>300</v>
      </c>
      <c r="S30" s="53">
        <v>100</v>
      </c>
      <c r="T30" s="54">
        <v>44058</v>
      </c>
      <c r="U30" s="55">
        <v>0</v>
      </c>
      <c r="V30" s="55">
        <f t="shared" si="8"/>
        <v>0</v>
      </c>
      <c r="W30" s="55">
        <f t="shared" si="9"/>
        <v>0</v>
      </c>
      <c r="X30" s="55">
        <v>0</v>
      </c>
      <c r="Y30" s="55" t="e">
        <v>#N/A</v>
      </c>
      <c r="Z30" s="56" t="e">
        <f t="shared" si="19"/>
        <v>#N/A</v>
      </c>
      <c r="AA30" s="55" t="e">
        <v>#N/A</v>
      </c>
      <c r="AB30" s="55">
        <f t="shared" si="27"/>
        <v>0</v>
      </c>
      <c r="AC30" s="55">
        <v>0</v>
      </c>
      <c r="AD30" s="55">
        <v>-6.4803224358974356</v>
      </c>
      <c r="AE30" s="55">
        <v>0</v>
      </c>
      <c r="AF30" s="55"/>
    </row>
    <row r="31" spans="1:32" s="57" customFormat="1" ht="15.75" customHeight="1">
      <c r="A31" s="2" t="s">
        <v>90</v>
      </c>
      <c r="B31" s="2"/>
      <c r="C31" s="51" t="str">
        <f t="shared" si="35"/>
        <v xml:space="preserve"> - </v>
      </c>
      <c r="D31" s="51">
        <v>0</v>
      </c>
      <c r="E31" s="51">
        <v>0</v>
      </c>
      <c r="F31" s="51">
        <v>0</v>
      </c>
      <c r="G31" s="51">
        <v>0</v>
      </c>
      <c r="H31" s="51" t="e">
        <f t="shared" si="1"/>
        <v>#DIV/0!</v>
      </c>
      <c r="I31" s="51" t="e">
        <f t="shared" si="2"/>
        <v>#DIV/0!</v>
      </c>
      <c r="J31" s="51">
        <f t="shared" si="4"/>
        <v>0</v>
      </c>
      <c r="K31" s="51" t="e">
        <f t="shared" si="3"/>
        <v>#DIV/0!</v>
      </c>
      <c r="L31" s="51">
        <v>0</v>
      </c>
      <c r="M31" s="51" t="str">
        <f t="shared" si="5"/>
        <v>-</v>
      </c>
      <c r="N31" s="51">
        <v>0</v>
      </c>
      <c r="O31" s="51">
        <f t="shared" ref="O31:P31" si="41">D31/7</f>
        <v>0</v>
      </c>
      <c r="P31" s="51">
        <f t="shared" si="41"/>
        <v>0</v>
      </c>
      <c r="Q31" s="51" t="e">
        <f t="shared" si="7"/>
        <v>#DIV/0!</v>
      </c>
      <c r="R31" s="55">
        <v>200</v>
      </c>
      <c r="S31" s="53">
        <v>100</v>
      </c>
      <c r="T31" s="54">
        <v>44058</v>
      </c>
      <c r="U31" s="55">
        <v>0</v>
      </c>
      <c r="V31" s="55">
        <f t="shared" si="8"/>
        <v>0</v>
      </c>
      <c r="W31" s="55">
        <f t="shared" si="9"/>
        <v>0</v>
      </c>
      <c r="X31" s="55">
        <v>0</v>
      </c>
      <c r="Y31" s="55" t="e">
        <v>#N/A</v>
      </c>
      <c r="Z31" s="56" t="e">
        <f t="shared" si="19"/>
        <v>#N/A</v>
      </c>
      <c r="AA31" s="55" t="e">
        <v>#N/A</v>
      </c>
      <c r="AB31" s="55">
        <f t="shared" si="27"/>
        <v>0</v>
      </c>
      <c r="AC31" s="55">
        <v>0</v>
      </c>
      <c r="AD31" s="55">
        <v>-6.4803224358974356</v>
      </c>
      <c r="AE31" s="55">
        <v>0</v>
      </c>
      <c r="AF31" s="55"/>
    </row>
    <row r="32" spans="1:32" s="57" customFormat="1" ht="15.75" customHeight="1">
      <c r="A32" s="2" t="s">
        <v>92</v>
      </c>
      <c r="B32" s="2"/>
      <c r="C32" s="51" t="str">
        <f t="shared" si="35"/>
        <v xml:space="preserve"> - </v>
      </c>
      <c r="D32" s="51">
        <v>0</v>
      </c>
      <c r="E32" s="51">
        <v>0</v>
      </c>
      <c r="F32" s="51">
        <v>0</v>
      </c>
      <c r="G32" s="51">
        <v>0</v>
      </c>
      <c r="H32" s="51" t="e">
        <f t="shared" si="1"/>
        <v>#DIV/0!</v>
      </c>
      <c r="I32" s="51" t="e">
        <f t="shared" si="2"/>
        <v>#DIV/0!</v>
      </c>
      <c r="J32" s="51">
        <f t="shared" si="4"/>
        <v>0</v>
      </c>
      <c r="K32" s="51" t="e">
        <f t="shared" si="3"/>
        <v>#DIV/0!</v>
      </c>
      <c r="L32" s="51">
        <v>0</v>
      </c>
      <c r="M32" s="51" t="str">
        <f t="shared" si="5"/>
        <v>-</v>
      </c>
      <c r="N32" s="51">
        <v>0</v>
      </c>
      <c r="O32" s="51">
        <f t="shared" ref="O32:P32" si="42">D32/7</f>
        <v>0</v>
      </c>
      <c r="P32" s="51">
        <f t="shared" si="42"/>
        <v>0</v>
      </c>
      <c r="Q32" s="51" t="e">
        <f t="shared" si="7"/>
        <v>#DIV/0!</v>
      </c>
      <c r="R32" s="55">
        <v>200</v>
      </c>
      <c r="S32" s="53">
        <v>100</v>
      </c>
      <c r="T32" s="54" t="s">
        <v>34</v>
      </c>
      <c r="U32" s="55">
        <v>0</v>
      </c>
      <c r="V32" s="55">
        <f t="shared" si="8"/>
        <v>0</v>
      </c>
      <c r="W32" s="55">
        <f t="shared" si="9"/>
        <v>0</v>
      </c>
      <c r="X32" s="55">
        <v>0</v>
      </c>
      <c r="Y32" s="55" t="e">
        <v>#N/A</v>
      </c>
      <c r="Z32" s="56" t="e">
        <f t="shared" si="19"/>
        <v>#N/A</v>
      </c>
      <c r="AA32" s="55" t="e">
        <v>#N/A</v>
      </c>
      <c r="AB32" s="55">
        <f t="shared" si="27"/>
        <v>0</v>
      </c>
      <c r="AC32" s="55">
        <v>0</v>
      </c>
      <c r="AD32" s="55">
        <v>-6.4803224358974356</v>
      </c>
      <c r="AE32" s="55">
        <v>0</v>
      </c>
      <c r="AF32" s="52" t="e">
        <v>#N/A</v>
      </c>
    </row>
    <row r="33" spans="1:32" s="57" customFormat="1" ht="15.75" customHeight="1">
      <c r="A33" s="2" t="s">
        <v>94</v>
      </c>
      <c r="B33" s="2"/>
      <c r="C33" s="51" t="str">
        <f t="shared" si="35"/>
        <v xml:space="preserve"> - </v>
      </c>
      <c r="D33" s="51">
        <v>0</v>
      </c>
      <c r="E33" s="51">
        <v>0</v>
      </c>
      <c r="F33" s="51">
        <v>0</v>
      </c>
      <c r="G33" s="51">
        <v>0</v>
      </c>
      <c r="H33" s="51" t="e">
        <f t="shared" si="1"/>
        <v>#DIV/0!</v>
      </c>
      <c r="I33" s="51" t="e">
        <f t="shared" si="2"/>
        <v>#DIV/0!</v>
      </c>
      <c r="J33" s="51">
        <f t="shared" si="4"/>
        <v>0</v>
      </c>
      <c r="K33" s="51" t="e">
        <f t="shared" si="3"/>
        <v>#DIV/0!</v>
      </c>
      <c r="L33" s="51">
        <v>0</v>
      </c>
      <c r="M33" s="51" t="str">
        <f t="shared" si="5"/>
        <v>-</v>
      </c>
      <c r="N33" s="51">
        <v>0</v>
      </c>
      <c r="O33" s="51">
        <f t="shared" ref="O33:P33" si="43">D33/7</f>
        <v>0</v>
      </c>
      <c r="P33" s="51">
        <f t="shared" si="43"/>
        <v>0</v>
      </c>
      <c r="Q33" s="51" t="e">
        <f t="shared" si="7"/>
        <v>#DIV/0!</v>
      </c>
      <c r="R33" s="55">
        <v>200</v>
      </c>
      <c r="S33" s="53">
        <v>100</v>
      </c>
      <c r="T33" s="54">
        <v>44058</v>
      </c>
      <c r="U33" s="55">
        <v>0</v>
      </c>
      <c r="V33" s="55">
        <f t="shared" si="8"/>
        <v>0</v>
      </c>
      <c r="W33" s="55">
        <f t="shared" si="9"/>
        <v>0</v>
      </c>
      <c r="X33" s="55">
        <v>0</v>
      </c>
      <c r="Y33" s="55" t="e">
        <v>#N/A</v>
      </c>
      <c r="Z33" s="56" t="e">
        <f t="shared" si="19"/>
        <v>#N/A</v>
      </c>
      <c r="AA33" s="55" t="e">
        <v>#N/A</v>
      </c>
      <c r="AB33" s="55">
        <f t="shared" si="27"/>
        <v>0</v>
      </c>
      <c r="AC33" s="55">
        <v>0</v>
      </c>
      <c r="AD33" s="55">
        <v>-6.4803224358974356</v>
      </c>
      <c r="AE33" s="55">
        <v>0</v>
      </c>
      <c r="AF33" s="55" t="e">
        <v>#N/A</v>
      </c>
    </row>
    <row r="34" spans="1:32" s="57" customFormat="1" ht="15.75" customHeight="1">
      <c r="A34" s="2" t="s">
        <v>95</v>
      </c>
      <c r="B34" s="2"/>
      <c r="C34" s="51" t="str">
        <f t="shared" si="35"/>
        <v xml:space="preserve"> - </v>
      </c>
      <c r="D34" s="51">
        <v>0</v>
      </c>
      <c r="E34" s="51">
        <v>0</v>
      </c>
      <c r="F34" s="51">
        <v>0</v>
      </c>
      <c r="G34" s="51">
        <v>0</v>
      </c>
      <c r="H34" s="51" t="e">
        <f t="shared" si="1"/>
        <v>#DIV/0!</v>
      </c>
      <c r="I34" s="51" t="e">
        <f t="shared" si="2"/>
        <v>#DIV/0!</v>
      </c>
      <c r="J34" s="51">
        <f t="shared" si="4"/>
        <v>0</v>
      </c>
      <c r="K34" s="51" t="e">
        <f t="shared" si="3"/>
        <v>#DIV/0!</v>
      </c>
      <c r="L34" s="51">
        <v>0</v>
      </c>
      <c r="M34" s="51" t="str">
        <f t="shared" si="5"/>
        <v>-</v>
      </c>
      <c r="N34" s="51">
        <v>0</v>
      </c>
      <c r="O34" s="51">
        <f t="shared" ref="O34:P34" si="44">D34/7</f>
        <v>0</v>
      </c>
      <c r="P34" s="51">
        <f t="shared" si="44"/>
        <v>0</v>
      </c>
      <c r="Q34" s="51" t="e">
        <f t="shared" si="7"/>
        <v>#DIV/0!</v>
      </c>
      <c r="R34" s="55">
        <v>200</v>
      </c>
      <c r="S34" s="53">
        <v>100</v>
      </c>
      <c r="T34" s="54">
        <v>44058</v>
      </c>
      <c r="U34" s="55">
        <v>0</v>
      </c>
      <c r="V34" s="55">
        <f t="shared" si="8"/>
        <v>0</v>
      </c>
      <c r="W34" s="55">
        <f t="shared" si="9"/>
        <v>0</v>
      </c>
      <c r="X34" s="55">
        <v>0</v>
      </c>
      <c r="Y34" s="55" t="e">
        <v>#N/A</v>
      </c>
      <c r="Z34" s="56" t="e">
        <f t="shared" si="19"/>
        <v>#N/A</v>
      </c>
      <c r="AA34" s="55" t="e">
        <v>#N/A</v>
      </c>
      <c r="AB34" s="55">
        <f t="shared" si="27"/>
        <v>0</v>
      </c>
      <c r="AC34" s="55">
        <v>0</v>
      </c>
      <c r="AD34" s="55">
        <v>-6.4803224358974356</v>
      </c>
      <c r="AE34" s="55">
        <v>0</v>
      </c>
      <c r="AF34" s="55" t="e">
        <v>#N/A</v>
      </c>
    </row>
    <row r="35" spans="1:32" s="57" customFormat="1" ht="15.75" customHeight="1">
      <c r="A35" s="2" t="s">
        <v>96</v>
      </c>
      <c r="B35" s="2"/>
      <c r="C35" s="51" t="str">
        <f t="shared" si="35"/>
        <v xml:space="preserve"> - </v>
      </c>
      <c r="D35" s="51">
        <v>0</v>
      </c>
      <c r="E35" s="51">
        <v>0</v>
      </c>
      <c r="F35" s="51">
        <v>0</v>
      </c>
      <c r="G35" s="51">
        <v>0</v>
      </c>
      <c r="H35" s="51" t="e">
        <f t="shared" si="1"/>
        <v>#DIV/0!</v>
      </c>
      <c r="I35" s="51" t="e">
        <f t="shared" si="2"/>
        <v>#DIV/0!</v>
      </c>
      <c r="J35" s="51">
        <f t="shared" si="4"/>
        <v>0</v>
      </c>
      <c r="K35" s="51" t="e">
        <f t="shared" si="3"/>
        <v>#DIV/0!</v>
      </c>
      <c r="L35" s="51">
        <v>0</v>
      </c>
      <c r="M35" s="51" t="str">
        <f t="shared" si="5"/>
        <v>-</v>
      </c>
      <c r="N35" s="51">
        <v>0</v>
      </c>
      <c r="O35" s="51">
        <f t="shared" ref="O35:P35" si="45">D35/7</f>
        <v>0</v>
      </c>
      <c r="P35" s="51">
        <f t="shared" si="45"/>
        <v>0</v>
      </c>
      <c r="Q35" s="51" t="e">
        <f t="shared" si="7"/>
        <v>#DIV/0!</v>
      </c>
      <c r="R35" s="55">
        <v>100</v>
      </c>
      <c r="S35" s="53" t="s">
        <v>34</v>
      </c>
      <c r="T35" s="54" t="s">
        <v>34</v>
      </c>
      <c r="U35" s="55">
        <v>0</v>
      </c>
      <c r="V35" s="55">
        <f t="shared" si="8"/>
        <v>0</v>
      </c>
      <c r="W35" s="55">
        <f t="shared" si="9"/>
        <v>0</v>
      </c>
      <c r="X35" s="55">
        <v>0</v>
      </c>
      <c r="Y35" s="55" t="e">
        <v>#N/A</v>
      </c>
      <c r="Z35" s="56" t="e">
        <f t="shared" si="19"/>
        <v>#N/A</v>
      </c>
      <c r="AA35" s="55" t="e">
        <v>#N/A</v>
      </c>
      <c r="AB35" s="55">
        <f t="shared" si="27"/>
        <v>0</v>
      </c>
      <c r="AC35" s="55">
        <v>0</v>
      </c>
      <c r="AD35" s="55">
        <v>-6.4803224358974356</v>
      </c>
      <c r="AE35" s="55">
        <v>0</v>
      </c>
      <c r="AF35" s="55" t="e">
        <v>#N/A</v>
      </c>
    </row>
    <row r="36" spans="1:32" s="57" customFormat="1" ht="15.75" customHeight="1">
      <c r="A36" s="2" t="s">
        <v>98</v>
      </c>
      <c r="B36" s="2"/>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v>100</v>
      </c>
      <c r="S36" s="53"/>
      <c r="T36" s="54" t="s">
        <v>34</v>
      </c>
      <c r="U36" s="55"/>
      <c r="V36" s="55">
        <f t="shared" si="8"/>
        <v>0</v>
      </c>
      <c r="W36" s="55">
        <f t="shared" si="9"/>
        <v>0</v>
      </c>
      <c r="X36" s="55"/>
      <c r="Y36" s="55" t="e">
        <v>#N/A</v>
      </c>
      <c r="Z36" s="56" t="e">
        <f t="shared" si="19"/>
        <v>#N/A</v>
      </c>
      <c r="AA36" s="55" t="e">
        <v>#N/A</v>
      </c>
      <c r="AB36" s="55">
        <f t="shared" si="27"/>
        <v>0</v>
      </c>
      <c r="AC36" s="55">
        <v>0</v>
      </c>
      <c r="AD36" s="55">
        <v>-6.4803224358974356</v>
      </c>
      <c r="AE36" s="55">
        <v>0</v>
      </c>
      <c r="AF36" s="55" t="e">
        <v>#N/A</v>
      </c>
    </row>
    <row r="37" spans="1:32" s="57" customFormat="1" ht="15.75" customHeight="1">
      <c r="A37" s="2" t="s">
        <v>99</v>
      </c>
      <c r="B37" s="2"/>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v>100</v>
      </c>
      <c r="S37" s="53" t="s">
        <v>34</v>
      </c>
      <c r="T37" s="54" t="s">
        <v>34</v>
      </c>
      <c r="U37" s="55">
        <v>0</v>
      </c>
      <c r="V37" s="55">
        <f t="shared" si="8"/>
        <v>0</v>
      </c>
      <c r="W37" s="55">
        <f t="shared" si="9"/>
        <v>0</v>
      </c>
      <c r="X37" s="55">
        <v>0</v>
      </c>
      <c r="Y37" s="55" t="e">
        <v>#N/A</v>
      </c>
      <c r="Z37" s="56" t="e">
        <f t="shared" si="19"/>
        <v>#N/A</v>
      </c>
      <c r="AA37" s="55" t="e">
        <v>#N/A</v>
      </c>
      <c r="AB37" s="55">
        <f t="shared" si="27"/>
        <v>0</v>
      </c>
      <c r="AC37" s="55">
        <v>0</v>
      </c>
      <c r="AD37" s="55">
        <v>-6.4803224358974356</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5">
        <v>200</v>
      </c>
      <c r="S38" s="53"/>
      <c r="T38" s="54" t="s">
        <v>34</v>
      </c>
      <c r="U38" s="55">
        <v>0</v>
      </c>
      <c r="V38" s="55">
        <f t="shared" si="8"/>
        <v>0</v>
      </c>
      <c r="W38" s="55">
        <f t="shared" si="9"/>
        <v>0</v>
      </c>
      <c r="X38" s="55">
        <v>0</v>
      </c>
      <c r="Y38" s="55" t="e">
        <v>#N/A</v>
      </c>
      <c r="Z38" s="56" t="e">
        <f t="shared" si="19"/>
        <v>#N/A</v>
      </c>
      <c r="AA38" s="55" t="e">
        <v>#N/A</v>
      </c>
      <c r="AB38" s="55">
        <f t="shared" si="27"/>
        <v>0</v>
      </c>
      <c r="AC38" s="55">
        <v>0</v>
      </c>
      <c r="AD38" s="55">
        <v>-6.4803224358974356</v>
      </c>
      <c r="AE38" s="55">
        <v>0</v>
      </c>
      <c r="AF38" s="55" t="e">
        <v>#N/A</v>
      </c>
    </row>
    <row r="39" spans="1:32" s="57" customFormat="1" ht="15.75" customHeight="1">
      <c r="A39" s="2" t="s">
        <v>101</v>
      </c>
      <c r="B39" s="2"/>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0</v>
      </c>
      <c r="O39" s="51">
        <f t="shared" ref="O39:P39" si="49">D39/7</f>
        <v>0</v>
      </c>
      <c r="P39" s="51">
        <f t="shared" si="49"/>
        <v>0</v>
      </c>
      <c r="Q39" s="51" t="e">
        <f t="shared" si="7"/>
        <v>#DIV/0!</v>
      </c>
      <c r="R39" s="55">
        <v>200</v>
      </c>
      <c r="S39" s="53" t="s">
        <v>34</v>
      </c>
      <c r="T39" s="54" t="s">
        <v>34</v>
      </c>
      <c r="U39" s="55">
        <v>0</v>
      </c>
      <c r="V39" s="55">
        <f t="shared" si="8"/>
        <v>0</v>
      </c>
      <c r="W39" s="55">
        <f t="shared" si="9"/>
        <v>0</v>
      </c>
      <c r="X39" s="55">
        <v>0</v>
      </c>
      <c r="Y39" s="55" t="e">
        <v>#N/A</v>
      </c>
      <c r="Z39" s="56" t="e">
        <f t="shared" si="19"/>
        <v>#N/A</v>
      </c>
      <c r="AA39" s="55" t="e">
        <v>#N/A</v>
      </c>
      <c r="AB39" s="55">
        <f t="shared" si="27"/>
        <v>0</v>
      </c>
      <c r="AC39" s="55">
        <v>0</v>
      </c>
      <c r="AD39" s="55">
        <v>-6.4803224358974303</v>
      </c>
      <c r="AE39" s="55">
        <v>0</v>
      </c>
      <c r="AF39" s="55" t="e">
        <v>#N/A</v>
      </c>
    </row>
    <row r="40" spans="1:32" s="57" customFormat="1" ht="15.75" customHeight="1">
      <c r="A40" s="2" t="s">
        <v>102</v>
      </c>
      <c r="B40" s="2"/>
      <c r="C40" s="51" t="s">
        <v>103</v>
      </c>
      <c r="D40" s="51">
        <v>0</v>
      </c>
      <c r="E40" s="51">
        <v>0</v>
      </c>
      <c r="F40" s="51">
        <v>0</v>
      </c>
      <c r="G40" s="51">
        <v>0</v>
      </c>
      <c r="H40" s="51" t="e">
        <v>#DIV/0!</v>
      </c>
      <c r="I40" s="51" t="e">
        <v>#DIV/0!</v>
      </c>
      <c r="J40" s="51">
        <v>0</v>
      </c>
      <c r="K40" s="51" t="e">
        <v>#DIV/0!</v>
      </c>
      <c r="L40" s="51">
        <v>0</v>
      </c>
      <c r="M40" s="51" t="s">
        <v>104</v>
      </c>
      <c r="N40" s="51">
        <v>0</v>
      </c>
      <c r="O40" s="51">
        <v>0</v>
      </c>
      <c r="P40" s="51">
        <v>0</v>
      </c>
      <c r="Q40" s="51" t="e">
        <v>#DIV/0!</v>
      </c>
      <c r="R40" s="55">
        <v>200</v>
      </c>
      <c r="S40" s="53" t="s">
        <v>34</v>
      </c>
      <c r="T40" s="54" t="s">
        <v>34</v>
      </c>
      <c r="U40" s="55">
        <v>0</v>
      </c>
      <c r="V40" s="55">
        <v>0</v>
      </c>
      <c r="W40" s="55">
        <v>0</v>
      </c>
      <c r="X40" s="55">
        <v>0</v>
      </c>
      <c r="Y40" s="55" t="e">
        <v>#N/A</v>
      </c>
      <c r="Z40" s="56" t="e">
        <v>#N/A</v>
      </c>
      <c r="AA40" s="55" t="e">
        <v>#N/A</v>
      </c>
      <c r="AB40" s="55">
        <v>0</v>
      </c>
      <c r="AC40" s="55">
        <v>0</v>
      </c>
      <c r="AD40" s="55">
        <v>-6.4803224358974303</v>
      </c>
      <c r="AE40" s="55">
        <v>0</v>
      </c>
      <c r="AF40" s="55" t="e">
        <v>#N/A</v>
      </c>
    </row>
    <row r="41" spans="1:32" s="57" customFormat="1" ht="15.75" customHeight="1">
      <c r="A41" s="2" t="s">
        <v>105</v>
      </c>
      <c r="B41" s="2"/>
      <c r="C41" s="51" t="str">
        <f t="shared" ref="C41:C56" si="50">IFERROR(F41/D41," - ")</f>
        <v xml:space="preserve"> - </v>
      </c>
      <c r="D41" s="51">
        <v>0</v>
      </c>
      <c r="E41" s="51">
        <v>0</v>
      </c>
      <c r="F41" s="51">
        <v>0</v>
      </c>
      <c r="G41" s="51">
        <v>0</v>
      </c>
      <c r="H41" s="51" t="e">
        <f t="shared" ref="H41:H56" si="51">G41/F41*-1</f>
        <v>#DIV/0!</v>
      </c>
      <c r="I41" s="51" t="e">
        <f t="shared" ref="I41:I56" si="52">J41/F41</f>
        <v>#DIV/0!</v>
      </c>
      <c r="J41" s="51">
        <f t="shared" ref="J41:J48" si="53">F41*0.85+G41+AD41*D41+D41*AC41+AE42+AB41</f>
        <v>0</v>
      </c>
      <c r="K41" s="51" t="e">
        <f t="shared" ref="K41:K56" si="54">J41/D41</f>
        <v>#DIV/0!</v>
      </c>
      <c r="L41" s="51">
        <v>0</v>
      </c>
      <c r="M41" s="51" t="str">
        <f t="shared" ref="M41:M56" si="55">IFERROR(D41/L41,"-")</f>
        <v>-</v>
      </c>
      <c r="N41" s="51">
        <v>0</v>
      </c>
      <c r="O41" s="51">
        <f t="shared" ref="O41:P41" si="56">D41/7</f>
        <v>0</v>
      </c>
      <c r="P41" s="51">
        <f t="shared" si="56"/>
        <v>0</v>
      </c>
      <c r="Q41" s="51" t="e">
        <f t="shared" ref="Q41:Q56" si="57">ROUNDDOWN(N41/(O41+P41),0)</f>
        <v>#DIV/0!</v>
      </c>
      <c r="R41" s="55">
        <v>200</v>
      </c>
      <c r="S41" s="53" t="s">
        <v>34</v>
      </c>
      <c r="T41" s="54" t="s">
        <v>34</v>
      </c>
      <c r="U41" s="55">
        <v>0</v>
      </c>
      <c r="V41" s="55">
        <f t="shared" ref="V41:V56" si="58">IFERROR(U41/D41,0)</f>
        <v>0</v>
      </c>
      <c r="W41" s="55">
        <f t="shared" ref="W41:W56" si="59">IFERROR(G41/(U41+X41)*-1,0)</f>
        <v>0</v>
      </c>
      <c r="X41" s="55">
        <v>0</v>
      </c>
      <c r="Y41" s="52" t="e">
        <v>#N/A</v>
      </c>
      <c r="Z41" s="56" t="e">
        <f t="shared" ref="Z41:Z43" si="60">IF(OR(Y41="UsLargeStandardSize",Y41="UsSmallStandardSize"),-0.75,-0.48)</f>
        <v>#N/A</v>
      </c>
      <c r="AA41" s="55" t="e">
        <v>#N/A</v>
      </c>
      <c r="AB41" s="55">
        <f t="shared" ref="AB41:AB56" si="61">IFERROR(Z41*AA41*D41*3,0)</f>
        <v>0</v>
      </c>
      <c r="AC41" s="55">
        <v>0</v>
      </c>
      <c r="AD41" s="55">
        <v>-6.4803224358974303</v>
      </c>
      <c r="AE41" s="55">
        <v>0</v>
      </c>
      <c r="AF41" s="55" t="e">
        <v>#N/A</v>
      </c>
    </row>
    <row r="42" spans="1:32" s="57" customFormat="1" ht="15.75" customHeight="1">
      <c r="A42" s="2" t="s">
        <v>106</v>
      </c>
      <c r="B42" s="2"/>
      <c r="C42" s="51" t="str">
        <f t="shared" si="50"/>
        <v xml:space="preserve"> - </v>
      </c>
      <c r="D42" s="51">
        <v>0</v>
      </c>
      <c r="E42" s="51">
        <v>0</v>
      </c>
      <c r="F42" s="51">
        <v>0</v>
      </c>
      <c r="G42" s="51">
        <v>0</v>
      </c>
      <c r="H42" s="51" t="e">
        <f t="shared" si="51"/>
        <v>#DIV/0!</v>
      </c>
      <c r="I42" s="51" t="e">
        <f t="shared" si="52"/>
        <v>#DIV/0!</v>
      </c>
      <c r="J42" s="51">
        <f t="shared" si="53"/>
        <v>0</v>
      </c>
      <c r="K42" s="51" t="e">
        <f t="shared" si="54"/>
        <v>#DIV/0!</v>
      </c>
      <c r="L42" s="51">
        <v>0</v>
      </c>
      <c r="M42" s="51" t="str">
        <f t="shared" si="55"/>
        <v>-</v>
      </c>
      <c r="N42" s="51">
        <v>0</v>
      </c>
      <c r="O42" s="51">
        <f t="shared" ref="O42:P42" si="62">D42/7</f>
        <v>0</v>
      </c>
      <c r="P42" s="51">
        <f t="shared" si="62"/>
        <v>0</v>
      </c>
      <c r="Q42" s="51" t="e">
        <f t="shared" si="57"/>
        <v>#DIV/0!</v>
      </c>
      <c r="R42" s="55">
        <f ca="1">IFERROR(__xludf.DUMMYFUNCTION("IFERROR(VLOOKUP($B$2,IMPORTRANGE(""https://docs.google.com/spreadsheets/d/1iVgg6Mw12RULLujzHmfOFIY8Q_KaAD8anoZzgtVAQ74/edit#gid=1503384807"",""Second Star - Summary!A1:AD2000""),9,FALSE),"""")"),500)</f>
        <v>500</v>
      </c>
      <c r="S42" s="53">
        <f ca="1">IFERROR(__xludf.DUMMYFUNCTION("IFERROR(VLOOKUP($B$2,IMPORTRANGE(""https://docs.google.com/spreadsheets/d/1iVgg6Mw12RULLujzHmfOFIY8Q_KaAD8anoZzgtVAQ74/edit#gid=1503384807"",""Second Star - Summary!A1:AD2000""),28,FALSE),"""")"),160)</f>
        <v>160</v>
      </c>
      <c r="T42" s="54">
        <f ca="1">IFERROR(__xludf.DUMMYFUNCTION("IFERROR(VLOOKUP($B$2,IMPORTRANGE(""https://docs.google.com/spreadsheets/d/1iVgg6Mw12RULLujzHmfOFIY8Q_KaAD8anoZzgtVAQ74/edit#gid=1503384807"",""Second Star - Summary!A1:AD2000""),29,FALSE),"""")"),44339)</f>
        <v>44339</v>
      </c>
      <c r="U42" s="55">
        <v>0</v>
      </c>
      <c r="V42" s="55">
        <f t="shared" si="58"/>
        <v>0</v>
      </c>
      <c r="W42" s="55">
        <f t="shared" si="59"/>
        <v>0</v>
      </c>
      <c r="X42" s="55">
        <v>0</v>
      </c>
      <c r="Y42" s="55" t="e">
        <v>#N/A</v>
      </c>
      <c r="Z42" s="56" t="e">
        <f t="shared" si="60"/>
        <v>#N/A</v>
      </c>
      <c r="AA42" s="55" t="e">
        <v>#N/A</v>
      </c>
      <c r="AB42" s="55">
        <f t="shared" si="61"/>
        <v>0</v>
      </c>
      <c r="AC42" s="55">
        <v>0</v>
      </c>
      <c r="AD42" s="55">
        <v>-6.4803224358974303</v>
      </c>
      <c r="AE42" s="55">
        <v>0</v>
      </c>
      <c r="AF42" s="55" t="e">
        <v>#N/A</v>
      </c>
    </row>
    <row r="43" spans="1:32" s="57" customFormat="1" ht="15.75" customHeight="1">
      <c r="A43" s="2" t="s">
        <v>107</v>
      </c>
      <c r="B43" s="2"/>
      <c r="C43" s="51" t="str">
        <f t="shared" si="50"/>
        <v xml:space="preserve"> - </v>
      </c>
      <c r="D43" s="51">
        <v>0</v>
      </c>
      <c r="E43" s="51">
        <v>0</v>
      </c>
      <c r="F43" s="51">
        <v>0</v>
      </c>
      <c r="G43" s="51">
        <v>0</v>
      </c>
      <c r="H43" s="51" t="e">
        <f t="shared" si="51"/>
        <v>#DIV/0!</v>
      </c>
      <c r="I43" s="51" t="e">
        <f t="shared" si="52"/>
        <v>#DIV/0!</v>
      </c>
      <c r="J43" s="51">
        <f t="shared" si="53"/>
        <v>0</v>
      </c>
      <c r="K43" s="51" t="e">
        <f t="shared" si="54"/>
        <v>#DIV/0!</v>
      </c>
      <c r="L43" s="51">
        <v>0</v>
      </c>
      <c r="M43" s="51" t="str">
        <f t="shared" si="55"/>
        <v>-</v>
      </c>
      <c r="N43" s="51">
        <v>0</v>
      </c>
      <c r="O43" s="51">
        <f t="shared" ref="O43:P43" si="63">D43/7</f>
        <v>0</v>
      </c>
      <c r="P43" s="51">
        <f t="shared" si="63"/>
        <v>0</v>
      </c>
      <c r="Q43" s="51" t="e">
        <f t="shared" si="57"/>
        <v>#DIV/0!</v>
      </c>
      <c r="R43" s="55">
        <v>200</v>
      </c>
      <c r="S43" s="53" t="s">
        <v>34</v>
      </c>
      <c r="T43" s="54" t="s">
        <v>34</v>
      </c>
      <c r="U43" s="55">
        <v>0</v>
      </c>
      <c r="V43" s="55">
        <f t="shared" si="58"/>
        <v>0</v>
      </c>
      <c r="W43" s="55">
        <f t="shared" si="59"/>
        <v>0</v>
      </c>
      <c r="X43" s="55">
        <v>0</v>
      </c>
      <c r="Y43" s="55" t="e">
        <v>#N/A</v>
      </c>
      <c r="Z43" s="56" t="e">
        <f t="shared" si="60"/>
        <v>#N/A</v>
      </c>
      <c r="AA43" s="55" t="e">
        <v>#N/A</v>
      </c>
      <c r="AB43" s="55">
        <f t="shared" si="61"/>
        <v>0</v>
      </c>
      <c r="AC43" s="55">
        <v>0</v>
      </c>
      <c r="AD43" s="55">
        <v>-6.4803224358974303</v>
      </c>
      <c r="AE43" s="55">
        <v>0</v>
      </c>
      <c r="AF43" s="55" t="e">
        <v>#N/A</v>
      </c>
    </row>
    <row r="44" spans="1:32" s="57" customFormat="1" ht="15.75" customHeight="1">
      <c r="A44" s="2" t="s">
        <v>108</v>
      </c>
      <c r="B44" s="2"/>
      <c r="C44" s="51" t="str">
        <f t="shared" si="50"/>
        <v xml:space="preserve"> - </v>
      </c>
      <c r="D44" s="51">
        <v>0</v>
      </c>
      <c r="E44" s="51">
        <v>0</v>
      </c>
      <c r="F44" s="51">
        <v>0</v>
      </c>
      <c r="G44" s="51">
        <v>0</v>
      </c>
      <c r="H44" s="51" t="e">
        <f t="shared" si="51"/>
        <v>#DIV/0!</v>
      </c>
      <c r="I44" s="51" t="e">
        <f t="shared" si="52"/>
        <v>#DIV/0!</v>
      </c>
      <c r="J44" s="51">
        <f t="shared" si="53"/>
        <v>0</v>
      </c>
      <c r="K44" s="51" t="e">
        <f t="shared" si="54"/>
        <v>#DIV/0!</v>
      </c>
      <c r="L44" s="51">
        <v>0</v>
      </c>
      <c r="M44" s="51" t="str">
        <f t="shared" si="55"/>
        <v>-</v>
      </c>
      <c r="N44" s="51">
        <v>0</v>
      </c>
      <c r="O44" s="51">
        <f t="shared" ref="O44:P44" si="64">D44/7</f>
        <v>0</v>
      </c>
      <c r="P44" s="51">
        <f t="shared" si="64"/>
        <v>0</v>
      </c>
      <c r="Q44" s="51" t="e">
        <f t="shared" si="57"/>
        <v>#DIV/0!</v>
      </c>
      <c r="R44" s="55">
        <v>200</v>
      </c>
      <c r="S44" s="53" t="s">
        <v>34</v>
      </c>
      <c r="T44" s="54" t="s">
        <v>34</v>
      </c>
      <c r="U44" s="55">
        <v>0</v>
      </c>
      <c r="V44" s="55">
        <f t="shared" si="58"/>
        <v>0</v>
      </c>
      <c r="W44" s="55">
        <f t="shared" si="59"/>
        <v>0</v>
      </c>
      <c r="X44" s="55">
        <v>0</v>
      </c>
      <c r="Y44" s="55" t="e">
        <v>#N/A</v>
      </c>
      <c r="Z44" s="56" t="e">
        <f t="shared" ref="Z44:Z56" si="65">IF(OR(Y44="UsLargeStandardSize",Y44="UsSmallStandardSize"),-2.4,-1.2)</f>
        <v>#N/A</v>
      </c>
      <c r="AA44" s="55" t="e">
        <v>#N/A</v>
      </c>
      <c r="AB44" s="55">
        <f t="shared" si="61"/>
        <v>0</v>
      </c>
      <c r="AC44" s="55">
        <v>0</v>
      </c>
      <c r="AD44" s="55">
        <v>-6.4803224358974303</v>
      </c>
      <c r="AE44" s="55">
        <v>0</v>
      </c>
      <c r="AF44" s="55" t="e">
        <v>#N/A</v>
      </c>
    </row>
    <row r="45" spans="1:32" s="57" customFormat="1" ht="15.75" customHeight="1">
      <c r="A45" s="2" t="s">
        <v>109</v>
      </c>
      <c r="B45" s="2"/>
      <c r="C45" s="51" t="str">
        <f t="shared" si="50"/>
        <v xml:space="preserve"> - </v>
      </c>
      <c r="D45" s="51">
        <v>0</v>
      </c>
      <c r="E45" s="51">
        <v>0</v>
      </c>
      <c r="F45" s="51">
        <v>0</v>
      </c>
      <c r="G45" s="51">
        <v>0</v>
      </c>
      <c r="H45" s="51" t="e">
        <f t="shared" si="51"/>
        <v>#DIV/0!</v>
      </c>
      <c r="I45" s="51" t="e">
        <f t="shared" si="52"/>
        <v>#DIV/0!</v>
      </c>
      <c r="J45" s="51">
        <f t="shared" si="53"/>
        <v>0</v>
      </c>
      <c r="K45" s="51" t="e">
        <f t="shared" si="54"/>
        <v>#DIV/0!</v>
      </c>
      <c r="L45" s="51">
        <v>0</v>
      </c>
      <c r="M45" s="51" t="str">
        <f t="shared" si="55"/>
        <v>-</v>
      </c>
      <c r="N45" s="51">
        <v>0</v>
      </c>
      <c r="O45" s="51">
        <f t="shared" ref="O45:P45" si="66">D45/7</f>
        <v>0</v>
      </c>
      <c r="P45" s="51">
        <f t="shared" si="66"/>
        <v>0</v>
      </c>
      <c r="Q45" s="51" t="e">
        <f t="shared" si="57"/>
        <v>#DIV/0!</v>
      </c>
      <c r="R45" s="55">
        <v>200</v>
      </c>
      <c r="S45" s="53" t="s">
        <v>34</v>
      </c>
      <c r="T45" s="54" t="s">
        <v>34</v>
      </c>
      <c r="U45" s="55">
        <v>0</v>
      </c>
      <c r="V45" s="55">
        <f t="shared" si="58"/>
        <v>0</v>
      </c>
      <c r="W45" s="55">
        <f t="shared" si="59"/>
        <v>0</v>
      </c>
      <c r="X45" s="55">
        <v>0</v>
      </c>
      <c r="Y45" s="55" t="e">
        <v>#N/A</v>
      </c>
      <c r="Z45" s="56" t="e">
        <f t="shared" si="65"/>
        <v>#N/A</v>
      </c>
      <c r="AA45" s="55" t="e">
        <v>#N/A</v>
      </c>
      <c r="AB45" s="55">
        <f t="shared" si="61"/>
        <v>0</v>
      </c>
      <c r="AC45" s="55">
        <v>0</v>
      </c>
      <c r="AD45" s="55">
        <v>-6.4803224358974303</v>
      </c>
      <c r="AE45" s="55">
        <v>0</v>
      </c>
      <c r="AF45" s="55" t="e">
        <v>#N/A</v>
      </c>
    </row>
    <row r="46" spans="1:32" s="57" customFormat="1" ht="15.75" customHeight="1">
      <c r="A46" s="2" t="s">
        <v>111</v>
      </c>
      <c r="B46" s="2"/>
      <c r="C46" s="51" t="str">
        <f t="shared" si="50"/>
        <v xml:space="preserve"> - </v>
      </c>
      <c r="D46" s="51">
        <v>0</v>
      </c>
      <c r="E46" s="51">
        <v>0</v>
      </c>
      <c r="F46" s="51">
        <v>0</v>
      </c>
      <c r="G46" s="51">
        <v>0</v>
      </c>
      <c r="H46" s="51" t="e">
        <f t="shared" si="51"/>
        <v>#DIV/0!</v>
      </c>
      <c r="I46" s="51" t="e">
        <f t="shared" si="52"/>
        <v>#DIV/0!</v>
      </c>
      <c r="J46" s="51">
        <f t="shared" si="53"/>
        <v>0</v>
      </c>
      <c r="K46" s="51" t="e">
        <f t="shared" si="54"/>
        <v>#DIV/0!</v>
      </c>
      <c r="L46" s="51">
        <v>0</v>
      </c>
      <c r="M46" s="51" t="str">
        <f t="shared" si="55"/>
        <v>-</v>
      </c>
      <c r="N46" s="51">
        <v>0</v>
      </c>
      <c r="O46" s="51">
        <f t="shared" ref="O46:P46" si="67">D46/7</f>
        <v>0</v>
      </c>
      <c r="P46" s="51">
        <f t="shared" si="67"/>
        <v>0</v>
      </c>
      <c r="Q46" s="51" t="e">
        <f t="shared" si="57"/>
        <v>#DIV/0!</v>
      </c>
      <c r="R46" s="55">
        <v>200</v>
      </c>
      <c r="S46" s="53" t="s">
        <v>34</v>
      </c>
      <c r="T46" s="54" t="s">
        <v>34</v>
      </c>
      <c r="U46" s="55">
        <v>0</v>
      </c>
      <c r="V46" s="55">
        <f t="shared" si="58"/>
        <v>0</v>
      </c>
      <c r="W46" s="55">
        <f t="shared" si="59"/>
        <v>0</v>
      </c>
      <c r="X46" s="55">
        <v>0</v>
      </c>
      <c r="Y46" s="55" t="e">
        <v>#N/A</v>
      </c>
      <c r="Z46" s="56" t="e">
        <f t="shared" si="65"/>
        <v>#N/A</v>
      </c>
      <c r="AA46" s="55" t="e">
        <v>#N/A</v>
      </c>
      <c r="AB46" s="55">
        <f t="shared" si="61"/>
        <v>0</v>
      </c>
      <c r="AC46" s="55">
        <v>0</v>
      </c>
      <c r="AD46" s="55">
        <v>-6.4803224358974303</v>
      </c>
      <c r="AE46" s="55">
        <v>0</v>
      </c>
      <c r="AF46" s="55" t="e">
        <v>#N/A</v>
      </c>
    </row>
    <row r="47" spans="1:32" s="57" customFormat="1" ht="15.75" customHeight="1">
      <c r="A47" s="2" t="s">
        <v>113</v>
      </c>
      <c r="B47" s="2"/>
      <c r="C47" s="51" t="str">
        <f t="shared" si="50"/>
        <v xml:space="preserve"> - </v>
      </c>
      <c r="D47" s="51">
        <v>0</v>
      </c>
      <c r="E47" s="51">
        <v>0</v>
      </c>
      <c r="F47" s="51">
        <v>0</v>
      </c>
      <c r="G47" s="51">
        <v>0</v>
      </c>
      <c r="H47" s="51" t="e">
        <f t="shared" si="51"/>
        <v>#DIV/0!</v>
      </c>
      <c r="I47" s="51" t="e">
        <f t="shared" si="52"/>
        <v>#DIV/0!</v>
      </c>
      <c r="J47" s="51">
        <f t="shared" si="53"/>
        <v>0</v>
      </c>
      <c r="K47" s="51" t="e">
        <f t="shared" si="54"/>
        <v>#DIV/0!</v>
      </c>
      <c r="L47" s="51">
        <v>0</v>
      </c>
      <c r="M47" s="51" t="str">
        <f t="shared" si="55"/>
        <v>-</v>
      </c>
      <c r="N47" s="51">
        <v>0</v>
      </c>
      <c r="O47" s="51">
        <f t="shared" ref="O47:P47" si="68">D47/7</f>
        <v>0</v>
      </c>
      <c r="P47" s="51">
        <f t="shared" si="68"/>
        <v>0</v>
      </c>
      <c r="Q47" s="51" t="e">
        <f t="shared" si="57"/>
        <v>#DIV/0!</v>
      </c>
      <c r="R47" s="55">
        <v>200</v>
      </c>
      <c r="S47" s="53" t="s">
        <v>34</v>
      </c>
      <c r="T47" s="54" t="s">
        <v>34</v>
      </c>
      <c r="U47" s="55">
        <v>0</v>
      </c>
      <c r="V47" s="55">
        <f t="shared" si="58"/>
        <v>0</v>
      </c>
      <c r="W47" s="55">
        <f t="shared" si="59"/>
        <v>0</v>
      </c>
      <c r="X47" s="55">
        <v>0</v>
      </c>
      <c r="Y47" s="55" t="e">
        <v>#N/A</v>
      </c>
      <c r="Z47" s="56" t="e">
        <f t="shared" si="65"/>
        <v>#N/A</v>
      </c>
      <c r="AA47" s="55" t="e">
        <v>#N/A</v>
      </c>
      <c r="AB47" s="55">
        <f t="shared" si="61"/>
        <v>0</v>
      </c>
      <c r="AC47" s="55">
        <v>0</v>
      </c>
      <c r="AD47" s="55">
        <v>-6.4803224358974303</v>
      </c>
      <c r="AE47" s="55">
        <v>0</v>
      </c>
      <c r="AF47" s="55" t="e">
        <v>#N/A</v>
      </c>
    </row>
    <row r="48" spans="1:32" s="57" customFormat="1" ht="15.75" customHeight="1">
      <c r="A48" s="2" t="s">
        <v>115</v>
      </c>
      <c r="B48" s="2"/>
      <c r="C48" s="51" t="str">
        <f t="shared" si="50"/>
        <v xml:space="preserve"> - </v>
      </c>
      <c r="D48" s="51">
        <v>0</v>
      </c>
      <c r="E48" s="51">
        <v>0</v>
      </c>
      <c r="F48" s="51">
        <v>0</v>
      </c>
      <c r="G48" s="51">
        <v>0</v>
      </c>
      <c r="H48" s="51" t="e">
        <f t="shared" si="51"/>
        <v>#DIV/0!</v>
      </c>
      <c r="I48" s="51" t="e">
        <f t="shared" si="52"/>
        <v>#DIV/0!</v>
      </c>
      <c r="J48" s="51">
        <f t="shared" si="53"/>
        <v>0</v>
      </c>
      <c r="K48" s="51" t="e">
        <f t="shared" si="54"/>
        <v>#DIV/0!</v>
      </c>
      <c r="L48" s="51">
        <v>0</v>
      </c>
      <c r="M48" s="51" t="str">
        <f t="shared" si="55"/>
        <v>-</v>
      </c>
      <c r="N48" s="51">
        <v>0</v>
      </c>
      <c r="O48" s="51">
        <f t="shared" ref="O48:P48" si="69">D48/7</f>
        <v>0</v>
      </c>
      <c r="P48" s="51">
        <f t="shared" si="69"/>
        <v>0</v>
      </c>
      <c r="Q48" s="51" t="e">
        <f t="shared" si="57"/>
        <v>#DIV/0!</v>
      </c>
      <c r="R48" s="55">
        <f ca="1">IFERROR(__xludf.DUMMYFUNCTION("IFERROR(VLOOKUP($B$2,IMPORTRANGE(""https://docs.google.com/spreadsheets/d/1iVgg6Mw12RULLujzHmfOFIY8Q_KaAD8anoZzgtVAQ74/edit#gid=1503384807"",""Second Star - Summary!A1:AD2000""),9,FALSE),"""")"),500)</f>
        <v>500</v>
      </c>
      <c r="S48" s="53">
        <f ca="1">IFERROR(__xludf.DUMMYFUNCTION("IFERROR(VLOOKUP($B$2,IMPORTRANGE(""https://docs.google.com/spreadsheets/d/1iVgg6Mw12RULLujzHmfOFIY8Q_KaAD8anoZzgtVAQ74/edit#gid=1503384807"",""Second Star - Summary!A1:AD2000""),28,FALSE),"""")"),160)</f>
        <v>160</v>
      </c>
      <c r="T48" s="54">
        <f ca="1">IFERROR(__xludf.DUMMYFUNCTION("IFERROR(VLOOKUP($B$2,IMPORTRANGE(""https://docs.google.com/spreadsheets/d/1iVgg6Mw12RULLujzHmfOFIY8Q_KaAD8anoZzgtVAQ74/edit#gid=1503384807"",""Second Star - Summary!A1:AD2000""),29,FALSE),"""")"),44339)</f>
        <v>44339</v>
      </c>
      <c r="U48" s="55">
        <v>0</v>
      </c>
      <c r="V48" s="55">
        <f t="shared" si="58"/>
        <v>0</v>
      </c>
      <c r="W48" s="55">
        <f t="shared" si="59"/>
        <v>0</v>
      </c>
      <c r="X48" s="55">
        <v>0</v>
      </c>
      <c r="Y48" s="55" t="e">
        <v>#N/A</v>
      </c>
      <c r="Z48" s="56" t="e">
        <f t="shared" si="65"/>
        <v>#N/A</v>
      </c>
      <c r="AA48" s="55" t="e">
        <v>#N/A</v>
      </c>
      <c r="AB48" s="55">
        <f t="shared" si="61"/>
        <v>0</v>
      </c>
      <c r="AC48" s="55">
        <v>0</v>
      </c>
      <c r="AD48" s="55">
        <v>-6.4803224358974303</v>
      </c>
      <c r="AE48" s="55">
        <v>0</v>
      </c>
      <c r="AF48" s="55" t="e">
        <v>#N/A</v>
      </c>
    </row>
    <row r="49" spans="1:32" s="57" customFormat="1" ht="15.75" customHeight="1">
      <c r="A49" s="2" t="s">
        <v>117</v>
      </c>
      <c r="B49" s="2"/>
      <c r="C49" s="51" t="str">
        <f t="shared" si="50"/>
        <v xml:space="preserve"> - </v>
      </c>
      <c r="D49" s="51">
        <v>0</v>
      </c>
      <c r="E49" s="51">
        <v>0</v>
      </c>
      <c r="F49" s="51">
        <v>0</v>
      </c>
      <c r="G49" s="51">
        <v>0</v>
      </c>
      <c r="H49" s="51" t="e">
        <f t="shared" si="51"/>
        <v>#DIV/0!</v>
      </c>
      <c r="I49" s="51" t="e">
        <f t="shared" si="52"/>
        <v>#DIV/0!</v>
      </c>
      <c r="J49" s="51">
        <f t="shared" ref="J49:J56" si="70">F49*0.85+G49+AD49*D49+D49*AC49+AE49+AB49</f>
        <v>0</v>
      </c>
      <c r="K49" s="51" t="e">
        <f t="shared" si="54"/>
        <v>#DIV/0!</v>
      </c>
      <c r="L49" s="51">
        <v>0</v>
      </c>
      <c r="M49" s="51" t="str">
        <f t="shared" si="55"/>
        <v>-</v>
      </c>
      <c r="N49" s="51">
        <v>0</v>
      </c>
      <c r="O49" s="51">
        <f t="shared" ref="O49:P49" si="71">D49/7</f>
        <v>0</v>
      </c>
      <c r="P49" s="51">
        <f t="shared" si="71"/>
        <v>0</v>
      </c>
      <c r="Q49" s="51" t="e">
        <f t="shared" si="57"/>
        <v>#DIV/0!</v>
      </c>
      <c r="R49" s="55">
        <f ca="1">IFERROR(__xludf.DUMMYFUNCTION("IFERROR(VLOOKUP($B$2,IMPORTRANGE(""https://docs.google.com/spreadsheets/d/1iVgg6Mw12RULLujzHmfOFIY8Q_KaAD8anoZzgtVAQ74/edit#gid=1503384807"",""Second Star - Summary!A1:AD2000""),9,FALSE),"""")"),500)</f>
        <v>500</v>
      </c>
      <c r="S49" s="53">
        <f ca="1">IFERROR(__xludf.DUMMYFUNCTION("IFERROR(VLOOKUP($B$2,IMPORTRANGE(""https://docs.google.com/spreadsheets/d/1iVgg6Mw12RULLujzHmfOFIY8Q_KaAD8anoZzgtVAQ74/edit#gid=1503384807"",""Second Star - Summary!A1:AD2000""),28,FALSE),"""")"),160)</f>
        <v>160</v>
      </c>
      <c r="T49" s="54">
        <f ca="1">IFERROR(__xludf.DUMMYFUNCTION("IFERROR(VLOOKUP($B$2,IMPORTRANGE(""https://docs.google.com/spreadsheets/d/1iVgg6Mw12RULLujzHmfOFIY8Q_KaAD8anoZzgtVAQ74/edit#gid=1503384807"",""Second Star - Summary!A1:AD2000""),29,FALSE),"""")"),44339)</f>
        <v>44339</v>
      </c>
      <c r="U49" s="55">
        <v>0</v>
      </c>
      <c r="V49" s="55">
        <f t="shared" si="58"/>
        <v>0</v>
      </c>
      <c r="W49" s="55">
        <f t="shared" si="59"/>
        <v>0</v>
      </c>
      <c r="X49" s="55">
        <v>0</v>
      </c>
      <c r="Y49" s="55" t="e">
        <v>#N/A</v>
      </c>
      <c r="Z49" s="56" t="e">
        <f t="shared" si="65"/>
        <v>#N/A</v>
      </c>
      <c r="AA49" s="55" t="e">
        <v>#N/A</v>
      </c>
      <c r="AB49" s="55">
        <f t="shared" si="61"/>
        <v>0</v>
      </c>
      <c r="AC49" s="55">
        <v>0</v>
      </c>
      <c r="AD49" s="55">
        <v>-6.4803224358974303</v>
      </c>
      <c r="AE49" s="55"/>
      <c r="AF49" s="55" t="e">
        <v>#N/A</v>
      </c>
    </row>
    <row r="50" spans="1:32" s="57" customFormat="1" ht="15.75" customHeight="1">
      <c r="A50" s="2" t="s">
        <v>119</v>
      </c>
      <c r="B50" s="2"/>
      <c r="C50" s="51" t="str">
        <f t="shared" si="50"/>
        <v xml:space="preserve"> - </v>
      </c>
      <c r="D50" s="51">
        <v>0</v>
      </c>
      <c r="E50" s="51">
        <v>0</v>
      </c>
      <c r="F50" s="51">
        <v>0</v>
      </c>
      <c r="G50" s="51">
        <v>0</v>
      </c>
      <c r="H50" s="51" t="e">
        <f t="shared" si="51"/>
        <v>#DIV/0!</v>
      </c>
      <c r="I50" s="51" t="e">
        <f t="shared" si="52"/>
        <v>#DIV/0!</v>
      </c>
      <c r="J50" s="51">
        <f t="shared" si="70"/>
        <v>0</v>
      </c>
      <c r="K50" s="51" t="e">
        <f t="shared" si="54"/>
        <v>#DIV/0!</v>
      </c>
      <c r="L50" s="51">
        <v>0</v>
      </c>
      <c r="M50" s="51" t="str">
        <f t="shared" si="55"/>
        <v>-</v>
      </c>
      <c r="N50" s="51">
        <v>0</v>
      </c>
      <c r="O50" s="51">
        <f t="shared" ref="O50:P50" si="72">D50/7</f>
        <v>0</v>
      </c>
      <c r="P50" s="51">
        <f t="shared" si="72"/>
        <v>0</v>
      </c>
      <c r="Q50" s="51" t="e">
        <f t="shared" si="57"/>
        <v>#DIV/0!</v>
      </c>
      <c r="R50" s="55">
        <f ca="1">IFERROR(__xludf.DUMMYFUNCTION("IFERROR(VLOOKUP($B$2,IMPORTRANGE(""https://docs.google.com/spreadsheets/d/1iVgg6Mw12RULLujzHmfOFIY8Q_KaAD8anoZzgtVAQ74/edit#gid=1503384807"",""Second Star - Summary!A1:AD2000""),9,FALSE),"""")"),500)</f>
        <v>500</v>
      </c>
      <c r="S50" s="53">
        <f ca="1">IFERROR(__xludf.DUMMYFUNCTION("IFERROR(VLOOKUP($B$2,IMPORTRANGE(""https://docs.google.com/spreadsheets/d/1iVgg6Mw12RULLujzHmfOFIY8Q_KaAD8anoZzgtVAQ74/edit#gid=1503384807"",""Second Star - Summary!A1:AD2000""),28,FALSE),"""")"),160)</f>
        <v>160</v>
      </c>
      <c r="T50" s="54">
        <f ca="1">IFERROR(__xludf.DUMMYFUNCTION("IFERROR(VLOOKUP($B$2,IMPORTRANGE(""https://docs.google.com/spreadsheets/d/1iVgg6Mw12RULLujzHmfOFIY8Q_KaAD8anoZzgtVAQ74/edit#gid=1503384807"",""Second Star - Summary!A1:AD2000""),29,FALSE),"""")"),44339)</f>
        <v>44339</v>
      </c>
      <c r="U50" s="55">
        <v>0</v>
      </c>
      <c r="V50" s="55">
        <f t="shared" si="58"/>
        <v>0</v>
      </c>
      <c r="W50" s="55">
        <f t="shared" si="59"/>
        <v>0</v>
      </c>
      <c r="X50" s="55">
        <v>0</v>
      </c>
      <c r="Y50" s="55" t="e">
        <v>#N/A</v>
      </c>
      <c r="Z50" s="56" t="e">
        <f t="shared" si="65"/>
        <v>#N/A</v>
      </c>
      <c r="AA50" s="55" t="e">
        <v>#N/A</v>
      </c>
      <c r="AB50" s="55">
        <f t="shared" si="61"/>
        <v>0</v>
      </c>
      <c r="AC50" s="55">
        <v>0</v>
      </c>
      <c r="AD50" s="55">
        <v>-6.4803224358974303</v>
      </c>
      <c r="AE50" s="55">
        <v>0</v>
      </c>
      <c r="AF50" s="55" t="e">
        <v>#N/A</v>
      </c>
    </row>
    <row r="51" spans="1:32" s="57" customFormat="1" ht="15.75" customHeight="1">
      <c r="A51" s="2" t="s">
        <v>121</v>
      </c>
      <c r="B51" s="2"/>
      <c r="C51" s="51" t="str">
        <f t="shared" si="50"/>
        <v xml:space="preserve"> - </v>
      </c>
      <c r="D51" s="51">
        <v>0</v>
      </c>
      <c r="E51" s="51">
        <v>0</v>
      </c>
      <c r="F51" s="51">
        <v>0</v>
      </c>
      <c r="G51" s="51">
        <v>0</v>
      </c>
      <c r="H51" s="51" t="e">
        <f t="shared" si="51"/>
        <v>#DIV/0!</v>
      </c>
      <c r="I51" s="51" t="e">
        <f t="shared" si="52"/>
        <v>#DIV/0!</v>
      </c>
      <c r="J51" s="51">
        <f t="shared" si="70"/>
        <v>0</v>
      </c>
      <c r="K51" s="51" t="e">
        <f t="shared" si="54"/>
        <v>#DIV/0!</v>
      </c>
      <c r="L51" s="51">
        <v>0</v>
      </c>
      <c r="M51" s="51" t="str">
        <f t="shared" si="55"/>
        <v>-</v>
      </c>
      <c r="N51" s="51">
        <v>0</v>
      </c>
      <c r="O51" s="51">
        <f t="shared" ref="O51:P51" si="73">D51/7</f>
        <v>0</v>
      </c>
      <c r="P51" s="51">
        <f t="shared" si="73"/>
        <v>0</v>
      </c>
      <c r="Q51" s="51" t="e">
        <f t="shared" si="57"/>
        <v>#DIV/0!</v>
      </c>
      <c r="R51" s="55">
        <f ca="1">IFERROR(__xludf.DUMMYFUNCTION("IFERROR(VLOOKUP($B$2,IMPORTRANGE(""https://docs.google.com/spreadsheets/d/1iVgg6Mw12RULLujzHmfOFIY8Q_KaAD8anoZzgtVAQ74/edit#gid=1503384807"",""Second Star - Summary!A1:AD2000""),9,FALSE),"""")"),500)</f>
        <v>500</v>
      </c>
      <c r="S51" s="53">
        <f ca="1">IFERROR(__xludf.DUMMYFUNCTION("IFERROR(VLOOKUP($B$2,IMPORTRANGE(""https://docs.google.com/spreadsheets/d/1iVgg6Mw12RULLujzHmfOFIY8Q_KaAD8anoZzgtVAQ74/edit#gid=1503384807"",""Second Star - Summary!A1:AD2000""),28,FALSE),"""")"),160)</f>
        <v>160</v>
      </c>
      <c r="T51" s="54">
        <f ca="1">IFERROR(__xludf.DUMMYFUNCTION("IFERROR(VLOOKUP($B$2,IMPORTRANGE(""https://docs.google.com/spreadsheets/d/1iVgg6Mw12RULLujzHmfOFIY8Q_KaAD8anoZzgtVAQ74/edit#gid=1503384807"",""Second Star - Summary!A1:AD2000""),29,FALSE),"""")"),44339)</f>
        <v>44339</v>
      </c>
      <c r="U51" s="55">
        <v>0</v>
      </c>
      <c r="V51" s="55">
        <f t="shared" si="58"/>
        <v>0</v>
      </c>
      <c r="W51" s="55">
        <f t="shared" si="59"/>
        <v>0</v>
      </c>
      <c r="X51" s="55">
        <v>0</v>
      </c>
      <c r="Y51" s="55" t="e">
        <v>#N/A</v>
      </c>
      <c r="Z51" s="56" t="e">
        <f t="shared" si="65"/>
        <v>#N/A</v>
      </c>
      <c r="AA51" s="55" t="e">
        <v>#N/A</v>
      </c>
      <c r="AB51" s="55">
        <f t="shared" si="61"/>
        <v>0</v>
      </c>
      <c r="AC51" s="55">
        <v>0</v>
      </c>
      <c r="AD51" s="55">
        <v>-6.4803224358974303</v>
      </c>
      <c r="AE51" s="55">
        <v>0</v>
      </c>
      <c r="AF51" s="55" t="e">
        <v>#N/A</v>
      </c>
    </row>
    <row r="52" spans="1:32" s="57" customFormat="1" ht="15.75" customHeight="1">
      <c r="A52" s="2" t="s">
        <v>123</v>
      </c>
      <c r="B52" s="2"/>
      <c r="C52" s="51" t="str">
        <f t="shared" si="50"/>
        <v xml:space="preserve"> - </v>
      </c>
      <c r="D52" s="51">
        <v>0</v>
      </c>
      <c r="E52" s="51">
        <v>0</v>
      </c>
      <c r="F52" s="51">
        <v>0</v>
      </c>
      <c r="G52" s="51">
        <v>0</v>
      </c>
      <c r="H52" s="51" t="e">
        <f t="shared" si="51"/>
        <v>#DIV/0!</v>
      </c>
      <c r="I52" s="51" t="e">
        <f t="shared" si="52"/>
        <v>#DIV/0!</v>
      </c>
      <c r="J52" s="51">
        <f t="shared" si="70"/>
        <v>0</v>
      </c>
      <c r="K52" s="51" t="e">
        <f t="shared" si="54"/>
        <v>#DIV/0!</v>
      </c>
      <c r="L52" s="51">
        <v>0</v>
      </c>
      <c r="M52" s="51" t="str">
        <f t="shared" si="55"/>
        <v>-</v>
      </c>
      <c r="N52" s="51">
        <v>0</v>
      </c>
      <c r="O52" s="51">
        <f t="shared" ref="O52:P52" si="74">D52/7</f>
        <v>0</v>
      </c>
      <c r="P52" s="51">
        <f t="shared" si="74"/>
        <v>0</v>
      </c>
      <c r="Q52" s="51" t="e">
        <f t="shared" si="57"/>
        <v>#DIV/0!</v>
      </c>
      <c r="R52" s="55">
        <f ca="1">IFERROR(__xludf.DUMMYFUNCTION("IFERROR(VLOOKUP($B$2,IMPORTRANGE(""https://docs.google.com/spreadsheets/d/1iVgg6Mw12RULLujzHmfOFIY8Q_KaAD8anoZzgtVAQ74/edit#gid=1503384807"",""Second Star - Summary!A1:AD2000""),9,FALSE),"""")"),500)</f>
        <v>500</v>
      </c>
      <c r="S52" s="53">
        <f ca="1">IFERROR(__xludf.DUMMYFUNCTION("IFERROR(VLOOKUP($B$2,IMPORTRANGE(""https://docs.google.com/spreadsheets/d/1iVgg6Mw12RULLujzHmfOFIY8Q_KaAD8anoZzgtVAQ74/edit#gid=1503384807"",""Second Star - Summary!A1:AD2000""),28,FALSE),"""")"),160)</f>
        <v>160</v>
      </c>
      <c r="T52" s="54">
        <f ca="1">IFERROR(__xludf.DUMMYFUNCTION("IFERROR(VLOOKUP($B$2,IMPORTRANGE(""https://docs.google.com/spreadsheets/d/1iVgg6Mw12RULLujzHmfOFIY8Q_KaAD8anoZzgtVAQ74/edit#gid=1503384807"",""Second Star - Summary!A1:AD2000""),29,FALSE),"""")"),44339)</f>
        <v>44339</v>
      </c>
      <c r="U52" s="55">
        <v>0</v>
      </c>
      <c r="V52" s="55">
        <f t="shared" si="58"/>
        <v>0</v>
      </c>
      <c r="W52" s="55">
        <f t="shared" si="59"/>
        <v>0</v>
      </c>
      <c r="X52" s="55">
        <v>0</v>
      </c>
      <c r="Y52" s="55" t="e">
        <v>#N/A</v>
      </c>
      <c r="Z52" s="56" t="e">
        <f t="shared" si="65"/>
        <v>#N/A</v>
      </c>
      <c r="AA52" s="55" t="e">
        <v>#N/A</v>
      </c>
      <c r="AB52" s="55">
        <f t="shared" si="61"/>
        <v>0</v>
      </c>
      <c r="AC52" s="55">
        <v>0</v>
      </c>
      <c r="AD52" s="55">
        <v>-6.4803224358974303</v>
      </c>
      <c r="AE52" s="55">
        <v>0</v>
      </c>
      <c r="AF52" s="55">
        <v>0</v>
      </c>
    </row>
    <row r="53" spans="1:32" s="57" customFormat="1">
      <c r="A53" s="2" t="s">
        <v>38</v>
      </c>
      <c r="B53" s="2"/>
      <c r="C53" s="51" t="str">
        <f t="shared" si="50"/>
        <v xml:space="preserve"> - </v>
      </c>
      <c r="D53" s="51">
        <v>0</v>
      </c>
      <c r="E53" s="51">
        <v>0</v>
      </c>
      <c r="F53" s="51">
        <v>0</v>
      </c>
      <c r="G53" s="51">
        <v>0</v>
      </c>
      <c r="H53" s="51" t="e">
        <f t="shared" si="51"/>
        <v>#DIV/0!</v>
      </c>
      <c r="I53" s="51" t="e">
        <f t="shared" si="52"/>
        <v>#DIV/0!</v>
      </c>
      <c r="J53" s="51">
        <f t="shared" si="70"/>
        <v>0</v>
      </c>
      <c r="K53" s="51" t="e">
        <f t="shared" si="54"/>
        <v>#DIV/0!</v>
      </c>
      <c r="L53" s="51">
        <v>0</v>
      </c>
      <c r="M53" s="51" t="str">
        <f t="shared" si="55"/>
        <v>-</v>
      </c>
      <c r="N53" s="51">
        <v>0</v>
      </c>
      <c r="O53" s="51">
        <f t="shared" ref="O53:P53" si="75">D53/7</f>
        <v>0</v>
      </c>
      <c r="P53" s="51">
        <f t="shared" si="75"/>
        <v>0</v>
      </c>
      <c r="Q53" s="51" t="e">
        <f t="shared" si="57"/>
        <v>#DIV/0!</v>
      </c>
      <c r="R53" s="55">
        <f ca="1">IFERROR(__xludf.DUMMYFUNCTION("IFERROR(VLOOKUP($B$2,IMPORTRANGE(""https://docs.google.com/spreadsheets/d/1iVgg6Mw12RULLujzHmfOFIY8Q_KaAD8anoZzgtVAQ74/edit#gid=1503384807"",""Second Star - Summary!A1:AD2000""),9,FALSE),"""")"),500)</f>
        <v>500</v>
      </c>
      <c r="S53" s="53">
        <f ca="1">IFERROR(__xludf.DUMMYFUNCTION("IFERROR(VLOOKUP($B$2,IMPORTRANGE(""https://docs.google.com/spreadsheets/d/1iVgg6Mw12RULLujzHmfOFIY8Q_KaAD8anoZzgtVAQ74/edit#gid=1503384807"",""Second Star - Summary!A1:AD2000""),28,FALSE),"""")"),160)</f>
        <v>160</v>
      </c>
      <c r="T53" s="54">
        <f ca="1">IFERROR(__xludf.DUMMYFUNCTION("IFERROR(VLOOKUP($B$2,IMPORTRANGE(""https://docs.google.com/spreadsheets/d/1iVgg6Mw12RULLujzHmfOFIY8Q_KaAD8anoZzgtVAQ74/edit#gid=1503384807"",""Second Star - Summary!A1:AD2000""),29,FALSE),"""")"),44339)</f>
        <v>44339</v>
      </c>
      <c r="U53" s="55">
        <v>0</v>
      </c>
      <c r="V53" s="55">
        <f t="shared" si="58"/>
        <v>0</v>
      </c>
      <c r="W53" s="55">
        <f t="shared" si="59"/>
        <v>0</v>
      </c>
      <c r="X53" s="55">
        <v>0</v>
      </c>
      <c r="Y53" s="55" t="e">
        <v>#N/A</v>
      </c>
      <c r="Z53" s="56" t="e">
        <f t="shared" si="65"/>
        <v>#N/A</v>
      </c>
      <c r="AA53" s="55" t="e">
        <v>#N/A</v>
      </c>
      <c r="AB53" s="55">
        <f t="shared" si="61"/>
        <v>0</v>
      </c>
      <c r="AC53" s="55">
        <v>0</v>
      </c>
      <c r="AD53" s="55">
        <v>-6.4803224358974303</v>
      </c>
      <c r="AE53" s="55">
        <v>0</v>
      </c>
      <c r="AF53" s="55">
        <v>0</v>
      </c>
    </row>
    <row r="54" spans="1:32" s="57" customFormat="1">
      <c r="A54" s="2" t="s">
        <v>40</v>
      </c>
      <c r="B54" s="2"/>
      <c r="C54" s="51" t="str">
        <f t="shared" si="50"/>
        <v xml:space="preserve"> - </v>
      </c>
      <c r="D54" s="51">
        <v>0</v>
      </c>
      <c r="E54" s="51">
        <v>0</v>
      </c>
      <c r="F54" s="51">
        <v>0</v>
      </c>
      <c r="G54" s="51">
        <v>0</v>
      </c>
      <c r="H54" s="51" t="e">
        <f t="shared" si="51"/>
        <v>#DIV/0!</v>
      </c>
      <c r="I54" s="51" t="e">
        <f t="shared" si="52"/>
        <v>#DIV/0!</v>
      </c>
      <c r="J54" s="51">
        <f t="shared" si="70"/>
        <v>0</v>
      </c>
      <c r="K54" s="51" t="e">
        <f t="shared" si="54"/>
        <v>#DIV/0!</v>
      </c>
      <c r="L54" s="51">
        <v>0</v>
      </c>
      <c r="M54" s="51" t="str">
        <f t="shared" si="55"/>
        <v>-</v>
      </c>
      <c r="N54" s="51">
        <v>0</v>
      </c>
      <c r="O54" s="51">
        <f t="shared" ref="O54:P54" si="76">D54/7</f>
        <v>0</v>
      </c>
      <c r="P54" s="51">
        <f t="shared" si="76"/>
        <v>0</v>
      </c>
      <c r="Q54" s="51" t="e">
        <f t="shared" si="57"/>
        <v>#DIV/0!</v>
      </c>
      <c r="R54" s="55">
        <f ca="1">IFERROR(__xludf.DUMMYFUNCTION("IFERROR(VLOOKUP($B$2,IMPORTRANGE(""https://docs.google.com/spreadsheets/d/1iVgg6Mw12RULLujzHmfOFIY8Q_KaAD8anoZzgtVAQ74/edit#gid=1503384807"",""Second Star - Summary!A1:AD2000""),9,FALSE),"""")"),500)</f>
        <v>500</v>
      </c>
      <c r="S54" s="53">
        <f ca="1">IFERROR(__xludf.DUMMYFUNCTION("IFERROR(VLOOKUP($B$2,IMPORTRANGE(""https://docs.google.com/spreadsheets/d/1iVgg6Mw12RULLujzHmfOFIY8Q_KaAD8anoZzgtVAQ74/edit#gid=1503384807"",""Second Star - Summary!A1:AD2000""),28,FALSE),"""")"),160)</f>
        <v>160</v>
      </c>
      <c r="T54" s="54">
        <f ca="1">IFERROR(__xludf.DUMMYFUNCTION("IFERROR(VLOOKUP($B$2,IMPORTRANGE(""https://docs.google.com/spreadsheets/d/1iVgg6Mw12RULLujzHmfOFIY8Q_KaAD8anoZzgtVAQ74/edit#gid=1503384807"",""Second Star - Summary!A1:AD2000""),29,FALSE),"""")"),44339)</f>
        <v>44339</v>
      </c>
      <c r="U54" s="55">
        <v>0</v>
      </c>
      <c r="V54" s="55">
        <f t="shared" si="58"/>
        <v>0</v>
      </c>
      <c r="W54" s="55">
        <f t="shared" si="59"/>
        <v>0</v>
      </c>
      <c r="X54" s="55">
        <v>0</v>
      </c>
      <c r="Y54" s="55" t="e">
        <v>#N/A</v>
      </c>
      <c r="Z54" s="56" t="e">
        <f t="shared" si="65"/>
        <v>#N/A</v>
      </c>
      <c r="AA54" s="55" t="e">
        <v>#N/A</v>
      </c>
      <c r="AB54" s="55">
        <f t="shared" si="61"/>
        <v>0</v>
      </c>
      <c r="AC54" s="55">
        <v>0</v>
      </c>
      <c r="AD54" s="55">
        <v>-6.4803224358974303</v>
      </c>
      <c r="AE54" s="55">
        <v>0</v>
      </c>
      <c r="AF54" s="55">
        <v>0</v>
      </c>
    </row>
    <row r="55" spans="1:32" s="57" customFormat="1" ht="15.75" customHeight="1">
      <c r="A55" s="2" t="s">
        <v>32</v>
      </c>
      <c r="B55" s="2"/>
      <c r="C55" s="51" t="str">
        <f t="shared" si="50"/>
        <v xml:space="preserve"> - </v>
      </c>
      <c r="D55" s="51">
        <v>0</v>
      </c>
      <c r="E55" s="51">
        <v>0</v>
      </c>
      <c r="F55" s="51">
        <v>0</v>
      </c>
      <c r="G55" s="51">
        <v>0</v>
      </c>
      <c r="H55" s="51" t="e">
        <f t="shared" si="51"/>
        <v>#DIV/0!</v>
      </c>
      <c r="I55" s="51" t="e">
        <f t="shared" si="52"/>
        <v>#DIV/0!</v>
      </c>
      <c r="J55" s="51">
        <f t="shared" si="70"/>
        <v>0</v>
      </c>
      <c r="K55" s="51" t="e">
        <f t="shared" si="54"/>
        <v>#DIV/0!</v>
      </c>
      <c r="L55" s="51">
        <v>0</v>
      </c>
      <c r="M55" s="51" t="str">
        <f t="shared" si="55"/>
        <v>-</v>
      </c>
      <c r="N55" s="51">
        <v>0</v>
      </c>
      <c r="O55" s="51">
        <f t="shared" ref="O55:P55" si="77">D55/7</f>
        <v>0</v>
      </c>
      <c r="P55" s="51">
        <f t="shared" si="77"/>
        <v>0</v>
      </c>
      <c r="Q55" s="51" t="e">
        <f t="shared" si="57"/>
        <v>#DIV/0!</v>
      </c>
      <c r="R55" s="55">
        <v>312</v>
      </c>
      <c r="S55" s="53" t="s">
        <v>34</v>
      </c>
      <c r="T55" s="54" t="s">
        <v>34</v>
      </c>
      <c r="U55" s="55">
        <v>0</v>
      </c>
      <c r="V55" s="55">
        <f t="shared" si="58"/>
        <v>0</v>
      </c>
      <c r="W55" s="55">
        <f t="shared" si="59"/>
        <v>0</v>
      </c>
      <c r="X55" s="55">
        <v>0</v>
      </c>
      <c r="Y55" s="55" t="e">
        <v>#N/A</v>
      </c>
      <c r="Z55" s="56" t="e">
        <f t="shared" si="65"/>
        <v>#N/A</v>
      </c>
      <c r="AA55" s="55" t="e">
        <v>#N/A</v>
      </c>
      <c r="AB55" s="55">
        <f t="shared" si="61"/>
        <v>0</v>
      </c>
      <c r="AC55" s="55">
        <v>0</v>
      </c>
      <c r="AD55" s="55">
        <v>-6.4803224358974303</v>
      </c>
      <c r="AE55" s="55">
        <v>0</v>
      </c>
      <c r="AF55" s="55" t="e">
        <v>#N/A</v>
      </c>
    </row>
    <row r="56" spans="1:32" s="57" customFormat="1" ht="15.75" customHeight="1">
      <c r="A56" s="2" t="s">
        <v>36</v>
      </c>
      <c r="B56" s="2"/>
      <c r="C56" s="51" t="str">
        <f t="shared" si="50"/>
        <v xml:space="preserve"> - </v>
      </c>
      <c r="D56" s="51">
        <v>0</v>
      </c>
      <c r="E56" s="51">
        <v>0</v>
      </c>
      <c r="F56" s="51">
        <v>0</v>
      </c>
      <c r="G56" s="51">
        <v>0</v>
      </c>
      <c r="H56" s="51" t="e">
        <f t="shared" si="51"/>
        <v>#DIV/0!</v>
      </c>
      <c r="I56" s="51" t="e">
        <f t="shared" si="52"/>
        <v>#DIV/0!</v>
      </c>
      <c r="J56" s="51">
        <f t="shared" si="70"/>
        <v>0</v>
      </c>
      <c r="K56" s="51" t="e">
        <f t="shared" si="54"/>
        <v>#DIV/0!</v>
      </c>
      <c r="L56" s="51">
        <v>0</v>
      </c>
      <c r="M56" s="51" t="str">
        <f t="shared" si="55"/>
        <v>-</v>
      </c>
      <c r="N56" s="51">
        <v>0</v>
      </c>
      <c r="O56" s="51">
        <f t="shared" ref="O56:P56" si="78">D56/7</f>
        <v>0</v>
      </c>
      <c r="P56" s="51">
        <f t="shared" si="78"/>
        <v>0</v>
      </c>
      <c r="Q56" s="51" t="e">
        <f t="shared" si="57"/>
        <v>#DIV/0!</v>
      </c>
      <c r="R56" s="55">
        <f ca="1">IFERROR(__xludf.DUMMYFUNCTION("IFERROR(VLOOKUP($B$2,IMPORTRANGE(""https://docs.google.com/spreadsheets/d/1iVgg6Mw12RULLujzHmfOFIY8Q_KaAD8anoZzgtVAQ74/edit#gid=1503384807"",""Second Star - Summary!A1:AD2000""),9,FALSE),"""")"),500)</f>
        <v>500</v>
      </c>
      <c r="S56" s="53">
        <f ca="1">IFERROR(__xludf.DUMMYFUNCTION("IFERROR(VLOOKUP($B$2,IMPORTRANGE(""https://docs.google.com/spreadsheets/d/1iVgg6Mw12RULLujzHmfOFIY8Q_KaAD8anoZzgtVAQ74/edit#gid=1503384807"",""Second Star - Summary!A1:AD2000""),28,FALSE),"""")"),160)</f>
        <v>160</v>
      </c>
      <c r="T56" s="54">
        <f ca="1">IFERROR(__xludf.DUMMYFUNCTION("IFERROR(VLOOKUP($B$2,IMPORTRANGE(""https://docs.google.com/spreadsheets/d/1iVgg6Mw12RULLujzHmfOFIY8Q_KaAD8anoZzgtVAQ74/edit#gid=1503384807"",""Second Star - Summary!A1:AD2000""),29,FALSE),"""")"),44339)</f>
        <v>44339</v>
      </c>
      <c r="U56" s="55">
        <v>0</v>
      </c>
      <c r="V56" s="55">
        <f t="shared" si="58"/>
        <v>0</v>
      </c>
      <c r="W56" s="55">
        <f t="shared" si="59"/>
        <v>0</v>
      </c>
      <c r="X56" s="55">
        <v>0</v>
      </c>
      <c r="Y56" s="55" t="e">
        <v>#N/A</v>
      </c>
      <c r="Z56" s="56" t="e">
        <f t="shared" si="65"/>
        <v>#N/A</v>
      </c>
      <c r="AA56" s="55" t="e">
        <v>#N/A</v>
      </c>
      <c r="AB56" s="55">
        <f t="shared" si="61"/>
        <v>0</v>
      </c>
      <c r="AC56" s="55">
        <v>0</v>
      </c>
      <c r="AD56" s="55">
        <v>-6.4803224358974303</v>
      </c>
      <c r="AE56" s="55">
        <v>0</v>
      </c>
      <c r="AF56" s="55" t="e">
        <v>#N/A</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82" priority="1" operator="lessThan">
      <formula>100</formula>
    </cfRule>
  </conditionalFormatting>
  <conditionalFormatting sqref="Q1:Q3 Q57:Q1000">
    <cfRule type="cellIs" dxfId="81" priority="2" operator="lessThan">
      <formula>100</formula>
    </cfRule>
  </conditionalFormatting>
  <conditionalFormatting sqref="I1:I3 I57:I1000">
    <cfRule type="cellIs" dxfId="80" priority="3" operator="lessThan">
      <formula>0.05</formula>
    </cfRule>
  </conditionalFormatting>
  <conditionalFormatting sqref="I4:I17">
    <cfRule type="cellIs" dxfId="79" priority="4" operator="lessThan">
      <formula>0.05</formula>
    </cfRule>
  </conditionalFormatting>
  <conditionalFormatting sqref="I18:I56">
    <cfRule type="cellIs" dxfId="78" priority="5" operator="lessThan">
      <formula>0.05</formula>
    </cfRule>
  </conditionalFormatting>
  <conditionalFormatting sqref="Q4:Q56">
    <cfRule type="cellIs" dxfId="77" priority="6" operator="lessThan">
      <formula>100</formula>
    </cfRule>
  </conditionalFormatting>
  <conditionalFormatting sqref="Q4:Q56">
    <cfRule type="cellIs" dxfId="76" priority="7" operator="lessThan">
      <formula>100</formula>
    </cfRule>
  </conditionalFormatting>
  <pageMargins left="0.7" right="0.7" top="0.75" bottom="0.75" header="0" footer="0"/>
  <pageSetup orientation="portrait"/>
  <legacy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8.832031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Info!B1:BJ5000""),4,FALSE),"""")"),"Corn Filled Cornhole Bean Bags - Set of 8 Bags for Corn Hole Toss Game - Regulation Size &amp; Weight - 4 Red and 4 Gray")</f>
        <v>Corn Filled Cornhole Bean Bags - Set of 8 Bags for Corn Hole Toss Game - Regulation Size &amp; Weight - 4 Red and 4 Gray</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Info!B1:BJ5000""),3,FALSE),"""")"),"B07VRSYZQR")</f>
        <v>B07VRSYZQR</v>
      </c>
      <c r="B2" s="4" t="s">
        <v>1141</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7.6239087481146237</v>
      </c>
      <c r="D3" s="8">
        <f>SUM(D4:D99819)</f>
        <v>112</v>
      </c>
      <c r="E3" s="8"/>
      <c r="F3" s="9">
        <f t="shared" ref="F3:G3" si="0">SUM(F4:F99819)</f>
        <v>2149.0600000000004</v>
      </c>
      <c r="G3" s="9">
        <f t="shared" si="0"/>
        <v>-266.70999999999998</v>
      </c>
      <c r="H3" s="10">
        <f t="shared" ref="H3:H39" si="1">G3/F3*-1</f>
        <v>0.1241054228360306</v>
      </c>
      <c r="I3" s="11">
        <f t="shared" ref="I3:I39" si="2">J3/F3</f>
        <v>-3.3617331076674334E-2</v>
      </c>
      <c r="J3" s="9">
        <f>SUM(J4:J99819)</f>
        <v>-72.24566152363775</v>
      </c>
      <c r="K3" s="9">
        <f t="shared" ref="K3:K39" si="3">J3/D3</f>
        <v>-0.64505054931819417</v>
      </c>
      <c r="L3" s="8"/>
      <c r="M3" s="12"/>
      <c r="N3" s="13"/>
      <c r="O3" s="8" t="str">
        <f ca="1">IFERROR(__xludf.DUMMYFUNCTION("IFERROR(VLOOKUP(B2,IMPORTRANGE(""https://docs.google.com/spreadsheets/d/1owCo6kL_VFQ5nPTdNogErmCBLjNiktT1m3SzTrxu3R0/edit#gid=2146806407"",""Second Star - Compiled!b1:g5000""),2,FALSE),"""")"),"1 - March
1 - April
1 - May
1 - Jun
1 - Jul
1 - Aug
1 - Sept
1 - Oct
1 - Nov
1 - Dec
1 - Jan
1 - Feb")</f>
        <v>1 - March
1 - April
1 - May
1 - Jun
1 - Jul
1 - Aug
1 - Sept
1 - Oct
1 - Nov
1 - Dec
1 - Jan
1 - Feb</v>
      </c>
      <c r="P3" s="8"/>
      <c r="Q3" s="14"/>
      <c r="R3" s="13"/>
      <c r="S3" s="13"/>
      <c r="T3" s="13"/>
      <c r="U3" s="8">
        <f>SUM(U4:U99819)</f>
        <v>20</v>
      </c>
      <c r="V3" s="10">
        <f>AVERAGE(V4:V99819)</f>
        <v>6.3522012578616352E-2</v>
      </c>
      <c r="W3" s="9">
        <f>ROUND(AVERAGE(W4:W99819),2)</f>
        <v>1.28</v>
      </c>
      <c r="X3" s="8"/>
      <c r="Y3" s="8"/>
      <c r="Z3" s="8"/>
      <c r="AA3" s="8"/>
      <c r="AB3" s="8"/>
      <c r="AC3" s="15"/>
      <c r="AD3" s="9"/>
      <c r="AE3" s="9">
        <f>SUM(AE4:AE99819)</f>
        <v>0</v>
      </c>
      <c r="AF3" s="16"/>
    </row>
    <row r="4" spans="1:32" s="57" customFormat="1">
      <c r="A4" s="17" t="s">
        <v>48</v>
      </c>
      <c r="B4" s="2" t="s">
        <v>810</v>
      </c>
      <c r="C4" s="50">
        <v>15.99</v>
      </c>
      <c r="D4" s="51">
        <v>0</v>
      </c>
      <c r="E4" s="51">
        <v>0</v>
      </c>
      <c r="F4" s="51">
        <v>0</v>
      </c>
      <c r="G4" s="51">
        <v>-0.81</v>
      </c>
      <c r="H4" s="51" t="e">
        <f t="shared" si="1"/>
        <v>#DIV/0!</v>
      </c>
      <c r="I4" s="51" t="e">
        <f t="shared" si="2"/>
        <v>#DIV/0!</v>
      </c>
      <c r="J4" s="51">
        <f t="shared" ref="J4:J38" si="4">F4*0.85+G4+AD4*D4+D4*AC4+AE4+AB4</f>
        <v>-3.6869269751388885</v>
      </c>
      <c r="K4" s="51" t="e">
        <f t="shared" si="3"/>
        <v>#DIV/0!</v>
      </c>
      <c r="L4" s="51">
        <v>0</v>
      </c>
      <c r="M4" s="51" t="str">
        <f t="shared" ref="M4:M39" si="5">IFERROR(D4/L4,"-")</f>
        <v>-</v>
      </c>
      <c r="N4" s="51">
        <v>62</v>
      </c>
      <c r="O4" s="51">
        <f t="shared" ref="O4:P4" si="6">D4/7</f>
        <v>0</v>
      </c>
      <c r="P4" s="51">
        <f t="shared" si="6"/>
        <v>0</v>
      </c>
      <c r="Q4" s="51" t="e">
        <f t="shared" ref="Q4:Q39" si="7">ROUNDDOWN(N4/(O4+P4),0)</f>
        <v>#DIV/0!</v>
      </c>
      <c r="R4" s="52">
        <v>202</v>
      </c>
      <c r="S4" s="53">
        <v>50</v>
      </c>
      <c r="T4" s="54">
        <v>43876</v>
      </c>
      <c r="U4" s="52">
        <v>0</v>
      </c>
      <c r="V4" s="55">
        <f t="shared" ref="V4:V39" si="8">IFERROR(U4/D4,0)</f>
        <v>0</v>
      </c>
      <c r="W4" s="55">
        <f t="shared" ref="W4:W39" si="9">IFERROR(G4/(U4+X4)*-1,0)</f>
        <v>0</v>
      </c>
      <c r="X4" s="52">
        <v>0</v>
      </c>
      <c r="Y4" s="56" t="s">
        <v>35</v>
      </c>
      <c r="Z4" s="56">
        <f t="shared" ref="Z4:Z10" si="10">IF(OR(Y4="UsLargeStandardSize",Y4="UsSmallStandardSize"),-0.69,-0.48)</f>
        <v>-0.69</v>
      </c>
      <c r="AA4" s="55">
        <v>0.26899737962962961</v>
      </c>
      <c r="AB4" s="55">
        <f t="shared" ref="AB4:AB17" si="11">IFERROR((Z4*AA4*N4)/4,0)</f>
        <v>-2.8769269751388884</v>
      </c>
      <c r="AC4" s="55">
        <v>-7.16</v>
      </c>
      <c r="AD4" s="55">
        <v>-6.4803224358974356</v>
      </c>
      <c r="AE4" s="55">
        <v>0</v>
      </c>
      <c r="AF4" s="55"/>
    </row>
    <row r="5" spans="1:32" s="57" customFormat="1" ht="15.75" customHeight="1">
      <c r="A5" s="2" t="s">
        <v>49</v>
      </c>
      <c r="B5" s="2" t="s">
        <v>810</v>
      </c>
      <c r="C5" s="51">
        <v>15.99</v>
      </c>
      <c r="D5" s="51">
        <v>7</v>
      </c>
      <c r="E5" s="51">
        <v>0</v>
      </c>
      <c r="F5" s="51">
        <v>111.92999999999999</v>
      </c>
      <c r="G5" s="51">
        <v>-6.6</v>
      </c>
      <c r="H5" s="51">
        <f t="shared" si="1"/>
        <v>5.8965424819083359E-2</v>
      </c>
      <c r="I5" s="51">
        <f t="shared" si="2"/>
        <v>-8.4819705981579299E-2</v>
      </c>
      <c r="J5" s="51">
        <f t="shared" si="4"/>
        <v>-9.4938696905181708</v>
      </c>
      <c r="K5" s="51">
        <f t="shared" si="3"/>
        <v>-1.356267098645453</v>
      </c>
      <c r="L5" s="51">
        <v>15</v>
      </c>
      <c r="M5" s="51">
        <f t="shared" si="5"/>
        <v>0.46666666666666667</v>
      </c>
      <c r="N5" s="51">
        <v>55</v>
      </c>
      <c r="O5" s="51">
        <f t="shared" ref="O5:P5" si="12">D5/7</f>
        <v>1</v>
      </c>
      <c r="P5" s="51">
        <f t="shared" si="12"/>
        <v>0</v>
      </c>
      <c r="Q5" s="51">
        <f t="shared" si="7"/>
        <v>55</v>
      </c>
      <c r="R5" s="55">
        <v>202</v>
      </c>
      <c r="S5" s="53">
        <v>50</v>
      </c>
      <c r="T5" s="54">
        <v>43876</v>
      </c>
      <c r="U5" s="55">
        <v>0</v>
      </c>
      <c r="V5" s="55">
        <f t="shared" si="8"/>
        <v>0</v>
      </c>
      <c r="W5" s="55">
        <f t="shared" si="9"/>
        <v>1.0999999999999999</v>
      </c>
      <c r="X5" s="55">
        <v>6</v>
      </c>
      <c r="Y5" s="55" t="s">
        <v>35</v>
      </c>
      <c r="Z5" s="56">
        <f t="shared" si="10"/>
        <v>-0.69</v>
      </c>
      <c r="AA5" s="55">
        <v>0.26899737962962961</v>
      </c>
      <c r="AB5" s="55">
        <f t="shared" si="11"/>
        <v>-2.5521126392361109</v>
      </c>
      <c r="AC5" s="55">
        <v>-7.16</v>
      </c>
      <c r="AD5" s="55">
        <v>-6.4803224358974356</v>
      </c>
      <c r="AE5" s="55">
        <v>0</v>
      </c>
      <c r="AF5" s="55"/>
    </row>
    <row r="6" spans="1:32" s="57" customFormat="1" ht="15.75" customHeight="1">
      <c r="A6" s="2" t="s">
        <v>51</v>
      </c>
      <c r="B6" s="2" t="s">
        <v>1142</v>
      </c>
      <c r="C6" s="51">
        <v>15.99</v>
      </c>
      <c r="D6" s="51">
        <v>1</v>
      </c>
      <c r="E6" s="51">
        <v>0</v>
      </c>
      <c r="F6" s="51">
        <v>15.99</v>
      </c>
      <c r="G6" s="51">
        <v>-10.829999999999998</v>
      </c>
      <c r="H6" s="51">
        <f t="shared" si="1"/>
        <v>0.6772983114446528</v>
      </c>
      <c r="I6" s="51">
        <f t="shared" si="2"/>
        <v>-0.83705647449327292</v>
      </c>
      <c r="J6" s="51">
        <f t="shared" si="4"/>
        <v>-13.384533027147434</v>
      </c>
      <c r="K6" s="51">
        <f t="shared" si="3"/>
        <v>-13.384533027147434</v>
      </c>
      <c r="L6" s="51">
        <v>18</v>
      </c>
      <c r="M6" s="51">
        <f t="shared" si="5"/>
        <v>5.5555555555555552E-2</v>
      </c>
      <c r="N6" s="51">
        <v>54</v>
      </c>
      <c r="O6" s="51">
        <f t="shared" ref="O6:P6" si="13">D6/7</f>
        <v>0.14285714285714285</v>
      </c>
      <c r="P6" s="51">
        <f t="shared" si="13"/>
        <v>0</v>
      </c>
      <c r="Q6" s="51">
        <f t="shared" si="7"/>
        <v>378</v>
      </c>
      <c r="R6" s="55">
        <v>204</v>
      </c>
      <c r="S6" s="53">
        <v>52</v>
      </c>
      <c r="T6" s="54">
        <v>43884</v>
      </c>
      <c r="U6" s="55">
        <v>0</v>
      </c>
      <c r="V6" s="55">
        <f t="shared" si="8"/>
        <v>0</v>
      </c>
      <c r="W6" s="55">
        <f t="shared" si="9"/>
        <v>3.6099999999999994</v>
      </c>
      <c r="X6" s="55">
        <v>3</v>
      </c>
      <c r="Y6" s="55" t="s">
        <v>35</v>
      </c>
      <c r="Z6" s="56">
        <f t="shared" si="10"/>
        <v>-0.69</v>
      </c>
      <c r="AA6" s="55">
        <v>0.26899737962962961</v>
      </c>
      <c r="AB6" s="55">
        <f t="shared" si="11"/>
        <v>-2.5057105912499997</v>
      </c>
      <c r="AC6" s="55">
        <v>-7.16</v>
      </c>
      <c r="AD6" s="55">
        <v>-6.4803224358974356</v>
      </c>
      <c r="AE6" s="55">
        <v>0</v>
      </c>
      <c r="AF6" s="55"/>
    </row>
    <row r="7" spans="1:32" s="57" customFormat="1" ht="15.75" customHeight="1">
      <c r="A7" s="2" t="s">
        <v>53</v>
      </c>
      <c r="B7" s="2" t="s">
        <v>810</v>
      </c>
      <c r="C7" s="51">
        <v>15.99</v>
      </c>
      <c r="D7" s="51">
        <v>4</v>
      </c>
      <c r="E7" s="51">
        <v>0</v>
      </c>
      <c r="F7" s="51">
        <v>63.96</v>
      </c>
      <c r="G7" s="51">
        <v>-18.899999999999999</v>
      </c>
      <c r="H7" s="51">
        <f t="shared" si="1"/>
        <v>0.29549718574108813</v>
      </c>
      <c r="I7" s="51">
        <f t="shared" si="2"/>
        <v>-0.33409928228438379</v>
      </c>
      <c r="J7" s="51">
        <f t="shared" si="4"/>
        <v>-21.368990094909186</v>
      </c>
      <c r="K7" s="51">
        <f t="shared" si="3"/>
        <v>-5.3422475237272966</v>
      </c>
      <c r="L7" s="51">
        <v>19</v>
      </c>
      <c r="M7" s="51">
        <f t="shared" si="5"/>
        <v>0.21052631578947367</v>
      </c>
      <c r="N7" s="51">
        <v>49</v>
      </c>
      <c r="O7" s="51">
        <f t="shared" ref="O7:P7" si="14">D7/7</f>
        <v>0.5714285714285714</v>
      </c>
      <c r="P7" s="51">
        <f t="shared" si="14"/>
        <v>0</v>
      </c>
      <c r="Q7" s="51">
        <f t="shared" si="7"/>
        <v>85</v>
      </c>
      <c r="R7" s="55">
        <v>204</v>
      </c>
      <c r="S7" s="53">
        <v>52</v>
      </c>
      <c r="T7" s="54">
        <v>43884</v>
      </c>
      <c r="U7" s="55">
        <v>3</v>
      </c>
      <c r="V7" s="55">
        <f t="shared" si="8"/>
        <v>0.75</v>
      </c>
      <c r="W7" s="55">
        <f t="shared" si="9"/>
        <v>4.7249999999999996</v>
      </c>
      <c r="X7" s="55">
        <v>1</v>
      </c>
      <c r="Y7" s="55" t="s">
        <v>35</v>
      </c>
      <c r="Z7" s="56">
        <f t="shared" si="10"/>
        <v>-0.69</v>
      </c>
      <c r="AA7" s="55">
        <v>0.26899737962962961</v>
      </c>
      <c r="AB7" s="55">
        <f t="shared" si="11"/>
        <v>-2.273700351319444</v>
      </c>
      <c r="AC7" s="55">
        <v>-7.16</v>
      </c>
      <c r="AD7" s="55">
        <v>-6.4803224358974356</v>
      </c>
      <c r="AE7" s="55">
        <v>0</v>
      </c>
      <c r="AF7" s="55"/>
    </row>
    <row r="8" spans="1:32" s="57" customFormat="1" ht="15.75" customHeight="1">
      <c r="A8" s="2" t="s">
        <v>54</v>
      </c>
      <c r="B8" s="2" t="s">
        <v>940</v>
      </c>
      <c r="C8" s="51">
        <v>15.99</v>
      </c>
      <c r="D8" s="51">
        <v>15</v>
      </c>
      <c r="E8" s="51">
        <v>0</v>
      </c>
      <c r="F8" s="51">
        <v>239.85000000000002</v>
      </c>
      <c r="G8" s="51">
        <v>-15.38</v>
      </c>
      <c r="H8" s="51">
        <f t="shared" si="1"/>
        <v>6.4123410464873881E-2</v>
      </c>
      <c r="I8" s="51">
        <f t="shared" si="2"/>
        <v>-7.394791835720417E-2</v>
      </c>
      <c r="J8" s="51">
        <f t="shared" si="4"/>
        <v>-17.736408217975423</v>
      </c>
      <c r="K8" s="51">
        <f t="shared" si="3"/>
        <v>-1.182427214531695</v>
      </c>
      <c r="L8" s="51">
        <v>11</v>
      </c>
      <c r="M8" s="51">
        <f t="shared" si="5"/>
        <v>1.3636363636363635</v>
      </c>
      <c r="N8" s="51">
        <v>35</v>
      </c>
      <c r="O8" s="51">
        <f t="shared" ref="O8:P8" si="15">D8/7</f>
        <v>2.1428571428571428</v>
      </c>
      <c r="P8" s="51">
        <f t="shared" si="15"/>
        <v>0</v>
      </c>
      <c r="Q8" s="51">
        <f t="shared" si="7"/>
        <v>16</v>
      </c>
      <c r="R8" s="55">
        <v>204</v>
      </c>
      <c r="S8" s="53">
        <v>52</v>
      </c>
      <c r="T8" s="54">
        <v>43884</v>
      </c>
      <c r="U8" s="55">
        <v>1</v>
      </c>
      <c r="V8" s="55">
        <f t="shared" si="8"/>
        <v>6.6666666666666666E-2</v>
      </c>
      <c r="W8" s="55">
        <f t="shared" si="9"/>
        <v>5.1266666666666669</v>
      </c>
      <c r="X8" s="55">
        <v>2</v>
      </c>
      <c r="Y8" s="55" t="s">
        <v>35</v>
      </c>
      <c r="Z8" s="56">
        <f t="shared" si="10"/>
        <v>-0.69</v>
      </c>
      <c r="AA8" s="55">
        <v>0.26899737962962961</v>
      </c>
      <c r="AB8" s="55">
        <f t="shared" si="11"/>
        <v>-1.6240716795138888</v>
      </c>
      <c r="AC8" s="55">
        <v>-7.16</v>
      </c>
      <c r="AD8" s="55">
        <v>-6.4803224358974356</v>
      </c>
      <c r="AE8" s="55">
        <v>0</v>
      </c>
      <c r="AF8" s="55"/>
    </row>
    <row r="9" spans="1:32" s="57" customFormat="1" ht="15.75" customHeight="1">
      <c r="A9" s="2" t="s">
        <v>56</v>
      </c>
      <c r="B9" s="2" t="s">
        <v>1143</v>
      </c>
      <c r="C9" s="51">
        <v>15.99</v>
      </c>
      <c r="D9" s="51">
        <v>0</v>
      </c>
      <c r="E9" s="51">
        <v>0</v>
      </c>
      <c r="F9" s="51">
        <v>0</v>
      </c>
      <c r="G9" s="51">
        <v>-14.120000000000001</v>
      </c>
      <c r="H9" s="51" t="e">
        <f t="shared" si="1"/>
        <v>#DIV/0!</v>
      </c>
      <c r="I9" s="51" t="e">
        <f t="shared" si="2"/>
        <v>#DIV/0!</v>
      </c>
      <c r="J9" s="51">
        <f t="shared" si="4"/>
        <v>-15.7904737275</v>
      </c>
      <c r="K9" s="51" t="e">
        <f t="shared" si="3"/>
        <v>#DIV/0!</v>
      </c>
      <c r="L9" s="51">
        <v>0</v>
      </c>
      <c r="M9" s="51" t="str">
        <f t="shared" si="5"/>
        <v>-</v>
      </c>
      <c r="N9" s="51">
        <v>36</v>
      </c>
      <c r="O9" s="51">
        <f t="shared" ref="O9:P9" si="16">D9/7</f>
        <v>0</v>
      </c>
      <c r="P9" s="51">
        <f t="shared" si="16"/>
        <v>0</v>
      </c>
      <c r="Q9" s="51" t="e">
        <f t="shared" si="7"/>
        <v>#DIV/0!</v>
      </c>
      <c r="R9" s="55">
        <v>152</v>
      </c>
      <c r="S9" s="53">
        <v>52</v>
      </c>
      <c r="T9" s="54">
        <v>43881</v>
      </c>
      <c r="U9" s="55">
        <v>0</v>
      </c>
      <c r="V9" s="55">
        <f t="shared" si="8"/>
        <v>0</v>
      </c>
      <c r="W9" s="55">
        <f t="shared" si="9"/>
        <v>14.120000000000001</v>
      </c>
      <c r="X9" s="55">
        <v>1</v>
      </c>
      <c r="Y9" s="55" t="s">
        <v>35</v>
      </c>
      <c r="Z9" s="56">
        <f t="shared" si="10"/>
        <v>-0.69</v>
      </c>
      <c r="AA9" s="55">
        <v>0.26899737962962961</v>
      </c>
      <c r="AB9" s="55">
        <f t="shared" si="11"/>
        <v>-1.6704737274999997</v>
      </c>
      <c r="AC9" s="55">
        <v>-7.16</v>
      </c>
      <c r="AD9" s="55">
        <v>-6.4803224358974356</v>
      </c>
      <c r="AE9" s="55">
        <v>0</v>
      </c>
      <c r="AF9" s="55"/>
    </row>
    <row r="10" spans="1:32" s="57" customFormat="1" ht="15.75" customHeight="1">
      <c r="A10" s="2" t="s">
        <v>58</v>
      </c>
      <c r="B10" s="2" t="s">
        <v>1144</v>
      </c>
      <c r="C10" s="51">
        <v>15.99</v>
      </c>
      <c r="D10" s="51">
        <v>2</v>
      </c>
      <c r="E10" s="51">
        <v>0</v>
      </c>
      <c r="F10" s="51">
        <v>31.98</v>
      </c>
      <c r="G10" s="51">
        <v>0</v>
      </c>
      <c r="H10" s="51">
        <f t="shared" si="1"/>
        <v>0</v>
      </c>
      <c r="I10" s="51">
        <f t="shared" si="2"/>
        <v>-5.2386319678631936E-2</v>
      </c>
      <c r="J10" s="51">
        <f t="shared" si="4"/>
        <v>-1.6753145033226493</v>
      </c>
      <c r="K10" s="51">
        <f t="shared" si="3"/>
        <v>-0.83765725166132465</v>
      </c>
      <c r="L10" s="51">
        <v>7</v>
      </c>
      <c r="M10" s="51">
        <f t="shared" si="5"/>
        <v>0.2857142857142857</v>
      </c>
      <c r="N10" s="51">
        <v>34</v>
      </c>
      <c r="O10" s="51">
        <f t="shared" ref="O10:P10" si="17">D10/7</f>
        <v>0.2857142857142857</v>
      </c>
      <c r="P10" s="51">
        <f t="shared" si="17"/>
        <v>0</v>
      </c>
      <c r="Q10" s="51">
        <f t="shared" si="7"/>
        <v>119</v>
      </c>
      <c r="R10" s="55">
        <v>152</v>
      </c>
      <c r="S10" s="53">
        <v>52</v>
      </c>
      <c r="T10" s="54">
        <v>43885</v>
      </c>
      <c r="U10" s="55">
        <v>0</v>
      </c>
      <c r="V10" s="55">
        <f t="shared" si="8"/>
        <v>0</v>
      </c>
      <c r="W10" s="55">
        <f t="shared" si="9"/>
        <v>0</v>
      </c>
      <c r="X10" s="55">
        <v>0</v>
      </c>
      <c r="Y10" s="55" t="s">
        <v>35</v>
      </c>
      <c r="Z10" s="56">
        <f t="shared" si="10"/>
        <v>-0.69</v>
      </c>
      <c r="AA10" s="55">
        <v>0.26899737962962961</v>
      </c>
      <c r="AB10" s="55">
        <f t="shared" si="11"/>
        <v>-1.5776696315277776</v>
      </c>
      <c r="AC10" s="55">
        <v>-7.16</v>
      </c>
      <c r="AD10" s="55">
        <v>-6.4803224358974356</v>
      </c>
      <c r="AE10" s="55">
        <v>0</v>
      </c>
      <c r="AF10" s="55"/>
    </row>
    <row r="11" spans="1:32" s="57" customFormat="1" ht="15.75" customHeight="1">
      <c r="A11" s="2" t="s">
        <v>60</v>
      </c>
      <c r="B11" s="2" t="s">
        <v>1118</v>
      </c>
      <c r="C11" s="51">
        <v>17.989999999999998</v>
      </c>
      <c r="D11" s="51">
        <v>0</v>
      </c>
      <c r="E11" s="51">
        <v>0</v>
      </c>
      <c r="F11" s="51">
        <v>0</v>
      </c>
      <c r="G11" s="51">
        <v>0</v>
      </c>
      <c r="H11" s="51" t="e">
        <f t="shared" si="1"/>
        <v>#DIV/0!</v>
      </c>
      <c r="I11" s="51" t="e">
        <f t="shared" si="2"/>
        <v>#DIV/0!</v>
      </c>
      <c r="J11" s="51">
        <f t="shared" si="4"/>
        <v>-1.7148582951388887</v>
      </c>
      <c r="K11" s="51" t="e">
        <f t="shared" si="3"/>
        <v>#DIV/0!</v>
      </c>
      <c r="L11" s="51">
        <v>0</v>
      </c>
      <c r="M11" s="51" t="str">
        <f t="shared" si="5"/>
        <v>-</v>
      </c>
      <c r="N11" s="51">
        <v>34</v>
      </c>
      <c r="O11" s="51">
        <f t="shared" ref="O11:P11" si="18">D11/7</f>
        <v>0</v>
      </c>
      <c r="P11" s="51">
        <f t="shared" si="18"/>
        <v>0</v>
      </c>
      <c r="Q11" s="51" t="e">
        <f t="shared" si="7"/>
        <v>#DIV/0!</v>
      </c>
      <c r="R11" s="55">
        <v>100</v>
      </c>
      <c r="S11" s="53" t="s">
        <v>34</v>
      </c>
      <c r="T11" s="54" t="s">
        <v>34</v>
      </c>
      <c r="U11" s="55">
        <v>0</v>
      </c>
      <c r="V11" s="55">
        <f t="shared" si="8"/>
        <v>0</v>
      </c>
      <c r="W11" s="55">
        <f t="shared" si="9"/>
        <v>0</v>
      </c>
      <c r="X11" s="55">
        <v>0</v>
      </c>
      <c r="Y11" s="55" t="s">
        <v>35</v>
      </c>
      <c r="Z11" s="56">
        <f t="shared" ref="Z11:Z39" si="19">IF(OR(Y11="UsLargeStandardSize",Y11="UsSmallStandardSize"),-0.75,-0.48)</f>
        <v>-0.75</v>
      </c>
      <c r="AA11" s="55">
        <v>0.26899737962962961</v>
      </c>
      <c r="AB11" s="55">
        <f t="shared" si="11"/>
        <v>-1.7148582951388887</v>
      </c>
      <c r="AC11" s="55">
        <v>-7.32</v>
      </c>
      <c r="AD11" s="55">
        <v>-6.4803224358974356</v>
      </c>
      <c r="AE11" s="55">
        <v>0</v>
      </c>
      <c r="AF11" s="55"/>
    </row>
    <row r="12" spans="1:32" s="57" customFormat="1" ht="15.75" customHeight="1">
      <c r="A12" s="2" t="s">
        <v>62</v>
      </c>
      <c r="B12" s="2" t="s">
        <v>983</v>
      </c>
      <c r="C12" s="51">
        <v>17.989999999999998</v>
      </c>
      <c r="D12" s="51">
        <v>1</v>
      </c>
      <c r="E12" s="51">
        <v>0</v>
      </c>
      <c r="F12" s="51">
        <v>17.989999999999998</v>
      </c>
      <c r="G12" s="51">
        <v>0</v>
      </c>
      <c r="H12" s="51">
        <f t="shared" si="1"/>
        <v>0</v>
      </c>
      <c r="I12" s="51">
        <f t="shared" si="2"/>
        <v>-0.1526142948896112</v>
      </c>
      <c r="J12" s="51">
        <f t="shared" si="4"/>
        <v>-2.7455311650641052</v>
      </c>
      <c r="K12" s="51">
        <f t="shared" si="3"/>
        <v>-2.7455311650641052</v>
      </c>
      <c r="L12" s="51">
        <v>13</v>
      </c>
      <c r="M12" s="51">
        <f t="shared" si="5"/>
        <v>7.6923076923076927E-2</v>
      </c>
      <c r="N12" s="51">
        <v>84</v>
      </c>
      <c r="O12" s="51">
        <f t="shared" ref="O12:P12" si="20">D12/7</f>
        <v>0.14285714285714285</v>
      </c>
      <c r="P12" s="51">
        <f t="shared" si="20"/>
        <v>0</v>
      </c>
      <c r="Q12" s="51">
        <f t="shared" si="7"/>
        <v>588</v>
      </c>
      <c r="R12" s="55">
        <v>100</v>
      </c>
      <c r="S12" s="53" t="s">
        <v>34</v>
      </c>
      <c r="T12" s="54" t="s">
        <v>34</v>
      </c>
      <c r="U12" s="55">
        <v>0</v>
      </c>
      <c r="V12" s="55">
        <f t="shared" si="8"/>
        <v>0</v>
      </c>
      <c r="W12" s="55">
        <f t="shared" si="9"/>
        <v>0</v>
      </c>
      <c r="X12" s="55">
        <v>0</v>
      </c>
      <c r="Y12" s="55" t="s">
        <v>35</v>
      </c>
      <c r="Z12" s="56">
        <f t="shared" si="19"/>
        <v>-0.75</v>
      </c>
      <c r="AA12" s="55">
        <v>0.26899737962962961</v>
      </c>
      <c r="AB12" s="55">
        <f t="shared" si="11"/>
        <v>-4.2367087291666659</v>
      </c>
      <c r="AC12" s="55">
        <v>-7.32</v>
      </c>
      <c r="AD12" s="55">
        <v>-6.4803224358974356</v>
      </c>
      <c r="AE12" s="55">
        <v>0</v>
      </c>
      <c r="AF12" s="55"/>
    </row>
    <row r="13" spans="1:32" s="57" customFormat="1" ht="15.75" customHeight="1">
      <c r="A13" s="2" t="s">
        <v>63</v>
      </c>
      <c r="B13" s="2" t="s">
        <v>1118</v>
      </c>
      <c r="C13" s="51">
        <v>17.989999999999998</v>
      </c>
      <c r="D13" s="51">
        <v>1</v>
      </c>
      <c r="E13" s="51">
        <v>0</v>
      </c>
      <c r="F13" s="51">
        <v>17.989999999999998</v>
      </c>
      <c r="G13" s="51">
        <v>0</v>
      </c>
      <c r="H13" s="51">
        <f t="shared" si="1"/>
        <v>0</v>
      </c>
      <c r="I13" s="51">
        <f t="shared" si="2"/>
        <v>-0.1526142948896112</v>
      </c>
      <c r="J13" s="51">
        <f t="shared" si="4"/>
        <v>-2.7455311650641052</v>
      </c>
      <c r="K13" s="51">
        <f t="shared" si="3"/>
        <v>-2.7455311650641052</v>
      </c>
      <c r="L13" s="51">
        <v>16</v>
      </c>
      <c r="M13" s="51">
        <f t="shared" si="5"/>
        <v>6.25E-2</v>
      </c>
      <c r="N13" s="51">
        <v>84</v>
      </c>
      <c r="O13" s="51">
        <f t="shared" ref="O13:P13" si="21">D13/7</f>
        <v>0.14285714285714285</v>
      </c>
      <c r="P13" s="51">
        <f t="shared" si="21"/>
        <v>0</v>
      </c>
      <c r="Q13" s="51">
        <f t="shared" si="7"/>
        <v>588</v>
      </c>
      <c r="R13" s="55">
        <v>100</v>
      </c>
      <c r="S13" s="53" t="s">
        <v>34</v>
      </c>
      <c r="T13" s="54" t="s">
        <v>34</v>
      </c>
      <c r="U13" s="55">
        <v>0</v>
      </c>
      <c r="V13" s="55">
        <f t="shared" si="8"/>
        <v>0</v>
      </c>
      <c r="W13" s="55">
        <f t="shared" si="9"/>
        <v>0</v>
      </c>
      <c r="X13" s="55">
        <v>0</v>
      </c>
      <c r="Y13" s="55" t="s">
        <v>35</v>
      </c>
      <c r="Z13" s="56">
        <f t="shared" si="19"/>
        <v>-0.75</v>
      </c>
      <c r="AA13" s="55">
        <v>0.26899737962962961</v>
      </c>
      <c r="AB13" s="55">
        <f t="shared" si="11"/>
        <v>-4.2367087291666659</v>
      </c>
      <c r="AC13" s="55">
        <v>-7.32</v>
      </c>
      <c r="AD13" s="55">
        <v>-6.4803224358974356</v>
      </c>
      <c r="AE13" s="55">
        <v>0</v>
      </c>
      <c r="AF13" s="55"/>
    </row>
    <row r="14" spans="1:32" s="57" customFormat="1" ht="15.75" customHeight="1">
      <c r="A14" s="2" t="s">
        <v>64</v>
      </c>
      <c r="B14" s="2"/>
      <c r="C14" s="51">
        <v>17.989999999999998</v>
      </c>
      <c r="D14" s="51">
        <v>0</v>
      </c>
      <c r="E14" s="51">
        <v>0</v>
      </c>
      <c r="F14" s="51">
        <v>0</v>
      </c>
      <c r="G14" s="51">
        <v>0</v>
      </c>
      <c r="H14" s="51" t="e">
        <f t="shared" si="1"/>
        <v>#DIV/0!</v>
      </c>
      <c r="I14" s="51" t="e">
        <f t="shared" si="2"/>
        <v>#DIV/0!</v>
      </c>
      <c r="J14" s="51">
        <f t="shared" si="4"/>
        <v>-4.2367087291666659</v>
      </c>
      <c r="K14" s="51" t="e">
        <f t="shared" si="3"/>
        <v>#DIV/0!</v>
      </c>
      <c r="L14" s="51">
        <v>0</v>
      </c>
      <c r="M14" s="51" t="str">
        <f t="shared" si="5"/>
        <v>-</v>
      </c>
      <c r="N14" s="51">
        <v>84</v>
      </c>
      <c r="O14" s="51">
        <f t="shared" ref="O14:P14" si="22">D14/7</f>
        <v>0</v>
      </c>
      <c r="P14" s="51">
        <f t="shared" si="22"/>
        <v>0</v>
      </c>
      <c r="Q14" s="51" t="e">
        <f t="shared" si="7"/>
        <v>#DIV/0!</v>
      </c>
      <c r="R14" s="55">
        <v>100</v>
      </c>
      <c r="S14" s="53" t="s">
        <v>34</v>
      </c>
      <c r="T14" s="54" t="s">
        <v>34</v>
      </c>
      <c r="U14" s="55">
        <v>0</v>
      </c>
      <c r="V14" s="55">
        <f t="shared" si="8"/>
        <v>0</v>
      </c>
      <c r="W14" s="55">
        <f t="shared" si="9"/>
        <v>0</v>
      </c>
      <c r="X14" s="55">
        <v>0</v>
      </c>
      <c r="Y14" s="55" t="s">
        <v>35</v>
      </c>
      <c r="Z14" s="56">
        <f t="shared" si="19"/>
        <v>-0.75</v>
      </c>
      <c r="AA14" s="55">
        <v>0.26899737962962961</v>
      </c>
      <c r="AB14" s="55">
        <f t="shared" si="11"/>
        <v>-4.2367087291666659</v>
      </c>
      <c r="AC14" s="55">
        <v>-7.32</v>
      </c>
      <c r="AD14" s="55">
        <v>-6.4803224358974356</v>
      </c>
      <c r="AE14" s="55">
        <v>0</v>
      </c>
      <c r="AF14" s="55"/>
    </row>
    <row r="15" spans="1:32" s="57" customFormat="1" ht="15.75" customHeight="1">
      <c r="A15" s="2" t="s">
        <v>65</v>
      </c>
      <c r="B15" s="2" t="s">
        <v>950</v>
      </c>
      <c r="C15" s="51">
        <v>16.989999999999998</v>
      </c>
      <c r="D15" s="51">
        <v>0</v>
      </c>
      <c r="E15" s="51">
        <v>0</v>
      </c>
      <c r="F15" s="51">
        <v>0</v>
      </c>
      <c r="G15" s="51">
        <v>-1.35</v>
      </c>
      <c r="H15" s="51" t="e">
        <f t="shared" si="1"/>
        <v>#DIV/0!</v>
      </c>
      <c r="I15" s="51" t="e">
        <f t="shared" si="2"/>
        <v>#DIV/0!</v>
      </c>
      <c r="J15" s="51">
        <f t="shared" si="4"/>
        <v>-5.5867087291666664</v>
      </c>
      <c r="K15" s="51" t="e">
        <f t="shared" si="3"/>
        <v>#DIV/0!</v>
      </c>
      <c r="L15" s="51">
        <v>0</v>
      </c>
      <c r="M15" s="51" t="str">
        <f t="shared" si="5"/>
        <v>-</v>
      </c>
      <c r="N15" s="51">
        <v>84</v>
      </c>
      <c r="O15" s="51">
        <f t="shared" ref="O15:P15" si="23">D15/7</f>
        <v>0</v>
      </c>
      <c r="P15" s="51">
        <f t="shared" si="23"/>
        <v>0</v>
      </c>
      <c r="Q15" s="51" t="e">
        <f t="shared" si="7"/>
        <v>#DIV/0!</v>
      </c>
      <c r="R15" s="55">
        <v>100</v>
      </c>
      <c r="S15" s="53" t="s">
        <v>34</v>
      </c>
      <c r="T15" s="54" t="s">
        <v>34</v>
      </c>
      <c r="U15" s="55">
        <v>0</v>
      </c>
      <c r="V15" s="55">
        <f t="shared" si="8"/>
        <v>0</v>
      </c>
      <c r="W15" s="55">
        <f t="shared" si="9"/>
        <v>1.35</v>
      </c>
      <c r="X15" s="55">
        <v>1</v>
      </c>
      <c r="Y15" s="55" t="s">
        <v>35</v>
      </c>
      <c r="Z15" s="56">
        <f t="shared" si="19"/>
        <v>-0.75</v>
      </c>
      <c r="AA15" s="55">
        <v>0.26899737962962961</v>
      </c>
      <c r="AB15" s="55">
        <f t="shared" si="11"/>
        <v>-4.2367087291666659</v>
      </c>
      <c r="AC15" s="55">
        <v>-7.32</v>
      </c>
      <c r="AD15" s="55">
        <v>-6.4803224358974356</v>
      </c>
      <c r="AE15" s="55">
        <v>0</v>
      </c>
      <c r="AF15" s="55"/>
    </row>
    <row r="16" spans="1:32" s="57" customFormat="1" ht="15.75" customHeight="1">
      <c r="A16" s="2" t="s">
        <v>66</v>
      </c>
      <c r="B16" s="2" t="s">
        <v>810</v>
      </c>
      <c r="C16" s="51">
        <v>16.989999999999998</v>
      </c>
      <c r="D16" s="51">
        <v>0</v>
      </c>
      <c r="E16" s="51">
        <v>0</v>
      </c>
      <c r="F16" s="51">
        <v>0</v>
      </c>
      <c r="G16" s="51">
        <v>-8.59</v>
      </c>
      <c r="H16" s="51" t="e">
        <f t="shared" si="1"/>
        <v>#DIV/0!</v>
      </c>
      <c r="I16" s="51" t="e">
        <f t="shared" si="2"/>
        <v>#DIV/0!</v>
      </c>
      <c r="J16" s="51">
        <f t="shared" si="4"/>
        <v>-12.826708729166665</v>
      </c>
      <c r="K16" s="51" t="e">
        <f t="shared" si="3"/>
        <v>#DIV/0!</v>
      </c>
      <c r="L16" s="51">
        <v>0</v>
      </c>
      <c r="M16" s="51" t="str">
        <f t="shared" si="5"/>
        <v>-</v>
      </c>
      <c r="N16" s="51">
        <v>84</v>
      </c>
      <c r="O16" s="51">
        <f t="shared" ref="O16:P16" si="24">D16/7</f>
        <v>0</v>
      </c>
      <c r="P16" s="51">
        <f t="shared" si="24"/>
        <v>0</v>
      </c>
      <c r="Q16" s="51" t="e">
        <f t="shared" si="7"/>
        <v>#DIV/0!</v>
      </c>
      <c r="R16" s="55">
        <v>100</v>
      </c>
      <c r="S16" s="53" t="s">
        <v>34</v>
      </c>
      <c r="T16" s="54" t="s">
        <v>34</v>
      </c>
      <c r="U16" s="55">
        <v>0</v>
      </c>
      <c r="V16" s="55">
        <f t="shared" si="8"/>
        <v>0</v>
      </c>
      <c r="W16" s="55">
        <f t="shared" si="9"/>
        <v>4.2949999999999999</v>
      </c>
      <c r="X16" s="55">
        <v>2</v>
      </c>
      <c r="Y16" s="55" t="s">
        <v>35</v>
      </c>
      <c r="Z16" s="56">
        <f t="shared" si="19"/>
        <v>-0.75</v>
      </c>
      <c r="AA16" s="55">
        <v>0.26899737962962961</v>
      </c>
      <c r="AB16" s="55">
        <f t="shared" si="11"/>
        <v>-4.2367087291666659</v>
      </c>
      <c r="AC16" s="55">
        <v>-7.32</v>
      </c>
      <c r="AD16" s="55">
        <v>-6.4803224358974356</v>
      </c>
      <c r="AE16" s="55">
        <v>0</v>
      </c>
      <c r="AF16" s="55"/>
    </row>
    <row r="17" spans="1:32" s="57" customFormat="1" ht="15.75" customHeight="1">
      <c r="A17" s="2" t="s">
        <v>67</v>
      </c>
      <c r="B17" s="2" t="s">
        <v>940</v>
      </c>
      <c r="C17" s="51">
        <v>18.989999999999998</v>
      </c>
      <c r="D17" s="51">
        <v>0</v>
      </c>
      <c r="E17" s="51">
        <v>0</v>
      </c>
      <c r="F17" s="51">
        <v>0</v>
      </c>
      <c r="G17" s="51">
        <v>-21.64</v>
      </c>
      <c r="H17" s="51" t="e">
        <f t="shared" si="1"/>
        <v>#DIV/0!</v>
      </c>
      <c r="I17" s="51" t="e">
        <f t="shared" si="2"/>
        <v>#DIV/0!</v>
      </c>
      <c r="J17" s="51">
        <f t="shared" si="4"/>
        <v>-25.876708729166666</v>
      </c>
      <c r="K17" s="51" t="e">
        <f t="shared" si="3"/>
        <v>#DIV/0!</v>
      </c>
      <c r="L17" s="51">
        <v>0</v>
      </c>
      <c r="M17" s="51" t="str">
        <f t="shared" si="5"/>
        <v>-</v>
      </c>
      <c r="N17" s="51">
        <v>84</v>
      </c>
      <c r="O17" s="51">
        <f t="shared" ref="O17:P17" si="25">D17/7</f>
        <v>0</v>
      </c>
      <c r="P17" s="51">
        <f t="shared" si="25"/>
        <v>0</v>
      </c>
      <c r="Q17" s="51" t="e">
        <f t="shared" si="7"/>
        <v>#DIV/0!</v>
      </c>
      <c r="R17" s="55">
        <v>100</v>
      </c>
      <c r="S17" s="53" t="s">
        <v>34</v>
      </c>
      <c r="T17" s="54" t="s">
        <v>34</v>
      </c>
      <c r="U17" s="55">
        <v>0</v>
      </c>
      <c r="V17" s="55">
        <f t="shared" si="8"/>
        <v>0</v>
      </c>
      <c r="W17" s="55">
        <f t="shared" si="9"/>
        <v>10.82</v>
      </c>
      <c r="X17" s="55">
        <v>2</v>
      </c>
      <c r="Y17" s="55" t="s">
        <v>35</v>
      </c>
      <c r="Z17" s="56">
        <f t="shared" si="19"/>
        <v>-0.75</v>
      </c>
      <c r="AA17" s="55">
        <v>0.26899737962962961</v>
      </c>
      <c r="AB17" s="55">
        <f t="shared" si="11"/>
        <v>-4.2367087291666659</v>
      </c>
      <c r="AC17" s="55">
        <v>-7.32</v>
      </c>
      <c r="AD17" s="55">
        <v>-6.4803224358974356</v>
      </c>
      <c r="AE17" s="55">
        <v>0</v>
      </c>
      <c r="AF17" s="55"/>
    </row>
    <row r="18" spans="1:32" s="57" customFormat="1" ht="15.75" customHeight="1">
      <c r="A18" s="2" t="s">
        <v>69</v>
      </c>
      <c r="B18" s="2" t="s">
        <v>1145</v>
      </c>
      <c r="C18" s="51">
        <v>17.989999999999998</v>
      </c>
      <c r="D18" s="51">
        <v>0</v>
      </c>
      <c r="E18" s="51">
        <v>0</v>
      </c>
      <c r="F18" s="51">
        <v>0</v>
      </c>
      <c r="G18" s="51">
        <v>0</v>
      </c>
      <c r="H18" s="51" t="e">
        <f t="shared" si="1"/>
        <v>#DIV/0!</v>
      </c>
      <c r="I18" s="51" t="e">
        <f t="shared" si="2"/>
        <v>#DIV/0!</v>
      </c>
      <c r="J18" s="51">
        <f t="shared" si="4"/>
        <v>0</v>
      </c>
      <c r="K18" s="51" t="e">
        <f t="shared" si="3"/>
        <v>#DIV/0!</v>
      </c>
      <c r="L18" s="51">
        <v>0</v>
      </c>
      <c r="M18" s="51" t="str">
        <f t="shared" si="5"/>
        <v>-</v>
      </c>
      <c r="N18" s="51">
        <v>82</v>
      </c>
      <c r="O18" s="51">
        <f t="shared" ref="O18:P18" si="26">D18/7</f>
        <v>0</v>
      </c>
      <c r="P18" s="51">
        <f t="shared" si="26"/>
        <v>0</v>
      </c>
      <c r="Q18" s="51" t="e">
        <f t="shared" si="7"/>
        <v>#DIV/0!</v>
      </c>
      <c r="R18" s="55">
        <v>100</v>
      </c>
      <c r="S18" s="53" t="s">
        <v>34</v>
      </c>
      <c r="T18" s="54" t="s">
        <v>34</v>
      </c>
      <c r="U18" s="55">
        <v>0</v>
      </c>
      <c r="V18" s="55">
        <f t="shared" si="8"/>
        <v>0</v>
      </c>
      <c r="W18" s="55">
        <f t="shared" si="9"/>
        <v>0</v>
      </c>
      <c r="X18" s="55">
        <v>0</v>
      </c>
      <c r="Y18" s="55" t="s">
        <v>35</v>
      </c>
      <c r="Z18" s="56">
        <f t="shared" si="19"/>
        <v>-0.75</v>
      </c>
      <c r="AA18" s="55">
        <v>0.26899737962962961</v>
      </c>
      <c r="AB18" s="58">
        <f t="shared" ref="AB18:AB39" si="27">IFERROR(Z18*AA18*D18*3,0)</f>
        <v>0</v>
      </c>
      <c r="AC18" s="55">
        <v>-7.32</v>
      </c>
      <c r="AD18" s="55">
        <v>-6.4803224358974356</v>
      </c>
      <c r="AE18" s="55">
        <v>0</v>
      </c>
      <c r="AF18" s="55"/>
    </row>
    <row r="19" spans="1:32" s="57" customFormat="1" ht="15.75" customHeight="1">
      <c r="A19" s="2" t="s">
        <v>71</v>
      </c>
      <c r="B19" s="2"/>
      <c r="C19" s="51">
        <v>16.989999999999998</v>
      </c>
      <c r="D19" s="51">
        <v>3</v>
      </c>
      <c r="E19" s="51">
        <v>0</v>
      </c>
      <c r="F19" s="51">
        <v>51.97</v>
      </c>
      <c r="G19" s="51">
        <v>0</v>
      </c>
      <c r="H19" s="51">
        <f t="shared" si="1"/>
        <v>0</v>
      </c>
      <c r="I19" s="51">
        <f t="shared" si="2"/>
        <v>1.8429870690931049E-2</v>
      </c>
      <c r="J19" s="51">
        <f t="shared" si="4"/>
        <v>0.95780037980768662</v>
      </c>
      <c r="K19" s="51">
        <f t="shared" si="3"/>
        <v>0.31926679326922885</v>
      </c>
      <c r="L19" s="51">
        <v>11</v>
      </c>
      <c r="M19" s="51">
        <f t="shared" si="5"/>
        <v>0.27272727272727271</v>
      </c>
      <c r="N19" s="51">
        <v>81</v>
      </c>
      <c r="O19" s="51">
        <f t="shared" ref="O19:P19" si="28">D19/7</f>
        <v>0.42857142857142855</v>
      </c>
      <c r="P19" s="51">
        <f t="shared" si="28"/>
        <v>0</v>
      </c>
      <c r="Q19" s="51">
        <f t="shared" si="7"/>
        <v>189</v>
      </c>
      <c r="R19" s="55">
        <v>100</v>
      </c>
      <c r="S19" s="53" t="s">
        <v>34</v>
      </c>
      <c r="T19" s="54" t="s">
        <v>34</v>
      </c>
      <c r="U19" s="55">
        <v>0</v>
      </c>
      <c r="V19" s="55">
        <f t="shared" si="8"/>
        <v>0</v>
      </c>
      <c r="W19" s="55">
        <f t="shared" si="9"/>
        <v>0</v>
      </c>
      <c r="X19" s="55">
        <v>0</v>
      </c>
      <c r="Y19" s="55" t="s">
        <v>35</v>
      </c>
      <c r="Z19" s="56">
        <f t="shared" si="19"/>
        <v>-0.75</v>
      </c>
      <c r="AA19" s="55">
        <v>0.26899737962962961</v>
      </c>
      <c r="AB19" s="55">
        <f t="shared" si="27"/>
        <v>-1.8157323124999996</v>
      </c>
      <c r="AC19" s="55">
        <v>-7.32</v>
      </c>
      <c r="AD19" s="55">
        <v>-6.4803224358974356</v>
      </c>
      <c r="AE19" s="55">
        <v>0</v>
      </c>
      <c r="AF19" s="55"/>
    </row>
    <row r="20" spans="1:32" s="57" customFormat="1" ht="15.75" customHeight="1">
      <c r="A20" s="2" t="s">
        <v>73</v>
      </c>
      <c r="B20" s="2" t="s">
        <v>950</v>
      </c>
      <c r="C20" s="51">
        <v>18.989999999999998</v>
      </c>
      <c r="D20" s="51">
        <v>0</v>
      </c>
      <c r="E20" s="51">
        <v>0</v>
      </c>
      <c r="F20" s="51">
        <v>0</v>
      </c>
      <c r="G20" s="51">
        <v>0</v>
      </c>
      <c r="H20" s="51" t="e">
        <f t="shared" si="1"/>
        <v>#DIV/0!</v>
      </c>
      <c r="I20" s="51" t="e">
        <f t="shared" si="2"/>
        <v>#DIV/0!</v>
      </c>
      <c r="J20" s="51">
        <f t="shared" si="4"/>
        <v>0</v>
      </c>
      <c r="K20" s="51" t="e">
        <f t="shared" si="3"/>
        <v>#DIV/0!</v>
      </c>
      <c r="L20" s="51">
        <v>0</v>
      </c>
      <c r="M20" s="51" t="str">
        <f t="shared" si="5"/>
        <v>-</v>
      </c>
      <c r="N20" s="51">
        <v>80</v>
      </c>
      <c r="O20" s="51">
        <f t="shared" ref="O20:P20" si="29">D20/7</f>
        <v>0</v>
      </c>
      <c r="P20" s="51">
        <f t="shared" si="29"/>
        <v>0</v>
      </c>
      <c r="Q20" s="51" t="e">
        <f t="shared" si="7"/>
        <v>#DIV/0!</v>
      </c>
      <c r="R20" s="55">
        <v>100</v>
      </c>
      <c r="S20" s="53" t="s">
        <v>34</v>
      </c>
      <c r="T20" s="54" t="s">
        <v>34</v>
      </c>
      <c r="U20" s="55">
        <v>0</v>
      </c>
      <c r="V20" s="55">
        <f t="shared" si="8"/>
        <v>0</v>
      </c>
      <c r="W20" s="55">
        <f t="shared" si="9"/>
        <v>0</v>
      </c>
      <c r="X20" s="55">
        <v>0</v>
      </c>
      <c r="Y20" s="55" t="s">
        <v>35</v>
      </c>
      <c r="Z20" s="56">
        <f t="shared" si="19"/>
        <v>-0.75</v>
      </c>
      <c r="AA20" s="55">
        <v>0.26899737962962961</v>
      </c>
      <c r="AB20" s="55">
        <f t="shared" si="27"/>
        <v>0</v>
      </c>
      <c r="AC20" s="55">
        <v>-7.32</v>
      </c>
      <c r="AD20" s="55">
        <v>-6.4803224358974356</v>
      </c>
      <c r="AE20" s="55">
        <v>0</v>
      </c>
      <c r="AF20" s="55"/>
    </row>
    <row r="21" spans="1:32" s="57" customFormat="1" ht="15.75" customHeight="1">
      <c r="A21" s="2" t="s">
        <v>75</v>
      </c>
      <c r="B21" s="2" t="s">
        <v>1146</v>
      </c>
      <c r="C21" s="51">
        <v>16.989999999999998</v>
      </c>
      <c r="D21" s="51">
        <v>1</v>
      </c>
      <c r="E21" s="51">
        <v>0</v>
      </c>
      <c r="F21" s="51">
        <v>16.989999999999998</v>
      </c>
      <c r="G21" s="51">
        <v>-18.309999999999999</v>
      </c>
      <c r="H21" s="51">
        <f t="shared" si="1"/>
        <v>1.0776927604473219</v>
      </c>
      <c r="I21" s="51">
        <f t="shared" si="2"/>
        <v>-1.0755777834057743</v>
      </c>
      <c r="J21" s="51">
        <f t="shared" si="4"/>
        <v>-18.274066540064101</v>
      </c>
      <c r="K21" s="51">
        <f t="shared" si="3"/>
        <v>-18.274066540064101</v>
      </c>
      <c r="L21" s="51">
        <v>25</v>
      </c>
      <c r="M21" s="51">
        <f t="shared" si="5"/>
        <v>0.04</v>
      </c>
      <c r="N21" s="51">
        <v>80</v>
      </c>
      <c r="O21" s="51">
        <f t="shared" ref="O21:P21" si="30">D21/7</f>
        <v>0.14285714285714285</v>
      </c>
      <c r="P21" s="51">
        <f t="shared" si="30"/>
        <v>0</v>
      </c>
      <c r="Q21" s="51">
        <f t="shared" si="7"/>
        <v>560</v>
      </c>
      <c r="R21" s="55">
        <v>100</v>
      </c>
      <c r="S21" s="53" t="s">
        <v>34</v>
      </c>
      <c r="T21" s="54" t="s">
        <v>34</v>
      </c>
      <c r="U21" s="55">
        <v>0</v>
      </c>
      <c r="V21" s="55">
        <f t="shared" si="8"/>
        <v>0</v>
      </c>
      <c r="W21" s="55">
        <f t="shared" si="9"/>
        <v>4.5774999999999997</v>
      </c>
      <c r="X21" s="55">
        <v>4</v>
      </c>
      <c r="Y21" s="55" t="s">
        <v>35</v>
      </c>
      <c r="Z21" s="56">
        <f t="shared" si="19"/>
        <v>-0.75</v>
      </c>
      <c r="AA21" s="55">
        <v>0.26899737962962961</v>
      </c>
      <c r="AB21" s="55">
        <f t="shared" si="27"/>
        <v>-0.60524410416666652</v>
      </c>
      <c r="AC21" s="55">
        <v>-7.32</v>
      </c>
      <c r="AD21" s="55">
        <v>-6.4803224358974356</v>
      </c>
      <c r="AE21" s="55">
        <v>0</v>
      </c>
      <c r="AF21" s="55"/>
    </row>
    <row r="22" spans="1:32" s="57" customFormat="1" ht="15.75" customHeight="1">
      <c r="A22" s="2" t="s">
        <v>77</v>
      </c>
      <c r="B22" s="2" t="s">
        <v>940</v>
      </c>
      <c r="C22" s="51">
        <v>19</v>
      </c>
      <c r="D22" s="51">
        <v>1</v>
      </c>
      <c r="E22" s="51">
        <v>0</v>
      </c>
      <c r="F22" s="51">
        <v>17.989999999999998</v>
      </c>
      <c r="G22" s="51">
        <v>-40.190000000000005</v>
      </c>
      <c r="H22" s="51">
        <f t="shared" si="1"/>
        <v>2.2340188993885497</v>
      </c>
      <c r="I22" s="51">
        <f t="shared" si="2"/>
        <v>-2.1847730150119018</v>
      </c>
      <c r="J22" s="51">
        <f t="shared" si="4"/>
        <v>-39.304066540064106</v>
      </c>
      <c r="K22" s="51">
        <f t="shared" si="3"/>
        <v>-39.304066540064106</v>
      </c>
      <c r="L22" s="51">
        <v>47</v>
      </c>
      <c r="M22" s="51">
        <f t="shared" si="5"/>
        <v>2.1276595744680851E-2</v>
      </c>
      <c r="N22" s="51">
        <v>73</v>
      </c>
      <c r="O22" s="51">
        <f t="shared" ref="O22:P22" si="31">D22/7</f>
        <v>0.14285714285714285</v>
      </c>
      <c r="P22" s="51">
        <f t="shared" si="31"/>
        <v>0</v>
      </c>
      <c r="Q22" s="51">
        <f t="shared" si="7"/>
        <v>511</v>
      </c>
      <c r="R22" s="55">
        <v>100</v>
      </c>
      <c r="S22" s="53" t="s">
        <v>34</v>
      </c>
      <c r="T22" s="54" t="s">
        <v>34</v>
      </c>
      <c r="U22" s="55">
        <v>1</v>
      </c>
      <c r="V22" s="55">
        <f t="shared" si="8"/>
        <v>1</v>
      </c>
      <c r="W22" s="55">
        <f t="shared" si="9"/>
        <v>3.091538461538462</v>
      </c>
      <c r="X22" s="55">
        <v>12</v>
      </c>
      <c r="Y22" s="55" t="s">
        <v>35</v>
      </c>
      <c r="Z22" s="56">
        <f t="shared" si="19"/>
        <v>-0.75</v>
      </c>
      <c r="AA22" s="55">
        <v>0.26899737962962961</v>
      </c>
      <c r="AB22" s="55">
        <f t="shared" si="27"/>
        <v>-0.60524410416666652</v>
      </c>
      <c r="AC22" s="55">
        <v>-7.32</v>
      </c>
      <c r="AD22" s="55">
        <v>-6.4803224358974356</v>
      </c>
      <c r="AE22" s="55">
        <v>0</v>
      </c>
      <c r="AF22" s="55"/>
    </row>
    <row r="23" spans="1:32" s="57" customFormat="1" ht="15.75" customHeight="1">
      <c r="A23" s="2" t="s">
        <v>79</v>
      </c>
      <c r="B23" s="2"/>
      <c r="C23" s="51">
        <v>20.99</v>
      </c>
      <c r="D23" s="51">
        <v>10</v>
      </c>
      <c r="E23" s="51">
        <v>0</v>
      </c>
      <c r="F23" s="51">
        <v>195.95999999999998</v>
      </c>
      <c r="G23" s="51">
        <v>-37.049999999999997</v>
      </c>
      <c r="H23" s="51">
        <f t="shared" si="1"/>
        <v>0.18906919779546846</v>
      </c>
      <c r="I23" s="51">
        <f t="shared" si="2"/>
        <v>-7.419710859686196E-2</v>
      </c>
      <c r="J23" s="51">
        <f t="shared" si="4"/>
        <v>-14.539665400641068</v>
      </c>
      <c r="K23" s="51">
        <f t="shared" si="3"/>
        <v>-1.4539665400641069</v>
      </c>
      <c r="L23" s="51">
        <v>47</v>
      </c>
      <c r="M23" s="51">
        <f t="shared" si="5"/>
        <v>0.21276595744680851</v>
      </c>
      <c r="N23" s="51">
        <v>69</v>
      </c>
      <c r="O23" s="51">
        <f t="shared" ref="O23:P23" si="32">D23/7</f>
        <v>1.4285714285714286</v>
      </c>
      <c r="P23" s="51">
        <f t="shared" si="32"/>
        <v>0</v>
      </c>
      <c r="Q23" s="51">
        <f t="shared" si="7"/>
        <v>48</v>
      </c>
      <c r="R23" s="55">
        <v>100</v>
      </c>
      <c r="S23" s="53" t="s">
        <v>34</v>
      </c>
      <c r="T23" s="54" t="s">
        <v>34</v>
      </c>
      <c r="U23" s="55">
        <v>6</v>
      </c>
      <c r="V23" s="55">
        <f t="shared" si="8"/>
        <v>0.6</v>
      </c>
      <c r="W23" s="55">
        <f t="shared" si="9"/>
        <v>3.7049999999999996</v>
      </c>
      <c r="X23" s="55">
        <v>4</v>
      </c>
      <c r="Y23" s="55" t="s">
        <v>35</v>
      </c>
      <c r="Z23" s="56">
        <f t="shared" si="19"/>
        <v>-0.75</v>
      </c>
      <c r="AA23" s="55">
        <v>0.26899737962962961</v>
      </c>
      <c r="AB23" s="55">
        <f t="shared" si="27"/>
        <v>-6.0524410416666665</v>
      </c>
      <c r="AC23" s="55">
        <v>-7.32</v>
      </c>
      <c r="AD23" s="55">
        <v>-6.4803224358974356</v>
      </c>
      <c r="AE23" s="55">
        <v>0</v>
      </c>
      <c r="AF23" s="55"/>
    </row>
    <row r="24" spans="1:32" s="57" customFormat="1" ht="15.75" customHeight="1">
      <c r="A24" s="2" t="s">
        <v>80</v>
      </c>
      <c r="B24" s="2" t="s">
        <v>940</v>
      </c>
      <c r="C24" s="51">
        <v>20.99</v>
      </c>
      <c r="D24" s="51">
        <v>10</v>
      </c>
      <c r="E24" s="51">
        <v>0</v>
      </c>
      <c r="F24" s="51">
        <v>198.92000000000002</v>
      </c>
      <c r="G24" s="51">
        <v>-35.739999999999995</v>
      </c>
      <c r="H24" s="51">
        <f t="shared" si="1"/>
        <v>0.17967021918359136</v>
      </c>
      <c r="I24" s="51">
        <f t="shared" si="2"/>
        <v>-5.3859166502317458E-2</v>
      </c>
      <c r="J24" s="51">
        <f t="shared" si="4"/>
        <v>-10.713665400640989</v>
      </c>
      <c r="K24" s="51">
        <f t="shared" si="3"/>
        <v>-1.071366540064099</v>
      </c>
      <c r="L24" s="51">
        <v>44</v>
      </c>
      <c r="M24" s="51">
        <f t="shared" si="5"/>
        <v>0.22727272727272727</v>
      </c>
      <c r="N24" s="51">
        <v>54</v>
      </c>
      <c r="O24" s="51">
        <f t="shared" ref="O24:P24" si="33">D24/7</f>
        <v>1.4285714285714286</v>
      </c>
      <c r="P24" s="51">
        <f t="shared" si="33"/>
        <v>0</v>
      </c>
      <c r="Q24" s="51">
        <f t="shared" si="7"/>
        <v>37</v>
      </c>
      <c r="R24" s="55">
        <v>100</v>
      </c>
      <c r="S24" s="53" t="s">
        <v>34</v>
      </c>
      <c r="T24" s="54" t="s">
        <v>34</v>
      </c>
      <c r="U24" s="55">
        <v>6</v>
      </c>
      <c r="V24" s="55">
        <f t="shared" si="8"/>
        <v>0.6</v>
      </c>
      <c r="W24" s="55">
        <f t="shared" si="9"/>
        <v>3.5739999999999994</v>
      </c>
      <c r="X24" s="55">
        <v>4</v>
      </c>
      <c r="Y24" s="55" t="s">
        <v>35</v>
      </c>
      <c r="Z24" s="56">
        <f t="shared" si="19"/>
        <v>-0.75</v>
      </c>
      <c r="AA24" s="55">
        <v>0.26899737962962961</v>
      </c>
      <c r="AB24" s="55">
        <f t="shared" si="27"/>
        <v>-6.0524410416666665</v>
      </c>
      <c r="AC24" s="55">
        <v>-7.32</v>
      </c>
      <c r="AD24" s="55">
        <v>-6.4803224358974356</v>
      </c>
      <c r="AE24" s="55">
        <v>0</v>
      </c>
      <c r="AF24" s="55"/>
    </row>
    <row r="25" spans="1:32" s="57" customFormat="1" ht="15.75" customHeight="1">
      <c r="A25" s="2" t="s">
        <v>81</v>
      </c>
      <c r="B25" s="2" t="s">
        <v>1147</v>
      </c>
      <c r="C25" s="51"/>
      <c r="D25" s="51">
        <v>8</v>
      </c>
      <c r="E25" s="51">
        <v>0</v>
      </c>
      <c r="F25" s="51">
        <v>155.97999999999999</v>
      </c>
      <c r="G25" s="51">
        <v>-30.95</v>
      </c>
      <c r="H25" s="51">
        <f t="shared" si="1"/>
        <v>0.19842287472752917</v>
      </c>
      <c r="I25" s="51">
        <f t="shared" si="2"/>
        <v>-8.7264600080220703E-2</v>
      </c>
      <c r="J25" s="51">
        <f t="shared" si="4"/>
        <v>-13.611532320512824</v>
      </c>
      <c r="K25" s="51">
        <f t="shared" si="3"/>
        <v>-1.701441540064103</v>
      </c>
      <c r="L25" s="51">
        <v>45</v>
      </c>
      <c r="M25" s="51">
        <f t="shared" si="5"/>
        <v>0.17777777777777778</v>
      </c>
      <c r="N25" s="51">
        <v>51</v>
      </c>
      <c r="O25" s="51">
        <f t="shared" ref="O25:P25" si="34">D25/7</f>
        <v>1.1428571428571428</v>
      </c>
      <c r="P25" s="51">
        <f t="shared" si="34"/>
        <v>0</v>
      </c>
      <c r="Q25" s="51">
        <f t="shared" si="7"/>
        <v>44</v>
      </c>
      <c r="R25" s="55">
        <v>100</v>
      </c>
      <c r="S25" s="53" t="s">
        <v>34</v>
      </c>
      <c r="T25" s="54" t="s">
        <v>34</v>
      </c>
      <c r="U25" s="55">
        <v>2</v>
      </c>
      <c r="V25" s="55">
        <f t="shared" si="8"/>
        <v>0.25</v>
      </c>
      <c r="W25" s="55">
        <f t="shared" si="9"/>
        <v>5.1583333333333332</v>
      </c>
      <c r="X25" s="55">
        <v>4</v>
      </c>
      <c r="Y25" s="55" t="s">
        <v>35</v>
      </c>
      <c r="Z25" s="56">
        <f t="shared" si="19"/>
        <v>-0.75</v>
      </c>
      <c r="AA25" s="55">
        <v>0.26899737962962961</v>
      </c>
      <c r="AB25" s="55">
        <f t="shared" si="27"/>
        <v>-4.8419528333333322</v>
      </c>
      <c r="AC25" s="55">
        <v>-7.32</v>
      </c>
      <c r="AD25" s="55">
        <v>-6.4803224358974356</v>
      </c>
      <c r="AE25" s="55">
        <v>0</v>
      </c>
      <c r="AF25" s="55"/>
    </row>
    <row r="26" spans="1:32" s="57" customFormat="1" ht="15.75" customHeight="1">
      <c r="A26" s="2" t="s">
        <v>83</v>
      </c>
      <c r="B26" s="2" t="s">
        <v>983</v>
      </c>
      <c r="C26" s="51">
        <f t="shared" ref="C26:C39" si="35">IFERROR(F26/D26," - ")</f>
        <v>19.851428571428567</v>
      </c>
      <c r="D26" s="51">
        <v>7</v>
      </c>
      <c r="E26" s="51">
        <v>0</v>
      </c>
      <c r="F26" s="51">
        <v>138.95999999999998</v>
      </c>
      <c r="G26" s="51">
        <v>-0.86</v>
      </c>
      <c r="H26" s="51">
        <f t="shared" si="1"/>
        <v>6.1888313183649981E-3</v>
      </c>
      <c r="I26" s="51">
        <f t="shared" si="2"/>
        <v>0.11814215759608002</v>
      </c>
      <c r="J26" s="51">
        <f t="shared" si="4"/>
        <v>16.417034219551276</v>
      </c>
      <c r="K26" s="51">
        <f t="shared" si="3"/>
        <v>2.3452906027930394</v>
      </c>
      <c r="L26" s="51">
        <v>28</v>
      </c>
      <c r="M26" s="51">
        <f t="shared" si="5"/>
        <v>0.25</v>
      </c>
      <c r="N26" s="51">
        <v>38</v>
      </c>
      <c r="O26" s="51">
        <f t="shared" ref="O26:P26" si="36">D26/7</f>
        <v>1</v>
      </c>
      <c r="P26" s="51">
        <f t="shared" si="36"/>
        <v>0</v>
      </c>
      <c r="Q26" s="51">
        <f t="shared" si="7"/>
        <v>38</v>
      </c>
      <c r="R26" s="55">
        <v>100</v>
      </c>
      <c r="S26" s="53" t="s">
        <v>34</v>
      </c>
      <c r="T26" s="54" t="s">
        <v>34</v>
      </c>
      <c r="U26" s="55">
        <v>0</v>
      </c>
      <c r="V26" s="55">
        <f t="shared" si="8"/>
        <v>0</v>
      </c>
      <c r="W26" s="55">
        <f t="shared" si="9"/>
        <v>0.86</v>
      </c>
      <c r="X26" s="55">
        <v>1</v>
      </c>
      <c r="Y26" s="55" t="s">
        <v>35</v>
      </c>
      <c r="Z26" s="56">
        <f t="shared" si="19"/>
        <v>-0.75</v>
      </c>
      <c r="AA26" s="55">
        <v>0.26899737962962961</v>
      </c>
      <c r="AB26" s="55">
        <f t="shared" si="27"/>
        <v>-4.2367087291666659</v>
      </c>
      <c r="AC26" s="55">
        <v>-7.32</v>
      </c>
      <c r="AD26" s="55">
        <v>-6.4803224358974356</v>
      </c>
      <c r="AE26" s="55">
        <v>0</v>
      </c>
      <c r="AF26" s="55"/>
    </row>
    <row r="27" spans="1:32" s="57" customFormat="1" ht="15.75" customHeight="1">
      <c r="A27" s="2" t="s">
        <v>84</v>
      </c>
      <c r="B27" s="2" t="s">
        <v>983</v>
      </c>
      <c r="C27" s="51">
        <f t="shared" si="35"/>
        <v>19.691000000000003</v>
      </c>
      <c r="D27" s="51">
        <v>10</v>
      </c>
      <c r="E27" s="51">
        <v>0</v>
      </c>
      <c r="F27" s="51">
        <v>196.91000000000003</v>
      </c>
      <c r="G27" s="51">
        <v>-1.1500000000000001</v>
      </c>
      <c r="H27" s="51">
        <f t="shared" si="1"/>
        <v>5.8402315778782188E-3</v>
      </c>
      <c r="I27" s="51">
        <f t="shared" si="2"/>
        <v>0.11257851099161528</v>
      </c>
      <c r="J27" s="51">
        <f t="shared" si="4"/>
        <v>22.167834599358969</v>
      </c>
      <c r="K27" s="51">
        <f t="shared" si="3"/>
        <v>2.2167834599358969</v>
      </c>
      <c r="L27" s="51">
        <v>51</v>
      </c>
      <c r="M27" s="51">
        <f t="shared" si="5"/>
        <v>0.19607843137254902</v>
      </c>
      <c r="N27" s="51">
        <v>32</v>
      </c>
      <c r="O27" s="51">
        <f t="shared" ref="O27:P27" si="37">D27/7</f>
        <v>1.4285714285714286</v>
      </c>
      <c r="P27" s="51">
        <f t="shared" si="37"/>
        <v>0</v>
      </c>
      <c r="Q27" s="51">
        <f t="shared" si="7"/>
        <v>22</v>
      </c>
      <c r="R27" s="55">
        <v>100</v>
      </c>
      <c r="S27" s="53" t="s">
        <v>34</v>
      </c>
      <c r="T27" s="54" t="s">
        <v>34</v>
      </c>
      <c r="U27" s="55">
        <v>1</v>
      </c>
      <c r="V27" s="55">
        <f t="shared" si="8"/>
        <v>0.1</v>
      </c>
      <c r="W27" s="55">
        <f t="shared" si="9"/>
        <v>0.38333333333333336</v>
      </c>
      <c r="X27" s="55">
        <v>2</v>
      </c>
      <c r="Y27" s="55" t="s">
        <v>35</v>
      </c>
      <c r="Z27" s="56">
        <f t="shared" si="19"/>
        <v>-0.75</v>
      </c>
      <c r="AA27" s="55">
        <v>0.26899737962962961</v>
      </c>
      <c r="AB27" s="55">
        <f t="shared" si="27"/>
        <v>-6.0524410416666665</v>
      </c>
      <c r="AC27" s="55">
        <v>-7.32</v>
      </c>
      <c r="AD27" s="55">
        <v>-6.4803224358974356</v>
      </c>
      <c r="AE27" s="55">
        <v>0</v>
      </c>
      <c r="AF27" s="55"/>
    </row>
    <row r="28" spans="1:32" s="57" customFormat="1" ht="15.75" customHeight="1">
      <c r="A28" s="2" t="s">
        <v>86</v>
      </c>
      <c r="B28" s="2" t="s">
        <v>944</v>
      </c>
      <c r="C28" s="51">
        <f t="shared" si="35"/>
        <v>21.740000000000006</v>
      </c>
      <c r="D28" s="51">
        <v>28</v>
      </c>
      <c r="E28" s="51">
        <v>1</v>
      </c>
      <c r="F28" s="51">
        <v>608.72000000000014</v>
      </c>
      <c r="G28" s="51">
        <v>-4.24</v>
      </c>
      <c r="H28" s="51">
        <f t="shared" si="1"/>
        <v>6.9654356682875528E-3</v>
      </c>
      <c r="I28" s="51">
        <f t="shared" si="2"/>
        <v>0.1804050086709903</v>
      </c>
      <c r="J28" s="51">
        <f t="shared" si="4"/>
        <v>109.81613687820524</v>
      </c>
      <c r="K28" s="51">
        <f t="shared" si="3"/>
        <v>3.9220048885073302</v>
      </c>
      <c r="L28" s="51">
        <v>134</v>
      </c>
      <c r="M28" s="51">
        <f t="shared" si="5"/>
        <v>0.20895522388059701</v>
      </c>
      <c r="N28" s="51">
        <v>1</v>
      </c>
      <c r="O28" s="51">
        <f t="shared" ref="O28:P28" si="38">D28/7</f>
        <v>4</v>
      </c>
      <c r="P28" s="51">
        <f t="shared" si="38"/>
        <v>0.14285714285714285</v>
      </c>
      <c r="Q28" s="51">
        <f t="shared" si="7"/>
        <v>0</v>
      </c>
      <c r="R28" s="55">
        <v>100</v>
      </c>
      <c r="S28" s="53" t="s">
        <v>34</v>
      </c>
      <c r="T28" s="54" t="s">
        <v>34</v>
      </c>
      <c r="U28" s="55">
        <v>0</v>
      </c>
      <c r="V28" s="55">
        <f t="shared" si="8"/>
        <v>0</v>
      </c>
      <c r="W28" s="55">
        <f t="shared" si="9"/>
        <v>1.4133333333333333</v>
      </c>
      <c r="X28" s="55">
        <v>3</v>
      </c>
      <c r="Y28" s="55" t="s">
        <v>35</v>
      </c>
      <c r="Z28" s="56">
        <f t="shared" si="19"/>
        <v>-0.75</v>
      </c>
      <c r="AA28" s="55">
        <v>0.26899737962962961</v>
      </c>
      <c r="AB28" s="55">
        <f t="shared" si="27"/>
        <v>-16.946834916666663</v>
      </c>
      <c r="AC28" s="55">
        <v>-7.32</v>
      </c>
      <c r="AD28" s="55">
        <v>-6.4803224358974356</v>
      </c>
      <c r="AE28" s="55">
        <v>0</v>
      </c>
      <c r="AF28" s="55"/>
    </row>
    <row r="29" spans="1:32" s="57" customFormat="1" ht="15.75" customHeight="1">
      <c r="A29" s="2" t="s">
        <v>87</v>
      </c>
      <c r="B29" s="2"/>
      <c r="C29" s="51">
        <f t="shared" si="35"/>
        <v>21.49</v>
      </c>
      <c r="D29" s="51">
        <v>2</v>
      </c>
      <c r="E29" s="51">
        <v>1</v>
      </c>
      <c r="F29" s="51">
        <v>42.98</v>
      </c>
      <c r="G29" s="51">
        <v>0</v>
      </c>
      <c r="H29" s="51">
        <f t="shared" si="1"/>
        <v>0</v>
      </c>
      <c r="I29" s="51">
        <f t="shared" si="2"/>
        <v>0.17966186411986487</v>
      </c>
      <c r="J29" s="51">
        <f t="shared" si="4"/>
        <v>7.7218669198717915</v>
      </c>
      <c r="K29" s="51">
        <f t="shared" si="3"/>
        <v>3.8609334599358958</v>
      </c>
      <c r="L29" s="51">
        <v>0</v>
      </c>
      <c r="M29" s="51" t="str">
        <f t="shared" si="5"/>
        <v>-</v>
      </c>
      <c r="N29" s="51">
        <v>0</v>
      </c>
      <c r="O29" s="51">
        <f t="shared" ref="O29:P29" si="39">D29/7</f>
        <v>0.2857142857142857</v>
      </c>
      <c r="P29" s="51">
        <f t="shared" si="39"/>
        <v>0.14285714285714285</v>
      </c>
      <c r="Q29" s="51">
        <f t="shared" si="7"/>
        <v>0</v>
      </c>
      <c r="R29" s="55">
        <v>100</v>
      </c>
      <c r="S29" s="53" t="s">
        <v>34</v>
      </c>
      <c r="T29" s="54" t="s">
        <v>34</v>
      </c>
      <c r="U29" s="55">
        <v>0</v>
      </c>
      <c r="V29" s="55">
        <f t="shared" si="8"/>
        <v>0</v>
      </c>
      <c r="W29" s="55">
        <f t="shared" si="9"/>
        <v>0</v>
      </c>
      <c r="X29" s="55">
        <v>0</v>
      </c>
      <c r="Y29" s="55" t="s">
        <v>35</v>
      </c>
      <c r="Z29" s="56">
        <f t="shared" si="19"/>
        <v>-0.75</v>
      </c>
      <c r="AA29" s="55">
        <v>0.26899737962962961</v>
      </c>
      <c r="AB29" s="55">
        <f t="shared" si="27"/>
        <v>-1.210488208333333</v>
      </c>
      <c r="AC29" s="55">
        <v>-7.32</v>
      </c>
      <c r="AD29" s="55">
        <v>-6.4803224358974356</v>
      </c>
      <c r="AE29" s="55">
        <v>0</v>
      </c>
      <c r="AF29" s="55"/>
    </row>
    <row r="30" spans="1:32" s="57" customFormat="1" ht="15.75" customHeight="1">
      <c r="A30" s="2" t="s">
        <v>89</v>
      </c>
      <c r="B30" s="2"/>
      <c r="C30" s="51" t="str">
        <f t="shared" si="35"/>
        <v xml:space="preserve"> - </v>
      </c>
      <c r="D30" s="51">
        <v>0</v>
      </c>
      <c r="E30" s="51">
        <v>0</v>
      </c>
      <c r="F30" s="51">
        <v>0</v>
      </c>
      <c r="G30" s="51">
        <v>0</v>
      </c>
      <c r="H30" s="51" t="e">
        <f t="shared" si="1"/>
        <v>#DIV/0!</v>
      </c>
      <c r="I30" s="51" t="e">
        <f t="shared" si="2"/>
        <v>#DIV/0!</v>
      </c>
      <c r="J30" s="51">
        <f t="shared" si="4"/>
        <v>0</v>
      </c>
      <c r="K30" s="51" t="e">
        <f t="shared" si="3"/>
        <v>#DIV/0!</v>
      </c>
      <c r="L30" s="51">
        <v>0</v>
      </c>
      <c r="M30" s="51" t="str">
        <f t="shared" si="5"/>
        <v>-</v>
      </c>
      <c r="N30" s="51">
        <v>1</v>
      </c>
      <c r="O30" s="51">
        <f t="shared" ref="O30:P30" si="40">D30/7</f>
        <v>0</v>
      </c>
      <c r="P30" s="51">
        <f t="shared" si="40"/>
        <v>0</v>
      </c>
      <c r="Q30" s="51" t="e">
        <f t="shared" si="7"/>
        <v>#DIV/0!</v>
      </c>
      <c r="R30" s="55">
        <v>200</v>
      </c>
      <c r="S30" s="53">
        <v>100</v>
      </c>
      <c r="T30" s="54">
        <v>44058</v>
      </c>
      <c r="U30" s="55">
        <v>0</v>
      </c>
      <c r="V30" s="55">
        <f t="shared" si="8"/>
        <v>0</v>
      </c>
      <c r="W30" s="55">
        <f t="shared" si="9"/>
        <v>0</v>
      </c>
      <c r="X30" s="55">
        <v>0</v>
      </c>
      <c r="Y30" s="55" t="s">
        <v>35</v>
      </c>
      <c r="Z30" s="56">
        <f t="shared" si="19"/>
        <v>-0.75</v>
      </c>
      <c r="AA30" s="55">
        <v>0.26899737962962961</v>
      </c>
      <c r="AB30" s="55">
        <f t="shared" si="27"/>
        <v>0</v>
      </c>
      <c r="AC30" s="55">
        <v>-7.32</v>
      </c>
      <c r="AD30" s="55">
        <v>-6.4803224358974356</v>
      </c>
      <c r="AE30" s="55">
        <v>0</v>
      </c>
      <c r="AF30" s="55"/>
    </row>
    <row r="31" spans="1:32" s="57" customFormat="1" ht="15.75" customHeight="1">
      <c r="A31" s="2" t="s">
        <v>90</v>
      </c>
      <c r="B31" s="2"/>
      <c r="C31" s="51">
        <f t="shared" si="35"/>
        <v>23.99</v>
      </c>
      <c r="D31" s="51">
        <v>1</v>
      </c>
      <c r="E31" s="51">
        <v>0</v>
      </c>
      <c r="F31" s="51">
        <v>23.99</v>
      </c>
      <c r="G31" s="51">
        <v>0</v>
      </c>
      <c r="H31" s="51">
        <f t="shared" si="1"/>
        <v>0</v>
      </c>
      <c r="I31" s="51">
        <f t="shared" si="2"/>
        <v>0.24951785993897024</v>
      </c>
      <c r="J31" s="51">
        <f t="shared" si="4"/>
        <v>5.9859334599358958</v>
      </c>
      <c r="K31" s="51">
        <f t="shared" si="3"/>
        <v>5.9859334599358958</v>
      </c>
      <c r="L31" s="51">
        <v>4</v>
      </c>
      <c r="M31" s="51">
        <f t="shared" si="5"/>
        <v>0.25</v>
      </c>
      <c r="N31" s="51">
        <v>0</v>
      </c>
      <c r="O31" s="51">
        <f t="shared" ref="O31:P31" si="41">D31/7</f>
        <v>0.14285714285714285</v>
      </c>
      <c r="P31" s="51">
        <f t="shared" si="41"/>
        <v>0</v>
      </c>
      <c r="Q31" s="51">
        <f t="shared" si="7"/>
        <v>0</v>
      </c>
      <c r="R31" s="55">
        <v>100</v>
      </c>
      <c r="S31" s="53">
        <v>100</v>
      </c>
      <c r="T31" s="54">
        <v>44058</v>
      </c>
      <c r="U31" s="55">
        <v>0</v>
      </c>
      <c r="V31" s="55">
        <f t="shared" si="8"/>
        <v>0</v>
      </c>
      <c r="W31" s="55">
        <f t="shared" si="9"/>
        <v>0</v>
      </c>
      <c r="X31" s="55">
        <v>0</v>
      </c>
      <c r="Y31" s="55" t="s">
        <v>35</v>
      </c>
      <c r="Z31" s="56">
        <f t="shared" si="19"/>
        <v>-0.75</v>
      </c>
      <c r="AA31" s="55">
        <v>0.26899737962962961</v>
      </c>
      <c r="AB31" s="55">
        <f t="shared" si="27"/>
        <v>-0.60524410416666652</v>
      </c>
      <c r="AC31" s="55">
        <v>-7.32</v>
      </c>
      <c r="AD31" s="55">
        <v>-6.4803224358974356</v>
      </c>
      <c r="AE31" s="55">
        <v>0</v>
      </c>
      <c r="AF31" s="55"/>
    </row>
    <row r="32" spans="1:32" s="57" customFormat="1" ht="15.75" customHeight="1">
      <c r="A32" s="2" t="s">
        <v>92</v>
      </c>
      <c r="B32" s="2"/>
      <c r="C32" s="51" t="str">
        <f t="shared" si="35"/>
        <v xml:space="preserve"> - </v>
      </c>
      <c r="D32" s="51">
        <v>0</v>
      </c>
      <c r="E32" s="51">
        <v>0</v>
      </c>
      <c r="F32" s="51">
        <v>0</v>
      </c>
      <c r="G32" s="51">
        <v>0</v>
      </c>
      <c r="H32" s="51" t="e">
        <f t="shared" si="1"/>
        <v>#DIV/0!</v>
      </c>
      <c r="I32" s="51" t="e">
        <f t="shared" si="2"/>
        <v>#DIV/0!</v>
      </c>
      <c r="J32" s="51">
        <f t="shared" si="4"/>
        <v>0</v>
      </c>
      <c r="K32" s="51" t="e">
        <f t="shared" si="3"/>
        <v>#DIV/0!</v>
      </c>
      <c r="L32" s="51">
        <v>0</v>
      </c>
      <c r="M32" s="51" t="str">
        <f t="shared" si="5"/>
        <v>-</v>
      </c>
      <c r="N32" s="51">
        <v>0</v>
      </c>
      <c r="O32" s="51">
        <f t="shared" ref="O32:P32" si="42">D32/7</f>
        <v>0</v>
      </c>
      <c r="P32" s="51">
        <f t="shared" si="42"/>
        <v>0</v>
      </c>
      <c r="Q32" s="51" t="e">
        <f t="shared" si="7"/>
        <v>#DIV/0!</v>
      </c>
      <c r="R32" s="55">
        <v>100</v>
      </c>
      <c r="S32" s="53">
        <v>100</v>
      </c>
      <c r="T32" s="54" t="s">
        <v>34</v>
      </c>
      <c r="U32" s="55">
        <v>0</v>
      </c>
      <c r="V32" s="55">
        <f t="shared" si="8"/>
        <v>0</v>
      </c>
      <c r="W32" s="55">
        <f t="shared" si="9"/>
        <v>0</v>
      </c>
      <c r="X32" s="55">
        <v>0</v>
      </c>
      <c r="Y32" s="55" t="e">
        <v>#N/A</v>
      </c>
      <c r="Z32" s="56" t="e">
        <f t="shared" si="19"/>
        <v>#N/A</v>
      </c>
      <c r="AA32" s="55" t="e">
        <v>#N/A</v>
      </c>
      <c r="AB32" s="55">
        <f t="shared" si="27"/>
        <v>0</v>
      </c>
      <c r="AC32" s="55">
        <v>0</v>
      </c>
      <c r="AD32" s="55">
        <v>-6.4803224358974356</v>
      </c>
      <c r="AE32" s="55">
        <v>0</v>
      </c>
      <c r="AF32" s="52" t="e">
        <v>#N/A</v>
      </c>
    </row>
    <row r="33" spans="1:32" s="57" customFormat="1" ht="15.75" customHeight="1">
      <c r="A33" s="2" t="s">
        <v>94</v>
      </c>
      <c r="B33" s="2"/>
      <c r="C33" s="51" t="str">
        <f t="shared" si="35"/>
        <v xml:space="preserve"> - </v>
      </c>
      <c r="D33" s="51">
        <v>0</v>
      </c>
      <c r="E33" s="51">
        <v>0</v>
      </c>
      <c r="F33" s="51">
        <v>0</v>
      </c>
      <c r="G33" s="51">
        <v>0</v>
      </c>
      <c r="H33" s="51" t="e">
        <f t="shared" si="1"/>
        <v>#DIV/0!</v>
      </c>
      <c r="I33" s="51" t="e">
        <f t="shared" si="2"/>
        <v>#DIV/0!</v>
      </c>
      <c r="J33" s="51">
        <f t="shared" si="4"/>
        <v>0</v>
      </c>
      <c r="K33" s="51" t="e">
        <f t="shared" si="3"/>
        <v>#DIV/0!</v>
      </c>
      <c r="L33" s="51">
        <v>0</v>
      </c>
      <c r="M33" s="51" t="str">
        <f t="shared" si="5"/>
        <v>-</v>
      </c>
      <c r="N33" s="51">
        <v>0</v>
      </c>
      <c r="O33" s="51">
        <f t="shared" ref="O33:P33" si="43">D33/7</f>
        <v>0</v>
      </c>
      <c r="P33" s="51">
        <f t="shared" si="43"/>
        <v>0</v>
      </c>
      <c r="Q33" s="51" t="e">
        <f t="shared" si="7"/>
        <v>#DIV/0!</v>
      </c>
      <c r="R33" s="55">
        <v>100</v>
      </c>
      <c r="S33" s="53">
        <v>100</v>
      </c>
      <c r="T33" s="54">
        <v>44058</v>
      </c>
      <c r="U33" s="55">
        <v>0</v>
      </c>
      <c r="V33" s="55">
        <f t="shared" si="8"/>
        <v>0</v>
      </c>
      <c r="W33" s="55">
        <f t="shared" si="9"/>
        <v>0</v>
      </c>
      <c r="X33" s="55">
        <v>0</v>
      </c>
      <c r="Y33" s="55" t="e">
        <v>#N/A</v>
      </c>
      <c r="Z33" s="56" t="e">
        <f t="shared" si="19"/>
        <v>#N/A</v>
      </c>
      <c r="AA33" s="55" t="e">
        <v>#N/A</v>
      </c>
      <c r="AB33" s="55">
        <f t="shared" si="27"/>
        <v>0</v>
      </c>
      <c r="AC33" s="55">
        <v>0</v>
      </c>
      <c r="AD33" s="55">
        <v>-6.4803224358974356</v>
      </c>
      <c r="AE33" s="55">
        <v>0</v>
      </c>
      <c r="AF33" s="55" t="e">
        <v>#N/A</v>
      </c>
    </row>
    <row r="34" spans="1:32" s="57" customFormat="1" ht="15.75" customHeight="1">
      <c r="A34" s="2" t="s">
        <v>95</v>
      </c>
      <c r="B34" s="2"/>
      <c r="C34" s="51" t="str">
        <f t="shared" si="35"/>
        <v xml:space="preserve"> - </v>
      </c>
      <c r="D34" s="51">
        <v>0</v>
      </c>
      <c r="E34" s="51">
        <v>0</v>
      </c>
      <c r="F34" s="51">
        <v>0</v>
      </c>
      <c r="G34" s="51">
        <v>0</v>
      </c>
      <c r="H34" s="51" t="e">
        <f t="shared" si="1"/>
        <v>#DIV/0!</v>
      </c>
      <c r="I34" s="51" t="e">
        <f t="shared" si="2"/>
        <v>#DIV/0!</v>
      </c>
      <c r="J34" s="51">
        <f t="shared" si="4"/>
        <v>0</v>
      </c>
      <c r="K34" s="51" t="e">
        <f t="shared" si="3"/>
        <v>#DIV/0!</v>
      </c>
      <c r="L34" s="51">
        <v>0</v>
      </c>
      <c r="M34" s="51" t="str">
        <f t="shared" si="5"/>
        <v>-</v>
      </c>
      <c r="N34" s="51">
        <v>0</v>
      </c>
      <c r="O34" s="51">
        <f t="shared" ref="O34:P34" si="44">D34/7</f>
        <v>0</v>
      </c>
      <c r="P34" s="51">
        <f t="shared" si="44"/>
        <v>0</v>
      </c>
      <c r="Q34" s="51" t="e">
        <f t="shared" si="7"/>
        <v>#DIV/0!</v>
      </c>
      <c r="R34" s="55">
        <v>100</v>
      </c>
      <c r="S34" s="53">
        <v>100</v>
      </c>
      <c r="T34" s="54">
        <v>44058</v>
      </c>
      <c r="U34" s="55">
        <v>0</v>
      </c>
      <c r="V34" s="55">
        <f t="shared" si="8"/>
        <v>0</v>
      </c>
      <c r="W34" s="55">
        <f t="shared" si="9"/>
        <v>0</v>
      </c>
      <c r="X34" s="55">
        <v>0</v>
      </c>
      <c r="Y34" s="55" t="e">
        <v>#N/A</v>
      </c>
      <c r="Z34" s="56" t="e">
        <f t="shared" si="19"/>
        <v>#N/A</v>
      </c>
      <c r="AA34" s="55" t="e">
        <v>#N/A</v>
      </c>
      <c r="AB34" s="55">
        <f t="shared" si="27"/>
        <v>0</v>
      </c>
      <c r="AC34" s="55">
        <v>0</v>
      </c>
      <c r="AD34" s="55">
        <v>-6.4803224358974356</v>
      </c>
      <c r="AE34" s="55">
        <v>0</v>
      </c>
      <c r="AF34" s="55" t="e">
        <v>#N/A</v>
      </c>
    </row>
    <row r="35" spans="1:32" s="57" customFormat="1" ht="15.75" customHeight="1">
      <c r="A35" s="2" t="s">
        <v>96</v>
      </c>
      <c r="B35" s="2"/>
      <c r="C35" s="51" t="str">
        <f t="shared" si="35"/>
        <v xml:space="preserve"> - </v>
      </c>
      <c r="D35" s="51">
        <v>0</v>
      </c>
      <c r="E35" s="51">
        <v>0</v>
      </c>
      <c r="F35" s="51">
        <v>0</v>
      </c>
      <c r="G35" s="51">
        <v>0</v>
      </c>
      <c r="H35" s="51" t="e">
        <f t="shared" si="1"/>
        <v>#DIV/0!</v>
      </c>
      <c r="I35" s="51" t="e">
        <f t="shared" si="2"/>
        <v>#DIV/0!</v>
      </c>
      <c r="J35" s="51">
        <f t="shared" si="4"/>
        <v>0</v>
      </c>
      <c r="K35" s="51" t="e">
        <f t="shared" si="3"/>
        <v>#DIV/0!</v>
      </c>
      <c r="L35" s="51">
        <v>0</v>
      </c>
      <c r="M35" s="51" t="str">
        <f t="shared" si="5"/>
        <v>-</v>
      </c>
      <c r="N35" s="51">
        <v>0</v>
      </c>
      <c r="O35" s="51">
        <f t="shared" ref="O35:P35" si="45">D35/7</f>
        <v>0</v>
      </c>
      <c r="P35" s="51">
        <f t="shared" si="45"/>
        <v>0</v>
      </c>
      <c r="Q35" s="51" t="e">
        <f t="shared" si="7"/>
        <v>#DIV/0!</v>
      </c>
      <c r="R35" s="55">
        <v>0</v>
      </c>
      <c r="S35" s="53" t="s">
        <v>34</v>
      </c>
      <c r="T35" s="54" t="s">
        <v>34</v>
      </c>
      <c r="U35" s="55">
        <v>0</v>
      </c>
      <c r="V35" s="55">
        <f t="shared" si="8"/>
        <v>0</v>
      </c>
      <c r="W35" s="55">
        <f t="shared" si="9"/>
        <v>0</v>
      </c>
      <c r="X35" s="55">
        <v>0</v>
      </c>
      <c r="Y35" s="55" t="e">
        <v>#N/A</v>
      </c>
      <c r="Z35" s="56" t="e">
        <f t="shared" si="19"/>
        <v>#N/A</v>
      </c>
      <c r="AA35" s="55" t="e">
        <v>#N/A</v>
      </c>
      <c r="AB35" s="55">
        <f t="shared" si="27"/>
        <v>0</v>
      </c>
      <c r="AC35" s="55">
        <v>0</v>
      </c>
      <c r="AD35" s="55">
        <v>-6.4803224358974356</v>
      </c>
      <c r="AE35" s="55">
        <v>0</v>
      </c>
      <c r="AF35" s="55" t="e">
        <v>#N/A</v>
      </c>
    </row>
    <row r="36" spans="1:32" s="57" customFormat="1" ht="15.75" customHeight="1">
      <c r="A36" s="2" t="s">
        <v>98</v>
      </c>
      <c r="B36" s="2"/>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v>0</v>
      </c>
      <c r="S36" s="53"/>
      <c r="T36" s="54" t="s">
        <v>34</v>
      </c>
      <c r="U36" s="55"/>
      <c r="V36" s="55">
        <f t="shared" si="8"/>
        <v>0</v>
      </c>
      <c r="W36" s="55">
        <f t="shared" si="9"/>
        <v>0</v>
      </c>
      <c r="X36" s="55"/>
      <c r="Y36" s="55" t="e">
        <v>#N/A</v>
      </c>
      <c r="Z36" s="56" t="e">
        <f t="shared" si="19"/>
        <v>#N/A</v>
      </c>
      <c r="AA36" s="55" t="e">
        <v>#N/A</v>
      </c>
      <c r="AB36" s="55">
        <f t="shared" si="27"/>
        <v>0</v>
      </c>
      <c r="AC36" s="55">
        <v>0</v>
      </c>
      <c r="AD36" s="55">
        <v>-6.4803224358974356</v>
      </c>
      <c r="AE36" s="55">
        <v>0</v>
      </c>
      <c r="AF36" s="55" t="e">
        <v>#N/A</v>
      </c>
    </row>
    <row r="37" spans="1:32" s="57" customFormat="1" ht="15.75" customHeight="1">
      <c r="A37" s="2" t="s">
        <v>99</v>
      </c>
      <c r="B37" s="2"/>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v>0</v>
      </c>
      <c r="S37" s="53" t="s">
        <v>34</v>
      </c>
      <c r="T37" s="54" t="s">
        <v>34</v>
      </c>
      <c r="U37" s="55">
        <v>0</v>
      </c>
      <c r="V37" s="55">
        <f t="shared" si="8"/>
        <v>0</v>
      </c>
      <c r="W37" s="55">
        <f t="shared" si="9"/>
        <v>0</v>
      </c>
      <c r="X37" s="55">
        <v>0</v>
      </c>
      <c r="Y37" s="55" t="e">
        <v>#N/A</v>
      </c>
      <c r="Z37" s="56" t="e">
        <f t="shared" si="19"/>
        <v>#N/A</v>
      </c>
      <c r="AA37" s="55" t="e">
        <v>#N/A</v>
      </c>
      <c r="AB37" s="55">
        <f t="shared" si="27"/>
        <v>0</v>
      </c>
      <c r="AC37" s="55">
        <v>0</v>
      </c>
      <c r="AD37" s="55">
        <v>-6.4803224358974356</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5">
        <v>100</v>
      </c>
      <c r="S38" s="53"/>
      <c r="T38" s="54" t="s">
        <v>34</v>
      </c>
      <c r="U38" s="55">
        <v>0</v>
      </c>
      <c r="V38" s="55">
        <f t="shared" si="8"/>
        <v>0</v>
      </c>
      <c r="W38" s="55">
        <f t="shared" si="9"/>
        <v>0</v>
      </c>
      <c r="X38" s="55">
        <v>0</v>
      </c>
      <c r="Y38" s="55" t="e">
        <v>#N/A</v>
      </c>
      <c r="Z38" s="56" t="e">
        <f t="shared" si="19"/>
        <v>#N/A</v>
      </c>
      <c r="AA38" s="55" t="e">
        <v>#N/A</v>
      </c>
      <c r="AB38" s="55">
        <f t="shared" si="27"/>
        <v>0</v>
      </c>
      <c r="AC38" s="55">
        <v>0</v>
      </c>
      <c r="AD38" s="55">
        <v>-6.4803224358974356</v>
      </c>
      <c r="AE38" s="55">
        <v>0</v>
      </c>
      <c r="AF38" s="55" t="e">
        <v>#N/A</v>
      </c>
    </row>
    <row r="39" spans="1:32" s="57" customFormat="1" ht="15.75" customHeight="1">
      <c r="A39" s="2" t="s">
        <v>101</v>
      </c>
      <c r="B39" s="2"/>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0</v>
      </c>
      <c r="O39" s="51">
        <f t="shared" ref="O39:P39" si="49">D39/7</f>
        <v>0</v>
      </c>
      <c r="P39" s="51">
        <f t="shared" si="49"/>
        <v>0</v>
      </c>
      <c r="Q39" s="51" t="e">
        <f t="shared" si="7"/>
        <v>#DIV/0!</v>
      </c>
      <c r="R39" s="55">
        <v>100</v>
      </c>
      <c r="S39" s="53" t="s">
        <v>34</v>
      </c>
      <c r="T39" s="54" t="s">
        <v>34</v>
      </c>
      <c r="U39" s="55">
        <v>0</v>
      </c>
      <c r="V39" s="55">
        <f t="shared" si="8"/>
        <v>0</v>
      </c>
      <c r="W39" s="55">
        <f t="shared" si="9"/>
        <v>0</v>
      </c>
      <c r="X39" s="55">
        <v>0</v>
      </c>
      <c r="Y39" s="55" t="e">
        <v>#N/A</v>
      </c>
      <c r="Z39" s="56" t="e">
        <f t="shared" si="19"/>
        <v>#N/A</v>
      </c>
      <c r="AA39" s="55" t="e">
        <v>#N/A</v>
      </c>
      <c r="AB39" s="55">
        <f t="shared" si="27"/>
        <v>0</v>
      </c>
      <c r="AC39" s="55">
        <v>0</v>
      </c>
      <c r="AD39" s="55">
        <v>-6.4803224358974303</v>
      </c>
      <c r="AE39" s="55">
        <v>0</v>
      </c>
      <c r="AF39" s="55" t="e">
        <v>#N/A</v>
      </c>
    </row>
    <row r="40" spans="1:32" s="57" customFormat="1" ht="15.75" customHeight="1">
      <c r="A40" s="2" t="s">
        <v>102</v>
      </c>
      <c r="B40" s="2"/>
      <c r="C40" s="51" t="s">
        <v>103</v>
      </c>
      <c r="D40" s="51">
        <v>0</v>
      </c>
      <c r="E40" s="51">
        <v>0</v>
      </c>
      <c r="F40" s="51">
        <v>0</v>
      </c>
      <c r="G40" s="51">
        <v>0</v>
      </c>
      <c r="H40" s="51" t="e">
        <v>#DIV/0!</v>
      </c>
      <c r="I40" s="51" t="e">
        <v>#DIV/0!</v>
      </c>
      <c r="J40" s="51">
        <v>0</v>
      </c>
      <c r="K40" s="51" t="e">
        <v>#DIV/0!</v>
      </c>
      <c r="L40" s="51">
        <v>0</v>
      </c>
      <c r="M40" s="51" t="s">
        <v>104</v>
      </c>
      <c r="N40" s="51">
        <v>0</v>
      </c>
      <c r="O40" s="51">
        <v>0</v>
      </c>
      <c r="P40" s="51">
        <v>0</v>
      </c>
      <c r="Q40" s="51" t="e">
        <v>#DIV/0!</v>
      </c>
      <c r="R40" s="55">
        <v>100</v>
      </c>
      <c r="S40" s="53" t="s">
        <v>34</v>
      </c>
      <c r="T40" s="54" t="s">
        <v>34</v>
      </c>
      <c r="U40" s="55">
        <v>0</v>
      </c>
      <c r="V40" s="55">
        <v>0</v>
      </c>
      <c r="W40" s="55">
        <v>0</v>
      </c>
      <c r="X40" s="55">
        <v>0</v>
      </c>
      <c r="Y40" s="55" t="e">
        <v>#N/A</v>
      </c>
      <c r="Z40" s="56" t="e">
        <v>#N/A</v>
      </c>
      <c r="AA40" s="55" t="e">
        <v>#N/A</v>
      </c>
      <c r="AB40" s="55">
        <v>0</v>
      </c>
      <c r="AC40" s="55">
        <v>0</v>
      </c>
      <c r="AD40" s="55">
        <v>-6.4803224358974303</v>
      </c>
      <c r="AE40" s="55">
        <v>0</v>
      </c>
      <c r="AF40" s="55" t="e">
        <v>#N/A</v>
      </c>
    </row>
    <row r="41" spans="1:32" s="57" customFormat="1" ht="15.75" customHeight="1">
      <c r="A41" s="2" t="s">
        <v>105</v>
      </c>
      <c r="B41" s="2"/>
      <c r="C41" s="51" t="str">
        <f t="shared" ref="C41:C56" si="50">IFERROR(F41/D41," - ")</f>
        <v xml:space="preserve"> - </v>
      </c>
      <c r="D41" s="51">
        <v>0</v>
      </c>
      <c r="E41" s="51">
        <v>0</v>
      </c>
      <c r="F41" s="51">
        <v>0</v>
      </c>
      <c r="G41" s="51">
        <v>0</v>
      </c>
      <c r="H41" s="51" t="e">
        <f t="shared" ref="H41:H56" si="51">G41/F41*-1</f>
        <v>#DIV/0!</v>
      </c>
      <c r="I41" s="51" t="e">
        <f t="shared" ref="I41:I56" si="52">J41/F41</f>
        <v>#DIV/0!</v>
      </c>
      <c r="J41" s="51">
        <f t="shared" ref="J41:J48" si="53">F41*0.85+G41+AD41*D41+D41*AC41+AE42+AB41</f>
        <v>0</v>
      </c>
      <c r="K41" s="51" t="e">
        <f t="shared" ref="K41:K56" si="54">J41/D41</f>
        <v>#DIV/0!</v>
      </c>
      <c r="L41" s="51">
        <v>0</v>
      </c>
      <c r="M41" s="51" t="str">
        <f t="shared" ref="M41:M56" si="55">IFERROR(D41/L41,"-")</f>
        <v>-</v>
      </c>
      <c r="N41" s="51">
        <v>0</v>
      </c>
      <c r="O41" s="51">
        <f t="shared" ref="O41:P41" si="56">D41/7</f>
        <v>0</v>
      </c>
      <c r="P41" s="51">
        <f t="shared" si="56"/>
        <v>0</v>
      </c>
      <c r="Q41" s="51" t="e">
        <f t="shared" ref="Q41:Q56" si="57">ROUNDDOWN(N41/(O41+P41),0)</f>
        <v>#DIV/0!</v>
      </c>
      <c r="R41" s="55">
        <v>100</v>
      </c>
      <c r="S41" s="53" t="s">
        <v>34</v>
      </c>
      <c r="T41" s="54" t="s">
        <v>34</v>
      </c>
      <c r="U41" s="55">
        <v>0</v>
      </c>
      <c r="V41" s="55">
        <f t="shared" ref="V41:V56" si="58">IFERROR(U41/D41,0)</f>
        <v>0</v>
      </c>
      <c r="W41" s="55">
        <f t="shared" ref="W41:W56" si="59">IFERROR(G41/(U41+X41)*-1,0)</f>
        <v>0</v>
      </c>
      <c r="X41" s="55">
        <v>0</v>
      </c>
      <c r="Y41" s="52" t="e">
        <v>#N/A</v>
      </c>
      <c r="Z41" s="56" t="e">
        <f t="shared" ref="Z41:Z43" si="60">IF(OR(Y41="UsLargeStandardSize",Y41="UsSmallStandardSize"),-0.75,-0.48)</f>
        <v>#N/A</v>
      </c>
      <c r="AA41" s="55" t="e">
        <v>#N/A</v>
      </c>
      <c r="AB41" s="55">
        <f t="shared" ref="AB41:AB56" si="61">IFERROR(Z41*AA41*D41*3,0)</f>
        <v>0</v>
      </c>
      <c r="AC41" s="55">
        <v>0</v>
      </c>
      <c r="AD41" s="55">
        <v>-6.4803224358974303</v>
      </c>
      <c r="AE41" s="55">
        <v>0</v>
      </c>
      <c r="AF41" s="55" t="e">
        <v>#N/A</v>
      </c>
    </row>
    <row r="42" spans="1:32" s="57" customFormat="1" ht="15.75" customHeight="1">
      <c r="A42" s="2" t="s">
        <v>106</v>
      </c>
      <c r="B42" s="2"/>
      <c r="C42" s="51" t="str">
        <f t="shared" si="50"/>
        <v xml:space="preserve"> - </v>
      </c>
      <c r="D42" s="51">
        <v>0</v>
      </c>
      <c r="E42" s="51">
        <v>0</v>
      </c>
      <c r="F42" s="51">
        <v>0</v>
      </c>
      <c r="G42" s="51">
        <v>0</v>
      </c>
      <c r="H42" s="51" t="e">
        <f t="shared" si="51"/>
        <v>#DIV/0!</v>
      </c>
      <c r="I42" s="51" t="e">
        <f t="shared" si="52"/>
        <v>#DIV/0!</v>
      </c>
      <c r="J42" s="51">
        <f t="shared" si="53"/>
        <v>0</v>
      </c>
      <c r="K42" s="51" t="e">
        <f t="shared" si="54"/>
        <v>#DIV/0!</v>
      </c>
      <c r="L42" s="51">
        <v>0</v>
      </c>
      <c r="M42" s="51" t="str">
        <f t="shared" si="55"/>
        <v>-</v>
      </c>
      <c r="N42" s="51">
        <v>0</v>
      </c>
      <c r="O42" s="51">
        <f t="shared" ref="O42:P42" si="62">D42/7</f>
        <v>0</v>
      </c>
      <c r="P42" s="51">
        <f t="shared" si="62"/>
        <v>0</v>
      </c>
      <c r="Q42" s="51" t="e">
        <f t="shared" si="57"/>
        <v>#DIV/0!</v>
      </c>
      <c r="R42" s="55">
        <f ca="1">IFERROR(__xludf.DUMMYFUNCTION("IFERROR(VLOOKUP($B$2,IMPORTRANGE(""https://docs.google.com/spreadsheets/d/1iVgg6Mw12RULLujzHmfOFIY8Q_KaAD8anoZzgtVAQ74/edit#gid=1503384807"",""Second Star - Summary!A1:AD2000""),9,FALSE),"""")"),224)</f>
        <v>224</v>
      </c>
      <c r="S42" s="53">
        <f ca="1">IFERROR(__xludf.DUMMYFUNCTION("IFERROR(VLOOKUP($B$2,IMPORTRANGE(""https://docs.google.com/spreadsheets/d/1iVgg6Mw12RULLujzHmfOFIY8Q_KaAD8anoZzgtVAQ74/edit#gid=1503384807"",""Second Star - Summary!A1:AD2000""),28,FALSE),"""")"),80)</f>
        <v>80</v>
      </c>
      <c r="T42" s="54">
        <f ca="1">IFERROR(__xludf.DUMMYFUNCTION("IFERROR(VLOOKUP($B$2,IMPORTRANGE(""https://docs.google.com/spreadsheets/d/1iVgg6Mw12RULLujzHmfOFIY8Q_KaAD8anoZzgtVAQ74/edit#gid=1503384807"",""Second Star - Summary!A1:AD2000""),29,FALSE),"""")"),44339)</f>
        <v>44339</v>
      </c>
      <c r="U42" s="55">
        <v>0</v>
      </c>
      <c r="V42" s="55">
        <f t="shared" si="58"/>
        <v>0</v>
      </c>
      <c r="W42" s="55">
        <f t="shared" si="59"/>
        <v>0</v>
      </c>
      <c r="X42" s="55">
        <v>0</v>
      </c>
      <c r="Y42" s="55" t="e">
        <v>#N/A</v>
      </c>
      <c r="Z42" s="56" t="e">
        <f t="shared" si="60"/>
        <v>#N/A</v>
      </c>
      <c r="AA42" s="55" t="e">
        <v>#N/A</v>
      </c>
      <c r="AB42" s="55">
        <f t="shared" si="61"/>
        <v>0</v>
      </c>
      <c r="AC42" s="55">
        <v>0</v>
      </c>
      <c r="AD42" s="55">
        <v>-6.4803224358974303</v>
      </c>
      <c r="AE42" s="55">
        <v>0</v>
      </c>
      <c r="AF42" s="55" t="e">
        <v>#N/A</v>
      </c>
    </row>
    <row r="43" spans="1:32" s="57" customFormat="1" ht="15.75" customHeight="1">
      <c r="A43" s="2" t="s">
        <v>107</v>
      </c>
      <c r="B43" s="2"/>
      <c r="C43" s="51" t="str">
        <f t="shared" si="50"/>
        <v xml:space="preserve"> - </v>
      </c>
      <c r="D43" s="51">
        <v>0</v>
      </c>
      <c r="E43" s="51">
        <v>0</v>
      </c>
      <c r="F43" s="51">
        <v>0</v>
      </c>
      <c r="G43" s="51">
        <v>0</v>
      </c>
      <c r="H43" s="51" t="e">
        <f t="shared" si="51"/>
        <v>#DIV/0!</v>
      </c>
      <c r="I43" s="51" t="e">
        <f t="shared" si="52"/>
        <v>#DIV/0!</v>
      </c>
      <c r="J43" s="51">
        <f t="shared" si="53"/>
        <v>0</v>
      </c>
      <c r="K43" s="51" t="e">
        <f t="shared" si="54"/>
        <v>#DIV/0!</v>
      </c>
      <c r="L43" s="51">
        <v>0</v>
      </c>
      <c r="M43" s="51" t="str">
        <f t="shared" si="55"/>
        <v>-</v>
      </c>
      <c r="N43" s="51">
        <v>0</v>
      </c>
      <c r="O43" s="51">
        <f t="shared" ref="O43:P43" si="63">D43/7</f>
        <v>0</v>
      </c>
      <c r="P43" s="51">
        <f t="shared" si="63"/>
        <v>0</v>
      </c>
      <c r="Q43" s="51" t="e">
        <f t="shared" si="57"/>
        <v>#DIV/0!</v>
      </c>
      <c r="R43" s="55">
        <v>100</v>
      </c>
      <c r="S43" s="53" t="s">
        <v>34</v>
      </c>
      <c r="T43" s="54" t="s">
        <v>34</v>
      </c>
      <c r="U43" s="55">
        <v>0</v>
      </c>
      <c r="V43" s="55">
        <f t="shared" si="58"/>
        <v>0</v>
      </c>
      <c r="W43" s="55">
        <f t="shared" si="59"/>
        <v>0</v>
      </c>
      <c r="X43" s="55">
        <v>0</v>
      </c>
      <c r="Y43" s="55" t="e">
        <v>#N/A</v>
      </c>
      <c r="Z43" s="56" t="e">
        <f t="shared" si="60"/>
        <v>#N/A</v>
      </c>
      <c r="AA43" s="55" t="e">
        <v>#N/A</v>
      </c>
      <c r="AB43" s="55">
        <f t="shared" si="61"/>
        <v>0</v>
      </c>
      <c r="AC43" s="55">
        <v>0</v>
      </c>
      <c r="AD43" s="55">
        <v>-6.4803224358974303</v>
      </c>
      <c r="AE43" s="55">
        <v>0</v>
      </c>
      <c r="AF43" s="55" t="e">
        <v>#N/A</v>
      </c>
    </row>
    <row r="44" spans="1:32" s="57" customFormat="1" ht="15.75" customHeight="1">
      <c r="A44" s="2" t="s">
        <v>108</v>
      </c>
      <c r="B44" s="2"/>
      <c r="C44" s="51" t="str">
        <f t="shared" si="50"/>
        <v xml:space="preserve"> - </v>
      </c>
      <c r="D44" s="51">
        <v>0</v>
      </c>
      <c r="E44" s="51">
        <v>0</v>
      </c>
      <c r="F44" s="51">
        <v>0</v>
      </c>
      <c r="G44" s="51">
        <v>0</v>
      </c>
      <c r="H44" s="51" t="e">
        <f t="shared" si="51"/>
        <v>#DIV/0!</v>
      </c>
      <c r="I44" s="51" t="e">
        <f t="shared" si="52"/>
        <v>#DIV/0!</v>
      </c>
      <c r="J44" s="51">
        <f t="shared" si="53"/>
        <v>0</v>
      </c>
      <c r="K44" s="51" t="e">
        <f t="shared" si="54"/>
        <v>#DIV/0!</v>
      </c>
      <c r="L44" s="51">
        <v>0</v>
      </c>
      <c r="M44" s="51" t="str">
        <f t="shared" si="55"/>
        <v>-</v>
      </c>
      <c r="N44" s="51">
        <v>0</v>
      </c>
      <c r="O44" s="51">
        <f t="shared" ref="O44:P44" si="64">D44/7</f>
        <v>0</v>
      </c>
      <c r="P44" s="51">
        <f t="shared" si="64"/>
        <v>0</v>
      </c>
      <c r="Q44" s="51" t="e">
        <f t="shared" si="57"/>
        <v>#DIV/0!</v>
      </c>
      <c r="R44" s="55">
        <v>100</v>
      </c>
      <c r="S44" s="53" t="s">
        <v>34</v>
      </c>
      <c r="T44" s="54" t="s">
        <v>34</v>
      </c>
      <c r="U44" s="55">
        <v>0</v>
      </c>
      <c r="V44" s="55">
        <f t="shared" si="58"/>
        <v>0</v>
      </c>
      <c r="W44" s="55">
        <f t="shared" si="59"/>
        <v>0</v>
      </c>
      <c r="X44" s="55">
        <v>0</v>
      </c>
      <c r="Y44" s="55" t="e">
        <v>#N/A</v>
      </c>
      <c r="Z44" s="56" t="e">
        <f t="shared" ref="Z44:Z56" si="65">IF(OR(Y44="UsLargeStandardSize",Y44="UsSmallStandardSize"),-2.4,-1.2)</f>
        <v>#N/A</v>
      </c>
      <c r="AA44" s="55" t="e">
        <v>#N/A</v>
      </c>
      <c r="AB44" s="55">
        <f t="shared" si="61"/>
        <v>0</v>
      </c>
      <c r="AC44" s="55">
        <v>0</v>
      </c>
      <c r="AD44" s="55">
        <v>-6.4803224358974303</v>
      </c>
      <c r="AE44" s="55">
        <v>0</v>
      </c>
      <c r="AF44" s="55" t="e">
        <v>#N/A</v>
      </c>
    </row>
    <row r="45" spans="1:32" s="57" customFormat="1" ht="15.75" customHeight="1">
      <c r="A45" s="2" t="s">
        <v>109</v>
      </c>
      <c r="B45" s="2"/>
      <c r="C45" s="51" t="str">
        <f t="shared" si="50"/>
        <v xml:space="preserve"> - </v>
      </c>
      <c r="D45" s="51">
        <v>0</v>
      </c>
      <c r="E45" s="51">
        <v>0</v>
      </c>
      <c r="F45" s="51">
        <v>0</v>
      </c>
      <c r="G45" s="51">
        <v>0</v>
      </c>
      <c r="H45" s="51" t="e">
        <f t="shared" si="51"/>
        <v>#DIV/0!</v>
      </c>
      <c r="I45" s="51" t="e">
        <f t="shared" si="52"/>
        <v>#DIV/0!</v>
      </c>
      <c r="J45" s="51">
        <f t="shared" si="53"/>
        <v>0</v>
      </c>
      <c r="K45" s="51" t="e">
        <f t="shared" si="54"/>
        <v>#DIV/0!</v>
      </c>
      <c r="L45" s="51">
        <v>0</v>
      </c>
      <c r="M45" s="51" t="str">
        <f t="shared" si="55"/>
        <v>-</v>
      </c>
      <c r="N45" s="51">
        <v>0</v>
      </c>
      <c r="O45" s="51">
        <f t="shared" ref="O45:P45" si="66">D45/7</f>
        <v>0</v>
      </c>
      <c r="P45" s="51">
        <f t="shared" si="66"/>
        <v>0</v>
      </c>
      <c r="Q45" s="51" t="e">
        <f t="shared" si="57"/>
        <v>#DIV/0!</v>
      </c>
      <c r="R45" s="55">
        <v>100</v>
      </c>
      <c r="S45" s="53" t="s">
        <v>34</v>
      </c>
      <c r="T45" s="54" t="s">
        <v>34</v>
      </c>
      <c r="U45" s="55">
        <v>0</v>
      </c>
      <c r="V45" s="55">
        <f t="shared" si="58"/>
        <v>0</v>
      </c>
      <c r="W45" s="55">
        <f t="shared" si="59"/>
        <v>0</v>
      </c>
      <c r="X45" s="55">
        <v>0</v>
      </c>
      <c r="Y45" s="55" t="e">
        <v>#N/A</v>
      </c>
      <c r="Z45" s="56" t="e">
        <f t="shared" si="65"/>
        <v>#N/A</v>
      </c>
      <c r="AA45" s="55" t="e">
        <v>#N/A</v>
      </c>
      <c r="AB45" s="55">
        <f t="shared" si="61"/>
        <v>0</v>
      </c>
      <c r="AC45" s="55">
        <v>0</v>
      </c>
      <c r="AD45" s="55">
        <v>-6.4803224358974303</v>
      </c>
      <c r="AE45" s="55">
        <v>0</v>
      </c>
      <c r="AF45" s="55" t="e">
        <v>#N/A</v>
      </c>
    </row>
    <row r="46" spans="1:32" s="57" customFormat="1" ht="15.75" customHeight="1">
      <c r="A46" s="2" t="s">
        <v>111</v>
      </c>
      <c r="B46" s="2"/>
      <c r="C46" s="51" t="str">
        <f t="shared" si="50"/>
        <v xml:space="preserve"> - </v>
      </c>
      <c r="D46" s="51">
        <v>0</v>
      </c>
      <c r="E46" s="51">
        <v>0</v>
      </c>
      <c r="F46" s="51">
        <v>0</v>
      </c>
      <c r="G46" s="51">
        <v>0</v>
      </c>
      <c r="H46" s="51" t="e">
        <f t="shared" si="51"/>
        <v>#DIV/0!</v>
      </c>
      <c r="I46" s="51" t="e">
        <f t="shared" si="52"/>
        <v>#DIV/0!</v>
      </c>
      <c r="J46" s="51">
        <f t="shared" si="53"/>
        <v>0</v>
      </c>
      <c r="K46" s="51" t="e">
        <f t="shared" si="54"/>
        <v>#DIV/0!</v>
      </c>
      <c r="L46" s="51">
        <v>0</v>
      </c>
      <c r="M46" s="51" t="str">
        <f t="shared" si="55"/>
        <v>-</v>
      </c>
      <c r="N46" s="51">
        <v>0</v>
      </c>
      <c r="O46" s="51">
        <f t="shared" ref="O46:P46" si="67">D46/7</f>
        <v>0</v>
      </c>
      <c r="P46" s="51">
        <f t="shared" si="67"/>
        <v>0</v>
      </c>
      <c r="Q46" s="51" t="e">
        <f t="shared" si="57"/>
        <v>#DIV/0!</v>
      </c>
      <c r="R46" s="55">
        <v>100</v>
      </c>
      <c r="S46" s="53" t="s">
        <v>34</v>
      </c>
      <c r="T46" s="54" t="s">
        <v>34</v>
      </c>
      <c r="U46" s="55">
        <v>0</v>
      </c>
      <c r="V46" s="55">
        <f t="shared" si="58"/>
        <v>0</v>
      </c>
      <c r="W46" s="55">
        <f t="shared" si="59"/>
        <v>0</v>
      </c>
      <c r="X46" s="55">
        <v>0</v>
      </c>
      <c r="Y46" s="55" t="e">
        <v>#N/A</v>
      </c>
      <c r="Z46" s="56" t="e">
        <f t="shared" si="65"/>
        <v>#N/A</v>
      </c>
      <c r="AA46" s="55" t="e">
        <v>#N/A</v>
      </c>
      <c r="AB46" s="55">
        <f t="shared" si="61"/>
        <v>0</v>
      </c>
      <c r="AC46" s="55">
        <v>0</v>
      </c>
      <c r="AD46" s="55">
        <v>-6.4803224358974303</v>
      </c>
      <c r="AE46" s="55">
        <v>0</v>
      </c>
      <c r="AF46" s="55" t="e">
        <v>#N/A</v>
      </c>
    </row>
    <row r="47" spans="1:32" s="57" customFormat="1" ht="15.75" customHeight="1">
      <c r="A47" s="2" t="s">
        <v>113</v>
      </c>
      <c r="B47" s="2"/>
      <c r="C47" s="51" t="str">
        <f t="shared" si="50"/>
        <v xml:space="preserve"> - </v>
      </c>
      <c r="D47" s="51">
        <v>0</v>
      </c>
      <c r="E47" s="51">
        <v>0</v>
      </c>
      <c r="F47" s="51">
        <v>0</v>
      </c>
      <c r="G47" s="51">
        <v>0</v>
      </c>
      <c r="H47" s="51" t="e">
        <f t="shared" si="51"/>
        <v>#DIV/0!</v>
      </c>
      <c r="I47" s="51" t="e">
        <f t="shared" si="52"/>
        <v>#DIV/0!</v>
      </c>
      <c r="J47" s="51">
        <f t="shared" si="53"/>
        <v>0</v>
      </c>
      <c r="K47" s="51" t="e">
        <f t="shared" si="54"/>
        <v>#DIV/0!</v>
      </c>
      <c r="L47" s="51">
        <v>0</v>
      </c>
      <c r="M47" s="51" t="str">
        <f t="shared" si="55"/>
        <v>-</v>
      </c>
      <c r="N47" s="51">
        <v>0</v>
      </c>
      <c r="O47" s="51">
        <f t="shared" ref="O47:P47" si="68">D47/7</f>
        <v>0</v>
      </c>
      <c r="P47" s="51">
        <f t="shared" si="68"/>
        <v>0</v>
      </c>
      <c r="Q47" s="51" t="e">
        <f t="shared" si="57"/>
        <v>#DIV/0!</v>
      </c>
      <c r="R47" s="55">
        <v>100</v>
      </c>
      <c r="S47" s="53" t="s">
        <v>34</v>
      </c>
      <c r="T47" s="54" t="s">
        <v>34</v>
      </c>
      <c r="U47" s="55">
        <v>0</v>
      </c>
      <c r="V47" s="55">
        <f t="shared" si="58"/>
        <v>0</v>
      </c>
      <c r="W47" s="55">
        <f t="shared" si="59"/>
        <v>0</v>
      </c>
      <c r="X47" s="55">
        <v>0</v>
      </c>
      <c r="Y47" s="55" t="e">
        <v>#N/A</v>
      </c>
      <c r="Z47" s="56" t="e">
        <f t="shared" si="65"/>
        <v>#N/A</v>
      </c>
      <c r="AA47" s="55" t="e">
        <v>#N/A</v>
      </c>
      <c r="AB47" s="55">
        <f t="shared" si="61"/>
        <v>0</v>
      </c>
      <c r="AC47" s="55">
        <v>0</v>
      </c>
      <c r="AD47" s="55">
        <v>-6.4803224358974303</v>
      </c>
      <c r="AE47" s="55">
        <v>0</v>
      </c>
      <c r="AF47" s="55" t="e">
        <v>#N/A</v>
      </c>
    </row>
    <row r="48" spans="1:32" s="57" customFormat="1" ht="15.75" customHeight="1">
      <c r="A48" s="2" t="s">
        <v>115</v>
      </c>
      <c r="B48" s="2"/>
      <c r="C48" s="51" t="str">
        <f t="shared" si="50"/>
        <v xml:space="preserve"> - </v>
      </c>
      <c r="D48" s="51">
        <v>0</v>
      </c>
      <c r="E48" s="51">
        <v>0</v>
      </c>
      <c r="F48" s="51">
        <v>0</v>
      </c>
      <c r="G48" s="51">
        <v>0</v>
      </c>
      <c r="H48" s="51" t="e">
        <f t="shared" si="51"/>
        <v>#DIV/0!</v>
      </c>
      <c r="I48" s="51" t="e">
        <f t="shared" si="52"/>
        <v>#DIV/0!</v>
      </c>
      <c r="J48" s="51">
        <f t="shared" si="53"/>
        <v>0</v>
      </c>
      <c r="K48" s="51" t="e">
        <f t="shared" si="54"/>
        <v>#DIV/0!</v>
      </c>
      <c r="L48" s="51">
        <v>0</v>
      </c>
      <c r="M48" s="51" t="str">
        <f t="shared" si="55"/>
        <v>-</v>
      </c>
      <c r="N48" s="51">
        <v>0</v>
      </c>
      <c r="O48" s="51">
        <f t="shared" ref="O48:P48" si="69">D48/7</f>
        <v>0</v>
      </c>
      <c r="P48" s="51">
        <f t="shared" si="69"/>
        <v>0</v>
      </c>
      <c r="Q48" s="51" t="e">
        <f t="shared" si="57"/>
        <v>#DIV/0!</v>
      </c>
      <c r="R48" s="55">
        <f ca="1">IFERROR(__xludf.DUMMYFUNCTION("IFERROR(VLOOKUP($B$2,IMPORTRANGE(""https://docs.google.com/spreadsheets/d/1iVgg6Mw12RULLujzHmfOFIY8Q_KaAD8anoZzgtVAQ74/edit#gid=1503384807"",""Second Star - Summary!A1:AD2000""),9,FALSE),"""")"),224)</f>
        <v>224</v>
      </c>
      <c r="S48" s="53">
        <f ca="1">IFERROR(__xludf.DUMMYFUNCTION("IFERROR(VLOOKUP($B$2,IMPORTRANGE(""https://docs.google.com/spreadsheets/d/1iVgg6Mw12RULLujzHmfOFIY8Q_KaAD8anoZzgtVAQ74/edit#gid=1503384807"",""Second Star - Summary!A1:AD2000""),28,FALSE),"""")"),80)</f>
        <v>80</v>
      </c>
      <c r="T48" s="54">
        <f ca="1">IFERROR(__xludf.DUMMYFUNCTION("IFERROR(VLOOKUP($B$2,IMPORTRANGE(""https://docs.google.com/spreadsheets/d/1iVgg6Mw12RULLujzHmfOFIY8Q_KaAD8anoZzgtVAQ74/edit#gid=1503384807"",""Second Star - Summary!A1:AD2000""),29,FALSE),"""")"),44339)</f>
        <v>44339</v>
      </c>
      <c r="U48" s="55">
        <v>0</v>
      </c>
      <c r="V48" s="55">
        <f t="shared" si="58"/>
        <v>0</v>
      </c>
      <c r="W48" s="55">
        <f t="shared" si="59"/>
        <v>0</v>
      </c>
      <c r="X48" s="55">
        <v>0</v>
      </c>
      <c r="Y48" s="55" t="e">
        <v>#N/A</v>
      </c>
      <c r="Z48" s="56" t="e">
        <f t="shared" si="65"/>
        <v>#N/A</v>
      </c>
      <c r="AA48" s="55" t="e">
        <v>#N/A</v>
      </c>
      <c r="AB48" s="55">
        <f t="shared" si="61"/>
        <v>0</v>
      </c>
      <c r="AC48" s="55">
        <v>0</v>
      </c>
      <c r="AD48" s="55">
        <v>-6.4803224358974303</v>
      </c>
      <c r="AE48" s="55">
        <v>0</v>
      </c>
      <c r="AF48" s="55" t="e">
        <v>#N/A</v>
      </c>
    </row>
    <row r="49" spans="1:32" s="57" customFormat="1" ht="15.75" customHeight="1">
      <c r="A49" s="2" t="s">
        <v>117</v>
      </c>
      <c r="B49" s="2"/>
      <c r="C49" s="51" t="str">
        <f t="shared" si="50"/>
        <v xml:space="preserve"> - </v>
      </c>
      <c r="D49" s="51">
        <v>0</v>
      </c>
      <c r="E49" s="51">
        <v>0</v>
      </c>
      <c r="F49" s="51">
        <v>0</v>
      </c>
      <c r="G49" s="51">
        <v>0</v>
      </c>
      <c r="H49" s="51" t="e">
        <f t="shared" si="51"/>
        <v>#DIV/0!</v>
      </c>
      <c r="I49" s="51" t="e">
        <f t="shared" si="52"/>
        <v>#DIV/0!</v>
      </c>
      <c r="J49" s="51">
        <f t="shared" ref="J49:J56" si="70">F49*0.85+G49+AD49*D49+D49*AC49+AE49+AB49</f>
        <v>0</v>
      </c>
      <c r="K49" s="51" t="e">
        <f t="shared" si="54"/>
        <v>#DIV/0!</v>
      </c>
      <c r="L49" s="51">
        <v>0</v>
      </c>
      <c r="M49" s="51" t="str">
        <f t="shared" si="55"/>
        <v>-</v>
      </c>
      <c r="N49" s="51">
        <v>0</v>
      </c>
      <c r="O49" s="51">
        <f t="shared" ref="O49:P49" si="71">D49/7</f>
        <v>0</v>
      </c>
      <c r="P49" s="51">
        <f t="shared" si="71"/>
        <v>0</v>
      </c>
      <c r="Q49" s="51" t="e">
        <f t="shared" si="57"/>
        <v>#DIV/0!</v>
      </c>
      <c r="R49" s="55">
        <f ca="1">IFERROR(__xludf.DUMMYFUNCTION("IFERROR(VLOOKUP($B$2,IMPORTRANGE(""https://docs.google.com/spreadsheets/d/1iVgg6Mw12RULLujzHmfOFIY8Q_KaAD8anoZzgtVAQ74/edit#gid=1503384807"",""Second Star - Summary!A1:AD2000""),9,FALSE),"""")"),224)</f>
        <v>224</v>
      </c>
      <c r="S49" s="53">
        <f ca="1">IFERROR(__xludf.DUMMYFUNCTION("IFERROR(VLOOKUP($B$2,IMPORTRANGE(""https://docs.google.com/spreadsheets/d/1iVgg6Mw12RULLujzHmfOFIY8Q_KaAD8anoZzgtVAQ74/edit#gid=1503384807"",""Second Star - Summary!A1:AD2000""),28,FALSE),"""")"),80)</f>
        <v>80</v>
      </c>
      <c r="T49" s="54">
        <f ca="1">IFERROR(__xludf.DUMMYFUNCTION("IFERROR(VLOOKUP($B$2,IMPORTRANGE(""https://docs.google.com/spreadsheets/d/1iVgg6Mw12RULLujzHmfOFIY8Q_KaAD8anoZzgtVAQ74/edit#gid=1503384807"",""Second Star - Summary!A1:AD2000""),29,FALSE),"""")"),44339)</f>
        <v>44339</v>
      </c>
      <c r="U49" s="55">
        <v>0</v>
      </c>
      <c r="V49" s="55">
        <f t="shared" si="58"/>
        <v>0</v>
      </c>
      <c r="W49" s="55">
        <f t="shared" si="59"/>
        <v>0</v>
      </c>
      <c r="X49" s="55">
        <v>0</v>
      </c>
      <c r="Y49" s="55" t="e">
        <v>#N/A</v>
      </c>
      <c r="Z49" s="56" t="e">
        <f t="shared" si="65"/>
        <v>#N/A</v>
      </c>
      <c r="AA49" s="55" t="e">
        <v>#N/A</v>
      </c>
      <c r="AB49" s="55">
        <f t="shared" si="61"/>
        <v>0</v>
      </c>
      <c r="AC49" s="55">
        <v>0</v>
      </c>
      <c r="AD49" s="55">
        <v>-6.4803224358974303</v>
      </c>
      <c r="AE49" s="55"/>
      <c r="AF49" s="55" t="e">
        <v>#N/A</v>
      </c>
    </row>
    <row r="50" spans="1:32" s="57" customFormat="1" ht="15.75" customHeight="1">
      <c r="A50" s="2" t="s">
        <v>119</v>
      </c>
      <c r="B50" s="2"/>
      <c r="C50" s="51" t="str">
        <f t="shared" si="50"/>
        <v xml:space="preserve"> - </v>
      </c>
      <c r="D50" s="51">
        <v>0</v>
      </c>
      <c r="E50" s="51">
        <v>0</v>
      </c>
      <c r="F50" s="51">
        <v>0</v>
      </c>
      <c r="G50" s="51">
        <v>0</v>
      </c>
      <c r="H50" s="51" t="e">
        <f t="shared" si="51"/>
        <v>#DIV/0!</v>
      </c>
      <c r="I50" s="51" t="e">
        <f t="shared" si="52"/>
        <v>#DIV/0!</v>
      </c>
      <c r="J50" s="51">
        <f t="shared" si="70"/>
        <v>0</v>
      </c>
      <c r="K50" s="51" t="e">
        <f t="shared" si="54"/>
        <v>#DIV/0!</v>
      </c>
      <c r="L50" s="51">
        <v>0</v>
      </c>
      <c r="M50" s="51" t="str">
        <f t="shared" si="55"/>
        <v>-</v>
      </c>
      <c r="N50" s="51">
        <v>0</v>
      </c>
      <c r="O50" s="51">
        <f t="shared" ref="O50:P50" si="72">D50/7</f>
        <v>0</v>
      </c>
      <c r="P50" s="51">
        <f t="shared" si="72"/>
        <v>0</v>
      </c>
      <c r="Q50" s="51" t="e">
        <f t="shared" si="57"/>
        <v>#DIV/0!</v>
      </c>
      <c r="R50" s="55">
        <f ca="1">IFERROR(__xludf.DUMMYFUNCTION("IFERROR(VLOOKUP($B$2,IMPORTRANGE(""https://docs.google.com/spreadsheets/d/1iVgg6Mw12RULLujzHmfOFIY8Q_KaAD8anoZzgtVAQ74/edit#gid=1503384807"",""Second Star - Summary!A1:AD2000""),9,FALSE),"""")"),224)</f>
        <v>224</v>
      </c>
      <c r="S50" s="53">
        <f ca="1">IFERROR(__xludf.DUMMYFUNCTION("IFERROR(VLOOKUP($B$2,IMPORTRANGE(""https://docs.google.com/spreadsheets/d/1iVgg6Mw12RULLujzHmfOFIY8Q_KaAD8anoZzgtVAQ74/edit#gid=1503384807"",""Second Star - Summary!A1:AD2000""),28,FALSE),"""")"),80)</f>
        <v>80</v>
      </c>
      <c r="T50" s="54">
        <f ca="1">IFERROR(__xludf.DUMMYFUNCTION("IFERROR(VLOOKUP($B$2,IMPORTRANGE(""https://docs.google.com/spreadsheets/d/1iVgg6Mw12RULLujzHmfOFIY8Q_KaAD8anoZzgtVAQ74/edit#gid=1503384807"",""Second Star - Summary!A1:AD2000""),29,FALSE),"""")"),44339)</f>
        <v>44339</v>
      </c>
      <c r="U50" s="55">
        <v>0</v>
      </c>
      <c r="V50" s="55">
        <f t="shared" si="58"/>
        <v>0</v>
      </c>
      <c r="W50" s="55">
        <f t="shared" si="59"/>
        <v>0</v>
      </c>
      <c r="X50" s="55">
        <v>0</v>
      </c>
      <c r="Y50" s="55" t="e">
        <v>#N/A</v>
      </c>
      <c r="Z50" s="56" t="e">
        <f t="shared" si="65"/>
        <v>#N/A</v>
      </c>
      <c r="AA50" s="55" t="e">
        <v>#N/A</v>
      </c>
      <c r="AB50" s="55">
        <f t="shared" si="61"/>
        <v>0</v>
      </c>
      <c r="AC50" s="55">
        <v>0</v>
      </c>
      <c r="AD50" s="55">
        <v>-6.4803224358974303</v>
      </c>
      <c r="AE50" s="55">
        <v>0</v>
      </c>
      <c r="AF50" s="55" t="e">
        <v>#N/A</v>
      </c>
    </row>
    <row r="51" spans="1:32" s="57" customFormat="1" ht="15.75" customHeight="1">
      <c r="A51" s="2" t="s">
        <v>121</v>
      </c>
      <c r="B51" s="2"/>
      <c r="C51" s="51" t="str">
        <f t="shared" si="50"/>
        <v xml:space="preserve"> - </v>
      </c>
      <c r="D51" s="51">
        <v>0</v>
      </c>
      <c r="E51" s="51">
        <v>0</v>
      </c>
      <c r="F51" s="51">
        <v>0</v>
      </c>
      <c r="G51" s="51">
        <v>0</v>
      </c>
      <c r="H51" s="51" t="e">
        <f t="shared" si="51"/>
        <v>#DIV/0!</v>
      </c>
      <c r="I51" s="51" t="e">
        <f t="shared" si="52"/>
        <v>#DIV/0!</v>
      </c>
      <c r="J51" s="51">
        <f t="shared" si="70"/>
        <v>0</v>
      </c>
      <c r="K51" s="51" t="e">
        <f t="shared" si="54"/>
        <v>#DIV/0!</v>
      </c>
      <c r="L51" s="51">
        <v>0</v>
      </c>
      <c r="M51" s="51" t="str">
        <f t="shared" si="55"/>
        <v>-</v>
      </c>
      <c r="N51" s="51">
        <v>0</v>
      </c>
      <c r="O51" s="51">
        <f t="shared" ref="O51:P51" si="73">D51/7</f>
        <v>0</v>
      </c>
      <c r="P51" s="51">
        <f t="shared" si="73"/>
        <v>0</v>
      </c>
      <c r="Q51" s="51" t="e">
        <f t="shared" si="57"/>
        <v>#DIV/0!</v>
      </c>
      <c r="R51" s="55">
        <f ca="1">IFERROR(__xludf.DUMMYFUNCTION("IFERROR(VLOOKUP($B$2,IMPORTRANGE(""https://docs.google.com/spreadsheets/d/1iVgg6Mw12RULLujzHmfOFIY8Q_KaAD8anoZzgtVAQ74/edit#gid=1503384807"",""Second Star - Summary!A1:AD2000""),9,FALSE),"""")"),224)</f>
        <v>224</v>
      </c>
      <c r="S51" s="53">
        <f ca="1">IFERROR(__xludf.DUMMYFUNCTION("IFERROR(VLOOKUP($B$2,IMPORTRANGE(""https://docs.google.com/spreadsheets/d/1iVgg6Mw12RULLujzHmfOFIY8Q_KaAD8anoZzgtVAQ74/edit#gid=1503384807"",""Second Star - Summary!A1:AD2000""),28,FALSE),"""")"),80)</f>
        <v>80</v>
      </c>
      <c r="T51" s="54">
        <f ca="1">IFERROR(__xludf.DUMMYFUNCTION("IFERROR(VLOOKUP($B$2,IMPORTRANGE(""https://docs.google.com/spreadsheets/d/1iVgg6Mw12RULLujzHmfOFIY8Q_KaAD8anoZzgtVAQ74/edit#gid=1503384807"",""Second Star - Summary!A1:AD2000""),29,FALSE),"""")"),44339)</f>
        <v>44339</v>
      </c>
      <c r="U51" s="55">
        <v>0</v>
      </c>
      <c r="V51" s="55">
        <f t="shared" si="58"/>
        <v>0</v>
      </c>
      <c r="W51" s="55">
        <f t="shared" si="59"/>
        <v>0</v>
      </c>
      <c r="X51" s="55">
        <v>0</v>
      </c>
      <c r="Y51" s="55" t="e">
        <v>#N/A</v>
      </c>
      <c r="Z51" s="56" t="e">
        <f t="shared" si="65"/>
        <v>#N/A</v>
      </c>
      <c r="AA51" s="55" t="e">
        <v>#N/A</v>
      </c>
      <c r="AB51" s="55">
        <f t="shared" si="61"/>
        <v>0</v>
      </c>
      <c r="AC51" s="55">
        <v>0</v>
      </c>
      <c r="AD51" s="55">
        <v>-6.4803224358974303</v>
      </c>
      <c r="AE51" s="55">
        <v>0</v>
      </c>
      <c r="AF51" s="55" t="e">
        <v>#N/A</v>
      </c>
    </row>
    <row r="52" spans="1:32" s="57" customFormat="1" ht="15.75" customHeight="1">
      <c r="A52" s="2" t="s">
        <v>123</v>
      </c>
      <c r="B52" s="2"/>
      <c r="C52" s="51" t="str">
        <f t="shared" si="50"/>
        <v xml:space="preserve"> - </v>
      </c>
      <c r="D52" s="51">
        <v>0</v>
      </c>
      <c r="E52" s="51">
        <v>0</v>
      </c>
      <c r="F52" s="51">
        <v>0</v>
      </c>
      <c r="G52" s="51">
        <v>0</v>
      </c>
      <c r="H52" s="51" t="e">
        <f t="shared" si="51"/>
        <v>#DIV/0!</v>
      </c>
      <c r="I52" s="51" t="e">
        <f t="shared" si="52"/>
        <v>#DIV/0!</v>
      </c>
      <c r="J52" s="51">
        <f t="shared" si="70"/>
        <v>0</v>
      </c>
      <c r="K52" s="51" t="e">
        <f t="shared" si="54"/>
        <v>#DIV/0!</v>
      </c>
      <c r="L52" s="51">
        <v>0</v>
      </c>
      <c r="M52" s="51" t="str">
        <f t="shared" si="55"/>
        <v>-</v>
      </c>
      <c r="N52" s="51">
        <v>0</v>
      </c>
      <c r="O52" s="51">
        <f t="shared" ref="O52:P52" si="74">D52/7</f>
        <v>0</v>
      </c>
      <c r="P52" s="51">
        <f t="shared" si="74"/>
        <v>0</v>
      </c>
      <c r="Q52" s="51" t="e">
        <f t="shared" si="57"/>
        <v>#DIV/0!</v>
      </c>
      <c r="R52" s="55">
        <f ca="1">IFERROR(__xludf.DUMMYFUNCTION("IFERROR(VLOOKUP($B$2,IMPORTRANGE(""https://docs.google.com/spreadsheets/d/1iVgg6Mw12RULLujzHmfOFIY8Q_KaAD8anoZzgtVAQ74/edit#gid=1503384807"",""Second Star - Summary!A1:AD2000""),9,FALSE),"""")"),224)</f>
        <v>224</v>
      </c>
      <c r="S52" s="53">
        <f ca="1">IFERROR(__xludf.DUMMYFUNCTION("IFERROR(VLOOKUP($B$2,IMPORTRANGE(""https://docs.google.com/spreadsheets/d/1iVgg6Mw12RULLujzHmfOFIY8Q_KaAD8anoZzgtVAQ74/edit#gid=1503384807"",""Second Star - Summary!A1:AD2000""),28,FALSE),"""")"),80)</f>
        <v>80</v>
      </c>
      <c r="T52" s="54">
        <f ca="1">IFERROR(__xludf.DUMMYFUNCTION("IFERROR(VLOOKUP($B$2,IMPORTRANGE(""https://docs.google.com/spreadsheets/d/1iVgg6Mw12RULLujzHmfOFIY8Q_KaAD8anoZzgtVAQ74/edit#gid=1503384807"",""Second Star - Summary!A1:AD2000""),29,FALSE),"""")"),44339)</f>
        <v>44339</v>
      </c>
      <c r="U52" s="55">
        <v>0</v>
      </c>
      <c r="V52" s="55">
        <f t="shared" si="58"/>
        <v>0</v>
      </c>
      <c r="W52" s="55">
        <f t="shared" si="59"/>
        <v>0</v>
      </c>
      <c r="X52" s="55">
        <v>0</v>
      </c>
      <c r="Y52" s="55" t="e">
        <v>#N/A</v>
      </c>
      <c r="Z52" s="56" t="e">
        <f t="shared" si="65"/>
        <v>#N/A</v>
      </c>
      <c r="AA52" s="55" t="e">
        <v>#N/A</v>
      </c>
      <c r="AB52" s="55">
        <f t="shared" si="61"/>
        <v>0</v>
      </c>
      <c r="AC52" s="55">
        <v>0</v>
      </c>
      <c r="AD52" s="55">
        <v>-6.4803224358974303</v>
      </c>
      <c r="AE52" s="55">
        <v>0</v>
      </c>
      <c r="AF52" s="55">
        <v>0</v>
      </c>
    </row>
    <row r="53" spans="1:32" s="57" customFormat="1">
      <c r="A53" s="2" t="s">
        <v>38</v>
      </c>
      <c r="B53" s="2"/>
      <c r="C53" s="51" t="str">
        <f t="shared" si="50"/>
        <v xml:space="preserve"> - </v>
      </c>
      <c r="D53" s="51">
        <v>0</v>
      </c>
      <c r="E53" s="51">
        <v>0</v>
      </c>
      <c r="F53" s="51">
        <v>0</v>
      </c>
      <c r="G53" s="51">
        <v>0</v>
      </c>
      <c r="H53" s="51" t="e">
        <f t="shared" si="51"/>
        <v>#DIV/0!</v>
      </c>
      <c r="I53" s="51" t="e">
        <f t="shared" si="52"/>
        <v>#DIV/0!</v>
      </c>
      <c r="J53" s="51">
        <f t="shared" si="70"/>
        <v>0</v>
      </c>
      <c r="K53" s="51" t="e">
        <f t="shared" si="54"/>
        <v>#DIV/0!</v>
      </c>
      <c r="L53" s="51">
        <v>0</v>
      </c>
      <c r="M53" s="51" t="str">
        <f t="shared" si="55"/>
        <v>-</v>
      </c>
      <c r="N53" s="51">
        <v>0</v>
      </c>
      <c r="O53" s="51">
        <f t="shared" ref="O53:P53" si="75">D53/7</f>
        <v>0</v>
      </c>
      <c r="P53" s="51">
        <f t="shared" si="75"/>
        <v>0</v>
      </c>
      <c r="Q53" s="51" t="e">
        <f t="shared" si="57"/>
        <v>#DIV/0!</v>
      </c>
      <c r="R53" s="55">
        <f ca="1">IFERROR(__xludf.DUMMYFUNCTION("IFERROR(VLOOKUP($B$2,IMPORTRANGE(""https://docs.google.com/spreadsheets/d/1iVgg6Mw12RULLujzHmfOFIY8Q_KaAD8anoZzgtVAQ74/edit#gid=1503384807"",""Second Star - Summary!A1:AD2000""),9,FALSE),"""")"),224)</f>
        <v>224</v>
      </c>
      <c r="S53" s="53">
        <f ca="1">IFERROR(__xludf.DUMMYFUNCTION("IFERROR(VLOOKUP($B$2,IMPORTRANGE(""https://docs.google.com/spreadsheets/d/1iVgg6Mw12RULLujzHmfOFIY8Q_KaAD8anoZzgtVAQ74/edit#gid=1503384807"",""Second Star - Summary!A1:AD2000""),28,FALSE),"""")"),80)</f>
        <v>80</v>
      </c>
      <c r="T53" s="54">
        <f ca="1">IFERROR(__xludf.DUMMYFUNCTION("IFERROR(VLOOKUP($B$2,IMPORTRANGE(""https://docs.google.com/spreadsheets/d/1iVgg6Mw12RULLujzHmfOFIY8Q_KaAD8anoZzgtVAQ74/edit#gid=1503384807"",""Second Star - Summary!A1:AD2000""),29,FALSE),"""")"),44339)</f>
        <v>44339</v>
      </c>
      <c r="U53" s="55">
        <v>0</v>
      </c>
      <c r="V53" s="55">
        <f t="shared" si="58"/>
        <v>0</v>
      </c>
      <c r="W53" s="55">
        <f t="shared" si="59"/>
        <v>0</v>
      </c>
      <c r="X53" s="55">
        <v>0</v>
      </c>
      <c r="Y53" s="55" t="e">
        <v>#N/A</v>
      </c>
      <c r="Z53" s="56" t="e">
        <f t="shared" si="65"/>
        <v>#N/A</v>
      </c>
      <c r="AA53" s="55" t="e">
        <v>#N/A</v>
      </c>
      <c r="AB53" s="55">
        <f t="shared" si="61"/>
        <v>0</v>
      </c>
      <c r="AC53" s="55">
        <v>0</v>
      </c>
      <c r="AD53" s="55">
        <v>-6.4803224358974303</v>
      </c>
      <c r="AE53" s="55">
        <v>0</v>
      </c>
      <c r="AF53" s="55">
        <v>0</v>
      </c>
    </row>
    <row r="54" spans="1:32" s="57" customFormat="1">
      <c r="A54" s="2" t="s">
        <v>40</v>
      </c>
      <c r="B54" s="2"/>
      <c r="C54" s="51" t="str">
        <f t="shared" si="50"/>
        <v xml:space="preserve"> - </v>
      </c>
      <c r="D54" s="51">
        <v>0</v>
      </c>
      <c r="E54" s="51">
        <v>0</v>
      </c>
      <c r="F54" s="51">
        <v>0</v>
      </c>
      <c r="G54" s="51">
        <v>0</v>
      </c>
      <c r="H54" s="51" t="e">
        <f t="shared" si="51"/>
        <v>#DIV/0!</v>
      </c>
      <c r="I54" s="51" t="e">
        <f t="shared" si="52"/>
        <v>#DIV/0!</v>
      </c>
      <c r="J54" s="51">
        <f t="shared" si="70"/>
        <v>0</v>
      </c>
      <c r="K54" s="51" t="e">
        <f t="shared" si="54"/>
        <v>#DIV/0!</v>
      </c>
      <c r="L54" s="51">
        <v>0</v>
      </c>
      <c r="M54" s="51" t="str">
        <f t="shared" si="55"/>
        <v>-</v>
      </c>
      <c r="N54" s="51">
        <v>0</v>
      </c>
      <c r="O54" s="51">
        <f t="shared" ref="O54:P54" si="76">D54/7</f>
        <v>0</v>
      </c>
      <c r="P54" s="51">
        <f t="shared" si="76"/>
        <v>0</v>
      </c>
      <c r="Q54" s="51" t="e">
        <f t="shared" si="57"/>
        <v>#DIV/0!</v>
      </c>
      <c r="R54" s="55">
        <f ca="1">IFERROR(__xludf.DUMMYFUNCTION("IFERROR(VLOOKUP($B$2,IMPORTRANGE(""https://docs.google.com/spreadsheets/d/1iVgg6Mw12RULLujzHmfOFIY8Q_KaAD8anoZzgtVAQ74/edit#gid=1503384807"",""Second Star - Summary!A1:AD2000""),9,FALSE),"""")"),224)</f>
        <v>224</v>
      </c>
      <c r="S54" s="53">
        <f ca="1">IFERROR(__xludf.DUMMYFUNCTION("IFERROR(VLOOKUP($B$2,IMPORTRANGE(""https://docs.google.com/spreadsheets/d/1iVgg6Mw12RULLujzHmfOFIY8Q_KaAD8anoZzgtVAQ74/edit#gid=1503384807"",""Second Star - Summary!A1:AD2000""),28,FALSE),"""")"),80)</f>
        <v>80</v>
      </c>
      <c r="T54" s="54">
        <f ca="1">IFERROR(__xludf.DUMMYFUNCTION("IFERROR(VLOOKUP($B$2,IMPORTRANGE(""https://docs.google.com/spreadsheets/d/1iVgg6Mw12RULLujzHmfOFIY8Q_KaAD8anoZzgtVAQ74/edit#gid=1503384807"",""Second Star - Summary!A1:AD2000""),29,FALSE),"""")"),44339)</f>
        <v>44339</v>
      </c>
      <c r="U54" s="55">
        <v>0</v>
      </c>
      <c r="V54" s="55">
        <f t="shared" si="58"/>
        <v>0</v>
      </c>
      <c r="W54" s="55">
        <f t="shared" si="59"/>
        <v>0</v>
      </c>
      <c r="X54" s="55">
        <v>0</v>
      </c>
      <c r="Y54" s="55" t="e">
        <v>#N/A</v>
      </c>
      <c r="Z54" s="56" t="e">
        <f t="shared" si="65"/>
        <v>#N/A</v>
      </c>
      <c r="AA54" s="55" t="e">
        <v>#N/A</v>
      </c>
      <c r="AB54" s="55">
        <f t="shared" si="61"/>
        <v>0</v>
      </c>
      <c r="AC54" s="55">
        <v>0</v>
      </c>
      <c r="AD54" s="55">
        <v>-6.4803224358974303</v>
      </c>
      <c r="AE54" s="55">
        <v>0</v>
      </c>
      <c r="AF54" s="55">
        <v>0</v>
      </c>
    </row>
    <row r="55" spans="1:32" s="57" customFormat="1" ht="15.75" customHeight="1">
      <c r="A55" s="2" t="s">
        <v>32</v>
      </c>
      <c r="B55" s="2"/>
      <c r="C55" s="51" t="str">
        <f t="shared" si="50"/>
        <v xml:space="preserve"> - </v>
      </c>
      <c r="D55" s="51">
        <v>0</v>
      </c>
      <c r="E55" s="51">
        <v>0</v>
      </c>
      <c r="F55" s="51">
        <v>0</v>
      </c>
      <c r="G55" s="51">
        <v>0</v>
      </c>
      <c r="H55" s="51" t="e">
        <f t="shared" si="51"/>
        <v>#DIV/0!</v>
      </c>
      <c r="I55" s="51" t="e">
        <f t="shared" si="52"/>
        <v>#DIV/0!</v>
      </c>
      <c r="J55" s="51">
        <f t="shared" si="70"/>
        <v>0</v>
      </c>
      <c r="K55" s="51" t="e">
        <f t="shared" si="54"/>
        <v>#DIV/0!</v>
      </c>
      <c r="L55" s="51">
        <v>0</v>
      </c>
      <c r="M55" s="51" t="str">
        <f t="shared" si="55"/>
        <v>-</v>
      </c>
      <c r="N55" s="51">
        <v>0</v>
      </c>
      <c r="O55" s="51">
        <f t="shared" ref="O55:P55" si="77">D55/7</f>
        <v>0</v>
      </c>
      <c r="P55" s="51">
        <f t="shared" si="77"/>
        <v>0</v>
      </c>
      <c r="Q55" s="51" t="e">
        <f t="shared" si="57"/>
        <v>#DIV/0!</v>
      </c>
      <c r="R55" s="55">
        <v>100</v>
      </c>
      <c r="S55" s="53" t="s">
        <v>34</v>
      </c>
      <c r="T55" s="54" t="s">
        <v>34</v>
      </c>
      <c r="U55" s="55">
        <v>0</v>
      </c>
      <c r="V55" s="55">
        <f t="shared" si="58"/>
        <v>0</v>
      </c>
      <c r="W55" s="55">
        <f t="shared" si="59"/>
        <v>0</v>
      </c>
      <c r="X55" s="55">
        <v>0</v>
      </c>
      <c r="Y55" s="55" t="e">
        <v>#N/A</v>
      </c>
      <c r="Z55" s="56" t="e">
        <f t="shared" si="65"/>
        <v>#N/A</v>
      </c>
      <c r="AA55" s="55" t="e">
        <v>#N/A</v>
      </c>
      <c r="AB55" s="55">
        <f t="shared" si="61"/>
        <v>0</v>
      </c>
      <c r="AC55" s="55">
        <v>0</v>
      </c>
      <c r="AD55" s="55">
        <v>-6.4803224358974303</v>
      </c>
      <c r="AE55" s="55">
        <v>0</v>
      </c>
      <c r="AF55" s="55" t="e">
        <v>#N/A</v>
      </c>
    </row>
    <row r="56" spans="1:32" s="57" customFormat="1" ht="15.75" customHeight="1">
      <c r="A56" s="2" t="s">
        <v>36</v>
      </c>
      <c r="B56" s="2"/>
      <c r="C56" s="51" t="str">
        <f t="shared" si="50"/>
        <v xml:space="preserve"> - </v>
      </c>
      <c r="D56" s="51">
        <v>0</v>
      </c>
      <c r="E56" s="51">
        <v>0</v>
      </c>
      <c r="F56" s="51">
        <v>0</v>
      </c>
      <c r="G56" s="51">
        <v>0</v>
      </c>
      <c r="H56" s="51" t="e">
        <f t="shared" si="51"/>
        <v>#DIV/0!</v>
      </c>
      <c r="I56" s="51" t="e">
        <f t="shared" si="52"/>
        <v>#DIV/0!</v>
      </c>
      <c r="J56" s="51">
        <f t="shared" si="70"/>
        <v>0</v>
      </c>
      <c r="K56" s="51" t="e">
        <f t="shared" si="54"/>
        <v>#DIV/0!</v>
      </c>
      <c r="L56" s="51">
        <v>0</v>
      </c>
      <c r="M56" s="51" t="str">
        <f t="shared" si="55"/>
        <v>-</v>
      </c>
      <c r="N56" s="51">
        <v>0</v>
      </c>
      <c r="O56" s="51">
        <f t="shared" ref="O56:P56" si="78">D56/7</f>
        <v>0</v>
      </c>
      <c r="P56" s="51">
        <f t="shared" si="78"/>
        <v>0</v>
      </c>
      <c r="Q56" s="51" t="e">
        <f t="shared" si="57"/>
        <v>#DIV/0!</v>
      </c>
      <c r="R56" s="55">
        <f ca="1">IFERROR(__xludf.DUMMYFUNCTION("IFERROR(VLOOKUP($B$2,IMPORTRANGE(""https://docs.google.com/spreadsheets/d/1iVgg6Mw12RULLujzHmfOFIY8Q_KaAD8anoZzgtVAQ74/edit#gid=1503384807"",""Second Star - Summary!A1:AD2000""),9,FALSE),"""")"),224)</f>
        <v>224</v>
      </c>
      <c r="S56" s="53">
        <f ca="1">IFERROR(__xludf.DUMMYFUNCTION("IFERROR(VLOOKUP($B$2,IMPORTRANGE(""https://docs.google.com/spreadsheets/d/1iVgg6Mw12RULLujzHmfOFIY8Q_KaAD8anoZzgtVAQ74/edit#gid=1503384807"",""Second Star - Summary!A1:AD2000""),28,FALSE),"""")"),80)</f>
        <v>80</v>
      </c>
      <c r="T56" s="54">
        <f ca="1">IFERROR(__xludf.DUMMYFUNCTION("IFERROR(VLOOKUP($B$2,IMPORTRANGE(""https://docs.google.com/spreadsheets/d/1iVgg6Mw12RULLujzHmfOFIY8Q_KaAD8anoZzgtVAQ74/edit#gid=1503384807"",""Second Star - Summary!A1:AD2000""),29,FALSE),"""")"),44339)</f>
        <v>44339</v>
      </c>
      <c r="U56" s="55">
        <v>0</v>
      </c>
      <c r="V56" s="55">
        <f t="shared" si="58"/>
        <v>0</v>
      </c>
      <c r="W56" s="55">
        <f t="shared" si="59"/>
        <v>0</v>
      </c>
      <c r="X56" s="55">
        <v>0</v>
      </c>
      <c r="Y56" s="55" t="e">
        <v>#N/A</v>
      </c>
      <c r="Z56" s="56" t="e">
        <f t="shared" si="65"/>
        <v>#N/A</v>
      </c>
      <c r="AA56" s="55" t="e">
        <v>#N/A</v>
      </c>
      <c r="AB56" s="55">
        <f t="shared" si="61"/>
        <v>0</v>
      </c>
      <c r="AC56" s="55">
        <v>0</v>
      </c>
      <c r="AD56" s="55">
        <v>-6.4803224358974303</v>
      </c>
      <c r="AE56" s="55">
        <v>0</v>
      </c>
      <c r="AF56" s="55" t="e">
        <v>#N/A</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75" priority="1" operator="lessThan">
      <formula>100</formula>
    </cfRule>
  </conditionalFormatting>
  <conditionalFormatting sqref="Q1:Q3 Q57:Q1000">
    <cfRule type="cellIs" dxfId="74" priority="2" operator="lessThan">
      <formula>100</formula>
    </cfRule>
  </conditionalFormatting>
  <conditionalFormatting sqref="I1:I3 I57:I1000">
    <cfRule type="cellIs" dxfId="73" priority="3" operator="lessThan">
      <formula>0.05</formula>
    </cfRule>
  </conditionalFormatting>
  <conditionalFormatting sqref="I4:I17">
    <cfRule type="cellIs" dxfId="72" priority="4" operator="lessThan">
      <formula>0.05</formula>
    </cfRule>
  </conditionalFormatting>
  <conditionalFormatting sqref="I18:I56">
    <cfRule type="cellIs" dxfId="71" priority="5" operator="lessThan">
      <formula>0.05</formula>
    </cfRule>
  </conditionalFormatting>
  <conditionalFormatting sqref="Q4:Q56">
    <cfRule type="cellIs" dxfId="70" priority="6" operator="lessThan">
      <formula>100</formula>
    </cfRule>
  </conditionalFormatting>
  <conditionalFormatting sqref="Q4:Q56">
    <cfRule type="cellIs" dxfId="69" priority="7" operator="lessThan">
      <formula>100</formula>
    </cfRule>
  </conditionalFormatting>
  <pageMargins left="0.7" right="0.7" top="0.75" bottom="0.75" header="0" footer="0"/>
  <pageSetup orientation="portrait"/>
  <legacyDrawing r:id="rId1"/>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8.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Info!B1:BJ5000""),4,FALSE),"""")"),"Corn Filled Cornhole Bean Bags - Set of 8 Bags for Corn Hole Toss Game - Regulation Size &amp; Weight - 4 Silver and 4 Black")</f>
        <v>Corn Filled Cornhole Bean Bags - Set of 8 Bags for Corn Hole Toss Game - Regulation Size &amp; Weight - 4 Silver and 4 Black</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Info!B1:BJ5000""),3,FALSE),"""")"),"B07VMNX4ZS")</f>
        <v>B07VMNX4ZS</v>
      </c>
      <c r="B2" s="4" t="s">
        <v>1148</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7.6239087481146237</v>
      </c>
      <c r="D3" s="8">
        <f>SUM(D4:D99819)</f>
        <v>158</v>
      </c>
      <c r="E3" s="8"/>
      <c r="F3" s="9">
        <f t="shared" ref="F3:G3" si="0">SUM(F4:F99819)</f>
        <v>2975.6099999999992</v>
      </c>
      <c r="G3" s="9">
        <f t="shared" si="0"/>
        <v>-71.109999999999985</v>
      </c>
      <c r="H3" s="10">
        <f t="shared" ref="H3:H39" si="1">G3/F3*-1</f>
        <v>2.389762099199828E-2</v>
      </c>
      <c r="I3" s="11">
        <f t="shared" ref="I3:I39" si="2">J3/F3</f>
        <v>4.243498637840333E-2</v>
      </c>
      <c r="J3" s="9">
        <f>SUM(J4:J99819)</f>
        <v>126.2699698174407</v>
      </c>
      <c r="K3" s="9">
        <f t="shared" ref="K3:K39" si="3">J3/D3</f>
        <v>0.7991770241610171</v>
      </c>
      <c r="L3" s="8"/>
      <c r="M3" s="12"/>
      <c r="N3" s="13"/>
      <c r="O3" s="8" t="str">
        <f ca="1">IFERROR(__xludf.DUMMYFUNCTION("IFERROR(VLOOKUP(B2,IMPORTRANGE(""https://docs.google.com/spreadsheets/d/1owCo6kL_VFQ5nPTdNogErmCBLjNiktT1m3SzTrxu3R0/edit#gid=2146806407"",""Second Star - Compiled!b1:g5000""),2,FALSE),"""")"),"2 - March
2 - April
2 - May
2 - Jun
2 - Jul
2 - Aug
2 - Sept
2 - Oct
2 - Nov
2 - Dec
2 - Jan
2 - Feb")</f>
        <v>2 - March
2 - April
2 - May
2 - Jun
2 - Jul
2 - Aug
2 - Sept
2 - Oct
2 - Nov
2 - Dec
2 - Jan
2 - Feb</v>
      </c>
      <c r="P3" s="8"/>
      <c r="Q3" s="14"/>
      <c r="R3" s="13"/>
      <c r="S3" s="13"/>
      <c r="T3" s="13"/>
      <c r="U3" s="8">
        <f>SUM(U4:U99819)</f>
        <v>3</v>
      </c>
      <c r="V3" s="10">
        <f>AVERAGE(V4:V99819)</f>
        <v>1.945754716981132E-2</v>
      </c>
      <c r="W3" s="9">
        <f>ROUND(AVERAGE(W4:W99819),2)</f>
        <v>0.6</v>
      </c>
      <c r="X3" s="8"/>
      <c r="Y3" s="8"/>
      <c r="Z3" s="8"/>
      <c r="AA3" s="8"/>
      <c r="AB3" s="8"/>
      <c r="AC3" s="15"/>
      <c r="AD3" s="9"/>
      <c r="AE3" s="9">
        <f>SUM(AE4:AE99819)</f>
        <v>0</v>
      </c>
      <c r="AF3" s="16"/>
    </row>
    <row r="4" spans="1:32" s="57" customFormat="1">
      <c r="A4" s="17" t="s">
        <v>48</v>
      </c>
      <c r="B4" s="2" t="s">
        <v>810</v>
      </c>
      <c r="C4" s="50">
        <v>16.989999999999998</v>
      </c>
      <c r="D4" s="51">
        <v>2</v>
      </c>
      <c r="E4" s="51">
        <v>0</v>
      </c>
      <c r="F4" s="51">
        <v>33.979999999999997</v>
      </c>
      <c r="G4" s="51">
        <v>0</v>
      </c>
      <c r="H4" s="51">
        <f t="shared" si="1"/>
        <v>0</v>
      </c>
      <c r="I4" s="51">
        <f t="shared" si="2"/>
        <v>-2.7165686969860169E-2</v>
      </c>
      <c r="J4" s="51">
        <f t="shared" ref="J4:J38" si="4">F4*0.85+G4+AD4*D4+D4*AC4+AE4+AB4</f>
        <v>-0.92309004323584842</v>
      </c>
      <c r="K4" s="51">
        <f t="shared" si="3"/>
        <v>-0.46154502161792421</v>
      </c>
      <c r="L4" s="51">
        <v>8</v>
      </c>
      <c r="M4" s="51">
        <f t="shared" ref="M4:M39" si="5">IFERROR(D4/L4,"-")</f>
        <v>0.25</v>
      </c>
      <c r="N4" s="51">
        <v>50</v>
      </c>
      <c r="O4" s="51">
        <f t="shared" ref="O4:P4" si="6">D4/7</f>
        <v>0.2857142857142857</v>
      </c>
      <c r="P4" s="51">
        <f t="shared" si="6"/>
        <v>0</v>
      </c>
      <c r="Q4" s="51">
        <f t="shared" ref="Q4:Q39" si="7">ROUNDDOWN(N4/(O4+P4),0)</f>
        <v>175</v>
      </c>
      <c r="R4" s="52">
        <v>300</v>
      </c>
      <c r="S4" s="53">
        <v>100</v>
      </c>
      <c r="T4" s="54">
        <v>43876</v>
      </c>
      <c r="U4" s="52">
        <v>0</v>
      </c>
      <c r="V4" s="55">
        <f t="shared" ref="V4:V39" si="8">IFERROR(U4/D4,0)</f>
        <v>0</v>
      </c>
      <c r="W4" s="55">
        <f t="shared" ref="W4:W39" si="9">IFERROR(G4/(U4+X4)*-1,0)</f>
        <v>0</v>
      </c>
      <c r="X4" s="52">
        <v>0</v>
      </c>
      <c r="Y4" s="56" t="s">
        <v>35</v>
      </c>
      <c r="Z4" s="56">
        <f t="shared" ref="Z4:Z10" si="10">IF(OR(Y4="UsLargeStandardSize",Y4="UsSmallStandardSize"),-0.69,-0.48)</f>
        <v>-0.69</v>
      </c>
      <c r="AA4" s="55">
        <v>0.29280523726851854</v>
      </c>
      <c r="AB4" s="55">
        <f t="shared" ref="AB4:AB17" si="11">IFERROR((Z4*AA4*N4)/4,0)</f>
        <v>-2.5254451714409725</v>
      </c>
      <c r="AC4" s="55">
        <v>-7.16</v>
      </c>
      <c r="AD4" s="55">
        <v>-6.4803224358974356</v>
      </c>
      <c r="AE4" s="55">
        <v>0</v>
      </c>
      <c r="AF4" s="55"/>
    </row>
    <row r="5" spans="1:32" s="57" customFormat="1" ht="15.75" customHeight="1">
      <c r="A5" s="2" t="s">
        <v>49</v>
      </c>
      <c r="B5" s="2" t="s">
        <v>983</v>
      </c>
      <c r="C5" s="51">
        <v>16.989999999999998</v>
      </c>
      <c r="D5" s="51">
        <v>4</v>
      </c>
      <c r="E5" s="51">
        <v>0</v>
      </c>
      <c r="F5" s="51">
        <v>67.959999999999994</v>
      </c>
      <c r="G5" s="51">
        <v>0</v>
      </c>
      <c r="H5" s="51">
        <f t="shared" si="1"/>
        <v>0</v>
      </c>
      <c r="I5" s="51">
        <f t="shared" si="2"/>
        <v>1.073828705706438E-2</v>
      </c>
      <c r="J5" s="51">
        <f t="shared" si="4"/>
        <v>0.72977398839809515</v>
      </c>
      <c r="K5" s="51">
        <f t="shared" si="3"/>
        <v>0.18244349709952379</v>
      </c>
      <c r="L5" s="51">
        <v>12</v>
      </c>
      <c r="M5" s="51">
        <f t="shared" si="5"/>
        <v>0.33333333333333331</v>
      </c>
      <c r="N5" s="51">
        <v>49</v>
      </c>
      <c r="O5" s="51">
        <f t="shared" ref="O5:P5" si="12">D5/7</f>
        <v>0.5714285714285714</v>
      </c>
      <c r="P5" s="51">
        <f t="shared" si="12"/>
        <v>0</v>
      </c>
      <c r="Q5" s="51">
        <f t="shared" si="7"/>
        <v>85</v>
      </c>
      <c r="R5" s="55">
        <v>300</v>
      </c>
      <c r="S5" s="53">
        <v>100</v>
      </c>
      <c r="T5" s="54">
        <v>43876</v>
      </c>
      <c r="U5" s="55">
        <v>0</v>
      </c>
      <c r="V5" s="55">
        <f t="shared" si="8"/>
        <v>0</v>
      </c>
      <c r="W5" s="55">
        <f t="shared" si="9"/>
        <v>0</v>
      </c>
      <c r="X5" s="55">
        <v>0</v>
      </c>
      <c r="Y5" s="55" t="s">
        <v>35</v>
      </c>
      <c r="Z5" s="56">
        <f t="shared" si="10"/>
        <v>-0.69</v>
      </c>
      <c r="AA5" s="55">
        <v>0.29280523726851854</v>
      </c>
      <c r="AB5" s="55">
        <f t="shared" si="11"/>
        <v>-2.4749362680121529</v>
      </c>
      <c r="AC5" s="55">
        <v>-7.16</v>
      </c>
      <c r="AD5" s="55">
        <v>-6.4803224358974356</v>
      </c>
      <c r="AE5" s="55">
        <v>0</v>
      </c>
      <c r="AF5" s="55"/>
    </row>
    <row r="6" spans="1:32" s="57" customFormat="1" ht="15.75" customHeight="1">
      <c r="A6" s="2" t="s">
        <v>51</v>
      </c>
      <c r="B6" s="2" t="s">
        <v>1149</v>
      </c>
      <c r="C6" s="51">
        <v>16.989999999999998</v>
      </c>
      <c r="D6" s="51">
        <v>1</v>
      </c>
      <c r="E6" s="51">
        <v>0</v>
      </c>
      <c r="F6" s="51">
        <v>16.989999999999998</v>
      </c>
      <c r="G6" s="51">
        <v>0</v>
      </c>
      <c r="H6" s="51">
        <f t="shared" si="1"/>
        <v>0</v>
      </c>
      <c r="I6" s="51">
        <f t="shared" si="2"/>
        <v>-9.5541483253724052E-2</v>
      </c>
      <c r="J6" s="51">
        <f t="shared" si="4"/>
        <v>-1.6232498004807714</v>
      </c>
      <c r="K6" s="51">
        <f t="shared" si="3"/>
        <v>-1.6232498004807714</v>
      </c>
      <c r="L6" s="51">
        <v>6</v>
      </c>
      <c r="M6" s="51">
        <f t="shared" si="5"/>
        <v>0.16666666666666666</v>
      </c>
      <c r="N6" s="51">
        <v>48</v>
      </c>
      <c r="O6" s="51">
        <f t="shared" ref="O6:P6" si="13">D6/7</f>
        <v>0.14285714285714285</v>
      </c>
      <c r="P6" s="51">
        <f t="shared" si="13"/>
        <v>0</v>
      </c>
      <c r="Q6" s="51">
        <f t="shared" si="7"/>
        <v>336</v>
      </c>
      <c r="R6" s="55">
        <v>300</v>
      </c>
      <c r="S6" s="53">
        <v>100</v>
      </c>
      <c r="T6" s="54">
        <v>43884</v>
      </c>
      <c r="U6" s="55">
        <v>0</v>
      </c>
      <c r="V6" s="55">
        <f t="shared" si="8"/>
        <v>0</v>
      </c>
      <c r="W6" s="55">
        <f t="shared" si="9"/>
        <v>0</v>
      </c>
      <c r="X6" s="55">
        <v>0</v>
      </c>
      <c r="Y6" s="55" t="s">
        <v>35</v>
      </c>
      <c r="Z6" s="56">
        <f t="shared" si="10"/>
        <v>-0.69</v>
      </c>
      <c r="AA6" s="55">
        <v>0.29280523726851854</v>
      </c>
      <c r="AB6" s="55">
        <f t="shared" si="11"/>
        <v>-2.4244273645833334</v>
      </c>
      <c r="AC6" s="55">
        <v>-7.16</v>
      </c>
      <c r="AD6" s="55">
        <v>-6.4803224358974356</v>
      </c>
      <c r="AE6" s="55">
        <v>0</v>
      </c>
      <c r="AF6" s="55"/>
    </row>
    <row r="7" spans="1:32" s="57" customFormat="1" ht="15.75" customHeight="1">
      <c r="A7" s="2" t="s">
        <v>53</v>
      </c>
      <c r="B7" s="2" t="s">
        <v>1150</v>
      </c>
      <c r="C7" s="51">
        <v>16.989999999999998</v>
      </c>
      <c r="D7" s="51">
        <v>0</v>
      </c>
      <c r="E7" s="51">
        <v>0</v>
      </c>
      <c r="F7" s="51">
        <v>0</v>
      </c>
      <c r="G7" s="51">
        <v>0</v>
      </c>
      <c r="H7" s="51" t="e">
        <f t="shared" si="1"/>
        <v>#DIV/0!</v>
      </c>
      <c r="I7" s="51" t="e">
        <f t="shared" si="2"/>
        <v>#DIV/0!</v>
      </c>
      <c r="J7" s="51">
        <f t="shared" si="4"/>
        <v>-2.4244273645833334</v>
      </c>
      <c r="K7" s="51" t="e">
        <f t="shared" si="3"/>
        <v>#DIV/0!</v>
      </c>
      <c r="L7" s="51">
        <v>0</v>
      </c>
      <c r="M7" s="51" t="str">
        <f t="shared" si="5"/>
        <v>-</v>
      </c>
      <c r="N7" s="51">
        <v>48</v>
      </c>
      <c r="O7" s="51">
        <f t="shared" ref="O7:P7" si="14">D7/7</f>
        <v>0</v>
      </c>
      <c r="P7" s="51">
        <f t="shared" si="14"/>
        <v>0</v>
      </c>
      <c r="Q7" s="51" t="e">
        <f t="shared" si="7"/>
        <v>#DIV/0!</v>
      </c>
      <c r="R7" s="55">
        <v>300</v>
      </c>
      <c r="S7" s="53">
        <v>100</v>
      </c>
      <c r="T7" s="54">
        <v>43884</v>
      </c>
      <c r="U7" s="55">
        <v>0</v>
      </c>
      <c r="V7" s="55">
        <f t="shared" si="8"/>
        <v>0</v>
      </c>
      <c r="W7" s="55">
        <f t="shared" si="9"/>
        <v>0</v>
      </c>
      <c r="X7" s="55">
        <v>0</v>
      </c>
      <c r="Y7" s="55" t="s">
        <v>35</v>
      </c>
      <c r="Z7" s="56">
        <f t="shared" si="10"/>
        <v>-0.69</v>
      </c>
      <c r="AA7" s="55">
        <v>0.29280523726851854</v>
      </c>
      <c r="AB7" s="55">
        <f t="shared" si="11"/>
        <v>-2.4244273645833334</v>
      </c>
      <c r="AC7" s="55">
        <v>-7.16</v>
      </c>
      <c r="AD7" s="55">
        <v>-6.4803224358974356</v>
      </c>
      <c r="AE7" s="55">
        <v>0</v>
      </c>
      <c r="AF7" s="55"/>
    </row>
    <row r="8" spans="1:32" s="57" customFormat="1" ht="15.75" customHeight="1">
      <c r="A8" s="2" t="s">
        <v>54</v>
      </c>
      <c r="B8" s="2" t="s">
        <v>1151</v>
      </c>
      <c r="C8" s="51">
        <v>16.05</v>
      </c>
      <c r="D8" s="51">
        <v>1</v>
      </c>
      <c r="E8" s="51">
        <v>0</v>
      </c>
      <c r="F8" s="51">
        <v>16.989999999999998</v>
      </c>
      <c r="G8" s="51">
        <v>0</v>
      </c>
      <c r="H8" s="51">
        <f t="shared" si="1"/>
        <v>0</v>
      </c>
      <c r="I8" s="51">
        <f t="shared" si="2"/>
        <v>-8.9595761837735877E-2</v>
      </c>
      <c r="J8" s="51">
        <f t="shared" si="4"/>
        <v>-1.5222319936231323</v>
      </c>
      <c r="K8" s="51">
        <f t="shared" si="3"/>
        <v>-1.5222319936231323</v>
      </c>
      <c r="L8" s="51">
        <v>8</v>
      </c>
      <c r="M8" s="51">
        <f t="shared" si="5"/>
        <v>0.125</v>
      </c>
      <c r="N8" s="51">
        <v>46</v>
      </c>
      <c r="O8" s="51">
        <f t="shared" ref="O8:P8" si="15">D8/7</f>
        <v>0.14285714285714285</v>
      </c>
      <c r="P8" s="51">
        <f t="shared" si="15"/>
        <v>0</v>
      </c>
      <c r="Q8" s="51">
        <f t="shared" si="7"/>
        <v>322</v>
      </c>
      <c r="R8" s="55">
        <v>300</v>
      </c>
      <c r="S8" s="53">
        <v>100</v>
      </c>
      <c r="T8" s="54">
        <v>43884</v>
      </c>
      <c r="U8" s="55">
        <v>0</v>
      </c>
      <c r="V8" s="55">
        <f t="shared" si="8"/>
        <v>0</v>
      </c>
      <c r="W8" s="55">
        <f t="shared" si="9"/>
        <v>0</v>
      </c>
      <c r="X8" s="55">
        <v>0</v>
      </c>
      <c r="Y8" s="55" t="s">
        <v>35</v>
      </c>
      <c r="Z8" s="56">
        <f t="shared" si="10"/>
        <v>-0.69</v>
      </c>
      <c r="AA8" s="55">
        <v>0.29280523726851854</v>
      </c>
      <c r="AB8" s="55">
        <f t="shared" si="11"/>
        <v>-2.3234095577256944</v>
      </c>
      <c r="AC8" s="55">
        <v>-7.16</v>
      </c>
      <c r="AD8" s="55">
        <v>-6.4803224358974356</v>
      </c>
      <c r="AE8" s="55">
        <v>0</v>
      </c>
      <c r="AF8" s="55"/>
    </row>
    <row r="9" spans="1:32" s="57" customFormat="1" ht="15.75" customHeight="1">
      <c r="A9" s="2" t="s">
        <v>56</v>
      </c>
      <c r="B9" s="2"/>
      <c r="C9" s="51">
        <v>16.05</v>
      </c>
      <c r="D9" s="51">
        <v>1</v>
      </c>
      <c r="E9" s="51">
        <v>0</v>
      </c>
      <c r="F9" s="51">
        <v>16.05</v>
      </c>
      <c r="G9" s="51">
        <v>0</v>
      </c>
      <c r="H9" s="51">
        <f t="shared" si="1"/>
        <v>0</v>
      </c>
      <c r="I9" s="51">
        <f t="shared" si="2"/>
        <v>-0.14462504633165918</v>
      </c>
      <c r="J9" s="51">
        <f t="shared" si="4"/>
        <v>-2.32123199362313</v>
      </c>
      <c r="K9" s="51">
        <f t="shared" si="3"/>
        <v>-2.32123199362313</v>
      </c>
      <c r="L9" s="51">
        <v>6</v>
      </c>
      <c r="M9" s="51">
        <f t="shared" si="5"/>
        <v>0.16666666666666666</v>
      </c>
      <c r="N9" s="51">
        <v>46</v>
      </c>
      <c r="O9" s="51">
        <f t="shared" ref="O9:P9" si="16">D9/7</f>
        <v>0.14285714285714285</v>
      </c>
      <c r="P9" s="51">
        <f t="shared" si="16"/>
        <v>0</v>
      </c>
      <c r="Q9" s="51">
        <f t="shared" si="7"/>
        <v>322</v>
      </c>
      <c r="R9" s="55">
        <v>200</v>
      </c>
      <c r="S9" s="53">
        <v>100</v>
      </c>
      <c r="T9" s="54">
        <v>43881</v>
      </c>
      <c r="U9" s="55">
        <v>0</v>
      </c>
      <c r="V9" s="55">
        <f t="shared" si="8"/>
        <v>0</v>
      </c>
      <c r="W9" s="55">
        <f t="shared" si="9"/>
        <v>0</v>
      </c>
      <c r="X9" s="55">
        <v>0</v>
      </c>
      <c r="Y9" s="55" t="s">
        <v>35</v>
      </c>
      <c r="Z9" s="56">
        <f t="shared" si="10"/>
        <v>-0.69</v>
      </c>
      <c r="AA9" s="55">
        <v>0.29280523726851854</v>
      </c>
      <c r="AB9" s="55">
        <f t="shared" si="11"/>
        <v>-2.3234095577256944</v>
      </c>
      <c r="AC9" s="55">
        <v>-7.16</v>
      </c>
      <c r="AD9" s="55">
        <v>-6.4803224358974356</v>
      </c>
      <c r="AE9" s="55">
        <v>0</v>
      </c>
      <c r="AF9" s="55"/>
    </row>
    <row r="10" spans="1:32" s="57" customFormat="1" ht="15.75" customHeight="1">
      <c r="A10" s="2" t="s">
        <v>58</v>
      </c>
      <c r="B10" s="2" t="s">
        <v>1152</v>
      </c>
      <c r="C10" s="51">
        <v>16.05</v>
      </c>
      <c r="D10" s="51">
        <v>1</v>
      </c>
      <c r="E10" s="51">
        <v>0</v>
      </c>
      <c r="F10" s="51">
        <v>16.05</v>
      </c>
      <c r="G10" s="51">
        <v>0</v>
      </c>
      <c r="H10" s="51">
        <f t="shared" si="1"/>
        <v>0</v>
      </c>
      <c r="I10" s="51">
        <f t="shared" si="2"/>
        <v>-0.13833110197915835</v>
      </c>
      <c r="J10" s="51">
        <f t="shared" si="4"/>
        <v>-2.2202141867654914</v>
      </c>
      <c r="K10" s="51">
        <f t="shared" si="3"/>
        <v>-2.2202141867654914</v>
      </c>
      <c r="L10" s="51">
        <v>10</v>
      </c>
      <c r="M10" s="51">
        <f t="shared" si="5"/>
        <v>0.1</v>
      </c>
      <c r="N10" s="51">
        <v>44</v>
      </c>
      <c r="O10" s="51">
        <f t="shared" ref="O10:P10" si="17">D10/7</f>
        <v>0.14285714285714285</v>
      </c>
      <c r="P10" s="51">
        <f t="shared" si="17"/>
        <v>0</v>
      </c>
      <c r="Q10" s="51">
        <f t="shared" si="7"/>
        <v>308</v>
      </c>
      <c r="R10" s="55">
        <v>200</v>
      </c>
      <c r="S10" s="53">
        <v>100</v>
      </c>
      <c r="T10" s="54">
        <v>43885</v>
      </c>
      <c r="U10" s="55">
        <v>0</v>
      </c>
      <c r="V10" s="55">
        <f t="shared" si="8"/>
        <v>0</v>
      </c>
      <c r="W10" s="55">
        <f t="shared" si="9"/>
        <v>0</v>
      </c>
      <c r="X10" s="55">
        <v>0</v>
      </c>
      <c r="Y10" s="55" t="s">
        <v>35</v>
      </c>
      <c r="Z10" s="56">
        <f t="shared" si="10"/>
        <v>-0.69</v>
      </c>
      <c r="AA10" s="55">
        <v>0.29280523726851854</v>
      </c>
      <c r="AB10" s="55">
        <f t="shared" si="11"/>
        <v>-2.2223917508680557</v>
      </c>
      <c r="AC10" s="55">
        <v>-7.16</v>
      </c>
      <c r="AD10" s="55">
        <v>-6.4803224358974356</v>
      </c>
      <c r="AE10" s="55">
        <v>0</v>
      </c>
      <c r="AF10" s="55"/>
    </row>
    <row r="11" spans="1:32" s="57" customFormat="1" ht="15.75" customHeight="1">
      <c r="A11" s="2" t="s">
        <v>60</v>
      </c>
      <c r="B11" s="2" t="s">
        <v>1153</v>
      </c>
      <c r="C11" s="51">
        <v>17.989999999999998</v>
      </c>
      <c r="D11" s="51">
        <v>3</v>
      </c>
      <c r="E11" s="51">
        <v>0</v>
      </c>
      <c r="F11" s="51">
        <v>48.150000000000006</v>
      </c>
      <c r="G11" s="51">
        <v>0</v>
      </c>
      <c r="H11" s="51">
        <f t="shared" si="1"/>
        <v>0</v>
      </c>
      <c r="I11" s="51">
        <f t="shared" si="2"/>
        <v>-5.7721880606062086E-2</v>
      </c>
      <c r="J11" s="51">
        <f t="shared" si="4"/>
        <v>-2.7793085511818898</v>
      </c>
      <c r="K11" s="51">
        <f t="shared" si="3"/>
        <v>-0.92643618372729664</v>
      </c>
      <c r="L11" s="51">
        <v>12</v>
      </c>
      <c r="M11" s="51">
        <f t="shared" si="5"/>
        <v>0.25</v>
      </c>
      <c r="N11" s="51">
        <v>42</v>
      </c>
      <c r="O11" s="51">
        <f t="shared" ref="O11:P11" si="18">D11/7</f>
        <v>0.42857142857142855</v>
      </c>
      <c r="P11" s="51">
        <f t="shared" si="18"/>
        <v>0</v>
      </c>
      <c r="Q11" s="51">
        <f t="shared" si="7"/>
        <v>98</v>
      </c>
      <c r="R11" s="55">
        <v>100</v>
      </c>
      <c r="S11" s="53" t="s">
        <v>34</v>
      </c>
      <c r="T11" s="54" t="s">
        <v>34</v>
      </c>
      <c r="U11" s="55">
        <v>0</v>
      </c>
      <c r="V11" s="55">
        <f t="shared" si="8"/>
        <v>0</v>
      </c>
      <c r="W11" s="55">
        <f t="shared" si="9"/>
        <v>0</v>
      </c>
      <c r="X11" s="55">
        <v>0</v>
      </c>
      <c r="Y11" s="55" t="s">
        <v>35</v>
      </c>
      <c r="Z11" s="56">
        <f t="shared" ref="Z11:Z39" si="19">IF(OR(Y11="UsLargeStandardSize",Y11="UsSmallStandardSize"),-0.75,-0.48)</f>
        <v>-0.75</v>
      </c>
      <c r="AA11" s="55">
        <v>0.29280523726851854</v>
      </c>
      <c r="AB11" s="55">
        <f t="shared" si="11"/>
        <v>-2.3058412434895832</v>
      </c>
      <c r="AC11" s="55">
        <v>-7.32</v>
      </c>
      <c r="AD11" s="55">
        <v>-6.4803224358974356</v>
      </c>
      <c r="AE11" s="55">
        <v>0</v>
      </c>
      <c r="AF11" s="55"/>
    </row>
    <row r="12" spans="1:32" s="57" customFormat="1" ht="15.75" customHeight="1">
      <c r="A12" s="2" t="s">
        <v>62</v>
      </c>
      <c r="B12" s="2" t="s">
        <v>1154</v>
      </c>
      <c r="C12" s="51">
        <v>17.989999999999998</v>
      </c>
      <c r="D12" s="51">
        <v>2</v>
      </c>
      <c r="E12" s="51">
        <v>0</v>
      </c>
      <c r="F12" s="51">
        <v>35.979999999999997</v>
      </c>
      <c r="G12" s="51">
        <v>0</v>
      </c>
      <c r="H12" s="51">
        <f t="shared" si="1"/>
        <v>0</v>
      </c>
      <c r="I12" s="51">
        <f t="shared" si="2"/>
        <v>-0.12920737543373104</v>
      </c>
      <c r="J12" s="51">
        <f t="shared" si="4"/>
        <v>-4.6488813681056422</v>
      </c>
      <c r="K12" s="51">
        <f t="shared" si="3"/>
        <v>-2.3244406840528211</v>
      </c>
      <c r="L12" s="51">
        <v>9</v>
      </c>
      <c r="M12" s="51">
        <f t="shared" si="5"/>
        <v>0.22222222222222221</v>
      </c>
      <c r="N12" s="51">
        <v>139</v>
      </c>
      <c r="O12" s="51">
        <f t="shared" ref="O12:P12" si="20">D12/7</f>
        <v>0.2857142857142857</v>
      </c>
      <c r="P12" s="51">
        <f t="shared" si="20"/>
        <v>0</v>
      </c>
      <c r="Q12" s="51">
        <f t="shared" si="7"/>
        <v>486</v>
      </c>
      <c r="R12" s="55">
        <v>100</v>
      </c>
      <c r="S12" s="53" t="s">
        <v>34</v>
      </c>
      <c r="T12" s="54" t="s">
        <v>34</v>
      </c>
      <c r="U12" s="55">
        <v>0</v>
      </c>
      <c r="V12" s="55">
        <f t="shared" si="8"/>
        <v>0</v>
      </c>
      <c r="W12" s="55">
        <f t="shared" si="9"/>
        <v>0</v>
      </c>
      <c r="X12" s="55">
        <v>0</v>
      </c>
      <c r="Y12" s="55" t="s">
        <v>35</v>
      </c>
      <c r="Z12" s="56">
        <f t="shared" si="19"/>
        <v>-0.75</v>
      </c>
      <c r="AA12" s="55">
        <v>0.29280523726851854</v>
      </c>
      <c r="AB12" s="55">
        <f t="shared" si="11"/>
        <v>-7.6312364963107635</v>
      </c>
      <c r="AC12" s="55">
        <v>-7.32</v>
      </c>
      <c r="AD12" s="55">
        <v>-6.4803224358974356</v>
      </c>
      <c r="AE12" s="55">
        <v>0</v>
      </c>
      <c r="AF12" s="55"/>
    </row>
    <row r="13" spans="1:32" s="57" customFormat="1" ht="15.75" customHeight="1">
      <c r="A13" s="2" t="s">
        <v>63</v>
      </c>
      <c r="B13" s="2" t="s">
        <v>1128</v>
      </c>
      <c r="C13" s="51">
        <v>17.989999999999998</v>
      </c>
      <c r="D13" s="51">
        <v>3</v>
      </c>
      <c r="E13" s="51">
        <v>0</v>
      </c>
      <c r="F13" s="51">
        <v>53.97</v>
      </c>
      <c r="G13" s="51">
        <v>-14.120000000000001</v>
      </c>
      <c r="H13" s="51">
        <f t="shared" si="1"/>
        <v>0.26162682972021495</v>
      </c>
      <c r="I13" s="51">
        <f t="shared" si="2"/>
        <v>-0.32216983079449268</v>
      </c>
      <c r="J13" s="51">
        <f t="shared" si="4"/>
        <v>-17.387505767978769</v>
      </c>
      <c r="K13" s="51">
        <f t="shared" si="3"/>
        <v>-5.7958352559929232</v>
      </c>
      <c r="L13" s="51">
        <v>16</v>
      </c>
      <c r="M13" s="51">
        <f t="shared" si="5"/>
        <v>0.1875</v>
      </c>
      <c r="N13" s="51">
        <v>141</v>
      </c>
      <c r="O13" s="51">
        <f t="shared" ref="O13:P13" si="21">D13/7</f>
        <v>0.42857142857142855</v>
      </c>
      <c r="P13" s="51">
        <f t="shared" si="21"/>
        <v>0</v>
      </c>
      <c r="Q13" s="51">
        <f t="shared" si="7"/>
        <v>329</v>
      </c>
      <c r="R13" s="55">
        <v>100</v>
      </c>
      <c r="S13" s="53" t="s">
        <v>34</v>
      </c>
      <c r="T13" s="54" t="s">
        <v>34</v>
      </c>
      <c r="U13" s="55">
        <v>0</v>
      </c>
      <c r="V13" s="55">
        <f t="shared" si="8"/>
        <v>0</v>
      </c>
      <c r="W13" s="55">
        <f t="shared" si="9"/>
        <v>7.0600000000000005</v>
      </c>
      <c r="X13" s="55">
        <v>2</v>
      </c>
      <c r="Y13" s="55" t="s">
        <v>35</v>
      </c>
      <c r="Z13" s="56">
        <f t="shared" si="19"/>
        <v>-0.75</v>
      </c>
      <c r="AA13" s="55">
        <v>0.29280523726851854</v>
      </c>
      <c r="AB13" s="55">
        <f t="shared" si="11"/>
        <v>-7.7410384602864584</v>
      </c>
      <c r="AC13" s="55">
        <v>-7.32</v>
      </c>
      <c r="AD13" s="55">
        <v>-6.4803224358974356</v>
      </c>
      <c r="AE13" s="55">
        <v>0</v>
      </c>
      <c r="AF13" s="55"/>
    </row>
    <row r="14" spans="1:32" s="57" customFormat="1" ht="15.75" customHeight="1">
      <c r="A14" s="2" t="s">
        <v>64</v>
      </c>
      <c r="B14" s="2"/>
      <c r="C14" s="51">
        <v>16.989999999999998</v>
      </c>
      <c r="D14" s="51">
        <v>2</v>
      </c>
      <c r="E14" s="51">
        <v>0</v>
      </c>
      <c r="F14" s="51">
        <v>35.979999999999997</v>
      </c>
      <c r="G14" s="51">
        <v>-4.3</v>
      </c>
      <c r="H14" s="51">
        <f t="shared" si="1"/>
        <v>0.11951083935519734</v>
      </c>
      <c r="I14" s="51">
        <f t="shared" si="2"/>
        <v>-0.2456664648173971</v>
      </c>
      <c r="J14" s="51">
        <f t="shared" si="4"/>
        <v>-8.8390794041299472</v>
      </c>
      <c r="K14" s="51">
        <f t="shared" si="3"/>
        <v>-4.4195397020649736</v>
      </c>
      <c r="L14" s="51">
        <v>9</v>
      </c>
      <c r="M14" s="51">
        <f t="shared" si="5"/>
        <v>0.22222222222222221</v>
      </c>
      <c r="N14" s="51">
        <v>137</v>
      </c>
      <c r="O14" s="51">
        <f t="shared" ref="O14:P14" si="22">D14/7</f>
        <v>0.2857142857142857</v>
      </c>
      <c r="P14" s="51">
        <f t="shared" si="22"/>
        <v>0</v>
      </c>
      <c r="Q14" s="51">
        <f t="shared" si="7"/>
        <v>479</v>
      </c>
      <c r="R14" s="55">
        <v>100</v>
      </c>
      <c r="S14" s="53" t="s">
        <v>34</v>
      </c>
      <c r="T14" s="54" t="s">
        <v>34</v>
      </c>
      <c r="U14" s="55">
        <v>0</v>
      </c>
      <c r="V14" s="55">
        <f t="shared" si="8"/>
        <v>0</v>
      </c>
      <c r="W14" s="55">
        <f t="shared" si="9"/>
        <v>4.3</v>
      </c>
      <c r="X14" s="55">
        <v>1</v>
      </c>
      <c r="Y14" s="55" t="s">
        <v>35</v>
      </c>
      <c r="Z14" s="56">
        <f t="shared" si="19"/>
        <v>-0.75</v>
      </c>
      <c r="AA14" s="55">
        <v>0.29280523726851854</v>
      </c>
      <c r="AB14" s="55">
        <f t="shared" si="11"/>
        <v>-7.5214345323350695</v>
      </c>
      <c r="AC14" s="55">
        <v>-7.32</v>
      </c>
      <c r="AD14" s="55">
        <v>-6.4803224358974356</v>
      </c>
      <c r="AE14" s="55">
        <v>0</v>
      </c>
      <c r="AF14" s="55"/>
    </row>
    <row r="15" spans="1:32" s="57" customFormat="1" ht="15.75" customHeight="1">
      <c r="A15" s="2" t="s">
        <v>65</v>
      </c>
      <c r="B15" s="2" t="s">
        <v>978</v>
      </c>
      <c r="C15" s="51">
        <v>16.989999999999998</v>
      </c>
      <c r="D15" s="51">
        <v>1</v>
      </c>
      <c r="E15" s="51">
        <v>0</v>
      </c>
      <c r="F15" s="51">
        <v>16.989999999999998</v>
      </c>
      <c r="G15" s="51">
        <v>-3.25</v>
      </c>
      <c r="H15" s="51">
        <f t="shared" si="1"/>
        <v>0.1912889935256033</v>
      </c>
      <c r="I15" s="51">
        <f t="shared" si="2"/>
        <v>-0.59301683262181637</v>
      </c>
      <c r="J15" s="51">
        <f t="shared" si="4"/>
        <v>-10.075355986244659</v>
      </c>
      <c r="K15" s="51">
        <f t="shared" si="3"/>
        <v>-10.075355986244659</v>
      </c>
      <c r="L15" s="51">
        <v>12</v>
      </c>
      <c r="M15" s="51">
        <f t="shared" si="5"/>
        <v>8.3333333333333329E-2</v>
      </c>
      <c r="N15" s="51">
        <v>136</v>
      </c>
      <c r="O15" s="51">
        <f t="shared" ref="O15:P15" si="23">D15/7</f>
        <v>0.14285714285714285</v>
      </c>
      <c r="P15" s="51">
        <f t="shared" si="23"/>
        <v>0</v>
      </c>
      <c r="Q15" s="51">
        <f t="shared" si="7"/>
        <v>952</v>
      </c>
      <c r="R15" s="55">
        <v>100</v>
      </c>
      <c r="S15" s="53" t="s">
        <v>34</v>
      </c>
      <c r="T15" s="54" t="s">
        <v>34</v>
      </c>
      <c r="U15" s="55">
        <v>0</v>
      </c>
      <c r="V15" s="55">
        <f t="shared" si="8"/>
        <v>0</v>
      </c>
      <c r="W15" s="55">
        <f t="shared" si="9"/>
        <v>0</v>
      </c>
      <c r="X15" s="55">
        <v>0</v>
      </c>
      <c r="Y15" s="55" t="s">
        <v>35</v>
      </c>
      <c r="Z15" s="56">
        <f t="shared" si="19"/>
        <v>-0.75</v>
      </c>
      <c r="AA15" s="55">
        <v>0.29280523726851854</v>
      </c>
      <c r="AB15" s="55">
        <f t="shared" si="11"/>
        <v>-7.4665335503472221</v>
      </c>
      <c r="AC15" s="55">
        <v>-7.32</v>
      </c>
      <c r="AD15" s="55">
        <v>-6.4803224358974356</v>
      </c>
      <c r="AE15" s="55">
        <v>0</v>
      </c>
      <c r="AF15" s="55"/>
    </row>
    <row r="16" spans="1:32" s="57" customFormat="1" ht="15.75" customHeight="1">
      <c r="A16" s="2" t="s">
        <v>66</v>
      </c>
      <c r="B16" s="2" t="s">
        <v>1155</v>
      </c>
      <c r="C16" s="51">
        <v>18.989999999999998</v>
      </c>
      <c r="D16" s="51">
        <v>0</v>
      </c>
      <c r="E16" s="51">
        <v>0</v>
      </c>
      <c r="F16" s="51">
        <v>0</v>
      </c>
      <c r="G16" s="51">
        <v>-9.0299999999999994</v>
      </c>
      <c r="H16" s="51" t="e">
        <f t="shared" si="1"/>
        <v>#DIV/0!</v>
      </c>
      <c r="I16" s="51" t="e">
        <f t="shared" si="2"/>
        <v>#DIV/0!</v>
      </c>
      <c r="J16" s="51">
        <f t="shared" si="4"/>
        <v>-16.496533550347223</v>
      </c>
      <c r="K16" s="51" t="e">
        <f t="shared" si="3"/>
        <v>#DIV/0!</v>
      </c>
      <c r="L16" s="51">
        <v>17</v>
      </c>
      <c r="M16" s="51">
        <f t="shared" si="5"/>
        <v>0</v>
      </c>
      <c r="N16" s="51">
        <v>136</v>
      </c>
      <c r="O16" s="51">
        <f t="shared" ref="O16:P16" si="24">D16/7</f>
        <v>0</v>
      </c>
      <c r="P16" s="51">
        <f t="shared" si="24"/>
        <v>0</v>
      </c>
      <c r="Q16" s="51" t="e">
        <f t="shared" si="7"/>
        <v>#DIV/0!</v>
      </c>
      <c r="R16" s="55">
        <v>100</v>
      </c>
      <c r="S16" s="53" t="s">
        <v>34</v>
      </c>
      <c r="T16" s="54" t="s">
        <v>34</v>
      </c>
      <c r="U16" s="55">
        <v>0</v>
      </c>
      <c r="V16" s="55">
        <f t="shared" si="8"/>
        <v>0</v>
      </c>
      <c r="W16" s="55">
        <f t="shared" si="9"/>
        <v>0</v>
      </c>
      <c r="X16" s="55">
        <v>0</v>
      </c>
      <c r="Y16" s="55" t="s">
        <v>35</v>
      </c>
      <c r="Z16" s="56">
        <f t="shared" si="19"/>
        <v>-0.75</v>
      </c>
      <c r="AA16" s="55">
        <v>0.29280523726851854</v>
      </c>
      <c r="AB16" s="55">
        <f t="shared" si="11"/>
        <v>-7.4665335503472221</v>
      </c>
      <c r="AC16" s="55">
        <v>-7.32</v>
      </c>
      <c r="AD16" s="55">
        <v>-6.4803224358974356</v>
      </c>
      <c r="AE16" s="55">
        <v>0</v>
      </c>
      <c r="AF16" s="55"/>
    </row>
    <row r="17" spans="1:32" s="57" customFormat="1" ht="15.75" customHeight="1">
      <c r="A17" s="2" t="s">
        <v>67</v>
      </c>
      <c r="B17" s="2" t="s">
        <v>940</v>
      </c>
      <c r="C17" s="51">
        <v>22</v>
      </c>
      <c r="D17" s="51">
        <v>2</v>
      </c>
      <c r="E17" s="51">
        <v>0</v>
      </c>
      <c r="F17" s="51">
        <v>37.629999999999995</v>
      </c>
      <c r="G17" s="51">
        <v>-19.890000000000004</v>
      </c>
      <c r="H17" s="51">
        <f t="shared" si="1"/>
        <v>0.52856763220834457</v>
      </c>
      <c r="I17" s="51">
        <f t="shared" si="2"/>
        <v>-0.60462594988548279</v>
      </c>
      <c r="J17" s="51">
        <f t="shared" si="4"/>
        <v>-22.752074494190715</v>
      </c>
      <c r="K17" s="51">
        <f t="shared" si="3"/>
        <v>-11.376037247095358</v>
      </c>
      <c r="L17" s="51">
        <v>24</v>
      </c>
      <c r="M17" s="51">
        <f t="shared" si="5"/>
        <v>8.3333333333333329E-2</v>
      </c>
      <c r="N17" s="51">
        <v>132</v>
      </c>
      <c r="O17" s="51">
        <f t="shared" ref="O17:P17" si="25">D17/7</f>
        <v>0.2857142857142857</v>
      </c>
      <c r="P17" s="51">
        <f t="shared" si="25"/>
        <v>0</v>
      </c>
      <c r="Q17" s="51">
        <f t="shared" si="7"/>
        <v>462</v>
      </c>
      <c r="R17" s="55">
        <v>100</v>
      </c>
      <c r="S17" s="53" t="s">
        <v>34</v>
      </c>
      <c r="T17" s="54" t="s">
        <v>34</v>
      </c>
      <c r="U17" s="55">
        <v>2</v>
      </c>
      <c r="V17" s="55">
        <f t="shared" si="8"/>
        <v>1</v>
      </c>
      <c r="W17" s="55">
        <f t="shared" si="9"/>
        <v>9.9450000000000021</v>
      </c>
      <c r="X17" s="55">
        <v>0</v>
      </c>
      <c r="Y17" s="55" t="s">
        <v>35</v>
      </c>
      <c r="Z17" s="56">
        <f t="shared" si="19"/>
        <v>-0.75</v>
      </c>
      <c r="AA17" s="55">
        <v>0.29280523726851854</v>
      </c>
      <c r="AB17" s="55">
        <f t="shared" si="11"/>
        <v>-7.2469296223958333</v>
      </c>
      <c r="AC17" s="55">
        <v>-7.32</v>
      </c>
      <c r="AD17" s="55">
        <v>-6.4803224358974356</v>
      </c>
      <c r="AE17" s="55">
        <v>0</v>
      </c>
      <c r="AF17" s="55"/>
    </row>
    <row r="18" spans="1:32" s="57" customFormat="1" ht="15.75" customHeight="1">
      <c r="A18" s="2" t="s">
        <v>69</v>
      </c>
      <c r="B18" s="2" t="s">
        <v>1156</v>
      </c>
      <c r="C18" s="51">
        <v>19.43</v>
      </c>
      <c r="D18" s="51">
        <v>1</v>
      </c>
      <c r="E18" s="51">
        <v>0</v>
      </c>
      <c r="F18" s="51">
        <v>19.43</v>
      </c>
      <c r="G18" s="51">
        <v>-19</v>
      </c>
      <c r="H18" s="51">
        <f t="shared" si="1"/>
        <v>0.97786927431806481</v>
      </c>
      <c r="I18" s="51">
        <f t="shared" si="2"/>
        <v>-0.87203469993574889</v>
      </c>
      <c r="J18" s="51">
        <f t="shared" si="4"/>
        <v>-16.943634219751601</v>
      </c>
      <c r="K18" s="51">
        <f t="shared" si="3"/>
        <v>-16.943634219751601</v>
      </c>
      <c r="L18" s="51">
        <v>0</v>
      </c>
      <c r="M18" s="51" t="str">
        <f t="shared" si="5"/>
        <v>-</v>
      </c>
      <c r="N18" s="51">
        <v>131</v>
      </c>
      <c r="O18" s="51">
        <f t="shared" ref="O18:P18" si="26">D18/7</f>
        <v>0.14285714285714285</v>
      </c>
      <c r="P18" s="51">
        <f t="shared" si="26"/>
        <v>0</v>
      </c>
      <c r="Q18" s="51">
        <f t="shared" si="7"/>
        <v>917</v>
      </c>
      <c r="R18" s="55">
        <v>100</v>
      </c>
      <c r="S18" s="53" t="s">
        <v>34</v>
      </c>
      <c r="T18" s="54" t="s">
        <v>34</v>
      </c>
      <c r="U18" s="55">
        <v>0</v>
      </c>
      <c r="V18" s="55">
        <f t="shared" si="8"/>
        <v>0</v>
      </c>
      <c r="W18" s="55">
        <f t="shared" si="9"/>
        <v>9.5</v>
      </c>
      <c r="X18" s="55">
        <v>2</v>
      </c>
      <c r="Y18" s="55" t="s">
        <v>35</v>
      </c>
      <c r="Z18" s="56">
        <f t="shared" si="19"/>
        <v>-0.75</v>
      </c>
      <c r="AA18" s="55">
        <v>0.29280523726851854</v>
      </c>
      <c r="AB18" s="58">
        <f t="shared" ref="AB18:AB39" si="27">IFERROR(Z18*AA18*D18*3,0)</f>
        <v>-0.65881178385416672</v>
      </c>
      <c r="AC18" s="55">
        <v>-7.32</v>
      </c>
      <c r="AD18" s="55">
        <v>-6.4803224358974356</v>
      </c>
      <c r="AE18" s="55">
        <v>0</v>
      </c>
      <c r="AF18" s="55"/>
    </row>
    <row r="19" spans="1:32" s="57" customFormat="1" ht="15.75" customHeight="1">
      <c r="A19" s="2" t="s">
        <v>71</v>
      </c>
      <c r="B19" s="2"/>
      <c r="C19" s="51">
        <v>17.989999999999998</v>
      </c>
      <c r="D19" s="51">
        <v>4</v>
      </c>
      <c r="E19" s="51">
        <v>0</v>
      </c>
      <c r="F19" s="51">
        <v>75.61</v>
      </c>
      <c r="G19" s="51">
        <v>0</v>
      </c>
      <c r="H19" s="51">
        <f t="shared" si="1"/>
        <v>0</v>
      </c>
      <c r="I19" s="51">
        <f t="shared" si="2"/>
        <v>8.5067624930480049E-2</v>
      </c>
      <c r="J19" s="51">
        <f t="shared" si="4"/>
        <v>6.4319631209935961</v>
      </c>
      <c r="K19" s="51">
        <f t="shared" si="3"/>
        <v>1.607990780248399</v>
      </c>
      <c r="L19" s="51">
        <v>12</v>
      </c>
      <c r="M19" s="51">
        <f t="shared" si="5"/>
        <v>0.33333333333333331</v>
      </c>
      <c r="N19" s="51">
        <v>129</v>
      </c>
      <c r="O19" s="51">
        <f t="shared" ref="O19:P19" si="28">D19/7</f>
        <v>0.5714285714285714</v>
      </c>
      <c r="P19" s="51">
        <f t="shared" si="28"/>
        <v>0</v>
      </c>
      <c r="Q19" s="51">
        <f t="shared" si="7"/>
        <v>225</v>
      </c>
      <c r="R19" s="55">
        <v>100</v>
      </c>
      <c r="S19" s="53" t="s">
        <v>34</v>
      </c>
      <c r="T19" s="54" t="s">
        <v>34</v>
      </c>
      <c r="U19" s="55">
        <v>0</v>
      </c>
      <c r="V19" s="55">
        <f t="shared" si="8"/>
        <v>0</v>
      </c>
      <c r="W19" s="55">
        <f t="shared" si="9"/>
        <v>0</v>
      </c>
      <c r="X19" s="55">
        <v>0</v>
      </c>
      <c r="Y19" s="55" t="s">
        <v>35</v>
      </c>
      <c r="Z19" s="56">
        <f t="shared" si="19"/>
        <v>-0.75</v>
      </c>
      <c r="AA19" s="55">
        <v>0.29280523726851854</v>
      </c>
      <c r="AB19" s="55">
        <f t="shared" si="27"/>
        <v>-2.6352471354166669</v>
      </c>
      <c r="AC19" s="55">
        <v>-7.32</v>
      </c>
      <c r="AD19" s="55">
        <v>-6.4803224358974356</v>
      </c>
      <c r="AE19" s="55">
        <v>0</v>
      </c>
      <c r="AF19" s="55"/>
    </row>
    <row r="20" spans="1:32" s="57" customFormat="1" ht="15.75" customHeight="1">
      <c r="A20" s="2" t="s">
        <v>73</v>
      </c>
      <c r="B20" s="2" t="s">
        <v>983</v>
      </c>
      <c r="C20" s="51">
        <v>16.149999999999999</v>
      </c>
      <c r="D20" s="51">
        <v>1</v>
      </c>
      <c r="E20" s="51">
        <v>0</v>
      </c>
      <c r="F20" s="51">
        <v>16.149999999999999</v>
      </c>
      <c r="G20" s="51">
        <v>-0.02</v>
      </c>
      <c r="H20" s="51">
        <f t="shared" si="1"/>
        <v>1.238390092879257E-3</v>
      </c>
      <c r="I20" s="51">
        <f t="shared" si="2"/>
        <v>-4.6540818560470779E-2</v>
      </c>
      <c r="J20" s="51">
        <f t="shared" si="4"/>
        <v>-0.75163421975160305</v>
      </c>
      <c r="K20" s="51">
        <f t="shared" si="3"/>
        <v>-0.75163421975160305</v>
      </c>
      <c r="L20" s="51">
        <v>15</v>
      </c>
      <c r="M20" s="51">
        <f t="shared" si="5"/>
        <v>6.6666666666666666E-2</v>
      </c>
      <c r="N20" s="51">
        <v>126</v>
      </c>
      <c r="O20" s="51">
        <f t="shared" ref="O20:P20" si="29">D20/7</f>
        <v>0.14285714285714285</v>
      </c>
      <c r="P20" s="51">
        <f t="shared" si="29"/>
        <v>0</v>
      </c>
      <c r="Q20" s="51">
        <f t="shared" si="7"/>
        <v>882</v>
      </c>
      <c r="R20" s="55">
        <v>100</v>
      </c>
      <c r="S20" s="53" t="s">
        <v>34</v>
      </c>
      <c r="T20" s="54" t="s">
        <v>34</v>
      </c>
      <c r="U20" s="55">
        <v>0</v>
      </c>
      <c r="V20" s="55">
        <f t="shared" si="8"/>
        <v>0</v>
      </c>
      <c r="W20" s="55">
        <f t="shared" si="9"/>
        <v>0</v>
      </c>
      <c r="X20" s="55">
        <v>0</v>
      </c>
      <c r="Y20" s="55" t="s">
        <v>35</v>
      </c>
      <c r="Z20" s="56">
        <f t="shared" si="19"/>
        <v>-0.75</v>
      </c>
      <c r="AA20" s="55">
        <v>0.29280523726851854</v>
      </c>
      <c r="AB20" s="55">
        <f t="shared" si="27"/>
        <v>-0.65881178385416672</v>
      </c>
      <c r="AC20" s="55">
        <v>-7.32</v>
      </c>
      <c r="AD20" s="55">
        <v>-6.4803224358974356</v>
      </c>
      <c r="AE20" s="55">
        <v>0</v>
      </c>
      <c r="AF20" s="55"/>
    </row>
    <row r="21" spans="1:32" s="57" customFormat="1" ht="15.75" customHeight="1">
      <c r="A21" s="2" t="s">
        <v>75</v>
      </c>
      <c r="B21" s="2" t="s">
        <v>954</v>
      </c>
      <c r="C21" s="51">
        <v>15.82</v>
      </c>
      <c r="D21" s="51">
        <v>7</v>
      </c>
      <c r="E21" s="51">
        <v>0</v>
      </c>
      <c r="F21" s="51">
        <v>108.61</v>
      </c>
      <c r="G21" s="51">
        <v>0</v>
      </c>
      <c r="H21" s="51">
        <f t="shared" si="1"/>
        <v>0</v>
      </c>
      <c r="I21" s="51">
        <f t="shared" si="2"/>
        <v>-8.1902582987397277E-2</v>
      </c>
      <c r="J21" s="51">
        <f t="shared" si="4"/>
        <v>-8.8954395382612184</v>
      </c>
      <c r="K21" s="51">
        <f t="shared" si="3"/>
        <v>-1.2707770768944597</v>
      </c>
      <c r="L21" s="51">
        <v>31</v>
      </c>
      <c r="M21" s="51">
        <f t="shared" si="5"/>
        <v>0.22580645161290322</v>
      </c>
      <c r="N21" s="51">
        <v>120</v>
      </c>
      <c r="O21" s="51">
        <f t="shared" ref="O21:P21" si="30">D21/7</f>
        <v>1</v>
      </c>
      <c r="P21" s="51">
        <f t="shared" si="30"/>
        <v>0</v>
      </c>
      <c r="Q21" s="51">
        <f t="shared" si="7"/>
        <v>120</v>
      </c>
      <c r="R21" s="55">
        <v>100</v>
      </c>
      <c r="S21" s="53" t="s">
        <v>34</v>
      </c>
      <c r="T21" s="54" t="s">
        <v>34</v>
      </c>
      <c r="U21" s="55">
        <v>0</v>
      </c>
      <c r="V21" s="55">
        <f t="shared" si="8"/>
        <v>0</v>
      </c>
      <c r="W21" s="55">
        <f t="shared" si="9"/>
        <v>0</v>
      </c>
      <c r="X21" s="55">
        <v>0</v>
      </c>
      <c r="Y21" s="55" t="s">
        <v>35</v>
      </c>
      <c r="Z21" s="56">
        <f t="shared" si="19"/>
        <v>-0.75</v>
      </c>
      <c r="AA21" s="55">
        <v>0.29280523726851854</v>
      </c>
      <c r="AB21" s="55">
        <f t="shared" si="27"/>
        <v>-4.6116824869791664</v>
      </c>
      <c r="AC21" s="55">
        <v>-7.32</v>
      </c>
      <c r="AD21" s="55">
        <v>-6.4803224358974356</v>
      </c>
      <c r="AE21" s="55">
        <v>0</v>
      </c>
      <c r="AF21" s="55"/>
    </row>
    <row r="22" spans="1:32" s="57" customFormat="1" ht="15.75" customHeight="1">
      <c r="A22" s="2" t="s">
        <v>77</v>
      </c>
      <c r="B22" s="2" t="s">
        <v>810</v>
      </c>
      <c r="C22" s="51">
        <v>18</v>
      </c>
      <c r="D22" s="51">
        <v>7</v>
      </c>
      <c r="E22" s="51">
        <v>0</v>
      </c>
      <c r="F22" s="51">
        <v>110</v>
      </c>
      <c r="G22" s="51">
        <v>-0.15000000000000002</v>
      </c>
      <c r="H22" s="51">
        <f t="shared" si="1"/>
        <v>1.3636363636363637E-3</v>
      </c>
      <c r="I22" s="51">
        <f t="shared" si="2"/>
        <v>-7.1490359438738396E-2</v>
      </c>
      <c r="J22" s="51">
        <f t="shared" si="4"/>
        <v>-7.8639395382612243</v>
      </c>
      <c r="K22" s="51">
        <f t="shared" si="3"/>
        <v>-1.1234199340373177</v>
      </c>
      <c r="L22" s="51">
        <v>48</v>
      </c>
      <c r="M22" s="51">
        <f t="shared" si="5"/>
        <v>0.14583333333333334</v>
      </c>
      <c r="N22" s="51">
        <v>107</v>
      </c>
      <c r="O22" s="51">
        <f t="shared" ref="O22:P22" si="31">D22/7</f>
        <v>1</v>
      </c>
      <c r="P22" s="51">
        <f t="shared" si="31"/>
        <v>0</v>
      </c>
      <c r="Q22" s="51">
        <f t="shared" si="7"/>
        <v>107</v>
      </c>
      <c r="R22" s="55">
        <v>100</v>
      </c>
      <c r="S22" s="53" t="s">
        <v>34</v>
      </c>
      <c r="T22" s="54" t="s">
        <v>34</v>
      </c>
      <c r="U22" s="55">
        <v>0</v>
      </c>
      <c r="V22" s="55">
        <f t="shared" si="8"/>
        <v>0</v>
      </c>
      <c r="W22" s="55">
        <f t="shared" si="9"/>
        <v>0</v>
      </c>
      <c r="X22" s="55">
        <v>0</v>
      </c>
      <c r="Y22" s="55" t="s">
        <v>35</v>
      </c>
      <c r="Z22" s="56">
        <f t="shared" si="19"/>
        <v>-0.75</v>
      </c>
      <c r="AA22" s="55">
        <v>0.29280523726851854</v>
      </c>
      <c r="AB22" s="55">
        <f t="shared" si="27"/>
        <v>-4.6116824869791664</v>
      </c>
      <c r="AC22" s="55">
        <v>-7.32</v>
      </c>
      <c r="AD22" s="55">
        <v>-6.4803224358974356</v>
      </c>
      <c r="AE22" s="55">
        <v>0</v>
      </c>
      <c r="AF22" s="55"/>
    </row>
    <row r="23" spans="1:32" s="57" customFormat="1" ht="15.75" customHeight="1">
      <c r="A23" s="2" t="s">
        <v>79</v>
      </c>
      <c r="B23" s="2" t="s">
        <v>810</v>
      </c>
      <c r="C23" s="51">
        <v>18</v>
      </c>
      <c r="D23" s="51">
        <v>17</v>
      </c>
      <c r="E23" s="51">
        <v>0</v>
      </c>
      <c r="F23" s="51">
        <v>300.14000000000004</v>
      </c>
      <c r="G23" s="51">
        <v>-0.16</v>
      </c>
      <c r="H23" s="51">
        <f t="shared" si="1"/>
        <v>5.3308456053841535E-4</v>
      </c>
      <c r="I23" s="51">
        <f t="shared" si="2"/>
        <v>3.049816173859797E-2</v>
      </c>
      <c r="J23" s="51">
        <f t="shared" si="4"/>
        <v>9.1537182642227961</v>
      </c>
      <c r="K23" s="51">
        <f t="shared" si="3"/>
        <v>0.53845401554251737</v>
      </c>
      <c r="L23" s="51">
        <v>37</v>
      </c>
      <c r="M23" s="51">
        <f t="shared" si="5"/>
        <v>0.45945945945945948</v>
      </c>
      <c r="N23" s="51">
        <v>98</v>
      </c>
      <c r="O23" s="51">
        <f t="shared" ref="O23:P23" si="32">D23/7</f>
        <v>2.4285714285714284</v>
      </c>
      <c r="P23" s="51">
        <f t="shared" si="32"/>
        <v>0</v>
      </c>
      <c r="Q23" s="51">
        <f t="shared" si="7"/>
        <v>40</v>
      </c>
      <c r="R23" s="55">
        <v>100</v>
      </c>
      <c r="S23" s="53" t="s">
        <v>34</v>
      </c>
      <c r="T23" s="54" t="s">
        <v>34</v>
      </c>
      <c r="U23" s="55">
        <v>0</v>
      </c>
      <c r="V23" s="55">
        <f t="shared" si="8"/>
        <v>0</v>
      </c>
      <c r="W23" s="55">
        <f t="shared" si="9"/>
        <v>0</v>
      </c>
      <c r="X23" s="55">
        <v>0</v>
      </c>
      <c r="Y23" s="55" t="s">
        <v>35</v>
      </c>
      <c r="Z23" s="56">
        <f t="shared" si="19"/>
        <v>-0.75</v>
      </c>
      <c r="AA23" s="55">
        <v>0.29280523726851854</v>
      </c>
      <c r="AB23" s="55">
        <f t="shared" si="27"/>
        <v>-11.199800325520833</v>
      </c>
      <c r="AC23" s="55">
        <v>-7.32</v>
      </c>
      <c r="AD23" s="55">
        <v>-6.4803224358974356</v>
      </c>
      <c r="AE23" s="55">
        <v>0</v>
      </c>
      <c r="AF23" s="55"/>
    </row>
    <row r="24" spans="1:32" s="57" customFormat="1" ht="15.75" customHeight="1">
      <c r="A24" s="2" t="s">
        <v>80</v>
      </c>
      <c r="B24" s="2" t="s">
        <v>955</v>
      </c>
      <c r="C24" s="51"/>
      <c r="D24" s="51">
        <v>13</v>
      </c>
      <c r="E24" s="51">
        <v>0</v>
      </c>
      <c r="F24" s="51">
        <v>240.58999999999997</v>
      </c>
      <c r="G24" s="51">
        <v>-0.49000000000000005</v>
      </c>
      <c r="H24" s="51">
        <f t="shared" si="1"/>
        <v>2.0366598778004076E-3</v>
      </c>
      <c r="I24" s="51">
        <f t="shared" si="2"/>
        <v>6.6680889244063041E-2</v>
      </c>
      <c r="J24" s="51">
        <f t="shared" si="4"/>
        <v>16.042755143229126</v>
      </c>
      <c r="K24" s="51">
        <f t="shared" si="3"/>
        <v>1.2340580879407019</v>
      </c>
      <c r="L24" s="51">
        <v>40</v>
      </c>
      <c r="M24" s="51">
        <f t="shared" si="5"/>
        <v>0.32500000000000001</v>
      </c>
      <c r="N24" s="51">
        <v>73</v>
      </c>
      <c r="O24" s="51">
        <f t="shared" ref="O24:P24" si="33">D24/7</f>
        <v>1.8571428571428572</v>
      </c>
      <c r="P24" s="51">
        <f t="shared" si="33"/>
        <v>0</v>
      </c>
      <c r="Q24" s="51">
        <f t="shared" si="7"/>
        <v>39</v>
      </c>
      <c r="R24" s="55">
        <v>100</v>
      </c>
      <c r="S24" s="53" t="s">
        <v>34</v>
      </c>
      <c r="T24" s="54" t="s">
        <v>34</v>
      </c>
      <c r="U24" s="55">
        <v>0</v>
      </c>
      <c r="V24" s="55">
        <f t="shared" si="8"/>
        <v>0</v>
      </c>
      <c r="W24" s="55">
        <f t="shared" si="9"/>
        <v>0.49000000000000005</v>
      </c>
      <c r="X24" s="55">
        <v>1</v>
      </c>
      <c r="Y24" s="55" t="s">
        <v>35</v>
      </c>
      <c r="Z24" s="56">
        <f t="shared" si="19"/>
        <v>-0.75</v>
      </c>
      <c r="AA24" s="55">
        <v>0.29280523726851854</v>
      </c>
      <c r="AB24" s="55">
        <f t="shared" si="27"/>
        <v>-8.5645531901041672</v>
      </c>
      <c r="AC24" s="55">
        <v>-7.32</v>
      </c>
      <c r="AD24" s="55">
        <v>-6.4803224358974356</v>
      </c>
      <c r="AE24" s="55">
        <v>0</v>
      </c>
      <c r="AF24" s="55"/>
    </row>
    <row r="25" spans="1:32" s="57" customFormat="1" ht="15.75" customHeight="1">
      <c r="A25" s="2" t="s">
        <v>81</v>
      </c>
      <c r="B25" s="2" t="s">
        <v>810</v>
      </c>
      <c r="C25" s="51"/>
      <c r="D25" s="51">
        <v>15</v>
      </c>
      <c r="E25" s="51">
        <v>0</v>
      </c>
      <c r="F25" s="51">
        <v>293.83</v>
      </c>
      <c r="G25" s="51">
        <v>-0.32</v>
      </c>
      <c r="H25" s="51">
        <f t="shared" si="1"/>
        <v>1.0890651056733487E-3</v>
      </c>
      <c r="I25" s="51">
        <f t="shared" si="2"/>
        <v>0.11077319097344024</v>
      </c>
      <c r="J25" s="51">
        <f t="shared" si="4"/>
        <v>32.548486703725942</v>
      </c>
      <c r="K25" s="51">
        <f t="shared" si="3"/>
        <v>2.1698991135817294</v>
      </c>
      <c r="L25" s="51">
        <v>36</v>
      </c>
      <c r="M25" s="51">
        <f t="shared" si="5"/>
        <v>0.41666666666666669</v>
      </c>
      <c r="N25" s="51">
        <v>67</v>
      </c>
      <c r="O25" s="51">
        <f t="shared" ref="O25:P25" si="34">D25/7</f>
        <v>2.1428571428571428</v>
      </c>
      <c r="P25" s="51">
        <f t="shared" si="34"/>
        <v>0</v>
      </c>
      <c r="Q25" s="51">
        <f t="shared" si="7"/>
        <v>31</v>
      </c>
      <c r="R25" s="55">
        <v>100</v>
      </c>
      <c r="S25" s="53" t="s">
        <v>34</v>
      </c>
      <c r="T25" s="54" t="s">
        <v>34</v>
      </c>
      <c r="U25" s="55">
        <v>0</v>
      </c>
      <c r="V25" s="55">
        <f t="shared" si="8"/>
        <v>0</v>
      </c>
      <c r="W25" s="55">
        <f t="shared" si="9"/>
        <v>0</v>
      </c>
      <c r="X25" s="55">
        <v>0</v>
      </c>
      <c r="Y25" s="55" t="s">
        <v>35</v>
      </c>
      <c r="Z25" s="56">
        <f t="shared" si="19"/>
        <v>-0.75</v>
      </c>
      <c r="AA25" s="55">
        <v>0.29280523726851854</v>
      </c>
      <c r="AB25" s="55">
        <f t="shared" si="27"/>
        <v>-9.8821767578125002</v>
      </c>
      <c r="AC25" s="55">
        <v>-7.32</v>
      </c>
      <c r="AD25" s="55">
        <v>-6.4803224358974356</v>
      </c>
      <c r="AE25" s="55">
        <v>0</v>
      </c>
      <c r="AF25" s="55"/>
    </row>
    <row r="26" spans="1:32" s="57" customFormat="1" ht="15.75" customHeight="1">
      <c r="A26" s="2" t="s">
        <v>83</v>
      </c>
      <c r="B26" s="2" t="s">
        <v>1032</v>
      </c>
      <c r="C26" s="51">
        <f t="shared" ref="C26:C39" si="35">IFERROR(F26/D26," - ")</f>
        <v>20.383749999999996</v>
      </c>
      <c r="D26" s="51">
        <v>32</v>
      </c>
      <c r="E26" s="51">
        <v>0</v>
      </c>
      <c r="F26" s="51">
        <v>652.27999999999986</v>
      </c>
      <c r="G26" s="51">
        <v>-0.3</v>
      </c>
      <c r="H26" s="51">
        <f t="shared" si="1"/>
        <v>4.5992518550315822E-4</v>
      </c>
      <c r="I26" s="51">
        <f t="shared" si="2"/>
        <v>0.14019394273616959</v>
      </c>
      <c r="J26" s="51">
        <f t="shared" si="4"/>
        <v>91.445704967948672</v>
      </c>
      <c r="K26" s="51">
        <f t="shared" si="3"/>
        <v>2.857678280248396</v>
      </c>
      <c r="L26" s="51">
        <v>53</v>
      </c>
      <c r="M26" s="51">
        <f t="shared" si="5"/>
        <v>0.60377358490566035</v>
      </c>
      <c r="N26" s="51">
        <v>23</v>
      </c>
      <c r="O26" s="51">
        <f t="shared" ref="O26:P26" si="36">D26/7</f>
        <v>4.5714285714285712</v>
      </c>
      <c r="P26" s="51">
        <f t="shared" si="36"/>
        <v>0</v>
      </c>
      <c r="Q26" s="51">
        <f t="shared" si="7"/>
        <v>5</v>
      </c>
      <c r="R26" s="55">
        <v>100</v>
      </c>
      <c r="S26" s="53" t="s">
        <v>34</v>
      </c>
      <c r="T26" s="54" t="s">
        <v>34</v>
      </c>
      <c r="U26" s="55">
        <v>1</v>
      </c>
      <c r="V26" s="55">
        <f t="shared" si="8"/>
        <v>3.125E-2</v>
      </c>
      <c r="W26" s="55">
        <f t="shared" si="9"/>
        <v>0.3</v>
      </c>
      <c r="X26" s="55">
        <v>0</v>
      </c>
      <c r="Y26" s="55" t="s">
        <v>35</v>
      </c>
      <c r="Z26" s="56">
        <f t="shared" si="19"/>
        <v>-0.75</v>
      </c>
      <c r="AA26" s="55">
        <v>0.29280523726851854</v>
      </c>
      <c r="AB26" s="55">
        <f t="shared" si="27"/>
        <v>-21.081977083333335</v>
      </c>
      <c r="AC26" s="55">
        <v>-7.32</v>
      </c>
      <c r="AD26" s="55">
        <v>-6.4803224358974356</v>
      </c>
      <c r="AE26" s="55">
        <v>0</v>
      </c>
      <c r="AF26" s="55"/>
    </row>
    <row r="27" spans="1:32" s="57" customFormat="1" ht="15.75" customHeight="1">
      <c r="A27" s="2" t="s">
        <v>84</v>
      </c>
      <c r="B27" s="2" t="s">
        <v>921</v>
      </c>
      <c r="C27" s="51">
        <f t="shared" si="35"/>
        <v>20.019189189189177</v>
      </c>
      <c r="D27" s="51">
        <v>37</v>
      </c>
      <c r="E27" s="51">
        <v>0</v>
      </c>
      <c r="F27" s="51">
        <v>740.70999999999958</v>
      </c>
      <c r="G27" s="51">
        <v>-0.08</v>
      </c>
      <c r="H27" s="51">
        <f t="shared" si="1"/>
        <v>1.0800448218601078E-4</v>
      </c>
      <c r="I27" s="51">
        <f t="shared" si="2"/>
        <v>0.12762826729649973</v>
      </c>
      <c r="J27" s="51">
        <f t="shared" si="4"/>
        <v>94.53553386919026</v>
      </c>
      <c r="K27" s="51">
        <f t="shared" si="3"/>
        <v>2.5550144288970342</v>
      </c>
      <c r="L27" s="51">
        <v>87</v>
      </c>
      <c r="M27" s="51">
        <f t="shared" si="5"/>
        <v>0.42528735632183906</v>
      </c>
      <c r="N27" s="51">
        <v>0</v>
      </c>
      <c r="O27" s="51">
        <f t="shared" ref="O27:P27" si="37">D27/7</f>
        <v>5.2857142857142856</v>
      </c>
      <c r="P27" s="51">
        <f t="shared" si="37"/>
        <v>0</v>
      </c>
      <c r="Q27" s="51">
        <f t="shared" si="7"/>
        <v>0</v>
      </c>
      <c r="R27" s="55">
        <v>100</v>
      </c>
      <c r="S27" s="53" t="s">
        <v>34</v>
      </c>
      <c r="T27" s="54" t="s">
        <v>34</v>
      </c>
      <c r="U27" s="55">
        <v>0</v>
      </c>
      <c r="V27" s="55">
        <f t="shared" si="8"/>
        <v>0</v>
      </c>
      <c r="W27" s="55">
        <f t="shared" si="9"/>
        <v>0</v>
      </c>
      <c r="X27" s="55">
        <v>0</v>
      </c>
      <c r="Y27" s="55" t="s">
        <v>35</v>
      </c>
      <c r="Z27" s="56">
        <f t="shared" si="19"/>
        <v>-0.75</v>
      </c>
      <c r="AA27" s="55">
        <v>0.29280523726851854</v>
      </c>
      <c r="AB27" s="55">
        <f t="shared" si="27"/>
        <v>-24.376036002604167</v>
      </c>
      <c r="AC27" s="55">
        <v>-7.32</v>
      </c>
      <c r="AD27" s="55">
        <v>-6.4803224358974356</v>
      </c>
      <c r="AE27" s="55">
        <v>0</v>
      </c>
      <c r="AF27" s="55"/>
    </row>
    <row r="28" spans="1:32" s="57" customFormat="1" ht="15.75" customHeight="1">
      <c r="A28" s="2" t="s">
        <v>86</v>
      </c>
      <c r="B28" s="2"/>
      <c r="C28" s="51">
        <f t="shared" si="35"/>
        <v>21.54</v>
      </c>
      <c r="D28" s="51">
        <v>1</v>
      </c>
      <c r="E28" s="51">
        <v>0</v>
      </c>
      <c r="F28" s="51">
        <v>21.54</v>
      </c>
      <c r="G28" s="51">
        <v>0</v>
      </c>
      <c r="H28" s="51">
        <f t="shared" si="1"/>
        <v>0</v>
      </c>
      <c r="I28" s="51">
        <f t="shared" si="2"/>
        <v>0.17873100186854207</v>
      </c>
      <c r="J28" s="51">
        <f t="shared" si="4"/>
        <v>3.849865780248396</v>
      </c>
      <c r="K28" s="51">
        <f t="shared" si="3"/>
        <v>3.849865780248396</v>
      </c>
      <c r="L28" s="51">
        <v>0</v>
      </c>
      <c r="M28" s="51" t="str">
        <f t="shared" si="5"/>
        <v>-</v>
      </c>
      <c r="N28" s="51">
        <v>0</v>
      </c>
      <c r="O28" s="51">
        <f t="shared" ref="O28:P28" si="38">D28/7</f>
        <v>0.14285714285714285</v>
      </c>
      <c r="P28" s="51">
        <f t="shared" si="38"/>
        <v>0</v>
      </c>
      <c r="Q28" s="51">
        <f t="shared" si="7"/>
        <v>0</v>
      </c>
      <c r="R28" s="55">
        <v>100</v>
      </c>
      <c r="S28" s="53" t="s">
        <v>34</v>
      </c>
      <c r="T28" s="54" t="s">
        <v>34</v>
      </c>
      <c r="U28" s="55">
        <v>0</v>
      </c>
      <c r="V28" s="55">
        <f t="shared" si="8"/>
        <v>0</v>
      </c>
      <c r="W28" s="55">
        <f t="shared" si="9"/>
        <v>0</v>
      </c>
      <c r="X28" s="55">
        <v>0</v>
      </c>
      <c r="Y28" s="55" t="s">
        <v>35</v>
      </c>
      <c r="Z28" s="56">
        <f t="shared" si="19"/>
        <v>-0.75</v>
      </c>
      <c r="AA28" s="55">
        <v>0.29280523726851854</v>
      </c>
      <c r="AB28" s="55">
        <f t="shared" si="27"/>
        <v>-0.65881178385416672</v>
      </c>
      <c r="AC28" s="55">
        <v>-7.32</v>
      </c>
      <c r="AD28" s="55">
        <v>-6.4803224358974356</v>
      </c>
      <c r="AE28" s="55">
        <v>0</v>
      </c>
      <c r="AF28" s="55"/>
    </row>
    <row r="29" spans="1:32" s="57" customFormat="1" ht="15.75" customHeight="1">
      <c r="A29" s="2" t="s">
        <v>87</v>
      </c>
      <c r="B29" s="2"/>
      <c r="C29" s="51" t="str">
        <f t="shared" si="35"/>
        <v xml:space="preserve"> - </v>
      </c>
      <c r="D29" s="51">
        <v>0</v>
      </c>
      <c r="E29" s="51">
        <v>0</v>
      </c>
      <c r="F29" s="51">
        <v>0</v>
      </c>
      <c r="G29" s="51">
        <v>0</v>
      </c>
      <c r="H29" s="51" t="e">
        <f t="shared" si="1"/>
        <v>#DIV/0!</v>
      </c>
      <c r="I29" s="51" t="e">
        <f t="shared" si="2"/>
        <v>#DIV/0!</v>
      </c>
      <c r="J29" s="51">
        <f t="shared" si="4"/>
        <v>0</v>
      </c>
      <c r="K29" s="51" t="e">
        <f t="shared" si="3"/>
        <v>#DIV/0!</v>
      </c>
      <c r="L29" s="51">
        <v>0</v>
      </c>
      <c r="M29" s="51" t="str">
        <f t="shared" si="5"/>
        <v>-</v>
      </c>
      <c r="N29" s="51">
        <v>0</v>
      </c>
      <c r="O29" s="51">
        <f t="shared" ref="O29:P29" si="39">D29/7</f>
        <v>0</v>
      </c>
      <c r="P29" s="51">
        <f t="shared" si="39"/>
        <v>0</v>
      </c>
      <c r="Q29" s="51" t="e">
        <f t="shared" si="7"/>
        <v>#DIV/0!</v>
      </c>
      <c r="R29" s="55">
        <v>100</v>
      </c>
      <c r="S29" s="53" t="s">
        <v>34</v>
      </c>
      <c r="T29" s="54" t="s">
        <v>34</v>
      </c>
      <c r="U29" s="55">
        <v>0</v>
      </c>
      <c r="V29" s="55">
        <f t="shared" si="8"/>
        <v>0</v>
      </c>
      <c r="W29" s="55">
        <f t="shared" si="9"/>
        <v>0</v>
      </c>
      <c r="X29" s="55">
        <v>0</v>
      </c>
      <c r="Y29" s="55" t="e">
        <v>#N/A</v>
      </c>
      <c r="Z29" s="56" t="e">
        <f t="shared" si="19"/>
        <v>#N/A</v>
      </c>
      <c r="AA29" s="55" t="e">
        <v>#N/A</v>
      </c>
      <c r="AB29" s="55">
        <f t="shared" si="27"/>
        <v>0</v>
      </c>
      <c r="AC29" s="55">
        <v>0</v>
      </c>
      <c r="AD29" s="55">
        <v>-6.4803224358974356</v>
      </c>
      <c r="AE29" s="55">
        <v>0</v>
      </c>
      <c r="AF29" s="55"/>
    </row>
    <row r="30" spans="1:32" s="57" customFormat="1" ht="15.75" customHeight="1">
      <c r="A30" s="2" t="s">
        <v>89</v>
      </c>
      <c r="B30" s="2"/>
      <c r="C30" s="51" t="str">
        <f t="shared" si="35"/>
        <v xml:space="preserve"> - </v>
      </c>
      <c r="D30" s="51">
        <v>0</v>
      </c>
      <c r="E30" s="51">
        <v>0</v>
      </c>
      <c r="F30" s="51">
        <v>0</v>
      </c>
      <c r="G30" s="51">
        <v>0</v>
      </c>
      <c r="H30" s="51" t="e">
        <f t="shared" si="1"/>
        <v>#DIV/0!</v>
      </c>
      <c r="I30" s="51" t="e">
        <f t="shared" si="2"/>
        <v>#DIV/0!</v>
      </c>
      <c r="J30" s="51">
        <f t="shared" si="4"/>
        <v>0</v>
      </c>
      <c r="K30" s="51" t="e">
        <f t="shared" si="3"/>
        <v>#DIV/0!</v>
      </c>
      <c r="L30" s="51">
        <v>0</v>
      </c>
      <c r="M30" s="51" t="str">
        <f t="shared" si="5"/>
        <v>-</v>
      </c>
      <c r="N30" s="51">
        <v>0</v>
      </c>
      <c r="O30" s="51">
        <f t="shared" ref="O30:P30" si="40">D30/7</f>
        <v>0</v>
      </c>
      <c r="P30" s="51">
        <f t="shared" si="40"/>
        <v>0</v>
      </c>
      <c r="Q30" s="51" t="e">
        <f t="shared" si="7"/>
        <v>#DIV/0!</v>
      </c>
      <c r="R30" s="55">
        <v>200</v>
      </c>
      <c r="S30" s="53">
        <v>100</v>
      </c>
      <c r="T30" s="54">
        <v>44058</v>
      </c>
      <c r="U30" s="55">
        <v>0</v>
      </c>
      <c r="V30" s="55">
        <f t="shared" si="8"/>
        <v>0</v>
      </c>
      <c r="W30" s="55">
        <f t="shared" si="9"/>
        <v>0</v>
      </c>
      <c r="X30" s="55">
        <v>0</v>
      </c>
      <c r="Y30" s="55" t="e">
        <v>#N/A</v>
      </c>
      <c r="Z30" s="56" t="e">
        <f t="shared" si="19"/>
        <v>#N/A</v>
      </c>
      <c r="AA30" s="55" t="e">
        <v>#N/A</v>
      </c>
      <c r="AB30" s="55">
        <f t="shared" si="27"/>
        <v>0</v>
      </c>
      <c r="AC30" s="55">
        <v>0</v>
      </c>
      <c r="AD30" s="55">
        <v>-6.4803224358974356</v>
      </c>
      <c r="AE30" s="55">
        <v>0</v>
      </c>
      <c r="AF30" s="55"/>
    </row>
    <row r="31" spans="1:32" s="57" customFormat="1" ht="15.75" customHeight="1">
      <c r="A31" s="2" t="s">
        <v>90</v>
      </c>
      <c r="B31" s="2"/>
      <c r="C31" s="51" t="str">
        <f t="shared" si="35"/>
        <v xml:space="preserve"> - </v>
      </c>
      <c r="D31" s="51">
        <v>0</v>
      </c>
      <c r="E31" s="51">
        <v>0</v>
      </c>
      <c r="F31" s="51">
        <v>0</v>
      </c>
      <c r="G31" s="51">
        <v>0</v>
      </c>
      <c r="H31" s="51" t="e">
        <f t="shared" si="1"/>
        <v>#DIV/0!</v>
      </c>
      <c r="I31" s="51" t="e">
        <f t="shared" si="2"/>
        <v>#DIV/0!</v>
      </c>
      <c r="J31" s="51">
        <f t="shared" si="4"/>
        <v>0</v>
      </c>
      <c r="K31" s="51" t="e">
        <f t="shared" si="3"/>
        <v>#DIV/0!</v>
      </c>
      <c r="L31" s="51">
        <v>0</v>
      </c>
      <c r="M31" s="51" t="str">
        <f t="shared" si="5"/>
        <v>-</v>
      </c>
      <c r="N31" s="51">
        <v>0</v>
      </c>
      <c r="O31" s="51">
        <f t="shared" ref="O31:P31" si="41">D31/7</f>
        <v>0</v>
      </c>
      <c r="P31" s="51">
        <f t="shared" si="41"/>
        <v>0</v>
      </c>
      <c r="Q31" s="51" t="e">
        <f t="shared" si="7"/>
        <v>#DIV/0!</v>
      </c>
      <c r="R31" s="55">
        <v>100</v>
      </c>
      <c r="S31" s="53">
        <v>100</v>
      </c>
      <c r="T31" s="54">
        <v>44058</v>
      </c>
      <c r="U31" s="55">
        <v>0</v>
      </c>
      <c r="V31" s="55">
        <f t="shared" si="8"/>
        <v>0</v>
      </c>
      <c r="W31" s="55">
        <f t="shared" si="9"/>
        <v>0</v>
      </c>
      <c r="X31" s="55">
        <v>0</v>
      </c>
      <c r="Y31" s="55" t="e">
        <v>#N/A</v>
      </c>
      <c r="Z31" s="56" t="e">
        <f t="shared" si="19"/>
        <v>#N/A</v>
      </c>
      <c r="AA31" s="55" t="e">
        <v>#N/A</v>
      </c>
      <c r="AB31" s="55">
        <f t="shared" si="27"/>
        <v>0</v>
      </c>
      <c r="AC31" s="55">
        <v>0</v>
      </c>
      <c r="AD31" s="55">
        <v>-6.4803224358974356</v>
      </c>
      <c r="AE31" s="55">
        <v>0</v>
      </c>
      <c r="AF31" s="55"/>
    </row>
    <row r="32" spans="1:32" s="57" customFormat="1" ht="15.75" customHeight="1">
      <c r="A32" s="2" t="s">
        <v>92</v>
      </c>
      <c r="B32" s="2"/>
      <c r="C32" s="51" t="str">
        <f t="shared" si="35"/>
        <v xml:space="preserve"> - </v>
      </c>
      <c r="D32" s="51">
        <v>0</v>
      </c>
      <c r="E32" s="51">
        <v>0</v>
      </c>
      <c r="F32" s="51">
        <v>0</v>
      </c>
      <c r="G32" s="51">
        <v>0</v>
      </c>
      <c r="H32" s="51" t="e">
        <f t="shared" si="1"/>
        <v>#DIV/0!</v>
      </c>
      <c r="I32" s="51" t="e">
        <f t="shared" si="2"/>
        <v>#DIV/0!</v>
      </c>
      <c r="J32" s="51">
        <f t="shared" si="4"/>
        <v>0</v>
      </c>
      <c r="K32" s="51" t="e">
        <f t="shared" si="3"/>
        <v>#DIV/0!</v>
      </c>
      <c r="L32" s="51">
        <v>0</v>
      </c>
      <c r="M32" s="51" t="str">
        <f t="shared" si="5"/>
        <v>-</v>
      </c>
      <c r="N32" s="51">
        <v>0</v>
      </c>
      <c r="O32" s="51">
        <f t="shared" ref="O32:P32" si="42">D32/7</f>
        <v>0</v>
      </c>
      <c r="P32" s="51">
        <f t="shared" si="42"/>
        <v>0</v>
      </c>
      <c r="Q32" s="51" t="e">
        <f t="shared" si="7"/>
        <v>#DIV/0!</v>
      </c>
      <c r="R32" s="55">
        <v>100</v>
      </c>
      <c r="S32" s="53">
        <v>100</v>
      </c>
      <c r="T32" s="54" t="s">
        <v>34</v>
      </c>
      <c r="U32" s="55">
        <v>0</v>
      </c>
      <c r="V32" s="55">
        <f t="shared" si="8"/>
        <v>0</v>
      </c>
      <c r="W32" s="55">
        <f t="shared" si="9"/>
        <v>0</v>
      </c>
      <c r="X32" s="55">
        <v>0</v>
      </c>
      <c r="Y32" s="55" t="e">
        <v>#N/A</v>
      </c>
      <c r="Z32" s="56" t="e">
        <f t="shared" si="19"/>
        <v>#N/A</v>
      </c>
      <c r="AA32" s="55" t="e">
        <v>#N/A</v>
      </c>
      <c r="AB32" s="55">
        <f t="shared" si="27"/>
        <v>0</v>
      </c>
      <c r="AC32" s="55">
        <v>0</v>
      </c>
      <c r="AD32" s="55">
        <v>-6.4803224358974356</v>
      </c>
      <c r="AE32" s="55">
        <v>0</v>
      </c>
      <c r="AF32" s="52" t="e">
        <v>#N/A</v>
      </c>
    </row>
    <row r="33" spans="1:32" s="57" customFormat="1" ht="15.75" customHeight="1">
      <c r="A33" s="2" t="s">
        <v>94</v>
      </c>
      <c r="B33" s="2"/>
      <c r="C33" s="51" t="str">
        <f t="shared" si="35"/>
        <v xml:space="preserve"> - </v>
      </c>
      <c r="D33" s="51">
        <v>0</v>
      </c>
      <c r="E33" s="51">
        <v>0</v>
      </c>
      <c r="F33" s="51">
        <v>0</v>
      </c>
      <c r="G33" s="51">
        <v>0</v>
      </c>
      <c r="H33" s="51" t="e">
        <f t="shared" si="1"/>
        <v>#DIV/0!</v>
      </c>
      <c r="I33" s="51" t="e">
        <f t="shared" si="2"/>
        <v>#DIV/0!</v>
      </c>
      <c r="J33" s="51">
        <f t="shared" si="4"/>
        <v>0</v>
      </c>
      <c r="K33" s="51" t="e">
        <f t="shared" si="3"/>
        <v>#DIV/0!</v>
      </c>
      <c r="L33" s="51">
        <v>0</v>
      </c>
      <c r="M33" s="51" t="str">
        <f t="shared" si="5"/>
        <v>-</v>
      </c>
      <c r="N33" s="51">
        <v>0</v>
      </c>
      <c r="O33" s="51">
        <f t="shared" ref="O33:P33" si="43">D33/7</f>
        <v>0</v>
      </c>
      <c r="P33" s="51">
        <f t="shared" si="43"/>
        <v>0</v>
      </c>
      <c r="Q33" s="51" t="e">
        <f t="shared" si="7"/>
        <v>#DIV/0!</v>
      </c>
      <c r="R33" s="55">
        <v>100</v>
      </c>
      <c r="S33" s="53">
        <v>100</v>
      </c>
      <c r="T33" s="54">
        <v>44058</v>
      </c>
      <c r="U33" s="55">
        <v>0</v>
      </c>
      <c r="V33" s="55">
        <f t="shared" si="8"/>
        <v>0</v>
      </c>
      <c r="W33" s="55">
        <f t="shared" si="9"/>
        <v>0</v>
      </c>
      <c r="X33" s="55">
        <v>0</v>
      </c>
      <c r="Y33" s="55" t="e">
        <v>#N/A</v>
      </c>
      <c r="Z33" s="56" t="e">
        <f t="shared" si="19"/>
        <v>#N/A</v>
      </c>
      <c r="AA33" s="55" t="e">
        <v>#N/A</v>
      </c>
      <c r="AB33" s="55">
        <f t="shared" si="27"/>
        <v>0</v>
      </c>
      <c r="AC33" s="55">
        <v>0</v>
      </c>
      <c r="AD33" s="55">
        <v>-6.4803224358974356</v>
      </c>
      <c r="AE33" s="55">
        <v>0</v>
      </c>
      <c r="AF33" s="55" t="e">
        <v>#N/A</v>
      </c>
    </row>
    <row r="34" spans="1:32" s="57" customFormat="1" ht="15.75" customHeight="1">
      <c r="A34" s="2" t="s">
        <v>95</v>
      </c>
      <c r="B34" s="2"/>
      <c r="C34" s="51" t="str">
        <f t="shared" si="35"/>
        <v xml:space="preserve"> - </v>
      </c>
      <c r="D34" s="51">
        <v>0</v>
      </c>
      <c r="E34" s="51">
        <v>0</v>
      </c>
      <c r="F34" s="51">
        <v>0</v>
      </c>
      <c r="G34" s="51">
        <v>0</v>
      </c>
      <c r="H34" s="51" t="e">
        <f t="shared" si="1"/>
        <v>#DIV/0!</v>
      </c>
      <c r="I34" s="51" t="e">
        <f t="shared" si="2"/>
        <v>#DIV/0!</v>
      </c>
      <c r="J34" s="51">
        <f t="shared" si="4"/>
        <v>0</v>
      </c>
      <c r="K34" s="51" t="e">
        <f t="shared" si="3"/>
        <v>#DIV/0!</v>
      </c>
      <c r="L34" s="51">
        <v>0</v>
      </c>
      <c r="M34" s="51" t="str">
        <f t="shared" si="5"/>
        <v>-</v>
      </c>
      <c r="N34" s="51">
        <v>0</v>
      </c>
      <c r="O34" s="51">
        <f t="shared" ref="O34:P34" si="44">D34/7</f>
        <v>0</v>
      </c>
      <c r="P34" s="51">
        <f t="shared" si="44"/>
        <v>0</v>
      </c>
      <c r="Q34" s="51" t="e">
        <f t="shared" si="7"/>
        <v>#DIV/0!</v>
      </c>
      <c r="R34" s="55">
        <v>100</v>
      </c>
      <c r="S34" s="53">
        <v>100</v>
      </c>
      <c r="T34" s="54">
        <v>44058</v>
      </c>
      <c r="U34" s="55">
        <v>0</v>
      </c>
      <c r="V34" s="55">
        <f t="shared" si="8"/>
        <v>0</v>
      </c>
      <c r="W34" s="55">
        <f t="shared" si="9"/>
        <v>0</v>
      </c>
      <c r="X34" s="55">
        <v>0</v>
      </c>
      <c r="Y34" s="55" t="e">
        <v>#N/A</v>
      </c>
      <c r="Z34" s="56" t="e">
        <f t="shared" si="19"/>
        <v>#N/A</v>
      </c>
      <c r="AA34" s="55" t="e">
        <v>#N/A</v>
      </c>
      <c r="AB34" s="55">
        <f t="shared" si="27"/>
        <v>0</v>
      </c>
      <c r="AC34" s="55">
        <v>0</v>
      </c>
      <c r="AD34" s="55">
        <v>-6.4803224358974356</v>
      </c>
      <c r="AE34" s="55">
        <v>0</v>
      </c>
      <c r="AF34" s="55" t="e">
        <v>#N/A</v>
      </c>
    </row>
    <row r="35" spans="1:32" s="57" customFormat="1" ht="15.75" customHeight="1">
      <c r="A35" s="2" t="s">
        <v>96</v>
      </c>
      <c r="B35" s="2"/>
      <c r="C35" s="51" t="str">
        <f t="shared" si="35"/>
        <v xml:space="preserve"> - </v>
      </c>
      <c r="D35" s="51">
        <v>0</v>
      </c>
      <c r="E35" s="51">
        <v>0</v>
      </c>
      <c r="F35" s="51">
        <v>0</v>
      </c>
      <c r="G35" s="51">
        <v>0</v>
      </c>
      <c r="H35" s="51" t="e">
        <f t="shared" si="1"/>
        <v>#DIV/0!</v>
      </c>
      <c r="I35" s="51" t="e">
        <f t="shared" si="2"/>
        <v>#DIV/0!</v>
      </c>
      <c r="J35" s="51">
        <f t="shared" si="4"/>
        <v>0</v>
      </c>
      <c r="K35" s="51" t="e">
        <f t="shared" si="3"/>
        <v>#DIV/0!</v>
      </c>
      <c r="L35" s="51">
        <v>0</v>
      </c>
      <c r="M35" s="51" t="str">
        <f t="shared" si="5"/>
        <v>-</v>
      </c>
      <c r="N35" s="51">
        <v>0</v>
      </c>
      <c r="O35" s="51">
        <f t="shared" ref="O35:P35" si="45">D35/7</f>
        <v>0</v>
      </c>
      <c r="P35" s="51">
        <f t="shared" si="45"/>
        <v>0</v>
      </c>
      <c r="Q35" s="51" t="e">
        <f t="shared" si="7"/>
        <v>#DIV/0!</v>
      </c>
      <c r="R35" s="55">
        <v>0</v>
      </c>
      <c r="S35" s="53" t="s">
        <v>34</v>
      </c>
      <c r="T35" s="54" t="s">
        <v>34</v>
      </c>
      <c r="U35" s="55">
        <v>0</v>
      </c>
      <c r="V35" s="55">
        <f t="shared" si="8"/>
        <v>0</v>
      </c>
      <c r="W35" s="55">
        <f t="shared" si="9"/>
        <v>0</v>
      </c>
      <c r="X35" s="55">
        <v>0</v>
      </c>
      <c r="Y35" s="55" t="e">
        <v>#N/A</v>
      </c>
      <c r="Z35" s="56" t="e">
        <f t="shared" si="19"/>
        <v>#N/A</v>
      </c>
      <c r="AA35" s="55" t="e">
        <v>#N/A</v>
      </c>
      <c r="AB35" s="55">
        <f t="shared" si="27"/>
        <v>0</v>
      </c>
      <c r="AC35" s="55">
        <v>0</v>
      </c>
      <c r="AD35" s="55">
        <v>-6.4803224358974356</v>
      </c>
      <c r="AE35" s="55">
        <v>0</v>
      </c>
      <c r="AF35" s="55" t="e">
        <v>#N/A</v>
      </c>
    </row>
    <row r="36" spans="1:32" s="57" customFormat="1" ht="15.75" customHeight="1">
      <c r="A36" s="2" t="s">
        <v>98</v>
      </c>
      <c r="B36" s="2"/>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v>0</v>
      </c>
      <c r="S36" s="53"/>
      <c r="T36" s="54" t="s">
        <v>34</v>
      </c>
      <c r="U36" s="55"/>
      <c r="V36" s="55">
        <f t="shared" si="8"/>
        <v>0</v>
      </c>
      <c r="W36" s="55">
        <f t="shared" si="9"/>
        <v>0</v>
      </c>
      <c r="X36" s="55"/>
      <c r="Y36" s="55" t="e">
        <v>#N/A</v>
      </c>
      <c r="Z36" s="56" t="e">
        <f t="shared" si="19"/>
        <v>#N/A</v>
      </c>
      <c r="AA36" s="55" t="e">
        <v>#N/A</v>
      </c>
      <c r="AB36" s="55">
        <f t="shared" si="27"/>
        <v>0</v>
      </c>
      <c r="AC36" s="55">
        <v>0</v>
      </c>
      <c r="AD36" s="55">
        <v>-6.4803224358974356</v>
      </c>
      <c r="AE36" s="55">
        <v>0</v>
      </c>
      <c r="AF36" s="55" t="e">
        <v>#N/A</v>
      </c>
    </row>
    <row r="37" spans="1:32" s="57" customFormat="1" ht="15.75" customHeight="1">
      <c r="A37" s="2" t="s">
        <v>99</v>
      </c>
      <c r="B37" s="2"/>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v>0</v>
      </c>
      <c r="S37" s="53" t="s">
        <v>34</v>
      </c>
      <c r="T37" s="54" t="s">
        <v>34</v>
      </c>
      <c r="U37" s="55">
        <v>0</v>
      </c>
      <c r="V37" s="55">
        <f t="shared" si="8"/>
        <v>0</v>
      </c>
      <c r="W37" s="55">
        <f t="shared" si="9"/>
        <v>0</v>
      </c>
      <c r="X37" s="55">
        <v>0</v>
      </c>
      <c r="Y37" s="55" t="e">
        <v>#N/A</v>
      </c>
      <c r="Z37" s="56" t="e">
        <f t="shared" si="19"/>
        <v>#N/A</v>
      </c>
      <c r="AA37" s="55" t="e">
        <v>#N/A</v>
      </c>
      <c r="AB37" s="55">
        <f t="shared" si="27"/>
        <v>0</v>
      </c>
      <c r="AC37" s="55">
        <v>0</v>
      </c>
      <c r="AD37" s="55">
        <v>-6.4803224358974356</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5">
        <v>100</v>
      </c>
      <c r="S38" s="53"/>
      <c r="T38" s="54" t="s">
        <v>34</v>
      </c>
      <c r="U38" s="55">
        <v>0</v>
      </c>
      <c r="V38" s="55">
        <f t="shared" si="8"/>
        <v>0</v>
      </c>
      <c r="W38" s="55">
        <f t="shared" si="9"/>
        <v>0</v>
      </c>
      <c r="X38" s="55">
        <v>0</v>
      </c>
      <c r="Y38" s="55" t="e">
        <v>#N/A</v>
      </c>
      <c r="Z38" s="56" t="e">
        <f t="shared" si="19"/>
        <v>#N/A</v>
      </c>
      <c r="AA38" s="55" t="e">
        <v>#N/A</v>
      </c>
      <c r="AB38" s="55">
        <f t="shared" si="27"/>
        <v>0</v>
      </c>
      <c r="AC38" s="55">
        <v>0</v>
      </c>
      <c r="AD38" s="55">
        <v>-6.4803224358974356</v>
      </c>
      <c r="AE38" s="55">
        <v>0</v>
      </c>
      <c r="AF38" s="55" t="e">
        <v>#N/A</v>
      </c>
    </row>
    <row r="39" spans="1:32" s="57" customFormat="1" ht="15.75" customHeight="1">
      <c r="A39" s="2" t="s">
        <v>101</v>
      </c>
      <c r="B39" s="2"/>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0</v>
      </c>
      <c r="O39" s="51">
        <f t="shared" ref="O39:P39" si="49">D39/7</f>
        <v>0</v>
      </c>
      <c r="P39" s="51">
        <f t="shared" si="49"/>
        <v>0</v>
      </c>
      <c r="Q39" s="51" t="e">
        <f t="shared" si="7"/>
        <v>#DIV/0!</v>
      </c>
      <c r="R39" s="55">
        <v>100</v>
      </c>
      <c r="S39" s="53" t="s">
        <v>34</v>
      </c>
      <c r="T39" s="54" t="s">
        <v>34</v>
      </c>
      <c r="U39" s="55">
        <v>0</v>
      </c>
      <c r="V39" s="55">
        <f t="shared" si="8"/>
        <v>0</v>
      </c>
      <c r="W39" s="55">
        <f t="shared" si="9"/>
        <v>0</v>
      </c>
      <c r="X39" s="55">
        <v>0</v>
      </c>
      <c r="Y39" s="55" t="e">
        <v>#N/A</v>
      </c>
      <c r="Z39" s="56" t="e">
        <f t="shared" si="19"/>
        <v>#N/A</v>
      </c>
      <c r="AA39" s="55" t="e">
        <v>#N/A</v>
      </c>
      <c r="AB39" s="55">
        <f t="shared" si="27"/>
        <v>0</v>
      </c>
      <c r="AC39" s="55">
        <v>0</v>
      </c>
      <c r="AD39" s="55">
        <v>-6.4803224358974303</v>
      </c>
      <c r="AE39" s="55">
        <v>0</v>
      </c>
      <c r="AF39" s="55" t="e">
        <v>#N/A</v>
      </c>
    </row>
    <row r="40" spans="1:32" s="57" customFormat="1" ht="15.75" customHeight="1">
      <c r="A40" s="2" t="s">
        <v>102</v>
      </c>
      <c r="B40" s="2"/>
      <c r="C40" s="51" t="s">
        <v>103</v>
      </c>
      <c r="D40" s="51">
        <v>0</v>
      </c>
      <c r="E40" s="51">
        <v>0</v>
      </c>
      <c r="F40" s="51">
        <v>0</v>
      </c>
      <c r="G40" s="51">
        <v>0</v>
      </c>
      <c r="H40" s="51" t="e">
        <v>#DIV/0!</v>
      </c>
      <c r="I40" s="51" t="e">
        <v>#DIV/0!</v>
      </c>
      <c r="J40" s="51">
        <v>0</v>
      </c>
      <c r="K40" s="51" t="e">
        <v>#DIV/0!</v>
      </c>
      <c r="L40" s="51">
        <v>0</v>
      </c>
      <c r="M40" s="51" t="s">
        <v>104</v>
      </c>
      <c r="N40" s="51">
        <v>0</v>
      </c>
      <c r="O40" s="51">
        <v>0</v>
      </c>
      <c r="P40" s="51">
        <v>0</v>
      </c>
      <c r="Q40" s="51" t="e">
        <v>#DIV/0!</v>
      </c>
      <c r="R40" s="55">
        <v>100</v>
      </c>
      <c r="S40" s="53" t="s">
        <v>34</v>
      </c>
      <c r="T40" s="54" t="s">
        <v>34</v>
      </c>
      <c r="U40" s="55">
        <v>0</v>
      </c>
      <c r="V40" s="55">
        <v>0</v>
      </c>
      <c r="W40" s="55">
        <v>0</v>
      </c>
      <c r="X40" s="55">
        <v>0</v>
      </c>
      <c r="Y40" s="55" t="e">
        <v>#N/A</v>
      </c>
      <c r="Z40" s="56" t="e">
        <v>#N/A</v>
      </c>
      <c r="AA40" s="55" t="e">
        <v>#N/A</v>
      </c>
      <c r="AB40" s="55">
        <v>0</v>
      </c>
      <c r="AC40" s="55">
        <v>0</v>
      </c>
      <c r="AD40" s="55">
        <v>-6.4803224358974303</v>
      </c>
      <c r="AE40" s="55">
        <v>0</v>
      </c>
      <c r="AF40" s="55" t="e">
        <v>#N/A</v>
      </c>
    </row>
    <row r="41" spans="1:32" s="57" customFormat="1" ht="15.75" customHeight="1">
      <c r="A41" s="2" t="s">
        <v>105</v>
      </c>
      <c r="B41" s="2"/>
      <c r="C41" s="51" t="str">
        <f t="shared" ref="C41:C56" si="50">IFERROR(F41/D41," - ")</f>
        <v xml:space="preserve"> - </v>
      </c>
      <c r="D41" s="51">
        <v>0</v>
      </c>
      <c r="E41" s="51">
        <v>0</v>
      </c>
      <c r="F41" s="51">
        <v>0</v>
      </c>
      <c r="G41" s="51">
        <v>0</v>
      </c>
      <c r="H41" s="51" t="e">
        <f t="shared" ref="H41:H56" si="51">G41/F41*-1</f>
        <v>#DIV/0!</v>
      </c>
      <c r="I41" s="51" t="e">
        <f t="shared" ref="I41:I56" si="52">J41/F41</f>
        <v>#DIV/0!</v>
      </c>
      <c r="J41" s="51">
        <f t="shared" ref="J41:J48" si="53">F41*0.85+G41+AD41*D41+D41*AC41+AE42+AB41</f>
        <v>0</v>
      </c>
      <c r="K41" s="51" t="e">
        <f t="shared" ref="K41:K56" si="54">J41/D41</f>
        <v>#DIV/0!</v>
      </c>
      <c r="L41" s="51">
        <v>0</v>
      </c>
      <c r="M41" s="51" t="str">
        <f t="shared" ref="M41:M56" si="55">IFERROR(D41/L41,"-")</f>
        <v>-</v>
      </c>
      <c r="N41" s="51">
        <v>0</v>
      </c>
      <c r="O41" s="51">
        <f t="shared" ref="O41:P41" si="56">D41/7</f>
        <v>0</v>
      </c>
      <c r="P41" s="51">
        <f t="shared" si="56"/>
        <v>0</v>
      </c>
      <c r="Q41" s="51" t="e">
        <f t="shared" ref="Q41:Q56" si="57">ROUNDDOWN(N41/(O41+P41),0)</f>
        <v>#DIV/0!</v>
      </c>
      <c r="R41" s="55">
        <v>100</v>
      </c>
      <c r="S41" s="53" t="s">
        <v>34</v>
      </c>
      <c r="T41" s="54" t="s">
        <v>34</v>
      </c>
      <c r="U41" s="55">
        <v>0</v>
      </c>
      <c r="V41" s="55">
        <f t="shared" ref="V41:V56" si="58">IFERROR(U41/D41,0)</f>
        <v>0</v>
      </c>
      <c r="W41" s="55">
        <f t="shared" ref="W41:W56" si="59">IFERROR(G41/(U41+X41)*-1,0)</f>
        <v>0</v>
      </c>
      <c r="X41" s="55">
        <v>0</v>
      </c>
      <c r="Y41" s="52" t="e">
        <v>#N/A</v>
      </c>
      <c r="Z41" s="56" t="e">
        <f t="shared" ref="Z41:Z43" si="60">IF(OR(Y41="UsLargeStandardSize",Y41="UsSmallStandardSize"),-0.75,-0.48)</f>
        <v>#N/A</v>
      </c>
      <c r="AA41" s="55" t="e">
        <v>#N/A</v>
      </c>
      <c r="AB41" s="55">
        <f t="shared" ref="AB41:AB56" si="61">IFERROR(Z41*AA41*D41*3,0)</f>
        <v>0</v>
      </c>
      <c r="AC41" s="55">
        <v>0</v>
      </c>
      <c r="AD41" s="55">
        <v>-6.4803224358974303</v>
      </c>
      <c r="AE41" s="55">
        <v>0</v>
      </c>
      <c r="AF41" s="55" t="e">
        <v>#N/A</v>
      </c>
    </row>
    <row r="42" spans="1:32" s="57" customFormat="1" ht="15.75" customHeight="1">
      <c r="A42" s="2" t="s">
        <v>106</v>
      </c>
      <c r="B42" s="2"/>
      <c r="C42" s="51" t="str">
        <f t="shared" si="50"/>
        <v xml:space="preserve"> - </v>
      </c>
      <c r="D42" s="51">
        <v>0</v>
      </c>
      <c r="E42" s="51">
        <v>0</v>
      </c>
      <c r="F42" s="51">
        <v>0</v>
      </c>
      <c r="G42" s="51">
        <v>0</v>
      </c>
      <c r="H42" s="51" t="e">
        <f t="shared" si="51"/>
        <v>#DIV/0!</v>
      </c>
      <c r="I42" s="51" t="e">
        <f t="shared" si="52"/>
        <v>#DIV/0!</v>
      </c>
      <c r="J42" s="51">
        <f t="shared" si="53"/>
        <v>0</v>
      </c>
      <c r="K42" s="51" t="e">
        <f t="shared" si="54"/>
        <v>#DIV/0!</v>
      </c>
      <c r="L42" s="51">
        <v>0</v>
      </c>
      <c r="M42" s="51" t="str">
        <f t="shared" si="55"/>
        <v>-</v>
      </c>
      <c r="N42" s="51">
        <v>0</v>
      </c>
      <c r="O42" s="51">
        <f t="shared" ref="O42:P42" si="62">D42/7</f>
        <v>0</v>
      </c>
      <c r="P42" s="51">
        <f t="shared" si="62"/>
        <v>0</v>
      </c>
      <c r="Q42" s="51" t="e">
        <f t="shared" si="57"/>
        <v>#DIV/0!</v>
      </c>
      <c r="R42" s="55">
        <f ca="1">IFERROR(__xludf.DUMMYFUNCTION("IFERROR(VLOOKUP($B$2,IMPORTRANGE(""https://docs.google.com/spreadsheets/d/1iVgg6Mw12RULLujzHmfOFIY8Q_KaAD8anoZzgtVAQ74/edit#gid=1503384807"",""Second Star - Summary!A1:AD2000""),9,FALSE),"""")"),360)</f>
        <v>360</v>
      </c>
      <c r="S42" s="53">
        <f ca="1">IFERROR(__xludf.DUMMYFUNCTION("IFERROR(VLOOKUP($B$2,IMPORTRANGE(""https://docs.google.com/spreadsheets/d/1iVgg6Mw12RULLujzHmfOFIY8Q_KaAD8anoZzgtVAQ74/edit#gid=1503384807"",""Second Star - Summary!A1:AD2000""),28,FALSE),"""")"),80)</f>
        <v>80</v>
      </c>
      <c r="T42" s="54">
        <f ca="1">IFERROR(__xludf.DUMMYFUNCTION("IFERROR(VLOOKUP($B$2,IMPORTRANGE(""https://docs.google.com/spreadsheets/d/1iVgg6Mw12RULLujzHmfOFIY8Q_KaAD8anoZzgtVAQ74/edit#gid=1503384807"",""Second Star - Summary!A1:AD2000""),29,FALSE),"""")"),44339)</f>
        <v>44339</v>
      </c>
      <c r="U42" s="55">
        <v>0</v>
      </c>
      <c r="V42" s="55">
        <f t="shared" si="58"/>
        <v>0</v>
      </c>
      <c r="W42" s="55">
        <f t="shared" si="59"/>
        <v>0</v>
      </c>
      <c r="X42" s="55">
        <v>0</v>
      </c>
      <c r="Y42" s="55" t="e">
        <v>#N/A</v>
      </c>
      <c r="Z42" s="56" t="e">
        <f t="shared" si="60"/>
        <v>#N/A</v>
      </c>
      <c r="AA42" s="55" t="e">
        <v>#N/A</v>
      </c>
      <c r="AB42" s="55">
        <f t="shared" si="61"/>
        <v>0</v>
      </c>
      <c r="AC42" s="55">
        <v>0</v>
      </c>
      <c r="AD42" s="55">
        <v>-6.4803224358974303</v>
      </c>
      <c r="AE42" s="55">
        <v>0</v>
      </c>
      <c r="AF42" s="55" t="e">
        <v>#N/A</v>
      </c>
    </row>
    <row r="43" spans="1:32" s="57" customFormat="1" ht="15.75" customHeight="1">
      <c r="A43" s="2" t="s">
        <v>107</v>
      </c>
      <c r="B43" s="2"/>
      <c r="C43" s="51" t="str">
        <f t="shared" si="50"/>
        <v xml:space="preserve"> - </v>
      </c>
      <c r="D43" s="51">
        <v>0</v>
      </c>
      <c r="E43" s="51">
        <v>0</v>
      </c>
      <c r="F43" s="51">
        <v>0</v>
      </c>
      <c r="G43" s="51">
        <v>0</v>
      </c>
      <c r="H43" s="51" t="e">
        <f t="shared" si="51"/>
        <v>#DIV/0!</v>
      </c>
      <c r="I43" s="51" t="e">
        <f t="shared" si="52"/>
        <v>#DIV/0!</v>
      </c>
      <c r="J43" s="51">
        <f t="shared" si="53"/>
        <v>0</v>
      </c>
      <c r="K43" s="51" t="e">
        <f t="shared" si="54"/>
        <v>#DIV/0!</v>
      </c>
      <c r="L43" s="51">
        <v>0</v>
      </c>
      <c r="M43" s="51" t="str">
        <f t="shared" si="55"/>
        <v>-</v>
      </c>
      <c r="N43" s="51">
        <v>0</v>
      </c>
      <c r="O43" s="51">
        <f t="shared" ref="O43:P43" si="63">D43/7</f>
        <v>0</v>
      </c>
      <c r="P43" s="51">
        <f t="shared" si="63"/>
        <v>0</v>
      </c>
      <c r="Q43" s="51" t="e">
        <f t="shared" si="57"/>
        <v>#DIV/0!</v>
      </c>
      <c r="R43" s="55">
        <v>100</v>
      </c>
      <c r="S43" s="53" t="s">
        <v>34</v>
      </c>
      <c r="T43" s="54" t="s">
        <v>34</v>
      </c>
      <c r="U43" s="55">
        <v>0</v>
      </c>
      <c r="V43" s="55">
        <f t="shared" si="58"/>
        <v>0</v>
      </c>
      <c r="W43" s="55">
        <f t="shared" si="59"/>
        <v>0</v>
      </c>
      <c r="X43" s="55">
        <v>0</v>
      </c>
      <c r="Y43" s="55" t="e">
        <v>#N/A</v>
      </c>
      <c r="Z43" s="56" t="e">
        <f t="shared" si="60"/>
        <v>#N/A</v>
      </c>
      <c r="AA43" s="55" t="e">
        <v>#N/A</v>
      </c>
      <c r="AB43" s="55">
        <f t="shared" si="61"/>
        <v>0</v>
      </c>
      <c r="AC43" s="55">
        <v>0</v>
      </c>
      <c r="AD43" s="55">
        <v>-6.4803224358974303</v>
      </c>
      <c r="AE43" s="55">
        <v>0</v>
      </c>
      <c r="AF43" s="55" t="e">
        <v>#N/A</v>
      </c>
    </row>
    <row r="44" spans="1:32" s="57" customFormat="1" ht="15.75" customHeight="1">
      <c r="A44" s="2" t="s">
        <v>108</v>
      </c>
      <c r="B44" s="2"/>
      <c r="C44" s="51" t="str">
        <f t="shared" si="50"/>
        <v xml:space="preserve"> - </v>
      </c>
      <c r="D44" s="51">
        <v>0</v>
      </c>
      <c r="E44" s="51">
        <v>0</v>
      </c>
      <c r="F44" s="51">
        <v>0</v>
      </c>
      <c r="G44" s="51">
        <v>0</v>
      </c>
      <c r="H44" s="51" t="e">
        <f t="shared" si="51"/>
        <v>#DIV/0!</v>
      </c>
      <c r="I44" s="51" t="e">
        <f t="shared" si="52"/>
        <v>#DIV/0!</v>
      </c>
      <c r="J44" s="51">
        <f t="shared" si="53"/>
        <v>0</v>
      </c>
      <c r="K44" s="51" t="e">
        <f t="shared" si="54"/>
        <v>#DIV/0!</v>
      </c>
      <c r="L44" s="51">
        <v>0</v>
      </c>
      <c r="M44" s="51" t="str">
        <f t="shared" si="55"/>
        <v>-</v>
      </c>
      <c r="N44" s="51">
        <v>0</v>
      </c>
      <c r="O44" s="51">
        <f t="shared" ref="O44:P44" si="64">D44/7</f>
        <v>0</v>
      </c>
      <c r="P44" s="51">
        <f t="shared" si="64"/>
        <v>0</v>
      </c>
      <c r="Q44" s="51" t="e">
        <f t="shared" si="57"/>
        <v>#DIV/0!</v>
      </c>
      <c r="R44" s="55">
        <v>100</v>
      </c>
      <c r="S44" s="53" t="s">
        <v>34</v>
      </c>
      <c r="T44" s="54" t="s">
        <v>34</v>
      </c>
      <c r="U44" s="55">
        <v>0</v>
      </c>
      <c r="V44" s="55">
        <f t="shared" si="58"/>
        <v>0</v>
      </c>
      <c r="W44" s="55">
        <f t="shared" si="59"/>
        <v>0</v>
      </c>
      <c r="X44" s="55">
        <v>0</v>
      </c>
      <c r="Y44" s="55" t="e">
        <v>#N/A</v>
      </c>
      <c r="Z44" s="56" t="e">
        <f t="shared" ref="Z44:Z56" si="65">IF(OR(Y44="UsLargeStandardSize",Y44="UsSmallStandardSize"),-2.4,-1.2)</f>
        <v>#N/A</v>
      </c>
      <c r="AA44" s="55" t="e">
        <v>#N/A</v>
      </c>
      <c r="AB44" s="55">
        <f t="shared" si="61"/>
        <v>0</v>
      </c>
      <c r="AC44" s="55">
        <v>0</v>
      </c>
      <c r="AD44" s="55">
        <v>-6.4803224358974303</v>
      </c>
      <c r="AE44" s="55">
        <v>0</v>
      </c>
      <c r="AF44" s="55" t="e">
        <v>#N/A</v>
      </c>
    </row>
    <row r="45" spans="1:32" s="57" customFormat="1" ht="15.75" customHeight="1">
      <c r="A45" s="2" t="s">
        <v>109</v>
      </c>
      <c r="B45" s="2"/>
      <c r="C45" s="51" t="str">
        <f t="shared" si="50"/>
        <v xml:space="preserve"> - </v>
      </c>
      <c r="D45" s="51">
        <v>0</v>
      </c>
      <c r="E45" s="51">
        <v>0</v>
      </c>
      <c r="F45" s="51">
        <v>0</v>
      </c>
      <c r="G45" s="51">
        <v>0</v>
      </c>
      <c r="H45" s="51" t="e">
        <f t="shared" si="51"/>
        <v>#DIV/0!</v>
      </c>
      <c r="I45" s="51" t="e">
        <f t="shared" si="52"/>
        <v>#DIV/0!</v>
      </c>
      <c r="J45" s="51">
        <f t="shared" si="53"/>
        <v>0</v>
      </c>
      <c r="K45" s="51" t="e">
        <f t="shared" si="54"/>
        <v>#DIV/0!</v>
      </c>
      <c r="L45" s="51">
        <v>0</v>
      </c>
      <c r="M45" s="51" t="str">
        <f t="shared" si="55"/>
        <v>-</v>
      </c>
      <c r="N45" s="51">
        <v>0</v>
      </c>
      <c r="O45" s="51">
        <f t="shared" ref="O45:P45" si="66">D45/7</f>
        <v>0</v>
      </c>
      <c r="P45" s="51">
        <f t="shared" si="66"/>
        <v>0</v>
      </c>
      <c r="Q45" s="51" t="e">
        <f t="shared" si="57"/>
        <v>#DIV/0!</v>
      </c>
      <c r="R45" s="55">
        <v>100</v>
      </c>
      <c r="S45" s="53" t="s">
        <v>34</v>
      </c>
      <c r="T45" s="54" t="s">
        <v>34</v>
      </c>
      <c r="U45" s="55">
        <v>0</v>
      </c>
      <c r="V45" s="55">
        <f t="shared" si="58"/>
        <v>0</v>
      </c>
      <c r="W45" s="55">
        <f t="shared" si="59"/>
        <v>0</v>
      </c>
      <c r="X45" s="55">
        <v>0</v>
      </c>
      <c r="Y45" s="55" t="e">
        <v>#N/A</v>
      </c>
      <c r="Z45" s="56" t="e">
        <f t="shared" si="65"/>
        <v>#N/A</v>
      </c>
      <c r="AA45" s="55" t="e">
        <v>#N/A</v>
      </c>
      <c r="AB45" s="55">
        <f t="shared" si="61"/>
        <v>0</v>
      </c>
      <c r="AC45" s="55">
        <v>0</v>
      </c>
      <c r="AD45" s="55">
        <v>-6.4803224358974303</v>
      </c>
      <c r="AE45" s="55">
        <v>0</v>
      </c>
      <c r="AF45" s="55" t="e">
        <v>#N/A</v>
      </c>
    </row>
    <row r="46" spans="1:32" s="57" customFormat="1" ht="15.75" customHeight="1">
      <c r="A46" s="2" t="s">
        <v>111</v>
      </c>
      <c r="B46" s="2"/>
      <c r="C46" s="51" t="str">
        <f t="shared" si="50"/>
        <v xml:space="preserve"> - </v>
      </c>
      <c r="D46" s="51">
        <v>0</v>
      </c>
      <c r="E46" s="51">
        <v>0</v>
      </c>
      <c r="F46" s="51">
        <v>0</v>
      </c>
      <c r="G46" s="51">
        <v>0</v>
      </c>
      <c r="H46" s="51" t="e">
        <f t="shared" si="51"/>
        <v>#DIV/0!</v>
      </c>
      <c r="I46" s="51" t="e">
        <f t="shared" si="52"/>
        <v>#DIV/0!</v>
      </c>
      <c r="J46" s="51">
        <f t="shared" si="53"/>
        <v>0</v>
      </c>
      <c r="K46" s="51" t="e">
        <f t="shared" si="54"/>
        <v>#DIV/0!</v>
      </c>
      <c r="L46" s="51">
        <v>0</v>
      </c>
      <c r="M46" s="51" t="str">
        <f t="shared" si="55"/>
        <v>-</v>
      </c>
      <c r="N46" s="51">
        <v>0</v>
      </c>
      <c r="O46" s="51">
        <f t="shared" ref="O46:P46" si="67">D46/7</f>
        <v>0</v>
      </c>
      <c r="P46" s="51">
        <f t="shared" si="67"/>
        <v>0</v>
      </c>
      <c r="Q46" s="51" t="e">
        <f t="shared" si="57"/>
        <v>#DIV/0!</v>
      </c>
      <c r="R46" s="55">
        <v>100</v>
      </c>
      <c r="S46" s="53" t="s">
        <v>34</v>
      </c>
      <c r="T46" s="54" t="s">
        <v>34</v>
      </c>
      <c r="U46" s="55">
        <v>0</v>
      </c>
      <c r="V46" s="55">
        <f t="shared" si="58"/>
        <v>0</v>
      </c>
      <c r="W46" s="55">
        <f t="shared" si="59"/>
        <v>0</v>
      </c>
      <c r="X46" s="55">
        <v>0</v>
      </c>
      <c r="Y46" s="55" t="e">
        <v>#N/A</v>
      </c>
      <c r="Z46" s="56" t="e">
        <f t="shared" si="65"/>
        <v>#N/A</v>
      </c>
      <c r="AA46" s="55" t="e">
        <v>#N/A</v>
      </c>
      <c r="AB46" s="55">
        <f t="shared" si="61"/>
        <v>0</v>
      </c>
      <c r="AC46" s="55">
        <v>0</v>
      </c>
      <c r="AD46" s="55">
        <v>-6.4803224358974303</v>
      </c>
      <c r="AE46" s="55">
        <v>0</v>
      </c>
      <c r="AF46" s="55" t="e">
        <v>#N/A</v>
      </c>
    </row>
    <row r="47" spans="1:32" s="57" customFormat="1" ht="15.75" customHeight="1">
      <c r="A47" s="2" t="s">
        <v>113</v>
      </c>
      <c r="B47" s="2"/>
      <c r="C47" s="51" t="str">
        <f t="shared" si="50"/>
        <v xml:space="preserve"> - </v>
      </c>
      <c r="D47" s="51">
        <v>0</v>
      </c>
      <c r="E47" s="51">
        <v>0</v>
      </c>
      <c r="F47" s="51">
        <v>0</v>
      </c>
      <c r="G47" s="51">
        <v>0</v>
      </c>
      <c r="H47" s="51" t="e">
        <f t="shared" si="51"/>
        <v>#DIV/0!</v>
      </c>
      <c r="I47" s="51" t="e">
        <f t="shared" si="52"/>
        <v>#DIV/0!</v>
      </c>
      <c r="J47" s="51">
        <f t="shared" si="53"/>
        <v>0</v>
      </c>
      <c r="K47" s="51" t="e">
        <f t="shared" si="54"/>
        <v>#DIV/0!</v>
      </c>
      <c r="L47" s="51">
        <v>0</v>
      </c>
      <c r="M47" s="51" t="str">
        <f t="shared" si="55"/>
        <v>-</v>
      </c>
      <c r="N47" s="51">
        <v>0</v>
      </c>
      <c r="O47" s="51">
        <f t="shared" ref="O47:P47" si="68">D47/7</f>
        <v>0</v>
      </c>
      <c r="P47" s="51">
        <f t="shared" si="68"/>
        <v>0</v>
      </c>
      <c r="Q47" s="51" t="e">
        <f t="shared" si="57"/>
        <v>#DIV/0!</v>
      </c>
      <c r="R47" s="55">
        <v>100</v>
      </c>
      <c r="S47" s="53" t="s">
        <v>34</v>
      </c>
      <c r="T47" s="54" t="s">
        <v>34</v>
      </c>
      <c r="U47" s="55">
        <v>0</v>
      </c>
      <c r="V47" s="55">
        <f t="shared" si="58"/>
        <v>0</v>
      </c>
      <c r="W47" s="55">
        <f t="shared" si="59"/>
        <v>0</v>
      </c>
      <c r="X47" s="55">
        <v>0</v>
      </c>
      <c r="Y47" s="55" t="e">
        <v>#N/A</v>
      </c>
      <c r="Z47" s="56" t="e">
        <f t="shared" si="65"/>
        <v>#N/A</v>
      </c>
      <c r="AA47" s="55" t="e">
        <v>#N/A</v>
      </c>
      <c r="AB47" s="55">
        <f t="shared" si="61"/>
        <v>0</v>
      </c>
      <c r="AC47" s="55">
        <v>0</v>
      </c>
      <c r="AD47" s="55">
        <v>-6.4803224358974303</v>
      </c>
      <c r="AE47" s="55">
        <v>0</v>
      </c>
      <c r="AF47" s="55" t="e">
        <v>#N/A</v>
      </c>
    </row>
    <row r="48" spans="1:32" s="57" customFormat="1" ht="15.75" customHeight="1">
      <c r="A48" s="2" t="s">
        <v>115</v>
      </c>
      <c r="B48" s="2"/>
      <c r="C48" s="51" t="str">
        <f t="shared" si="50"/>
        <v xml:space="preserve"> - </v>
      </c>
      <c r="D48" s="51">
        <v>0</v>
      </c>
      <c r="E48" s="51">
        <v>0</v>
      </c>
      <c r="F48" s="51">
        <v>0</v>
      </c>
      <c r="G48" s="51">
        <v>0</v>
      </c>
      <c r="H48" s="51" t="e">
        <f t="shared" si="51"/>
        <v>#DIV/0!</v>
      </c>
      <c r="I48" s="51" t="e">
        <f t="shared" si="52"/>
        <v>#DIV/0!</v>
      </c>
      <c r="J48" s="51">
        <f t="shared" si="53"/>
        <v>0</v>
      </c>
      <c r="K48" s="51" t="e">
        <f t="shared" si="54"/>
        <v>#DIV/0!</v>
      </c>
      <c r="L48" s="51">
        <v>0</v>
      </c>
      <c r="M48" s="51" t="str">
        <f t="shared" si="55"/>
        <v>-</v>
      </c>
      <c r="N48" s="51">
        <v>0</v>
      </c>
      <c r="O48" s="51">
        <f t="shared" ref="O48:P48" si="69">D48/7</f>
        <v>0</v>
      </c>
      <c r="P48" s="51">
        <f t="shared" si="69"/>
        <v>0</v>
      </c>
      <c r="Q48" s="51" t="e">
        <f t="shared" si="57"/>
        <v>#DIV/0!</v>
      </c>
      <c r="R48" s="55">
        <f ca="1">IFERROR(__xludf.DUMMYFUNCTION("IFERROR(VLOOKUP($B$2,IMPORTRANGE(""https://docs.google.com/spreadsheets/d/1iVgg6Mw12RULLujzHmfOFIY8Q_KaAD8anoZzgtVAQ74/edit#gid=1503384807"",""Second Star - Summary!A1:AD2000""),9,FALSE),"""")"),360)</f>
        <v>360</v>
      </c>
      <c r="S48" s="53">
        <f ca="1">IFERROR(__xludf.DUMMYFUNCTION("IFERROR(VLOOKUP($B$2,IMPORTRANGE(""https://docs.google.com/spreadsheets/d/1iVgg6Mw12RULLujzHmfOFIY8Q_KaAD8anoZzgtVAQ74/edit#gid=1503384807"",""Second Star - Summary!A1:AD2000""),28,FALSE),"""")"),80)</f>
        <v>80</v>
      </c>
      <c r="T48" s="54">
        <f ca="1">IFERROR(__xludf.DUMMYFUNCTION("IFERROR(VLOOKUP($B$2,IMPORTRANGE(""https://docs.google.com/spreadsheets/d/1iVgg6Mw12RULLujzHmfOFIY8Q_KaAD8anoZzgtVAQ74/edit#gid=1503384807"",""Second Star - Summary!A1:AD2000""),29,FALSE),"""")"),44339)</f>
        <v>44339</v>
      </c>
      <c r="U48" s="55">
        <v>0</v>
      </c>
      <c r="V48" s="55">
        <f t="shared" si="58"/>
        <v>0</v>
      </c>
      <c r="W48" s="55">
        <f t="shared" si="59"/>
        <v>0</v>
      </c>
      <c r="X48" s="55">
        <v>0</v>
      </c>
      <c r="Y48" s="55" t="e">
        <v>#N/A</v>
      </c>
      <c r="Z48" s="56" t="e">
        <f t="shared" si="65"/>
        <v>#N/A</v>
      </c>
      <c r="AA48" s="55" t="e">
        <v>#N/A</v>
      </c>
      <c r="AB48" s="55">
        <f t="shared" si="61"/>
        <v>0</v>
      </c>
      <c r="AC48" s="55">
        <v>0</v>
      </c>
      <c r="AD48" s="55">
        <v>-6.4803224358974303</v>
      </c>
      <c r="AE48" s="55">
        <v>0</v>
      </c>
      <c r="AF48" s="55" t="e">
        <v>#N/A</v>
      </c>
    </row>
    <row r="49" spans="1:32" s="57" customFormat="1" ht="15.75" customHeight="1">
      <c r="A49" s="2" t="s">
        <v>117</v>
      </c>
      <c r="B49" s="2"/>
      <c r="C49" s="51" t="str">
        <f t="shared" si="50"/>
        <v xml:space="preserve"> - </v>
      </c>
      <c r="D49" s="51">
        <v>0</v>
      </c>
      <c r="E49" s="51">
        <v>0</v>
      </c>
      <c r="F49" s="51">
        <v>0</v>
      </c>
      <c r="G49" s="51">
        <v>0</v>
      </c>
      <c r="H49" s="51" t="e">
        <f t="shared" si="51"/>
        <v>#DIV/0!</v>
      </c>
      <c r="I49" s="51" t="e">
        <f t="shared" si="52"/>
        <v>#DIV/0!</v>
      </c>
      <c r="J49" s="51">
        <f t="shared" ref="J49:J56" si="70">F49*0.85+G49+AD49*D49+D49*AC49+AE49+AB49</f>
        <v>0</v>
      </c>
      <c r="K49" s="51" t="e">
        <f t="shared" si="54"/>
        <v>#DIV/0!</v>
      </c>
      <c r="L49" s="51">
        <v>0</v>
      </c>
      <c r="M49" s="51" t="str">
        <f t="shared" si="55"/>
        <v>-</v>
      </c>
      <c r="N49" s="51">
        <v>0</v>
      </c>
      <c r="O49" s="51">
        <f t="shared" ref="O49:P49" si="71">D49/7</f>
        <v>0</v>
      </c>
      <c r="P49" s="51">
        <f t="shared" si="71"/>
        <v>0</v>
      </c>
      <c r="Q49" s="51" t="e">
        <f t="shared" si="57"/>
        <v>#DIV/0!</v>
      </c>
      <c r="R49" s="55">
        <f ca="1">IFERROR(__xludf.DUMMYFUNCTION("IFERROR(VLOOKUP($B$2,IMPORTRANGE(""https://docs.google.com/spreadsheets/d/1iVgg6Mw12RULLujzHmfOFIY8Q_KaAD8anoZzgtVAQ74/edit#gid=1503384807"",""Second Star - Summary!A1:AD2000""),9,FALSE),"""")"),360)</f>
        <v>360</v>
      </c>
      <c r="S49" s="53">
        <f ca="1">IFERROR(__xludf.DUMMYFUNCTION("IFERROR(VLOOKUP($B$2,IMPORTRANGE(""https://docs.google.com/spreadsheets/d/1iVgg6Mw12RULLujzHmfOFIY8Q_KaAD8anoZzgtVAQ74/edit#gid=1503384807"",""Second Star - Summary!A1:AD2000""),28,FALSE),"""")"),80)</f>
        <v>80</v>
      </c>
      <c r="T49" s="54">
        <f ca="1">IFERROR(__xludf.DUMMYFUNCTION("IFERROR(VLOOKUP($B$2,IMPORTRANGE(""https://docs.google.com/spreadsheets/d/1iVgg6Mw12RULLujzHmfOFIY8Q_KaAD8anoZzgtVAQ74/edit#gid=1503384807"",""Second Star - Summary!A1:AD2000""),29,FALSE),"""")"),44339)</f>
        <v>44339</v>
      </c>
      <c r="U49" s="55">
        <v>0</v>
      </c>
      <c r="V49" s="55">
        <f t="shared" si="58"/>
        <v>0</v>
      </c>
      <c r="W49" s="55">
        <f t="shared" si="59"/>
        <v>0</v>
      </c>
      <c r="X49" s="55">
        <v>0</v>
      </c>
      <c r="Y49" s="55" t="e">
        <v>#N/A</v>
      </c>
      <c r="Z49" s="56" t="e">
        <f t="shared" si="65"/>
        <v>#N/A</v>
      </c>
      <c r="AA49" s="55" t="e">
        <v>#N/A</v>
      </c>
      <c r="AB49" s="55">
        <f t="shared" si="61"/>
        <v>0</v>
      </c>
      <c r="AC49" s="55">
        <v>0</v>
      </c>
      <c r="AD49" s="55">
        <v>-6.4803224358974303</v>
      </c>
      <c r="AE49" s="55"/>
      <c r="AF49" s="55" t="e">
        <v>#N/A</v>
      </c>
    </row>
    <row r="50" spans="1:32" s="57" customFormat="1" ht="15.75" customHeight="1">
      <c r="A50" s="2" t="s">
        <v>119</v>
      </c>
      <c r="B50" s="2"/>
      <c r="C50" s="51" t="str">
        <f t="shared" si="50"/>
        <v xml:space="preserve"> - </v>
      </c>
      <c r="D50" s="51">
        <v>0</v>
      </c>
      <c r="E50" s="51">
        <v>0</v>
      </c>
      <c r="F50" s="51">
        <v>0</v>
      </c>
      <c r="G50" s="51">
        <v>0</v>
      </c>
      <c r="H50" s="51" t="e">
        <f t="shared" si="51"/>
        <v>#DIV/0!</v>
      </c>
      <c r="I50" s="51" t="e">
        <f t="shared" si="52"/>
        <v>#DIV/0!</v>
      </c>
      <c r="J50" s="51">
        <f t="shared" si="70"/>
        <v>0</v>
      </c>
      <c r="K50" s="51" t="e">
        <f t="shared" si="54"/>
        <v>#DIV/0!</v>
      </c>
      <c r="L50" s="51">
        <v>0</v>
      </c>
      <c r="M50" s="51" t="str">
        <f t="shared" si="55"/>
        <v>-</v>
      </c>
      <c r="N50" s="51">
        <v>0</v>
      </c>
      <c r="O50" s="51">
        <f t="shared" ref="O50:P50" si="72">D50/7</f>
        <v>0</v>
      </c>
      <c r="P50" s="51">
        <f t="shared" si="72"/>
        <v>0</v>
      </c>
      <c r="Q50" s="51" t="e">
        <f t="shared" si="57"/>
        <v>#DIV/0!</v>
      </c>
      <c r="R50" s="55">
        <f ca="1">IFERROR(__xludf.DUMMYFUNCTION("IFERROR(VLOOKUP($B$2,IMPORTRANGE(""https://docs.google.com/spreadsheets/d/1iVgg6Mw12RULLujzHmfOFIY8Q_KaAD8anoZzgtVAQ74/edit#gid=1503384807"",""Second Star - Summary!A1:AD2000""),9,FALSE),"""")"),360)</f>
        <v>360</v>
      </c>
      <c r="S50" s="53">
        <f ca="1">IFERROR(__xludf.DUMMYFUNCTION("IFERROR(VLOOKUP($B$2,IMPORTRANGE(""https://docs.google.com/spreadsheets/d/1iVgg6Mw12RULLujzHmfOFIY8Q_KaAD8anoZzgtVAQ74/edit#gid=1503384807"",""Second Star - Summary!A1:AD2000""),28,FALSE),"""")"),80)</f>
        <v>80</v>
      </c>
      <c r="T50" s="54">
        <f ca="1">IFERROR(__xludf.DUMMYFUNCTION("IFERROR(VLOOKUP($B$2,IMPORTRANGE(""https://docs.google.com/spreadsheets/d/1iVgg6Mw12RULLujzHmfOFIY8Q_KaAD8anoZzgtVAQ74/edit#gid=1503384807"",""Second Star - Summary!A1:AD2000""),29,FALSE),"""")"),44339)</f>
        <v>44339</v>
      </c>
      <c r="U50" s="55">
        <v>0</v>
      </c>
      <c r="V50" s="55">
        <f t="shared" si="58"/>
        <v>0</v>
      </c>
      <c r="W50" s="55">
        <f t="shared" si="59"/>
        <v>0</v>
      </c>
      <c r="X50" s="55">
        <v>0</v>
      </c>
      <c r="Y50" s="55" t="e">
        <v>#N/A</v>
      </c>
      <c r="Z50" s="56" t="e">
        <f t="shared" si="65"/>
        <v>#N/A</v>
      </c>
      <c r="AA50" s="55" t="e">
        <v>#N/A</v>
      </c>
      <c r="AB50" s="55">
        <f t="shared" si="61"/>
        <v>0</v>
      </c>
      <c r="AC50" s="55">
        <v>0</v>
      </c>
      <c r="AD50" s="55">
        <v>-6.4803224358974303</v>
      </c>
      <c r="AE50" s="55">
        <v>0</v>
      </c>
      <c r="AF50" s="55" t="e">
        <v>#N/A</v>
      </c>
    </row>
    <row r="51" spans="1:32" s="57" customFormat="1" ht="15.75" customHeight="1">
      <c r="A51" s="2" t="s">
        <v>121</v>
      </c>
      <c r="B51" s="2"/>
      <c r="C51" s="51" t="str">
        <f t="shared" si="50"/>
        <v xml:space="preserve"> - </v>
      </c>
      <c r="D51" s="51">
        <v>0</v>
      </c>
      <c r="E51" s="51">
        <v>0</v>
      </c>
      <c r="F51" s="51">
        <v>0</v>
      </c>
      <c r="G51" s="51">
        <v>0</v>
      </c>
      <c r="H51" s="51" t="e">
        <f t="shared" si="51"/>
        <v>#DIV/0!</v>
      </c>
      <c r="I51" s="51" t="e">
        <f t="shared" si="52"/>
        <v>#DIV/0!</v>
      </c>
      <c r="J51" s="51">
        <f t="shared" si="70"/>
        <v>0</v>
      </c>
      <c r="K51" s="51" t="e">
        <f t="shared" si="54"/>
        <v>#DIV/0!</v>
      </c>
      <c r="L51" s="51">
        <v>0</v>
      </c>
      <c r="M51" s="51" t="str">
        <f t="shared" si="55"/>
        <v>-</v>
      </c>
      <c r="N51" s="51">
        <v>0</v>
      </c>
      <c r="O51" s="51">
        <f t="shared" ref="O51:P51" si="73">D51/7</f>
        <v>0</v>
      </c>
      <c r="P51" s="51">
        <f t="shared" si="73"/>
        <v>0</v>
      </c>
      <c r="Q51" s="51" t="e">
        <f t="shared" si="57"/>
        <v>#DIV/0!</v>
      </c>
      <c r="R51" s="55">
        <f ca="1">IFERROR(__xludf.DUMMYFUNCTION("IFERROR(VLOOKUP($B$2,IMPORTRANGE(""https://docs.google.com/spreadsheets/d/1iVgg6Mw12RULLujzHmfOFIY8Q_KaAD8anoZzgtVAQ74/edit#gid=1503384807"",""Second Star - Summary!A1:AD2000""),9,FALSE),"""")"),360)</f>
        <v>360</v>
      </c>
      <c r="S51" s="53">
        <f ca="1">IFERROR(__xludf.DUMMYFUNCTION("IFERROR(VLOOKUP($B$2,IMPORTRANGE(""https://docs.google.com/spreadsheets/d/1iVgg6Mw12RULLujzHmfOFIY8Q_KaAD8anoZzgtVAQ74/edit#gid=1503384807"",""Second Star - Summary!A1:AD2000""),28,FALSE),"""")"),80)</f>
        <v>80</v>
      </c>
      <c r="T51" s="54">
        <f ca="1">IFERROR(__xludf.DUMMYFUNCTION("IFERROR(VLOOKUP($B$2,IMPORTRANGE(""https://docs.google.com/spreadsheets/d/1iVgg6Mw12RULLujzHmfOFIY8Q_KaAD8anoZzgtVAQ74/edit#gid=1503384807"",""Second Star - Summary!A1:AD2000""),29,FALSE),"""")"),44339)</f>
        <v>44339</v>
      </c>
      <c r="U51" s="55">
        <v>0</v>
      </c>
      <c r="V51" s="55">
        <f t="shared" si="58"/>
        <v>0</v>
      </c>
      <c r="W51" s="55">
        <f t="shared" si="59"/>
        <v>0</v>
      </c>
      <c r="X51" s="55">
        <v>0</v>
      </c>
      <c r="Y51" s="55" t="e">
        <v>#N/A</v>
      </c>
      <c r="Z51" s="56" t="e">
        <f t="shared" si="65"/>
        <v>#N/A</v>
      </c>
      <c r="AA51" s="55" t="e">
        <v>#N/A</v>
      </c>
      <c r="AB51" s="55">
        <f t="shared" si="61"/>
        <v>0</v>
      </c>
      <c r="AC51" s="55">
        <v>0</v>
      </c>
      <c r="AD51" s="55">
        <v>-6.4803224358974303</v>
      </c>
      <c r="AE51" s="55">
        <v>0</v>
      </c>
      <c r="AF51" s="55" t="e">
        <v>#N/A</v>
      </c>
    </row>
    <row r="52" spans="1:32" s="57" customFormat="1" ht="15.75" customHeight="1">
      <c r="A52" s="2" t="s">
        <v>123</v>
      </c>
      <c r="B52" s="2"/>
      <c r="C52" s="51" t="str">
        <f t="shared" si="50"/>
        <v xml:space="preserve"> - </v>
      </c>
      <c r="D52" s="51">
        <v>0</v>
      </c>
      <c r="E52" s="51">
        <v>0</v>
      </c>
      <c r="F52" s="51">
        <v>0</v>
      </c>
      <c r="G52" s="51">
        <v>0</v>
      </c>
      <c r="H52" s="51" t="e">
        <f t="shared" si="51"/>
        <v>#DIV/0!</v>
      </c>
      <c r="I52" s="51" t="e">
        <f t="shared" si="52"/>
        <v>#DIV/0!</v>
      </c>
      <c r="J52" s="51">
        <f t="shared" si="70"/>
        <v>0</v>
      </c>
      <c r="K52" s="51" t="e">
        <f t="shared" si="54"/>
        <v>#DIV/0!</v>
      </c>
      <c r="L52" s="51">
        <v>0</v>
      </c>
      <c r="M52" s="51" t="str">
        <f t="shared" si="55"/>
        <v>-</v>
      </c>
      <c r="N52" s="51">
        <v>0</v>
      </c>
      <c r="O52" s="51">
        <f t="shared" ref="O52:P52" si="74">D52/7</f>
        <v>0</v>
      </c>
      <c r="P52" s="51">
        <f t="shared" si="74"/>
        <v>0</v>
      </c>
      <c r="Q52" s="51" t="e">
        <f t="shared" si="57"/>
        <v>#DIV/0!</v>
      </c>
      <c r="R52" s="55">
        <f ca="1">IFERROR(__xludf.DUMMYFUNCTION("IFERROR(VLOOKUP($B$2,IMPORTRANGE(""https://docs.google.com/spreadsheets/d/1iVgg6Mw12RULLujzHmfOFIY8Q_KaAD8anoZzgtVAQ74/edit#gid=1503384807"",""Second Star - Summary!A1:AD2000""),9,FALSE),"""")"),360)</f>
        <v>360</v>
      </c>
      <c r="S52" s="53">
        <f ca="1">IFERROR(__xludf.DUMMYFUNCTION("IFERROR(VLOOKUP($B$2,IMPORTRANGE(""https://docs.google.com/spreadsheets/d/1iVgg6Mw12RULLujzHmfOFIY8Q_KaAD8anoZzgtVAQ74/edit#gid=1503384807"",""Second Star - Summary!A1:AD2000""),28,FALSE),"""")"),80)</f>
        <v>80</v>
      </c>
      <c r="T52" s="54">
        <f ca="1">IFERROR(__xludf.DUMMYFUNCTION("IFERROR(VLOOKUP($B$2,IMPORTRANGE(""https://docs.google.com/spreadsheets/d/1iVgg6Mw12RULLujzHmfOFIY8Q_KaAD8anoZzgtVAQ74/edit#gid=1503384807"",""Second Star - Summary!A1:AD2000""),29,FALSE),"""")"),44339)</f>
        <v>44339</v>
      </c>
      <c r="U52" s="55">
        <v>0</v>
      </c>
      <c r="V52" s="55">
        <f t="shared" si="58"/>
        <v>0</v>
      </c>
      <c r="W52" s="55">
        <f t="shared" si="59"/>
        <v>0</v>
      </c>
      <c r="X52" s="55">
        <v>0</v>
      </c>
      <c r="Y52" s="55" t="e">
        <v>#N/A</v>
      </c>
      <c r="Z52" s="56" t="e">
        <f t="shared" si="65"/>
        <v>#N/A</v>
      </c>
      <c r="AA52" s="55" t="e">
        <v>#N/A</v>
      </c>
      <c r="AB52" s="55">
        <f t="shared" si="61"/>
        <v>0</v>
      </c>
      <c r="AC52" s="55">
        <v>0</v>
      </c>
      <c r="AD52" s="55">
        <v>-6.4803224358974303</v>
      </c>
      <c r="AE52" s="55">
        <v>0</v>
      </c>
      <c r="AF52" s="55">
        <v>0</v>
      </c>
    </row>
    <row r="53" spans="1:32" s="57" customFormat="1">
      <c r="A53" s="2" t="s">
        <v>38</v>
      </c>
      <c r="B53" s="2"/>
      <c r="C53" s="51" t="str">
        <f t="shared" si="50"/>
        <v xml:space="preserve"> - </v>
      </c>
      <c r="D53" s="51">
        <v>0</v>
      </c>
      <c r="E53" s="51">
        <v>0</v>
      </c>
      <c r="F53" s="51">
        <v>0</v>
      </c>
      <c r="G53" s="51">
        <v>0</v>
      </c>
      <c r="H53" s="51" t="e">
        <f t="shared" si="51"/>
        <v>#DIV/0!</v>
      </c>
      <c r="I53" s="51" t="e">
        <f t="shared" si="52"/>
        <v>#DIV/0!</v>
      </c>
      <c r="J53" s="51">
        <f t="shared" si="70"/>
        <v>0</v>
      </c>
      <c r="K53" s="51" t="e">
        <f t="shared" si="54"/>
        <v>#DIV/0!</v>
      </c>
      <c r="L53" s="51">
        <v>0</v>
      </c>
      <c r="M53" s="51" t="str">
        <f t="shared" si="55"/>
        <v>-</v>
      </c>
      <c r="N53" s="51">
        <v>0</v>
      </c>
      <c r="O53" s="51">
        <f t="shared" ref="O53:P53" si="75">D53/7</f>
        <v>0</v>
      </c>
      <c r="P53" s="51">
        <f t="shared" si="75"/>
        <v>0</v>
      </c>
      <c r="Q53" s="51" t="e">
        <f t="shared" si="57"/>
        <v>#DIV/0!</v>
      </c>
      <c r="R53" s="55">
        <f ca="1">IFERROR(__xludf.DUMMYFUNCTION("IFERROR(VLOOKUP($B$2,IMPORTRANGE(""https://docs.google.com/spreadsheets/d/1iVgg6Mw12RULLujzHmfOFIY8Q_KaAD8anoZzgtVAQ74/edit#gid=1503384807"",""Second Star - Summary!A1:AD2000""),9,FALSE),"""")"),360)</f>
        <v>360</v>
      </c>
      <c r="S53" s="53">
        <f ca="1">IFERROR(__xludf.DUMMYFUNCTION("IFERROR(VLOOKUP($B$2,IMPORTRANGE(""https://docs.google.com/spreadsheets/d/1iVgg6Mw12RULLujzHmfOFIY8Q_KaAD8anoZzgtVAQ74/edit#gid=1503384807"",""Second Star - Summary!A1:AD2000""),28,FALSE),"""")"),80)</f>
        <v>80</v>
      </c>
      <c r="T53" s="54">
        <f ca="1">IFERROR(__xludf.DUMMYFUNCTION("IFERROR(VLOOKUP($B$2,IMPORTRANGE(""https://docs.google.com/spreadsheets/d/1iVgg6Mw12RULLujzHmfOFIY8Q_KaAD8anoZzgtVAQ74/edit#gid=1503384807"",""Second Star - Summary!A1:AD2000""),29,FALSE),"""")"),44339)</f>
        <v>44339</v>
      </c>
      <c r="U53" s="55">
        <v>0</v>
      </c>
      <c r="V53" s="55">
        <f t="shared" si="58"/>
        <v>0</v>
      </c>
      <c r="W53" s="55">
        <f t="shared" si="59"/>
        <v>0</v>
      </c>
      <c r="X53" s="55">
        <v>0</v>
      </c>
      <c r="Y53" s="55" t="e">
        <v>#N/A</v>
      </c>
      <c r="Z53" s="56" t="e">
        <f t="shared" si="65"/>
        <v>#N/A</v>
      </c>
      <c r="AA53" s="55" t="e">
        <v>#N/A</v>
      </c>
      <c r="AB53" s="55">
        <f t="shared" si="61"/>
        <v>0</v>
      </c>
      <c r="AC53" s="55">
        <v>0</v>
      </c>
      <c r="AD53" s="55">
        <v>-6.4803224358974303</v>
      </c>
      <c r="AE53" s="55">
        <v>0</v>
      </c>
      <c r="AF53" s="55">
        <v>0</v>
      </c>
    </row>
    <row r="54" spans="1:32" s="57" customFormat="1">
      <c r="A54" s="2" t="s">
        <v>40</v>
      </c>
      <c r="B54" s="2"/>
      <c r="C54" s="51" t="str">
        <f t="shared" si="50"/>
        <v xml:space="preserve"> - </v>
      </c>
      <c r="D54" s="51">
        <v>0</v>
      </c>
      <c r="E54" s="51">
        <v>0</v>
      </c>
      <c r="F54" s="51">
        <v>0</v>
      </c>
      <c r="G54" s="51">
        <v>0</v>
      </c>
      <c r="H54" s="51" t="e">
        <f t="shared" si="51"/>
        <v>#DIV/0!</v>
      </c>
      <c r="I54" s="51" t="e">
        <f t="shared" si="52"/>
        <v>#DIV/0!</v>
      </c>
      <c r="J54" s="51">
        <f t="shared" si="70"/>
        <v>0</v>
      </c>
      <c r="K54" s="51" t="e">
        <f t="shared" si="54"/>
        <v>#DIV/0!</v>
      </c>
      <c r="L54" s="51">
        <v>0</v>
      </c>
      <c r="M54" s="51" t="str">
        <f t="shared" si="55"/>
        <v>-</v>
      </c>
      <c r="N54" s="51">
        <v>0</v>
      </c>
      <c r="O54" s="51">
        <f t="shared" ref="O54:P54" si="76">D54/7</f>
        <v>0</v>
      </c>
      <c r="P54" s="51">
        <f t="shared" si="76"/>
        <v>0</v>
      </c>
      <c r="Q54" s="51" t="e">
        <f t="shared" si="57"/>
        <v>#DIV/0!</v>
      </c>
      <c r="R54" s="55">
        <f ca="1">IFERROR(__xludf.DUMMYFUNCTION("IFERROR(VLOOKUP($B$2,IMPORTRANGE(""https://docs.google.com/spreadsheets/d/1iVgg6Mw12RULLujzHmfOFIY8Q_KaAD8anoZzgtVAQ74/edit#gid=1503384807"",""Second Star - Summary!A1:AD2000""),9,FALSE),"""")"),360)</f>
        <v>360</v>
      </c>
      <c r="S54" s="53">
        <f ca="1">IFERROR(__xludf.DUMMYFUNCTION("IFERROR(VLOOKUP($B$2,IMPORTRANGE(""https://docs.google.com/spreadsheets/d/1iVgg6Mw12RULLujzHmfOFIY8Q_KaAD8anoZzgtVAQ74/edit#gid=1503384807"",""Second Star - Summary!A1:AD2000""),28,FALSE),"""")"),80)</f>
        <v>80</v>
      </c>
      <c r="T54" s="54">
        <f ca="1">IFERROR(__xludf.DUMMYFUNCTION("IFERROR(VLOOKUP($B$2,IMPORTRANGE(""https://docs.google.com/spreadsheets/d/1iVgg6Mw12RULLujzHmfOFIY8Q_KaAD8anoZzgtVAQ74/edit#gid=1503384807"",""Second Star - Summary!A1:AD2000""),29,FALSE),"""")"),44339)</f>
        <v>44339</v>
      </c>
      <c r="U54" s="55">
        <v>0</v>
      </c>
      <c r="V54" s="55">
        <f t="shared" si="58"/>
        <v>0</v>
      </c>
      <c r="W54" s="55">
        <f t="shared" si="59"/>
        <v>0</v>
      </c>
      <c r="X54" s="55">
        <v>0</v>
      </c>
      <c r="Y54" s="55" t="e">
        <v>#N/A</v>
      </c>
      <c r="Z54" s="56" t="e">
        <f t="shared" si="65"/>
        <v>#N/A</v>
      </c>
      <c r="AA54" s="55" t="e">
        <v>#N/A</v>
      </c>
      <c r="AB54" s="55">
        <f t="shared" si="61"/>
        <v>0</v>
      </c>
      <c r="AC54" s="55">
        <v>0</v>
      </c>
      <c r="AD54" s="55">
        <v>-6.4803224358974303</v>
      </c>
      <c r="AE54" s="55">
        <v>0</v>
      </c>
      <c r="AF54" s="55">
        <v>0</v>
      </c>
    </row>
    <row r="55" spans="1:32" s="57" customFormat="1" ht="15.75" customHeight="1">
      <c r="A55" s="2" t="s">
        <v>32</v>
      </c>
      <c r="B55" s="2"/>
      <c r="C55" s="51" t="str">
        <f t="shared" si="50"/>
        <v xml:space="preserve"> - </v>
      </c>
      <c r="D55" s="51">
        <v>0</v>
      </c>
      <c r="E55" s="51">
        <v>0</v>
      </c>
      <c r="F55" s="51">
        <v>0</v>
      </c>
      <c r="G55" s="51">
        <v>0</v>
      </c>
      <c r="H55" s="51" t="e">
        <f t="shared" si="51"/>
        <v>#DIV/0!</v>
      </c>
      <c r="I55" s="51" t="e">
        <f t="shared" si="52"/>
        <v>#DIV/0!</v>
      </c>
      <c r="J55" s="51">
        <f t="shared" si="70"/>
        <v>0</v>
      </c>
      <c r="K55" s="51" t="e">
        <f t="shared" si="54"/>
        <v>#DIV/0!</v>
      </c>
      <c r="L55" s="51">
        <v>0</v>
      </c>
      <c r="M55" s="51" t="str">
        <f t="shared" si="55"/>
        <v>-</v>
      </c>
      <c r="N55" s="51">
        <v>0</v>
      </c>
      <c r="O55" s="51">
        <f t="shared" ref="O55:P55" si="77">D55/7</f>
        <v>0</v>
      </c>
      <c r="P55" s="51">
        <f t="shared" si="77"/>
        <v>0</v>
      </c>
      <c r="Q55" s="51" t="e">
        <f t="shared" si="57"/>
        <v>#DIV/0!</v>
      </c>
      <c r="R55" s="55">
        <v>260</v>
      </c>
      <c r="S55" s="53" t="s">
        <v>34</v>
      </c>
      <c r="T55" s="54" t="s">
        <v>34</v>
      </c>
      <c r="U55" s="55">
        <v>0</v>
      </c>
      <c r="V55" s="55">
        <f t="shared" si="58"/>
        <v>0</v>
      </c>
      <c r="W55" s="55">
        <f t="shared" si="59"/>
        <v>0</v>
      </c>
      <c r="X55" s="55">
        <v>0</v>
      </c>
      <c r="Y55" s="55" t="e">
        <v>#N/A</v>
      </c>
      <c r="Z55" s="56" t="e">
        <f t="shared" si="65"/>
        <v>#N/A</v>
      </c>
      <c r="AA55" s="55" t="e">
        <v>#N/A</v>
      </c>
      <c r="AB55" s="55">
        <f t="shared" si="61"/>
        <v>0</v>
      </c>
      <c r="AC55" s="55">
        <v>0</v>
      </c>
      <c r="AD55" s="55">
        <v>-6.4803224358974303</v>
      </c>
      <c r="AE55" s="55">
        <v>0</v>
      </c>
      <c r="AF55" s="55" t="e">
        <v>#N/A</v>
      </c>
    </row>
    <row r="56" spans="1:32" s="57" customFormat="1" ht="15.75" customHeight="1">
      <c r="A56" s="2" t="s">
        <v>36</v>
      </c>
      <c r="B56" s="2"/>
      <c r="C56" s="51" t="str">
        <f t="shared" si="50"/>
        <v xml:space="preserve"> - </v>
      </c>
      <c r="D56" s="51">
        <v>0</v>
      </c>
      <c r="E56" s="51">
        <v>0</v>
      </c>
      <c r="F56" s="51">
        <v>0</v>
      </c>
      <c r="G56" s="51">
        <v>0</v>
      </c>
      <c r="H56" s="51" t="e">
        <f t="shared" si="51"/>
        <v>#DIV/0!</v>
      </c>
      <c r="I56" s="51" t="e">
        <f t="shared" si="52"/>
        <v>#DIV/0!</v>
      </c>
      <c r="J56" s="51">
        <f t="shared" si="70"/>
        <v>0</v>
      </c>
      <c r="K56" s="51" t="e">
        <f t="shared" si="54"/>
        <v>#DIV/0!</v>
      </c>
      <c r="L56" s="51">
        <v>0</v>
      </c>
      <c r="M56" s="51" t="str">
        <f t="shared" si="55"/>
        <v>-</v>
      </c>
      <c r="N56" s="51">
        <v>0</v>
      </c>
      <c r="O56" s="51">
        <f t="shared" ref="O56:P56" si="78">D56/7</f>
        <v>0</v>
      </c>
      <c r="P56" s="51">
        <f t="shared" si="78"/>
        <v>0</v>
      </c>
      <c r="Q56" s="51" t="e">
        <f t="shared" si="57"/>
        <v>#DIV/0!</v>
      </c>
      <c r="R56" s="55">
        <f ca="1">IFERROR(__xludf.DUMMYFUNCTION("IFERROR(VLOOKUP($B$2,IMPORTRANGE(""https://docs.google.com/spreadsheets/d/1iVgg6Mw12RULLujzHmfOFIY8Q_KaAD8anoZzgtVAQ74/edit#gid=1503384807"",""Second Star - Summary!A1:AD2000""),9,FALSE),"""")"),360)</f>
        <v>360</v>
      </c>
      <c r="S56" s="53">
        <f ca="1">IFERROR(__xludf.DUMMYFUNCTION("IFERROR(VLOOKUP($B$2,IMPORTRANGE(""https://docs.google.com/spreadsheets/d/1iVgg6Mw12RULLujzHmfOFIY8Q_KaAD8anoZzgtVAQ74/edit#gid=1503384807"",""Second Star - Summary!A1:AD2000""),28,FALSE),"""")"),80)</f>
        <v>80</v>
      </c>
      <c r="T56" s="54">
        <f ca="1">IFERROR(__xludf.DUMMYFUNCTION("IFERROR(VLOOKUP($B$2,IMPORTRANGE(""https://docs.google.com/spreadsheets/d/1iVgg6Mw12RULLujzHmfOFIY8Q_KaAD8anoZzgtVAQ74/edit#gid=1503384807"",""Second Star - Summary!A1:AD2000""),29,FALSE),"""")"),44339)</f>
        <v>44339</v>
      </c>
      <c r="U56" s="55">
        <v>0</v>
      </c>
      <c r="V56" s="55">
        <f t="shared" si="58"/>
        <v>0</v>
      </c>
      <c r="W56" s="55">
        <f t="shared" si="59"/>
        <v>0</v>
      </c>
      <c r="X56" s="55">
        <v>0</v>
      </c>
      <c r="Y56" s="55" t="e">
        <v>#N/A</v>
      </c>
      <c r="Z56" s="56" t="e">
        <f t="shared" si="65"/>
        <v>#N/A</v>
      </c>
      <c r="AA56" s="55" t="e">
        <v>#N/A</v>
      </c>
      <c r="AB56" s="55">
        <f t="shared" si="61"/>
        <v>0</v>
      </c>
      <c r="AC56" s="55">
        <v>0</v>
      </c>
      <c r="AD56" s="55">
        <v>-6.4803224358974303</v>
      </c>
      <c r="AE56" s="55">
        <v>0</v>
      </c>
      <c r="AF56" s="55" t="e">
        <v>#N/A</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68" priority="1" operator="lessThan">
      <formula>100</formula>
    </cfRule>
  </conditionalFormatting>
  <conditionalFormatting sqref="Q1:Q3 Q57:Q1000">
    <cfRule type="cellIs" dxfId="67" priority="2" operator="lessThan">
      <formula>100</formula>
    </cfRule>
  </conditionalFormatting>
  <conditionalFormatting sqref="I1:I3 I57:I1000">
    <cfRule type="cellIs" dxfId="66" priority="3" operator="lessThan">
      <formula>0.05</formula>
    </cfRule>
  </conditionalFormatting>
  <conditionalFormatting sqref="I4:I17">
    <cfRule type="cellIs" dxfId="65" priority="4" operator="lessThan">
      <formula>0.05</formula>
    </cfRule>
  </conditionalFormatting>
  <conditionalFormatting sqref="I18:I56">
    <cfRule type="cellIs" dxfId="64" priority="5" operator="lessThan">
      <formula>0.05</formula>
    </cfRule>
  </conditionalFormatting>
  <conditionalFormatting sqref="Q4:Q56">
    <cfRule type="cellIs" dxfId="63" priority="6" operator="lessThan">
      <formula>100</formula>
    </cfRule>
  </conditionalFormatting>
  <conditionalFormatting sqref="Q4:Q56">
    <cfRule type="cellIs" dxfId="62" priority="7" operator="lessThan">
      <formula>100</formula>
    </cfRule>
  </conditionalFormatting>
  <pageMargins left="0.7" right="0.7" top="0.75" bottom="0.75" header="0" footer="0"/>
  <pageSetup orientation="portrait"/>
  <legacy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8.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Info!B1:BJ5000""),4,FALSE),"""")"),"Corn Filled Cornhole Bean Bags - Set of 8 Bags for Corn Hole Toss Game - Regulation Size &amp; Weight - 4 Yelow and 4 Black")</f>
        <v>Corn Filled Cornhole Bean Bags - Set of 8 Bags for Corn Hole Toss Game - Regulation Size &amp; Weight - 4 Yelow and 4 Black</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Info!B1:BJ5000""),3,FALSE),"""")"),"B07VMNX7JW")</f>
        <v>B07VMNX7JW</v>
      </c>
      <c r="B2" s="4" t="s">
        <v>1157</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7.6239087481146237</v>
      </c>
      <c r="D3" s="8">
        <f>SUM(D4:D99819)</f>
        <v>136</v>
      </c>
      <c r="E3" s="8"/>
      <c r="F3" s="9">
        <f t="shared" ref="F3:G3" si="0">SUM(F4:F99819)</f>
        <v>2623.0199999999995</v>
      </c>
      <c r="G3" s="9">
        <f t="shared" si="0"/>
        <v>-189.51999999999998</v>
      </c>
      <c r="H3" s="10">
        <f t="shared" ref="H3:H39" si="1">G3/F3*-1</f>
        <v>7.2252594337824341E-2</v>
      </c>
      <c r="I3" s="11">
        <f t="shared" ref="I3:I39" si="2">J3/F3</f>
        <v>2.3403030690463213E-2</v>
      </c>
      <c r="J3" s="9">
        <f>SUM(J4:J99819)</f>
        <v>61.386617561698806</v>
      </c>
      <c r="K3" s="9">
        <f t="shared" ref="K3:K39" si="3">J3/D3</f>
        <v>0.45137218795366768</v>
      </c>
      <c r="L3" s="8"/>
      <c r="M3" s="12"/>
      <c r="N3" s="13"/>
      <c r="O3" s="8" t="str">
        <f ca="1">IFERROR(__xludf.DUMMYFUNCTION("IFERROR(VLOOKUP(B2,IMPORTRANGE(""https://docs.google.com/spreadsheets/d/1owCo6kL_VFQ5nPTdNogErmCBLjNiktT1m3SzTrxu3R0/edit#gid=2146806407"",""Second Star - Compiled!b1:g5000""),2,FALSE),"""")"),"1 - March
1 - April
1 - May
1 - Jun
1 - Jul
1 - Aug
1 - Sept
1 - Oct
1 - Nov
1 - Dec
1 - Jan
1 - Feb")</f>
        <v>1 - March
1 - April
1 - May
1 - Jun
1 - Jul
1 - Aug
1 - Sept
1 - Oct
1 - Nov
1 - Dec
1 - Jan
1 - Feb</v>
      </c>
      <c r="P3" s="8"/>
      <c r="Q3" s="14"/>
      <c r="R3" s="13"/>
      <c r="S3" s="13"/>
      <c r="T3" s="13"/>
      <c r="U3" s="8">
        <f>SUM(U4:U99819)</f>
        <v>28</v>
      </c>
      <c r="V3" s="10">
        <f>AVERAGE(V4:V99819)</f>
        <v>8.1069546635584383E-2</v>
      </c>
      <c r="W3" s="9">
        <f>ROUND(AVERAGE(W4:W99819),2)</f>
        <v>0.87</v>
      </c>
      <c r="X3" s="8"/>
      <c r="Y3" s="8"/>
      <c r="Z3" s="8"/>
      <c r="AA3" s="8"/>
      <c r="AB3" s="8"/>
      <c r="AC3" s="15"/>
      <c r="AD3" s="9"/>
      <c r="AE3" s="9">
        <f>SUM(AE4:AE99819)</f>
        <v>0</v>
      </c>
      <c r="AF3" s="16"/>
    </row>
    <row r="4" spans="1:32" s="57" customFormat="1">
      <c r="A4" s="17" t="s">
        <v>48</v>
      </c>
      <c r="B4" s="2" t="s">
        <v>1007</v>
      </c>
      <c r="C4" s="50">
        <v>17.989999999999998</v>
      </c>
      <c r="D4" s="51">
        <v>6</v>
      </c>
      <c r="E4" s="51">
        <v>0</v>
      </c>
      <c r="F4" s="51">
        <v>107.93999999999998</v>
      </c>
      <c r="G4" s="51">
        <v>-56.01</v>
      </c>
      <c r="H4" s="51">
        <f t="shared" si="1"/>
        <v>0.51889938854919404</v>
      </c>
      <c r="I4" s="51">
        <f t="shared" si="2"/>
        <v>-0.44079861690878858</v>
      </c>
      <c r="J4" s="51">
        <f t="shared" ref="J4:J38" si="4">F4*0.85+G4+AD4*D4+D4*AC4+AE4+AB4</f>
        <v>-47.579802709134633</v>
      </c>
      <c r="K4" s="51">
        <f t="shared" si="3"/>
        <v>-7.9299671181891052</v>
      </c>
      <c r="L4" s="51">
        <v>30</v>
      </c>
      <c r="M4" s="51">
        <f t="shared" ref="M4:M39" si="5">IFERROR(D4/L4,"-")</f>
        <v>0.2</v>
      </c>
      <c r="N4" s="51">
        <v>31</v>
      </c>
      <c r="O4" s="51">
        <f t="shared" ref="O4:P4" si="6">D4/7</f>
        <v>0.8571428571428571</v>
      </c>
      <c r="P4" s="51">
        <f t="shared" si="6"/>
        <v>0</v>
      </c>
      <c r="Q4" s="51">
        <f t="shared" ref="Q4:Q39" si="7">ROUNDDOWN(N4/(O4+P4),0)</f>
        <v>36</v>
      </c>
      <c r="R4" s="52">
        <v>300</v>
      </c>
      <c r="S4" s="53">
        <v>100</v>
      </c>
      <c r="T4" s="54">
        <v>43876</v>
      </c>
      <c r="U4" s="52">
        <v>5</v>
      </c>
      <c r="V4" s="55">
        <f t="shared" ref="V4:V39" si="8">IFERROR(U4/D4,0)</f>
        <v>0.83333333333333337</v>
      </c>
      <c r="W4" s="55">
        <f t="shared" ref="W4:W39" si="9">IFERROR(G4/(U4+X4)*-1,0)</f>
        <v>7.0012499999999998</v>
      </c>
      <c r="X4" s="52">
        <v>3</v>
      </c>
      <c r="Y4" s="56" t="s">
        <v>35</v>
      </c>
      <c r="Z4" s="56">
        <f t="shared" ref="Z4:Z10" si="10">IF(OR(Y4="UsLargeStandardSize",Y4="UsSmallStandardSize"),-0.69,-0.48)</f>
        <v>-0.69</v>
      </c>
      <c r="AA4" s="55">
        <v>0.27617916666666664</v>
      </c>
      <c r="AB4" s="55">
        <f t="shared" ref="AB4:AB17" si="11">IFERROR((Z4*AA4*N4)/4,0)</f>
        <v>-1.4768680937499996</v>
      </c>
      <c r="AC4" s="55">
        <v>-7.16</v>
      </c>
      <c r="AD4" s="55">
        <v>-6.4803224358974356</v>
      </c>
      <c r="AE4" s="55">
        <v>0</v>
      </c>
      <c r="AF4" s="55"/>
    </row>
    <row r="5" spans="1:32" s="57" customFormat="1" ht="15.75" customHeight="1">
      <c r="A5" s="2" t="s">
        <v>49</v>
      </c>
      <c r="B5" s="2" t="s">
        <v>1158</v>
      </c>
      <c r="C5" s="51">
        <v>17.989999999999998</v>
      </c>
      <c r="D5" s="51">
        <v>3</v>
      </c>
      <c r="E5" s="51">
        <v>0</v>
      </c>
      <c r="F5" s="51">
        <v>53.97</v>
      </c>
      <c r="G5" s="51">
        <v>-46.89</v>
      </c>
      <c r="H5" s="51">
        <f t="shared" si="1"/>
        <v>0.86881600889382993</v>
      </c>
      <c r="I5" s="51">
        <f t="shared" si="2"/>
        <v>-0.80351481369635558</v>
      </c>
      <c r="J5" s="51">
        <f t="shared" si="4"/>
        <v>-43.365694495192308</v>
      </c>
      <c r="K5" s="51">
        <f t="shared" si="3"/>
        <v>-14.455231498397437</v>
      </c>
      <c r="L5" s="51">
        <v>25</v>
      </c>
      <c r="M5" s="51">
        <f t="shared" si="5"/>
        <v>0.12</v>
      </c>
      <c r="N5" s="51">
        <v>30</v>
      </c>
      <c r="O5" s="51">
        <f t="shared" ref="O5:P5" si="12">D5/7</f>
        <v>0.42857142857142855</v>
      </c>
      <c r="P5" s="51">
        <f t="shared" si="12"/>
        <v>0</v>
      </c>
      <c r="Q5" s="51">
        <f t="shared" si="7"/>
        <v>70</v>
      </c>
      <c r="R5" s="55">
        <v>300</v>
      </c>
      <c r="S5" s="53">
        <v>100</v>
      </c>
      <c r="T5" s="54">
        <v>43876</v>
      </c>
      <c r="U5" s="55">
        <v>1</v>
      </c>
      <c r="V5" s="55">
        <f t="shared" si="8"/>
        <v>0.33333333333333331</v>
      </c>
      <c r="W5" s="55">
        <f t="shared" si="9"/>
        <v>9.3780000000000001</v>
      </c>
      <c r="X5" s="55">
        <v>4</v>
      </c>
      <c r="Y5" s="55" t="s">
        <v>35</v>
      </c>
      <c r="Z5" s="56">
        <f t="shared" si="10"/>
        <v>-0.69</v>
      </c>
      <c r="AA5" s="55">
        <v>0.27617916666666664</v>
      </c>
      <c r="AB5" s="55">
        <f t="shared" si="11"/>
        <v>-1.4292271874999998</v>
      </c>
      <c r="AC5" s="55">
        <v>-7.16</v>
      </c>
      <c r="AD5" s="55">
        <v>-6.4803224358974356</v>
      </c>
      <c r="AE5" s="55">
        <v>0</v>
      </c>
      <c r="AF5" s="55"/>
    </row>
    <row r="6" spans="1:32" s="57" customFormat="1" ht="15.75" customHeight="1">
      <c r="A6" s="2" t="s">
        <v>51</v>
      </c>
      <c r="B6" s="2" t="s">
        <v>1007</v>
      </c>
      <c r="C6" s="51">
        <v>17.989999999999998</v>
      </c>
      <c r="D6" s="51">
        <v>1</v>
      </c>
      <c r="E6" s="51">
        <v>0</v>
      </c>
      <c r="F6" s="51">
        <v>17.989999999999998</v>
      </c>
      <c r="G6" s="51">
        <v>-33.549999999999997</v>
      </c>
      <c r="H6" s="51">
        <f t="shared" si="1"/>
        <v>1.8649249583101724</v>
      </c>
      <c r="I6" s="51">
        <f t="shared" si="2"/>
        <v>-1.8472911512449939</v>
      </c>
      <c r="J6" s="51">
        <f t="shared" si="4"/>
        <v>-33.232767810897435</v>
      </c>
      <c r="K6" s="51">
        <f t="shared" si="3"/>
        <v>-33.232767810897435</v>
      </c>
      <c r="L6" s="51">
        <v>16</v>
      </c>
      <c r="M6" s="51">
        <f t="shared" si="5"/>
        <v>6.25E-2</v>
      </c>
      <c r="N6" s="51">
        <v>28</v>
      </c>
      <c r="O6" s="51">
        <f t="shared" ref="O6:P6" si="13">D6/7</f>
        <v>0.14285714285714285</v>
      </c>
      <c r="P6" s="51">
        <f t="shared" si="13"/>
        <v>0</v>
      </c>
      <c r="Q6" s="51">
        <f t="shared" si="7"/>
        <v>196</v>
      </c>
      <c r="R6" s="55">
        <v>300</v>
      </c>
      <c r="S6" s="53">
        <v>100</v>
      </c>
      <c r="T6" s="54">
        <v>43884</v>
      </c>
      <c r="U6" s="55">
        <v>0</v>
      </c>
      <c r="V6" s="55">
        <f t="shared" si="8"/>
        <v>0</v>
      </c>
      <c r="W6" s="55">
        <f t="shared" si="9"/>
        <v>11.183333333333332</v>
      </c>
      <c r="X6" s="55">
        <v>3</v>
      </c>
      <c r="Y6" s="55" t="s">
        <v>35</v>
      </c>
      <c r="Z6" s="56">
        <f t="shared" si="10"/>
        <v>-0.69</v>
      </c>
      <c r="AA6" s="55">
        <v>0.27617916666666664</v>
      </c>
      <c r="AB6" s="55">
        <f t="shared" si="11"/>
        <v>-1.3339453749999997</v>
      </c>
      <c r="AC6" s="55">
        <v>-7.16</v>
      </c>
      <c r="AD6" s="55">
        <v>-6.4803224358974356</v>
      </c>
      <c r="AE6" s="55">
        <v>0</v>
      </c>
      <c r="AF6" s="55"/>
    </row>
    <row r="7" spans="1:32" s="57" customFormat="1" ht="15.75" customHeight="1">
      <c r="A7" s="2" t="s">
        <v>53</v>
      </c>
      <c r="B7" s="4" t="s">
        <v>1159</v>
      </c>
      <c r="C7" s="51">
        <v>17.989999999999998</v>
      </c>
      <c r="D7" s="51">
        <v>2</v>
      </c>
      <c r="E7" s="51">
        <v>0</v>
      </c>
      <c r="F7" s="51">
        <v>35.979999999999997</v>
      </c>
      <c r="G7" s="51">
        <v>0</v>
      </c>
      <c r="H7" s="51">
        <f t="shared" si="1"/>
        <v>0</v>
      </c>
      <c r="I7" s="51">
        <f t="shared" si="2"/>
        <v>5.6032536393972251E-2</v>
      </c>
      <c r="J7" s="51">
        <f t="shared" si="4"/>
        <v>2.0160506594551215</v>
      </c>
      <c r="K7" s="51">
        <f t="shared" si="3"/>
        <v>1.0080253297275608</v>
      </c>
      <c r="L7" s="51">
        <v>8</v>
      </c>
      <c r="M7" s="51">
        <f t="shared" si="5"/>
        <v>0.25</v>
      </c>
      <c r="N7" s="51">
        <v>27</v>
      </c>
      <c r="O7" s="51">
        <f t="shared" ref="O7:P7" si="14">D7/7</f>
        <v>0.2857142857142857</v>
      </c>
      <c r="P7" s="51">
        <f t="shared" si="14"/>
        <v>0</v>
      </c>
      <c r="Q7" s="51">
        <f t="shared" si="7"/>
        <v>94</v>
      </c>
      <c r="R7" s="55">
        <v>300</v>
      </c>
      <c r="S7" s="53">
        <v>100</v>
      </c>
      <c r="T7" s="54">
        <v>43884</v>
      </c>
      <c r="U7" s="55">
        <v>0</v>
      </c>
      <c r="V7" s="55">
        <f t="shared" si="8"/>
        <v>0</v>
      </c>
      <c r="W7" s="55">
        <f t="shared" si="9"/>
        <v>0</v>
      </c>
      <c r="X7" s="55">
        <v>0</v>
      </c>
      <c r="Y7" s="55" t="s">
        <v>35</v>
      </c>
      <c r="Z7" s="56">
        <f t="shared" si="10"/>
        <v>-0.69</v>
      </c>
      <c r="AA7" s="55">
        <v>0.27617916666666664</v>
      </c>
      <c r="AB7" s="55">
        <f t="shared" si="11"/>
        <v>-1.2863044687499998</v>
      </c>
      <c r="AC7" s="55">
        <v>-7.16</v>
      </c>
      <c r="AD7" s="55">
        <v>-6.4803224358974356</v>
      </c>
      <c r="AE7" s="55">
        <v>0</v>
      </c>
      <c r="AF7" s="55"/>
    </row>
    <row r="8" spans="1:32" s="57" customFormat="1" ht="15.75" customHeight="1">
      <c r="A8" s="2" t="s">
        <v>54</v>
      </c>
      <c r="B8" s="2" t="s">
        <v>1160</v>
      </c>
      <c r="C8" s="51">
        <v>17.989999999999998</v>
      </c>
      <c r="D8" s="51">
        <v>1</v>
      </c>
      <c r="E8" s="51">
        <v>0</v>
      </c>
      <c r="F8" s="51">
        <v>0</v>
      </c>
      <c r="G8" s="51">
        <v>0</v>
      </c>
      <c r="H8" s="51" t="e">
        <f t="shared" si="1"/>
        <v>#DIV/0!</v>
      </c>
      <c r="I8" s="51" t="e">
        <f t="shared" si="2"/>
        <v>#DIV/0!</v>
      </c>
      <c r="J8" s="51">
        <f t="shared" si="4"/>
        <v>-14.878985998397434</v>
      </c>
      <c r="K8" s="51">
        <f t="shared" si="3"/>
        <v>-14.878985998397434</v>
      </c>
      <c r="L8" s="51">
        <v>0</v>
      </c>
      <c r="M8" s="51" t="str">
        <f t="shared" si="5"/>
        <v>-</v>
      </c>
      <c r="N8" s="51">
        <v>26</v>
      </c>
      <c r="O8" s="51">
        <f t="shared" ref="O8:P8" si="15">D8/7</f>
        <v>0.14285714285714285</v>
      </c>
      <c r="P8" s="51">
        <f t="shared" si="15"/>
        <v>0</v>
      </c>
      <c r="Q8" s="51">
        <f t="shared" si="7"/>
        <v>182</v>
      </c>
      <c r="R8" s="55">
        <v>300</v>
      </c>
      <c r="S8" s="53">
        <v>100</v>
      </c>
      <c r="T8" s="54">
        <v>43884</v>
      </c>
      <c r="U8" s="55">
        <v>0</v>
      </c>
      <c r="V8" s="55">
        <f t="shared" si="8"/>
        <v>0</v>
      </c>
      <c r="W8" s="55">
        <f t="shared" si="9"/>
        <v>0</v>
      </c>
      <c r="X8" s="55">
        <v>0</v>
      </c>
      <c r="Y8" s="55" t="s">
        <v>35</v>
      </c>
      <c r="Z8" s="56">
        <f t="shared" si="10"/>
        <v>-0.69</v>
      </c>
      <c r="AA8" s="55">
        <v>0.27617916666666664</v>
      </c>
      <c r="AB8" s="55">
        <f t="shared" si="11"/>
        <v>-1.2386635624999998</v>
      </c>
      <c r="AC8" s="55">
        <v>-7.16</v>
      </c>
      <c r="AD8" s="55">
        <v>-6.4803224358974356</v>
      </c>
      <c r="AE8" s="55">
        <v>0</v>
      </c>
      <c r="AF8" s="55"/>
    </row>
    <row r="9" spans="1:32" s="57" customFormat="1" ht="15.75" customHeight="1">
      <c r="A9" s="2" t="s">
        <v>56</v>
      </c>
      <c r="B9" s="2"/>
      <c r="C9" s="51">
        <v>17.989999999999998</v>
      </c>
      <c r="D9" s="51">
        <v>0</v>
      </c>
      <c r="E9" s="51">
        <v>0</v>
      </c>
      <c r="F9" s="51">
        <v>0</v>
      </c>
      <c r="G9" s="51">
        <v>0</v>
      </c>
      <c r="H9" s="51" t="e">
        <f t="shared" si="1"/>
        <v>#DIV/0!</v>
      </c>
      <c r="I9" s="51" t="e">
        <f t="shared" si="2"/>
        <v>#DIV/0!</v>
      </c>
      <c r="J9" s="51">
        <f t="shared" si="4"/>
        <v>-1.2386635624999998</v>
      </c>
      <c r="K9" s="51" t="e">
        <f t="shared" si="3"/>
        <v>#DIV/0!</v>
      </c>
      <c r="L9" s="51">
        <v>0</v>
      </c>
      <c r="M9" s="51" t="str">
        <f t="shared" si="5"/>
        <v>-</v>
      </c>
      <c r="N9" s="51">
        <v>26</v>
      </c>
      <c r="O9" s="51">
        <f t="shared" ref="O9:P9" si="16">D9/7</f>
        <v>0</v>
      </c>
      <c r="P9" s="51">
        <f t="shared" si="16"/>
        <v>0</v>
      </c>
      <c r="Q9" s="51" t="e">
        <f t="shared" si="7"/>
        <v>#DIV/0!</v>
      </c>
      <c r="R9" s="55">
        <v>200</v>
      </c>
      <c r="S9" s="53">
        <v>100</v>
      </c>
      <c r="T9" s="54">
        <v>43881</v>
      </c>
      <c r="U9" s="55">
        <v>0</v>
      </c>
      <c r="V9" s="55">
        <f t="shared" si="8"/>
        <v>0</v>
      </c>
      <c r="W9" s="55">
        <f t="shared" si="9"/>
        <v>0</v>
      </c>
      <c r="X9" s="55">
        <v>0</v>
      </c>
      <c r="Y9" s="55" t="s">
        <v>35</v>
      </c>
      <c r="Z9" s="56">
        <f t="shared" si="10"/>
        <v>-0.69</v>
      </c>
      <c r="AA9" s="55">
        <v>0.27617916666666664</v>
      </c>
      <c r="AB9" s="55">
        <f t="shared" si="11"/>
        <v>-1.2386635624999998</v>
      </c>
      <c r="AC9" s="55">
        <v>-7.16</v>
      </c>
      <c r="AD9" s="55">
        <v>-6.4803224358974356</v>
      </c>
      <c r="AE9" s="55">
        <v>0</v>
      </c>
      <c r="AF9" s="55"/>
    </row>
    <row r="10" spans="1:32" s="57" customFormat="1" ht="15.75" customHeight="1">
      <c r="A10" s="2" t="s">
        <v>58</v>
      </c>
      <c r="B10" s="2" t="s">
        <v>1161</v>
      </c>
      <c r="C10" s="51">
        <v>17.989999999999998</v>
      </c>
      <c r="D10" s="51">
        <v>0</v>
      </c>
      <c r="E10" s="51">
        <v>0</v>
      </c>
      <c r="F10" s="51">
        <v>0</v>
      </c>
      <c r="G10" s="51">
        <v>-5.97</v>
      </c>
      <c r="H10" s="51" t="e">
        <f t="shared" si="1"/>
        <v>#DIV/0!</v>
      </c>
      <c r="I10" s="51" t="e">
        <f t="shared" si="2"/>
        <v>#DIV/0!</v>
      </c>
      <c r="J10" s="51">
        <f t="shared" si="4"/>
        <v>-6.9228181249999992</v>
      </c>
      <c r="K10" s="51" t="e">
        <f t="shared" si="3"/>
        <v>#DIV/0!</v>
      </c>
      <c r="L10" s="51">
        <v>0</v>
      </c>
      <c r="M10" s="51" t="str">
        <f t="shared" si="5"/>
        <v>-</v>
      </c>
      <c r="N10" s="51">
        <v>20</v>
      </c>
      <c r="O10" s="51">
        <f t="shared" ref="O10:P10" si="17">D10/7</f>
        <v>0</v>
      </c>
      <c r="P10" s="51">
        <f t="shared" si="17"/>
        <v>0</v>
      </c>
      <c r="Q10" s="51" t="e">
        <f t="shared" si="7"/>
        <v>#DIV/0!</v>
      </c>
      <c r="R10" s="55">
        <v>200</v>
      </c>
      <c r="S10" s="53">
        <v>100</v>
      </c>
      <c r="T10" s="54">
        <v>43885</v>
      </c>
      <c r="U10" s="55">
        <v>0</v>
      </c>
      <c r="V10" s="55">
        <f t="shared" si="8"/>
        <v>0</v>
      </c>
      <c r="W10" s="55">
        <f t="shared" si="9"/>
        <v>0</v>
      </c>
      <c r="X10" s="55">
        <v>0</v>
      </c>
      <c r="Y10" s="55" t="s">
        <v>35</v>
      </c>
      <c r="Z10" s="56">
        <f t="shared" si="10"/>
        <v>-0.69</v>
      </c>
      <c r="AA10" s="55">
        <v>0.27617916666666664</v>
      </c>
      <c r="AB10" s="55">
        <f t="shared" si="11"/>
        <v>-0.95281812499999985</v>
      </c>
      <c r="AC10" s="55">
        <v>-7.16</v>
      </c>
      <c r="AD10" s="55">
        <v>-6.4803224358974356</v>
      </c>
      <c r="AE10" s="55">
        <v>0</v>
      </c>
      <c r="AF10" s="55"/>
    </row>
    <row r="11" spans="1:32" s="57" customFormat="1" ht="15.75" customHeight="1">
      <c r="A11" s="2" t="s">
        <v>60</v>
      </c>
      <c r="B11" s="2" t="s">
        <v>1162</v>
      </c>
      <c r="C11" s="51">
        <v>17.989999999999998</v>
      </c>
      <c r="D11" s="51">
        <v>1</v>
      </c>
      <c r="E11" s="51">
        <v>0</v>
      </c>
      <c r="F11" s="51">
        <v>17.989999999999998</v>
      </c>
      <c r="G11" s="51">
        <v>-8.18</v>
      </c>
      <c r="H11" s="51">
        <f t="shared" si="1"/>
        <v>0.45469705391884385</v>
      </c>
      <c r="I11" s="51">
        <f t="shared" si="2"/>
        <v>-0.44376944300430454</v>
      </c>
      <c r="J11" s="51">
        <f t="shared" si="4"/>
        <v>-7.983412279647438</v>
      </c>
      <c r="K11" s="51">
        <f t="shared" si="3"/>
        <v>-7.983412279647438</v>
      </c>
      <c r="L11" s="51">
        <v>17</v>
      </c>
      <c r="M11" s="51">
        <f t="shared" si="5"/>
        <v>5.8823529411764705E-2</v>
      </c>
      <c r="N11" s="51">
        <v>25</v>
      </c>
      <c r="O11" s="51">
        <f t="shared" ref="O11:P11" si="18">D11/7</f>
        <v>0.14285714285714285</v>
      </c>
      <c r="P11" s="51">
        <f t="shared" si="18"/>
        <v>0</v>
      </c>
      <c r="Q11" s="51">
        <f t="shared" si="7"/>
        <v>175</v>
      </c>
      <c r="R11" s="55">
        <v>100</v>
      </c>
      <c r="S11" s="53" t="s">
        <v>34</v>
      </c>
      <c r="T11" s="54" t="s">
        <v>34</v>
      </c>
      <c r="U11" s="55">
        <v>1</v>
      </c>
      <c r="V11" s="55">
        <f t="shared" si="8"/>
        <v>1</v>
      </c>
      <c r="W11" s="55">
        <f t="shared" si="9"/>
        <v>4.09</v>
      </c>
      <c r="X11" s="55">
        <v>1</v>
      </c>
      <c r="Y11" s="55" t="s">
        <v>35</v>
      </c>
      <c r="Z11" s="56">
        <f t="shared" ref="Z11:Z39" si="19">IF(OR(Y11="UsLargeStandardSize",Y11="UsSmallStandardSize"),-0.75,-0.48)</f>
        <v>-0.75</v>
      </c>
      <c r="AA11" s="55">
        <v>0.27617916666666664</v>
      </c>
      <c r="AB11" s="55">
        <f t="shared" si="11"/>
        <v>-1.2945898437499999</v>
      </c>
      <c r="AC11" s="55">
        <v>-7.32</v>
      </c>
      <c r="AD11" s="55">
        <v>-6.4803224358974356</v>
      </c>
      <c r="AE11" s="55">
        <v>0</v>
      </c>
      <c r="AF11" s="55"/>
    </row>
    <row r="12" spans="1:32" s="57" customFormat="1" ht="15.75" customHeight="1">
      <c r="A12" s="2" t="s">
        <v>62</v>
      </c>
      <c r="B12" s="2" t="s">
        <v>810</v>
      </c>
      <c r="C12" s="51">
        <v>19.989999999999998</v>
      </c>
      <c r="D12" s="51">
        <v>8</v>
      </c>
      <c r="E12" s="51">
        <v>0</v>
      </c>
      <c r="F12" s="51">
        <v>143.91999999999999</v>
      </c>
      <c r="G12" s="51">
        <v>-7.5200000000000005</v>
      </c>
      <c r="H12" s="51">
        <f t="shared" si="1"/>
        <v>5.225125069483047E-2</v>
      </c>
      <c r="I12" s="51">
        <f t="shared" si="2"/>
        <v>-1.1099752377567424E-2</v>
      </c>
      <c r="J12" s="51">
        <f t="shared" si="4"/>
        <v>-1.5974763621795036</v>
      </c>
      <c r="K12" s="51">
        <f t="shared" si="3"/>
        <v>-0.19968454527243795</v>
      </c>
      <c r="L12" s="51">
        <v>16</v>
      </c>
      <c r="M12" s="51">
        <f t="shared" si="5"/>
        <v>0.5</v>
      </c>
      <c r="N12" s="51">
        <v>116</v>
      </c>
      <c r="O12" s="51">
        <f t="shared" ref="O12:P12" si="20">D12/7</f>
        <v>1.1428571428571428</v>
      </c>
      <c r="P12" s="51">
        <f t="shared" si="20"/>
        <v>0</v>
      </c>
      <c r="Q12" s="51">
        <f t="shared" si="7"/>
        <v>101</v>
      </c>
      <c r="R12" s="55">
        <v>100</v>
      </c>
      <c r="S12" s="53" t="s">
        <v>34</v>
      </c>
      <c r="T12" s="54" t="s">
        <v>34</v>
      </c>
      <c r="U12" s="55">
        <v>1</v>
      </c>
      <c r="V12" s="55">
        <f t="shared" si="8"/>
        <v>0.125</v>
      </c>
      <c r="W12" s="55">
        <f t="shared" si="9"/>
        <v>3.7600000000000002</v>
      </c>
      <c r="X12" s="55">
        <v>1</v>
      </c>
      <c r="Y12" s="55" t="s">
        <v>35</v>
      </c>
      <c r="Z12" s="56">
        <f t="shared" si="19"/>
        <v>-0.75</v>
      </c>
      <c r="AA12" s="55">
        <v>0.27617916666666664</v>
      </c>
      <c r="AB12" s="55">
        <f t="shared" si="11"/>
        <v>-6.0068968749999998</v>
      </c>
      <c r="AC12" s="55">
        <v>-7.32</v>
      </c>
      <c r="AD12" s="55">
        <v>-6.4803224358974356</v>
      </c>
      <c r="AE12" s="55">
        <v>0</v>
      </c>
      <c r="AF12" s="55"/>
    </row>
    <row r="13" spans="1:32" s="57" customFormat="1" ht="15.75" customHeight="1">
      <c r="A13" s="2" t="s">
        <v>63</v>
      </c>
      <c r="B13" s="2" t="s">
        <v>810</v>
      </c>
      <c r="C13" s="51">
        <v>18.989999999999998</v>
      </c>
      <c r="D13" s="51">
        <v>6</v>
      </c>
      <c r="E13" s="51">
        <v>0</v>
      </c>
      <c r="F13" s="51">
        <v>108.93999999999998</v>
      </c>
      <c r="G13" s="51">
        <v>-4.13</v>
      </c>
      <c r="H13" s="51">
        <f t="shared" si="1"/>
        <v>3.7910776574261063E-2</v>
      </c>
      <c r="I13" s="51">
        <f t="shared" si="2"/>
        <v>-7.4273473136242342E-4</v>
      </c>
      <c r="J13" s="51">
        <f t="shared" si="4"/>
        <v>-8.0913521634622398E-2</v>
      </c>
      <c r="K13" s="51">
        <f t="shared" si="3"/>
        <v>-1.3485586939103733E-2</v>
      </c>
      <c r="L13" s="51">
        <v>13</v>
      </c>
      <c r="M13" s="51">
        <f t="shared" si="5"/>
        <v>0.46153846153846156</v>
      </c>
      <c r="N13" s="51">
        <v>111</v>
      </c>
      <c r="O13" s="51">
        <f t="shared" ref="O13:P13" si="21">D13/7</f>
        <v>0.8571428571428571</v>
      </c>
      <c r="P13" s="51">
        <f t="shared" si="21"/>
        <v>0</v>
      </c>
      <c r="Q13" s="51">
        <f t="shared" si="7"/>
        <v>129</v>
      </c>
      <c r="R13" s="55">
        <v>100</v>
      </c>
      <c r="S13" s="53" t="s">
        <v>34</v>
      </c>
      <c r="T13" s="54" t="s">
        <v>34</v>
      </c>
      <c r="U13" s="55">
        <v>2</v>
      </c>
      <c r="V13" s="55">
        <f t="shared" si="8"/>
        <v>0.33333333333333331</v>
      </c>
      <c r="W13" s="55">
        <f t="shared" si="9"/>
        <v>2.0649999999999999</v>
      </c>
      <c r="X13" s="55">
        <v>0</v>
      </c>
      <c r="Y13" s="55" t="s">
        <v>35</v>
      </c>
      <c r="Z13" s="56">
        <f t="shared" si="19"/>
        <v>-0.75</v>
      </c>
      <c r="AA13" s="55">
        <v>0.27617916666666664</v>
      </c>
      <c r="AB13" s="55">
        <f t="shared" si="11"/>
        <v>-5.7479789062499993</v>
      </c>
      <c r="AC13" s="55">
        <v>-7.32</v>
      </c>
      <c r="AD13" s="55">
        <v>-6.4803224358974356</v>
      </c>
      <c r="AE13" s="55">
        <v>0</v>
      </c>
      <c r="AF13" s="55"/>
    </row>
    <row r="14" spans="1:32" s="57" customFormat="1" ht="15.75" customHeight="1">
      <c r="A14" s="2" t="s">
        <v>64</v>
      </c>
      <c r="B14" s="2"/>
      <c r="C14" s="51">
        <v>17.989999999999998</v>
      </c>
      <c r="D14" s="51">
        <v>5</v>
      </c>
      <c r="E14" s="51">
        <v>0</v>
      </c>
      <c r="F14" s="51">
        <v>88.949999999999989</v>
      </c>
      <c r="G14" s="51">
        <v>-5.8100000000000005</v>
      </c>
      <c r="H14" s="51">
        <f t="shared" si="1"/>
        <v>6.5317594154019123E-2</v>
      </c>
      <c r="I14" s="51">
        <f t="shared" si="2"/>
        <v>-5.2179758552413684E-2</v>
      </c>
      <c r="J14" s="51">
        <f t="shared" si="4"/>
        <v>-4.6413895232371969</v>
      </c>
      <c r="K14" s="51">
        <f t="shared" si="3"/>
        <v>-0.92827790464743942</v>
      </c>
      <c r="L14" s="51">
        <v>15</v>
      </c>
      <c r="M14" s="51">
        <f t="shared" si="5"/>
        <v>0.33333333333333331</v>
      </c>
      <c r="N14" s="51">
        <v>105</v>
      </c>
      <c r="O14" s="51">
        <f t="shared" ref="O14:P14" si="22">D14/7</f>
        <v>0.7142857142857143</v>
      </c>
      <c r="P14" s="51">
        <f t="shared" si="22"/>
        <v>0</v>
      </c>
      <c r="Q14" s="51">
        <f t="shared" si="7"/>
        <v>147</v>
      </c>
      <c r="R14" s="55">
        <v>100</v>
      </c>
      <c r="S14" s="53" t="s">
        <v>34</v>
      </c>
      <c r="T14" s="54" t="s">
        <v>34</v>
      </c>
      <c r="U14" s="55">
        <v>1</v>
      </c>
      <c r="V14" s="55">
        <f t="shared" si="8"/>
        <v>0.2</v>
      </c>
      <c r="W14" s="55">
        <f t="shared" si="9"/>
        <v>5.8100000000000005</v>
      </c>
      <c r="X14" s="55">
        <v>0</v>
      </c>
      <c r="Y14" s="55" t="s">
        <v>35</v>
      </c>
      <c r="Z14" s="56">
        <f t="shared" si="19"/>
        <v>-0.75</v>
      </c>
      <c r="AA14" s="55">
        <v>0.27617916666666664</v>
      </c>
      <c r="AB14" s="55">
        <f t="shared" si="11"/>
        <v>-5.4372773437499999</v>
      </c>
      <c r="AC14" s="55">
        <v>-7.32</v>
      </c>
      <c r="AD14" s="55">
        <v>-6.4803224358974356</v>
      </c>
      <c r="AE14" s="55">
        <v>0</v>
      </c>
      <c r="AF14" s="55"/>
    </row>
    <row r="15" spans="1:32" s="57" customFormat="1" ht="15.75" customHeight="1">
      <c r="A15" s="2" t="s">
        <v>65</v>
      </c>
      <c r="B15" s="2" t="s">
        <v>1163</v>
      </c>
      <c r="C15" s="51">
        <v>17.989999999999998</v>
      </c>
      <c r="D15" s="51">
        <v>6</v>
      </c>
      <c r="E15" s="51">
        <v>0</v>
      </c>
      <c r="F15" s="51">
        <v>103.93999999999998</v>
      </c>
      <c r="G15" s="51">
        <v>-6.4200000000000008</v>
      </c>
      <c r="H15" s="51">
        <f t="shared" si="1"/>
        <v>6.1766403694439115E-2</v>
      </c>
      <c r="I15" s="51">
        <f t="shared" si="2"/>
        <v>-5.8219107084708774E-2</v>
      </c>
      <c r="J15" s="51">
        <f t="shared" si="4"/>
        <v>-6.0512939903846288</v>
      </c>
      <c r="K15" s="51">
        <f t="shared" si="3"/>
        <v>-1.0085489983974381</v>
      </c>
      <c r="L15" s="51">
        <v>18</v>
      </c>
      <c r="M15" s="51">
        <f t="shared" si="5"/>
        <v>0.33333333333333331</v>
      </c>
      <c r="N15" s="51">
        <v>100</v>
      </c>
      <c r="O15" s="51">
        <f t="shared" ref="O15:P15" si="23">D15/7</f>
        <v>0.8571428571428571</v>
      </c>
      <c r="P15" s="51">
        <f t="shared" si="23"/>
        <v>0</v>
      </c>
      <c r="Q15" s="51">
        <f t="shared" si="7"/>
        <v>116</v>
      </c>
      <c r="R15" s="55">
        <v>100</v>
      </c>
      <c r="S15" s="53" t="s">
        <v>34</v>
      </c>
      <c r="T15" s="54" t="s">
        <v>34</v>
      </c>
      <c r="U15" s="55">
        <v>3</v>
      </c>
      <c r="V15" s="55">
        <f t="shared" si="8"/>
        <v>0.5</v>
      </c>
      <c r="W15" s="55">
        <f t="shared" si="9"/>
        <v>2.14</v>
      </c>
      <c r="X15" s="55">
        <v>0</v>
      </c>
      <c r="Y15" s="55" t="s">
        <v>35</v>
      </c>
      <c r="Z15" s="56">
        <f t="shared" si="19"/>
        <v>-0.75</v>
      </c>
      <c r="AA15" s="55">
        <v>0.27617916666666664</v>
      </c>
      <c r="AB15" s="55">
        <f t="shared" si="11"/>
        <v>-5.1783593749999994</v>
      </c>
      <c r="AC15" s="55">
        <v>-7.32</v>
      </c>
      <c r="AD15" s="55">
        <v>-6.4803224358974356</v>
      </c>
      <c r="AE15" s="55">
        <v>0</v>
      </c>
      <c r="AF15" s="55"/>
    </row>
    <row r="16" spans="1:32" s="57" customFormat="1" ht="15.75" customHeight="1">
      <c r="A16" s="2" t="s">
        <v>66</v>
      </c>
      <c r="B16" s="2" t="s">
        <v>1164</v>
      </c>
      <c r="C16" s="51">
        <v>18.989999999999998</v>
      </c>
      <c r="D16" s="51">
        <v>1</v>
      </c>
      <c r="E16" s="51">
        <v>0</v>
      </c>
      <c r="F16" s="51">
        <v>18.989999999999998</v>
      </c>
      <c r="G16" s="51">
        <v>-8.66</v>
      </c>
      <c r="H16" s="51">
        <f t="shared" si="1"/>
        <v>0.45602948920484471</v>
      </c>
      <c r="I16" s="51">
        <f t="shared" si="2"/>
        <v>-0.60270659384662661</v>
      </c>
      <c r="J16" s="51">
        <f t="shared" si="4"/>
        <v>-11.445398217147439</v>
      </c>
      <c r="K16" s="51">
        <f t="shared" si="3"/>
        <v>-11.445398217147439</v>
      </c>
      <c r="L16" s="51">
        <v>30</v>
      </c>
      <c r="M16" s="51">
        <f t="shared" si="5"/>
        <v>3.3333333333333333E-2</v>
      </c>
      <c r="N16" s="51">
        <v>99</v>
      </c>
      <c r="O16" s="51">
        <f t="shared" ref="O16:P16" si="24">D16/7</f>
        <v>0.14285714285714285</v>
      </c>
      <c r="P16" s="51">
        <f t="shared" si="24"/>
        <v>0</v>
      </c>
      <c r="Q16" s="51">
        <f t="shared" si="7"/>
        <v>693</v>
      </c>
      <c r="R16" s="55">
        <v>100</v>
      </c>
      <c r="S16" s="53" t="s">
        <v>34</v>
      </c>
      <c r="T16" s="54" t="s">
        <v>34</v>
      </c>
      <c r="U16" s="55">
        <v>0</v>
      </c>
      <c r="V16" s="55">
        <f t="shared" si="8"/>
        <v>0</v>
      </c>
      <c r="W16" s="55">
        <f t="shared" si="9"/>
        <v>0</v>
      </c>
      <c r="X16" s="55">
        <v>0</v>
      </c>
      <c r="Y16" s="55" t="s">
        <v>35</v>
      </c>
      <c r="Z16" s="56">
        <f t="shared" si="19"/>
        <v>-0.75</v>
      </c>
      <c r="AA16" s="55">
        <v>0.27617916666666664</v>
      </c>
      <c r="AB16" s="55">
        <f t="shared" si="11"/>
        <v>-5.1265757812499997</v>
      </c>
      <c r="AC16" s="55">
        <v>-7.32</v>
      </c>
      <c r="AD16" s="55">
        <v>-6.4803224358974356</v>
      </c>
      <c r="AE16" s="55">
        <v>0</v>
      </c>
      <c r="AF16" s="55"/>
    </row>
    <row r="17" spans="1:32" s="57" customFormat="1" ht="15.75" customHeight="1">
      <c r="A17" s="2" t="s">
        <v>67</v>
      </c>
      <c r="B17" s="2"/>
      <c r="C17" s="51">
        <v>20.99</v>
      </c>
      <c r="D17" s="51">
        <v>0</v>
      </c>
      <c r="E17" s="51">
        <v>0</v>
      </c>
      <c r="F17" s="51">
        <v>0</v>
      </c>
      <c r="G17" s="51">
        <v>0</v>
      </c>
      <c r="H17" s="51" t="e">
        <f t="shared" si="1"/>
        <v>#DIV/0!</v>
      </c>
      <c r="I17" s="51" t="e">
        <f t="shared" si="2"/>
        <v>#DIV/0!</v>
      </c>
      <c r="J17" s="51">
        <f t="shared" si="4"/>
        <v>-5.1265757812499997</v>
      </c>
      <c r="K17" s="51" t="e">
        <f t="shared" si="3"/>
        <v>#DIV/0!</v>
      </c>
      <c r="L17" s="51">
        <v>0</v>
      </c>
      <c r="M17" s="51" t="str">
        <f t="shared" si="5"/>
        <v>-</v>
      </c>
      <c r="N17" s="51">
        <v>99</v>
      </c>
      <c r="O17" s="51">
        <f t="shared" ref="O17:P17" si="25">D17/7</f>
        <v>0</v>
      </c>
      <c r="P17" s="51">
        <f t="shared" si="25"/>
        <v>0</v>
      </c>
      <c r="Q17" s="51" t="e">
        <f t="shared" si="7"/>
        <v>#DIV/0!</v>
      </c>
      <c r="R17" s="55">
        <v>100</v>
      </c>
      <c r="S17" s="53" t="s">
        <v>34</v>
      </c>
      <c r="T17" s="54" t="s">
        <v>34</v>
      </c>
      <c r="U17" s="55">
        <v>0</v>
      </c>
      <c r="V17" s="55">
        <f t="shared" si="8"/>
        <v>0</v>
      </c>
      <c r="W17" s="55">
        <f t="shared" si="9"/>
        <v>0</v>
      </c>
      <c r="X17" s="55">
        <v>0</v>
      </c>
      <c r="Y17" s="55" t="s">
        <v>35</v>
      </c>
      <c r="Z17" s="56">
        <f t="shared" si="19"/>
        <v>-0.75</v>
      </c>
      <c r="AA17" s="55">
        <v>0.27617916666666664</v>
      </c>
      <c r="AB17" s="55">
        <f t="shared" si="11"/>
        <v>-5.1265757812499997</v>
      </c>
      <c r="AC17" s="55">
        <v>-7.32</v>
      </c>
      <c r="AD17" s="55">
        <v>-6.4803224358974356</v>
      </c>
      <c r="AE17" s="55">
        <v>0</v>
      </c>
      <c r="AF17" s="55"/>
    </row>
    <row r="18" spans="1:32" s="57" customFormat="1" ht="15.75" customHeight="1">
      <c r="A18" s="2" t="s">
        <v>69</v>
      </c>
      <c r="B18" s="2" t="s">
        <v>810</v>
      </c>
      <c r="C18" s="51">
        <v>18.989999999999998</v>
      </c>
      <c r="D18" s="51">
        <v>1</v>
      </c>
      <c r="E18" s="51">
        <v>0</v>
      </c>
      <c r="F18" s="51">
        <v>18.989999999999998</v>
      </c>
      <c r="G18" s="51">
        <v>-0.08</v>
      </c>
      <c r="H18" s="51">
        <f t="shared" si="1"/>
        <v>4.2127435492364407E-3</v>
      </c>
      <c r="I18" s="51">
        <f t="shared" si="2"/>
        <v>8.6349364881651597E-2</v>
      </c>
      <c r="J18" s="51">
        <f t="shared" si="4"/>
        <v>1.6397744391025637</v>
      </c>
      <c r="K18" s="51">
        <f t="shared" si="3"/>
        <v>1.6397744391025637</v>
      </c>
      <c r="L18" s="51">
        <v>12</v>
      </c>
      <c r="M18" s="51">
        <f t="shared" si="5"/>
        <v>8.3333333333333329E-2</v>
      </c>
      <c r="N18" s="51">
        <v>96</v>
      </c>
      <c r="O18" s="51">
        <f t="shared" ref="O18:P18" si="26">D18/7</f>
        <v>0.14285714285714285</v>
      </c>
      <c r="P18" s="51">
        <f t="shared" si="26"/>
        <v>0</v>
      </c>
      <c r="Q18" s="51">
        <f t="shared" si="7"/>
        <v>672</v>
      </c>
      <c r="R18" s="55">
        <v>100</v>
      </c>
      <c r="S18" s="53" t="s">
        <v>34</v>
      </c>
      <c r="T18" s="54" t="s">
        <v>34</v>
      </c>
      <c r="U18" s="55">
        <v>0</v>
      </c>
      <c r="V18" s="55">
        <f t="shared" si="8"/>
        <v>0</v>
      </c>
      <c r="W18" s="55">
        <f t="shared" si="9"/>
        <v>0</v>
      </c>
      <c r="X18" s="55">
        <v>0</v>
      </c>
      <c r="Y18" s="55" t="s">
        <v>35</v>
      </c>
      <c r="Z18" s="56">
        <f t="shared" si="19"/>
        <v>-0.75</v>
      </c>
      <c r="AA18" s="55">
        <v>0.27617916666666664</v>
      </c>
      <c r="AB18" s="58">
        <f t="shared" ref="AB18:AB39" si="27">IFERROR(Z18*AA18*D18*3,0)</f>
        <v>-0.62140312499999995</v>
      </c>
      <c r="AC18" s="55">
        <v>-7.32</v>
      </c>
      <c r="AD18" s="55">
        <v>-6.4803224358974356</v>
      </c>
      <c r="AE18" s="55">
        <v>0</v>
      </c>
      <c r="AF18" s="55"/>
    </row>
    <row r="19" spans="1:32" s="57" customFormat="1" ht="15.75" customHeight="1">
      <c r="A19" s="2" t="s">
        <v>71</v>
      </c>
      <c r="B19" s="2"/>
      <c r="C19" s="51">
        <v>20.99</v>
      </c>
      <c r="D19" s="51">
        <v>3</v>
      </c>
      <c r="E19" s="51">
        <v>0</v>
      </c>
      <c r="F19" s="51">
        <v>56.97</v>
      </c>
      <c r="G19" s="51">
        <v>0</v>
      </c>
      <c r="H19" s="51">
        <f t="shared" si="1"/>
        <v>0</v>
      </c>
      <c r="I19" s="51">
        <f t="shared" si="2"/>
        <v>9.0562108430887953E-2</v>
      </c>
      <c r="J19" s="51">
        <f t="shared" si="4"/>
        <v>5.1593233173076865</v>
      </c>
      <c r="K19" s="51">
        <f t="shared" si="3"/>
        <v>1.7197744391025622</v>
      </c>
      <c r="L19" s="51">
        <v>9</v>
      </c>
      <c r="M19" s="51">
        <f t="shared" si="5"/>
        <v>0.33333333333333331</v>
      </c>
      <c r="N19" s="51">
        <v>95</v>
      </c>
      <c r="O19" s="51">
        <f t="shared" ref="O19:P19" si="28">D19/7</f>
        <v>0.42857142857142855</v>
      </c>
      <c r="P19" s="51">
        <f t="shared" si="28"/>
        <v>0</v>
      </c>
      <c r="Q19" s="51">
        <f t="shared" si="7"/>
        <v>221</v>
      </c>
      <c r="R19" s="55">
        <v>100</v>
      </c>
      <c r="S19" s="53" t="s">
        <v>34</v>
      </c>
      <c r="T19" s="54" t="s">
        <v>34</v>
      </c>
      <c r="U19" s="55">
        <v>0</v>
      </c>
      <c r="V19" s="55">
        <f t="shared" si="8"/>
        <v>0</v>
      </c>
      <c r="W19" s="55">
        <f t="shared" si="9"/>
        <v>0</v>
      </c>
      <c r="X19" s="55">
        <v>0</v>
      </c>
      <c r="Y19" s="55" t="s">
        <v>35</v>
      </c>
      <c r="Z19" s="56">
        <f t="shared" si="19"/>
        <v>-0.75</v>
      </c>
      <c r="AA19" s="55">
        <v>0.27617916666666664</v>
      </c>
      <c r="AB19" s="55">
        <f t="shared" si="27"/>
        <v>-1.8642093749999997</v>
      </c>
      <c r="AC19" s="55">
        <v>-7.32</v>
      </c>
      <c r="AD19" s="55">
        <v>-6.4803224358974356</v>
      </c>
      <c r="AE19" s="55">
        <v>0</v>
      </c>
      <c r="AF19" s="55"/>
    </row>
    <row r="20" spans="1:32" s="57" customFormat="1" ht="15.75" customHeight="1">
      <c r="A20" s="2" t="s">
        <v>73</v>
      </c>
      <c r="B20" s="2" t="s">
        <v>810</v>
      </c>
      <c r="C20" s="51">
        <v>20.99</v>
      </c>
      <c r="D20" s="51">
        <v>1</v>
      </c>
      <c r="E20" s="51">
        <v>0</v>
      </c>
      <c r="F20" s="51">
        <v>20.99</v>
      </c>
      <c r="G20" s="51">
        <v>0</v>
      </c>
      <c r="H20" s="51">
        <f t="shared" si="1"/>
        <v>0</v>
      </c>
      <c r="I20" s="51">
        <f t="shared" si="2"/>
        <v>0.16292398471188971</v>
      </c>
      <c r="J20" s="51">
        <f t="shared" si="4"/>
        <v>3.4197744391025648</v>
      </c>
      <c r="K20" s="51">
        <f t="shared" si="3"/>
        <v>3.4197744391025648</v>
      </c>
      <c r="L20" s="51">
        <v>10</v>
      </c>
      <c r="M20" s="51">
        <f t="shared" si="5"/>
        <v>0.1</v>
      </c>
      <c r="N20" s="51">
        <v>92</v>
      </c>
      <c r="O20" s="51">
        <f t="shared" ref="O20:P20" si="29">D20/7</f>
        <v>0.14285714285714285</v>
      </c>
      <c r="P20" s="51">
        <f t="shared" si="29"/>
        <v>0</v>
      </c>
      <c r="Q20" s="51">
        <f t="shared" si="7"/>
        <v>644</v>
      </c>
      <c r="R20" s="55">
        <v>100</v>
      </c>
      <c r="S20" s="53" t="s">
        <v>34</v>
      </c>
      <c r="T20" s="54" t="s">
        <v>34</v>
      </c>
      <c r="U20" s="55">
        <v>0</v>
      </c>
      <c r="V20" s="55">
        <f t="shared" si="8"/>
        <v>0</v>
      </c>
      <c r="W20" s="55">
        <f t="shared" si="9"/>
        <v>0</v>
      </c>
      <c r="X20" s="55">
        <v>0</v>
      </c>
      <c r="Y20" s="55" t="s">
        <v>35</v>
      </c>
      <c r="Z20" s="56">
        <f t="shared" si="19"/>
        <v>-0.75</v>
      </c>
      <c r="AA20" s="55">
        <v>0.27617916666666664</v>
      </c>
      <c r="AB20" s="55">
        <f t="shared" si="27"/>
        <v>-0.62140312499999995</v>
      </c>
      <c r="AC20" s="55">
        <v>-7.32</v>
      </c>
      <c r="AD20" s="55">
        <v>-6.4803224358974356</v>
      </c>
      <c r="AE20" s="55">
        <v>0</v>
      </c>
      <c r="AF20" s="55"/>
    </row>
    <row r="21" spans="1:32" s="57" customFormat="1" ht="15.75" customHeight="1">
      <c r="A21" s="2" t="s">
        <v>75</v>
      </c>
      <c r="B21" s="2" t="s">
        <v>955</v>
      </c>
      <c r="C21" s="51">
        <v>16.989999999999998</v>
      </c>
      <c r="D21" s="51">
        <v>3</v>
      </c>
      <c r="E21" s="51">
        <v>0</v>
      </c>
      <c r="F21" s="51">
        <v>57.97</v>
      </c>
      <c r="G21" s="51">
        <v>-0.23000000000000004</v>
      </c>
      <c r="H21" s="51">
        <f t="shared" si="1"/>
        <v>3.9675694324650687E-3</v>
      </c>
      <c r="I21" s="51">
        <f t="shared" si="2"/>
        <v>9.9695071887315703E-2</v>
      </c>
      <c r="J21" s="51">
        <f t="shared" si="4"/>
        <v>5.779323317307691</v>
      </c>
      <c r="K21" s="51">
        <f t="shared" si="3"/>
        <v>1.9264411057692303</v>
      </c>
      <c r="L21" s="51">
        <v>9</v>
      </c>
      <c r="M21" s="51">
        <f t="shared" si="5"/>
        <v>0.33333333333333331</v>
      </c>
      <c r="N21" s="51">
        <v>90</v>
      </c>
      <c r="O21" s="51">
        <f t="shared" ref="O21:P21" si="30">D21/7</f>
        <v>0.42857142857142855</v>
      </c>
      <c r="P21" s="51">
        <f t="shared" si="30"/>
        <v>0</v>
      </c>
      <c r="Q21" s="51">
        <f t="shared" si="7"/>
        <v>210</v>
      </c>
      <c r="R21" s="55">
        <v>100</v>
      </c>
      <c r="S21" s="53" t="s">
        <v>34</v>
      </c>
      <c r="T21" s="54" t="s">
        <v>34</v>
      </c>
      <c r="U21" s="55">
        <v>1</v>
      </c>
      <c r="V21" s="55">
        <f t="shared" si="8"/>
        <v>0.33333333333333331</v>
      </c>
      <c r="W21" s="55">
        <f t="shared" si="9"/>
        <v>0.11500000000000002</v>
      </c>
      <c r="X21" s="55">
        <v>1</v>
      </c>
      <c r="Y21" s="55" t="s">
        <v>35</v>
      </c>
      <c r="Z21" s="56">
        <f t="shared" si="19"/>
        <v>-0.75</v>
      </c>
      <c r="AA21" s="55">
        <v>0.27617916666666664</v>
      </c>
      <c r="AB21" s="55">
        <f t="shared" si="27"/>
        <v>-1.8642093749999997</v>
      </c>
      <c r="AC21" s="55">
        <v>-7.32</v>
      </c>
      <c r="AD21" s="55">
        <v>-6.4803224358974356</v>
      </c>
      <c r="AE21" s="55">
        <v>0</v>
      </c>
      <c r="AF21" s="55"/>
    </row>
    <row r="22" spans="1:32" s="57" customFormat="1" ht="15.75" customHeight="1">
      <c r="A22" s="2" t="s">
        <v>77</v>
      </c>
      <c r="B22" s="2"/>
      <c r="C22" s="51">
        <v>19.989999999999998</v>
      </c>
      <c r="D22" s="51">
        <v>1</v>
      </c>
      <c r="E22" s="51">
        <v>0</v>
      </c>
      <c r="F22" s="51">
        <v>20.99</v>
      </c>
      <c r="G22" s="51">
        <v>-0.12</v>
      </c>
      <c r="H22" s="51">
        <f t="shared" si="1"/>
        <v>5.717008099094807E-3</v>
      </c>
      <c r="I22" s="51">
        <f t="shared" si="2"/>
        <v>0.15720697661279487</v>
      </c>
      <c r="J22" s="51">
        <f t="shared" si="4"/>
        <v>3.2997744391025638</v>
      </c>
      <c r="K22" s="51">
        <f t="shared" si="3"/>
        <v>3.2997744391025638</v>
      </c>
      <c r="L22" s="51">
        <v>13</v>
      </c>
      <c r="M22" s="51">
        <f t="shared" si="5"/>
        <v>7.6923076923076927E-2</v>
      </c>
      <c r="N22" s="51">
        <v>87</v>
      </c>
      <c r="O22" s="51">
        <f t="shared" ref="O22:P22" si="31">D22/7</f>
        <v>0.14285714285714285</v>
      </c>
      <c r="P22" s="51">
        <f t="shared" si="31"/>
        <v>0</v>
      </c>
      <c r="Q22" s="51">
        <f t="shared" si="7"/>
        <v>609</v>
      </c>
      <c r="R22" s="55">
        <v>100</v>
      </c>
      <c r="S22" s="53" t="s">
        <v>34</v>
      </c>
      <c r="T22" s="54" t="s">
        <v>34</v>
      </c>
      <c r="U22" s="55">
        <v>0</v>
      </c>
      <c r="V22" s="55">
        <f t="shared" si="8"/>
        <v>0</v>
      </c>
      <c r="W22" s="55">
        <f t="shared" si="9"/>
        <v>0</v>
      </c>
      <c r="X22" s="55">
        <v>0</v>
      </c>
      <c r="Y22" s="55" t="s">
        <v>35</v>
      </c>
      <c r="Z22" s="56">
        <f t="shared" si="19"/>
        <v>-0.75</v>
      </c>
      <c r="AA22" s="55">
        <v>0.27617916666666664</v>
      </c>
      <c r="AB22" s="55">
        <f t="shared" si="27"/>
        <v>-0.62140312499999995</v>
      </c>
      <c r="AC22" s="55">
        <v>-7.32</v>
      </c>
      <c r="AD22" s="55">
        <v>-6.4803224358974356</v>
      </c>
      <c r="AE22" s="55">
        <v>0</v>
      </c>
      <c r="AF22" s="55"/>
    </row>
    <row r="23" spans="1:32" s="57" customFormat="1" ht="15.75" customHeight="1">
      <c r="A23" s="2" t="s">
        <v>79</v>
      </c>
      <c r="B23" s="2" t="s">
        <v>983</v>
      </c>
      <c r="C23" s="51">
        <v>22.99</v>
      </c>
      <c r="D23" s="51">
        <v>3</v>
      </c>
      <c r="E23" s="51">
        <v>0</v>
      </c>
      <c r="F23" s="51">
        <v>58.97</v>
      </c>
      <c r="G23" s="51">
        <v>0</v>
      </c>
      <c r="H23" s="51">
        <f t="shared" si="1"/>
        <v>0</v>
      </c>
      <c r="I23" s="51">
        <f t="shared" si="2"/>
        <v>0.11631886242678802</v>
      </c>
      <c r="J23" s="51">
        <f t="shared" si="4"/>
        <v>6.8593233173076893</v>
      </c>
      <c r="K23" s="51">
        <f t="shared" si="3"/>
        <v>2.2864411057692298</v>
      </c>
      <c r="L23" s="51">
        <v>10</v>
      </c>
      <c r="M23" s="51">
        <f t="shared" si="5"/>
        <v>0.3</v>
      </c>
      <c r="N23" s="51">
        <v>86</v>
      </c>
      <c r="O23" s="51">
        <f t="shared" ref="O23:P23" si="32">D23/7</f>
        <v>0.42857142857142855</v>
      </c>
      <c r="P23" s="51">
        <f t="shared" si="32"/>
        <v>0</v>
      </c>
      <c r="Q23" s="51">
        <f t="shared" si="7"/>
        <v>200</v>
      </c>
      <c r="R23" s="55">
        <v>100</v>
      </c>
      <c r="S23" s="53" t="s">
        <v>34</v>
      </c>
      <c r="T23" s="54" t="s">
        <v>34</v>
      </c>
      <c r="U23" s="55">
        <v>0</v>
      </c>
      <c r="V23" s="55">
        <f t="shared" si="8"/>
        <v>0</v>
      </c>
      <c r="W23" s="55">
        <f t="shared" si="9"/>
        <v>0</v>
      </c>
      <c r="X23" s="55">
        <v>0</v>
      </c>
      <c r="Y23" s="55" t="s">
        <v>35</v>
      </c>
      <c r="Z23" s="56">
        <f t="shared" si="19"/>
        <v>-0.75</v>
      </c>
      <c r="AA23" s="55">
        <v>0.27617916666666664</v>
      </c>
      <c r="AB23" s="55">
        <f t="shared" si="27"/>
        <v>-1.8642093749999997</v>
      </c>
      <c r="AC23" s="55">
        <v>-7.32</v>
      </c>
      <c r="AD23" s="55">
        <v>-6.4803224358974356</v>
      </c>
      <c r="AE23" s="55">
        <v>0</v>
      </c>
      <c r="AF23" s="55"/>
    </row>
    <row r="24" spans="1:32" s="57" customFormat="1" ht="15.75" customHeight="1">
      <c r="A24" s="2" t="s">
        <v>80</v>
      </c>
      <c r="B24" s="2" t="s">
        <v>810</v>
      </c>
      <c r="C24" s="51">
        <v>22.99</v>
      </c>
      <c r="D24" s="51">
        <v>5</v>
      </c>
      <c r="E24" s="51">
        <v>0</v>
      </c>
      <c r="F24" s="51">
        <v>110.94999999999999</v>
      </c>
      <c r="G24" s="51">
        <v>-0.48</v>
      </c>
      <c r="H24" s="51">
        <f t="shared" si="1"/>
        <v>4.3262730959891848E-3</v>
      </c>
      <c r="I24" s="51">
        <f t="shared" si="2"/>
        <v>0.19575369261390543</v>
      </c>
      <c r="J24" s="51">
        <f t="shared" si="4"/>
        <v>21.718872195512805</v>
      </c>
      <c r="K24" s="51">
        <f t="shared" si="3"/>
        <v>4.3437744391025612</v>
      </c>
      <c r="L24" s="51">
        <v>28</v>
      </c>
      <c r="M24" s="51">
        <f t="shared" si="5"/>
        <v>0.17857142857142858</v>
      </c>
      <c r="N24" s="51">
        <v>77</v>
      </c>
      <c r="O24" s="51">
        <f t="shared" ref="O24:P24" si="33">D24/7</f>
        <v>0.7142857142857143</v>
      </c>
      <c r="P24" s="51">
        <f t="shared" si="33"/>
        <v>0</v>
      </c>
      <c r="Q24" s="51">
        <f t="shared" si="7"/>
        <v>107</v>
      </c>
      <c r="R24" s="55">
        <v>100</v>
      </c>
      <c r="S24" s="53" t="s">
        <v>34</v>
      </c>
      <c r="T24" s="54" t="s">
        <v>34</v>
      </c>
      <c r="U24" s="55">
        <v>0</v>
      </c>
      <c r="V24" s="55">
        <f t="shared" si="8"/>
        <v>0</v>
      </c>
      <c r="W24" s="55">
        <f t="shared" si="9"/>
        <v>0</v>
      </c>
      <c r="X24" s="55">
        <v>0</v>
      </c>
      <c r="Y24" s="55" t="s">
        <v>35</v>
      </c>
      <c r="Z24" s="56">
        <f t="shared" si="19"/>
        <v>-0.75</v>
      </c>
      <c r="AA24" s="55">
        <v>0.27617916666666664</v>
      </c>
      <c r="AB24" s="55">
        <f t="shared" si="27"/>
        <v>-3.1070156249999994</v>
      </c>
      <c r="AC24" s="55">
        <v>-7.32</v>
      </c>
      <c r="AD24" s="55">
        <v>-6.4803224358974356</v>
      </c>
      <c r="AE24" s="55">
        <v>0</v>
      </c>
      <c r="AF24" s="55"/>
    </row>
    <row r="25" spans="1:32" s="57" customFormat="1" ht="15.75" customHeight="1">
      <c r="A25" s="2" t="s">
        <v>81</v>
      </c>
      <c r="B25" s="2" t="s">
        <v>1165</v>
      </c>
      <c r="C25" s="51"/>
      <c r="D25" s="51">
        <v>7</v>
      </c>
      <c r="E25" s="51">
        <v>0</v>
      </c>
      <c r="F25" s="51">
        <v>134.94</v>
      </c>
      <c r="G25" s="51">
        <v>-0.71000000000000019</v>
      </c>
      <c r="H25" s="51">
        <f t="shared" si="1"/>
        <v>5.2615977471468815E-3</v>
      </c>
      <c r="I25" s="51">
        <f t="shared" si="2"/>
        <v>9.661272472000848E-2</v>
      </c>
      <c r="J25" s="51">
        <f t="shared" si="4"/>
        <v>13.036921073717945</v>
      </c>
      <c r="K25" s="51">
        <f t="shared" si="3"/>
        <v>1.8624172962454206</v>
      </c>
      <c r="L25" s="51">
        <v>23</v>
      </c>
      <c r="M25" s="51">
        <f t="shared" si="5"/>
        <v>0.30434782608695654</v>
      </c>
      <c r="N25" s="51">
        <v>74</v>
      </c>
      <c r="O25" s="51">
        <f t="shared" ref="O25:P25" si="34">D25/7</f>
        <v>1</v>
      </c>
      <c r="P25" s="51">
        <f t="shared" si="34"/>
        <v>0</v>
      </c>
      <c r="Q25" s="51">
        <f t="shared" si="7"/>
        <v>74</v>
      </c>
      <c r="R25" s="55">
        <v>100</v>
      </c>
      <c r="S25" s="53" t="s">
        <v>34</v>
      </c>
      <c r="T25" s="54" t="s">
        <v>34</v>
      </c>
      <c r="U25" s="55">
        <v>1</v>
      </c>
      <c r="V25" s="55">
        <f t="shared" si="8"/>
        <v>0.14285714285714285</v>
      </c>
      <c r="W25" s="55">
        <f t="shared" si="9"/>
        <v>0.35500000000000009</v>
      </c>
      <c r="X25" s="55">
        <v>1</v>
      </c>
      <c r="Y25" s="55" t="s">
        <v>35</v>
      </c>
      <c r="Z25" s="56">
        <f t="shared" si="19"/>
        <v>-0.75</v>
      </c>
      <c r="AA25" s="55">
        <v>0.27617916666666664</v>
      </c>
      <c r="AB25" s="55">
        <f t="shared" si="27"/>
        <v>-4.3498218749999999</v>
      </c>
      <c r="AC25" s="55">
        <v>-7.32</v>
      </c>
      <c r="AD25" s="55">
        <v>-6.4803224358974356</v>
      </c>
      <c r="AE25" s="55">
        <v>0</v>
      </c>
      <c r="AF25" s="55"/>
    </row>
    <row r="26" spans="1:32" s="57" customFormat="1" ht="15.75" customHeight="1">
      <c r="A26" s="2" t="s">
        <v>83</v>
      </c>
      <c r="B26" s="2" t="s">
        <v>810</v>
      </c>
      <c r="C26" s="51">
        <f t="shared" ref="C26:C39" si="35">IFERROR(F26/D26," - ")</f>
        <v>21.352857142857147</v>
      </c>
      <c r="D26" s="51">
        <v>14</v>
      </c>
      <c r="E26" s="51">
        <v>0</v>
      </c>
      <c r="F26" s="51">
        <v>298.94000000000005</v>
      </c>
      <c r="G26" s="51">
        <v>-0.34</v>
      </c>
      <c r="H26" s="51">
        <f t="shared" si="1"/>
        <v>1.1373519769853481E-3</v>
      </c>
      <c r="I26" s="51">
        <f t="shared" si="2"/>
        <v>0.1734623742136748</v>
      </c>
      <c r="J26" s="51">
        <f t="shared" si="4"/>
        <v>51.854842147435953</v>
      </c>
      <c r="K26" s="51">
        <f t="shared" si="3"/>
        <v>3.7039172962454252</v>
      </c>
      <c r="L26" s="51">
        <v>21</v>
      </c>
      <c r="M26" s="51">
        <f t="shared" si="5"/>
        <v>0.66666666666666663</v>
      </c>
      <c r="N26" s="51">
        <v>55</v>
      </c>
      <c r="O26" s="51">
        <f t="shared" ref="O26:P26" si="36">D26/7</f>
        <v>2</v>
      </c>
      <c r="P26" s="51">
        <f t="shared" si="36"/>
        <v>0</v>
      </c>
      <c r="Q26" s="51">
        <f t="shared" si="7"/>
        <v>27</v>
      </c>
      <c r="R26" s="55">
        <v>100</v>
      </c>
      <c r="S26" s="53" t="s">
        <v>34</v>
      </c>
      <c r="T26" s="54" t="s">
        <v>34</v>
      </c>
      <c r="U26" s="55">
        <v>0</v>
      </c>
      <c r="V26" s="55">
        <f t="shared" si="8"/>
        <v>0</v>
      </c>
      <c r="W26" s="55">
        <f t="shared" si="9"/>
        <v>0</v>
      </c>
      <c r="X26" s="55">
        <v>0</v>
      </c>
      <c r="Y26" s="55" t="s">
        <v>35</v>
      </c>
      <c r="Z26" s="56">
        <f t="shared" si="19"/>
        <v>-0.75</v>
      </c>
      <c r="AA26" s="55">
        <v>0.27617916666666664</v>
      </c>
      <c r="AB26" s="55">
        <f t="shared" si="27"/>
        <v>-8.6996437499999999</v>
      </c>
      <c r="AC26" s="55">
        <v>-7.32</v>
      </c>
      <c r="AD26" s="55">
        <v>-6.4803224358974356</v>
      </c>
      <c r="AE26" s="55">
        <v>0</v>
      </c>
      <c r="AF26" s="55"/>
    </row>
    <row r="27" spans="1:32" s="57" customFormat="1" ht="15.75" customHeight="1">
      <c r="A27" s="2" t="s">
        <v>84</v>
      </c>
      <c r="B27" s="2" t="s">
        <v>1061</v>
      </c>
      <c r="C27" s="51">
        <f t="shared" si="35"/>
        <v>20.323888888888892</v>
      </c>
      <c r="D27" s="51">
        <v>18</v>
      </c>
      <c r="E27" s="51">
        <v>0</v>
      </c>
      <c r="F27" s="51">
        <v>365.83000000000004</v>
      </c>
      <c r="G27" s="51">
        <v>-1.26</v>
      </c>
      <c r="H27" s="51">
        <f t="shared" si="1"/>
        <v>3.4442227264029736E-3</v>
      </c>
      <c r="I27" s="51">
        <f t="shared" si="2"/>
        <v>0.13696099254803104</v>
      </c>
      <c r="J27" s="51">
        <f t="shared" si="4"/>
        <v>50.104439903846199</v>
      </c>
      <c r="K27" s="51">
        <f t="shared" si="3"/>
        <v>2.7835799946581221</v>
      </c>
      <c r="L27" s="51">
        <v>80</v>
      </c>
      <c r="M27" s="51">
        <f t="shared" si="5"/>
        <v>0.22500000000000001</v>
      </c>
      <c r="N27" s="51">
        <v>41</v>
      </c>
      <c r="O27" s="51">
        <f t="shared" ref="O27:P27" si="37">D27/7</f>
        <v>2.5714285714285716</v>
      </c>
      <c r="P27" s="51">
        <f t="shared" si="37"/>
        <v>0</v>
      </c>
      <c r="Q27" s="51">
        <f t="shared" si="7"/>
        <v>15</v>
      </c>
      <c r="R27" s="55">
        <v>100</v>
      </c>
      <c r="S27" s="53" t="s">
        <v>34</v>
      </c>
      <c r="T27" s="54" t="s">
        <v>34</v>
      </c>
      <c r="U27" s="55">
        <v>6</v>
      </c>
      <c r="V27" s="55">
        <f t="shared" si="8"/>
        <v>0.33333333333333331</v>
      </c>
      <c r="W27" s="55">
        <f t="shared" si="9"/>
        <v>0.126</v>
      </c>
      <c r="X27" s="55">
        <v>4</v>
      </c>
      <c r="Y27" s="55" t="s">
        <v>35</v>
      </c>
      <c r="Z27" s="56">
        <f t="shared" si="19"/>
        <v>-0.75</v>
      </c>
      <c r="AA27" s="55">
        <v>0.27617916666666664</v>
      </c>
      <c r="AB27" s="55">
        <f t="shared" si="27"/>
        <v>-11.185256249999998</v>
      </c>
      <c r="AC27" s="55">
        <v>-7.32</v>
      </c>
      <c r="AD27" s="55">
        <v>-6.4803224358974356</v>
      </c>
      <c r="AE27" s="55">
        <v>0</v>
      </c>
      <c r="AF27" s="55"/>
    </row>
    <row r="28" spans="1:32" s="57" customFormat="1" ht="15.75" customHeight="1">
      <c r="A28" s="2" t="s">
        <v>86</v>
      </c>
      <c r="B28" s="2"/>
      <c r="C28" s="51">
        <f t="shared" si="35"/>
        <v>19.429729729729733</v>
      </c>
      <c r="D28" s="51">
        <v>37</v>
      </c>
      <c r="E28" s="51">
        <v>0</v>
      </c>
      <c r="F28" s="51">
        <v>718.90000000000009</v>
      </c>
      <c r="G28" s="51">
        <v>-3.16</v>
      </c>
      <c r="H28" s="51">
        <f t="shared" si="1"/>
        <v>4.3956043956043956E-3</v>
      </c>
      <c r="I28" s="51">
        <f t="shared" si="2"/>
        <v>0.10335394943218106</v>
      </c>
      <c r="J28" s="51">
        <f t="shared" si="4"/>
        <v>74.301154246794965</v>
      </c>
      <c r="K28" s="51">
        <f t="shared" si="3"/>
        <v>2.0081393039674316</v>
      </c>
      <c r="L28" s="51">
        <v>147</v>
      </c>
      <c r="M28" s="51">
        <f t="shared" si="5"/>
        <v>0.25170068027210885</v>
      </c>
      <c r="N28" s="51">
        <v>0</v>
      </c>
      <c r="O28" s="51">
        <f t="shared" ref="O28:P28" si="38">D28/7</f>
        <v>5.2857142857142856</v>
      </c>
      <c r="P28" s="51">
        <f t="shared" si="38"/>
        <v>0</v>
      </c>
      <c r="Q28" s="51">
        <f t="shared" si="7"/>
        <v>0</v>
      </c>
      <c r="R28" s="55">
        <v>100</v>
      </c>
      <c r="S28" s="53" t="s">
        <v>34</v>
      </c>
      <c r="T28" s="54" t="s">
        <v>34</v>
      </c>
      <c r="U28" s="55">
        <v>6</v>
      </c>
      <c r="V28" s="55">
        <f t="shared" si="8"/>
        <v>0.16216216216216217</v>
      </c>
      <c r="W28" s="55">
        <f t="shared" si="9"/>
        <v>0.35111111111111115</v>
      </c>
      <c r="X28" s="55">
        <v>3</v>
      </c>
      <c r="Y28" s="55" t="s">
        <v>35</v>
      </c>
      <c r="Z28" s="56">
        <f t="shared" si="19"/>
        <v>-0.75</v>
      </c>
      <c r="AA28" s="55">
        <v>0.27617916666666664</v>
      </c>
      <c r="AB28" s="55">
        <f t="shared" si="27"/>
        <v>-22.991915624999997</v>
      </c>
      <c r="AC28" s="55">
        <v>-7.32</v>
      </c>
      <c r="AD28" s="55">
        <v>-6.4803224358974356</v>
      </c>
      <c r="AE28" s="55">
        <v>0</v>
      </c>
      <c r="AF28" s="55"/>
    </row>
    <row r="29" spans="1:32" s="57" customFormat="1" ht="15.75" customHeight="1">
      <c r="A29" s="2" t="s">
        <v>87</v>
      </c>
      <c r="B29" s="2"/>
      <c r="C29" s="51">
        <f t="shared" si="35"/>
        <v>19.989999999999998</v>
      </c>
      <c r="D29" s="51">
        <v>1</v>
      </c>
      <c r="E29" s="51">
        <v>0</v>
      </c>
      <c r="F29" s="51">
        <v>19.989999999999998</v>
      </c>
      <c r="G29" s="51">
        <v>0</v>
      </c>
      <c r="H29" s="51">
        <f t="shared" si="1"/>
        <v>0</v>
      </c>
      <c r="I29" s="51">
        <f t="shared" si="2"/>
        <v>0.12855299845435536</v>
      </c>
      <c r="J29" s="51">
        <f t="shared" si="4"/>
        <v>2.5697744391025634</v>
      </c>
      <c r="K29" s="51">
        <f t="shared" si="3"/>
        <v>2.5697744391025634</v>
      </c>
      <c r="L29" s="51">
        <v>0</v>
      </c>
      <c r="M29" s="51" t="str">
        <f t="shared" si="5"/>
        <v>-</v>
      </c>
      <c r="N29" s="51">
        <v>1</v>
      </c>
      <c r="O29" s="51">
        <f t="shared" ref="O29:P29" si="39">D29/7</f>
        <v>0.14285714285714285</v>
      </c>
      <c r="P29" s="51">
        <f t="shared" si="39"/>
        <v>0</v>
      </c>
      <c r="Q29" s="51">
        <f t="shared" si="7"/>
        <v>7</v>
      </c>
      <c r="R29" s="55">
        <v>100</v>
      </c>
      <c r="S29" s="53" t="s">
        <v>34</v>
      </c>
      <c r="T29" s="54" t="s">
        <v>34</v>
      </c>
      <c r="U29" s="55">
        <v>0</v>
      </c>
      <c r="V29" s="55">
        <f t="shared" si="8"/>
        <v>0</v>
      </c>
      <c r="W29" s="55">
        <f t="shared" si="9"/>
        <v>0</v>
      </c>
      <c r="X29" s="55">
        <v>0</v>
      </c>
      <c r="Y29" s="55" t="s">
        <v>35</v>
      </c>
      <c r="Z29" s="56">
        <f t="shared" si="19"/>
        <v>-0.75</v>
      </c>
      <c r="AA29" s="55">
        <v>0.27617916666666664</v>
      </c>
      <c r="AB29" s="55">
        <f t="shared" si="27"/>
        <v>-0.62140312499999995</v>
      </c>
      <c r="AC29" s="55">
        <v>-7.32</v>
      </c>
      <c r="AD29" s="55">
        <v>-6.4803224358974356</v>
      </c>
      <c r="AE29" s="55">
        <v>0</v>
      </c>
      <c r="AF29" s="55"/>
    </row>
    <row r="30" spans="1:32" s="57" customFormat="1" ht="15.75" customHeight="1">
      <c r="A30" s="2" t="s">
        <v>89</v>
      </c>
      <c r="B30" s="2"/>
      <c r="C30" s="51">
        <f t="shared" si="35"/>
        <v>19.989999999999998</v>
      </c>
      <c r="D30" s="51">
        <v>1</v>
      </c>
      <c r="E30" s="51">
        <v>0</v>
      </c>
      <c r="F30" s="51">
        <v>19.989999999999998</v>
      </c>
      <c r="G30" s="51">
        <v>0</v>
      </c>
      <c r="H30" s="51">
        <f t="shared" si="1"/>
        <v>0</v>
      </c>
      <c r="I30" s="51">
        <f t="shared" si="2"/>
        <v>0.12855299845435536</v>
      </c>
      <c r="J30" s="51">
        <f t="shared" si="4"/>
        <v>2.5697744391025634</v>
      </c>
      <c r="K30" s="51">
        <f t="shared" si="3"/>
        <v>2.5697744391025634</v>
      </c>
      <c r="L30" s="51">
        <v>0</v>
      </c>
      <c r="M30" s="51" t="str">
        <f t="shared" si="5"/>
        <v>-</v>
      </c>
      <c r="N30" s="51">
        <v>0</v>
      </c>
      <c r="O30" s="51">
        <f t="shared" ref="O30:P30" si="40">D30/7</f>
        <v>0.14285714285714285</v>
      </c>
      <c r="P30" s="51">
        <f t="shared" si="40"/>
        <v>0</v>
      </c>
      <c r="Q30" s="51">
        <f t="shared" si="7"/>
        <v>0</v>
      </c>
      <c r="R30" s="55">
        <v>148</v>
      </c>
      <c r="S30" s="53">
        <v>48</v>
      </c>
      <c r="T30" s="54">
        <v>44058</v>
      </c>
      <c r="U30" s="55">
        <v>0</v>
      </c>
      <c r="V30" s="55">
        <f t="shared" si="8"/>
        <v>0</v>
      </c>
      <c r="W30" s="55">
        <f t="shared" si="9"/>
        <v>0</v>
      </c>
      <c r="X30" s="55">
        <v>0</v>
      </c>
      <c r="Y30" s="55" t="s">
        <v>35</v>
      </c>
      <c r="Z30" s="56">
        <f t="shared" si="19"/>
        <v>-0.75</v>
      </c>
      <c r="AA30" s="55">
        <v>0.27617916666666664</v>
      </c>
      <c r="AB30" s="55">
        <f t="shared" si="27"/>
        <v>-0.62140312499999995</v>
      </c>
      <c r="AC30" s="55">
        <v>-7.32</v>
      </c>
      <c r="AD30" s="55">
        <v>-6.4803224358974356</v>
      </c>
      <c r="AE30" s="55">
        <v>0</v>
      </c>
      <c r="AF30" s="55"/>
    </row>
    <row r="31" spans="1:32" s="57" customFormat="1" ht="15.75" customHeight="1">
      <c r="A31" s="2" t="s">
        <v>90</v>
      </c>
      <c r="B31" s="2"/>
      <c r="C31" s="51" t="str">
        <f t="shared" si="35"/>
        <v xml:space="preserve"> - </v>
      </c>
      <c r="D31" s="51">
        <v>0</v>
      </c>
      <c r="E31" s="51">
        <v>0</v>
      </c>
      <c r="F31" s="51">
        <v>0</v>
      </c>
      <c r="G31" s="51">
        <v>0</v>
      </c>
      <c r="H31" s="51" t="e">
        <f t="shared" si="1"/>
        <v>#DIV/0!</v>
      </c>
      <c r="I31" s="51" t="e">
        <f t="shared" si="2"/>
        <v>#DIV/0!</v>
      </c>
      <c r="J31" s="51">
        <f t="shared" si="4"/>
        <v>0</v>
      </c>
      <c r="K31" s="51" t="e">
        <f t="shared" si="3"/>
        <v>#DIV/0!</v>
      </c>
      <c r="L31" s="51">
        <v>0</v>
      </c>
      <c r="M31" s="51" t="str">
        <f t="shared" si="5"/>
        <v>-</v>
      </c>
      <c r="N31" s="51">
        <v>0</v>
      </c>
      <c r="O31" s="51">
        <f t="shared" ref="O31:P31" si="41">D31/7</f>
        <v>0</v>
      </c>
      <c r="P31" s="51">
        <f t="shared" si="41"/>
        <v>0</v>
      </c>
      <c r="Q31" s="51" t="e">
        <f t="shared" si="7"/>
        <v>#DIV/0!</v>
      </c>
      <c r="R31" s="55">
        <v>100</v>
      </c>
      <c r="S31" s="53">
        <v>48</v>
      </c>
      <c r="T31" s="54">
        <v>44058</v>
      </c>
      <c r="U31" s="55">
        <v>0</v>
      </c>
      <c r="V31" s="55">
        <f t="shared" si="8"/>
        <v>0</v>
      </c>
      <c r="W31" s="55">
        <f t="shared" si="9"/>
        <v>0</v>
      </c>
      <c r="X31" s="55">
        <v>0</v>
      </c>
      <c r="Y31" s="55" t="e">
        <v>#N/A</v>
      </c>
      <c r="Z31" s="56" t="e">
        <f t="shared" si="19"/>
        <v>#N/A</v>
      </c>
      <c r="AA31" s="55" t="e">
        <v>#N/A</v>
      </c>
      <c r="AB31" s="55">
        <f t="shared" si="27"/>
        <v>0</v>
      </c>
      <c r="AC31" s="55">
        <v>0</v>
      </c>
      <c r="AD31" s="55">
        <v>-6.4803224358974356</v>
      </c>
      <c r="AE31" s="55">
        <v>0</v>
      </c>
      <c r="AF31" s="55"/>
    </row>
    <row r="32" spans="1:32" s="57" customFormat="1" ht="15.75" customHeight="1">
      <c r="A32" s="2" t="s">
        <v>92</v>
      </c>
      <c r="B32" s="2"/>
      <c r="C32" s="51" t="str">
        <f t="shared" si="35"/>
        <v xml:space="preserve"> - </v>
      </c>
      <c r="D32" s="51">
        <v>0</v>
      </c>
      <c r="E32" s="51">
        <v>0</v>
      </c>
      <c r="F32" s="51">
        <v>0</v>
      </c>
      <c r="G32" s="51">
        <v>0</v>
      </c>
      <c r="H32" s="51" t="e">
        <f t="shared" si="1"/>
        <v>#DIV/0!</v>
      </c>
      <c r="I32" s="51" t="e">
        <f t="shared" si="2"/>
        <v>#DIV/0!</v>
      </c>
      <c r="J32" s="51">
        <f t="shared" si="4"/>
        <v>0</v>
      </c>
      <c r="K32" s="51" t="e">
        <f t="shared" si="3"/>
        <v>#DIV/0!</v>
      </c>
      <c r="L32" s="51">
        <v>0</v>
      </c>
      <c r="M32" s="51" t="str">
        <f t="shared" si="5"/>
        <v>-</v>
      </c>
      <c r="N32" s="51">
        <v>0</v>
      </c>
      <c r="O32" s="51">
        <f t="shared" ref="O32:P32" si="42">D32/7</f>
        <v>0</v>
      </c>
      <c r="P32" s="51">
        <f t="shared" si="42"/>
        <v>0</v>
      </c>
      <c r="Q32" s="51" t="e">
        <f t="shared" si="7"/>
        <v>#DIV/0!</v>
      </c>
      <c r="R32" s="55">
        <v>100</v>
      </c>
      <c r="S32" s="53">
        <v>48</v>
      </c>
      <c r="T32" s="54" t="s">
        <v>34</v>
      </c>
      <c r="U32" s="55">
        <v>0</v>
      </c>
      <c r="V32" s="55">
        <f t="shared" si="8"/>
        <v>0</v>
      </c>
      <c r="W32" s="55">
        <f t="shared" si="9"/>
        <v>0</v>
      </c>
      <c r="X32" s="55">
        <v>0</v>
      </c>
      <c r="Y32" s="55" t="e">
        <v>#N/A</v>
      </c>
      <c r="Z32" s="56" t="e">
        <f t="shared" si="19"/>
        <v>#N/A</v>
      </c>
      <c r="AA32" s="55" t="e">
        <v>#N/A</v>
      </c>
      <c r="AB32" s="55">
        <f t="shared" si="27"/>
        <v>0</v>
      </c>
      <c r="AC32" s="55">
        <v>0</v>
      </c>
      <c r="AD32" s="55">
        <v>-6.4803224358974356</v>
      </c>
      <c r="AE32" s="55">
        <v>0</v>
      </c>
      <c r="AF32" s="52" t="e">
        <v>#N/A</v>
      </c>
    </row>
    <row r="33" spans="1:32" s="57" customFormat="1" ht="15.75" customHeight="1">
      <c r="A33" s="2" t="s">
        <v>94</v>
      </c>
      <c r="B33" s="2"/>
      <c r="C33" s="51" t="str">
        <f t="shared" si="35"/>
        <v xml:space="preserve"> - </v>
      </c>
      <c r="D33" s="51">
        <v>0</v>
      </c>
      <c r="E33" s="51">
        <v>0</v>
      </c>
      <c r="F33" s="51">
        <v>0</v>
      </c>
      <c r="G33" s="51">
        <v>0</v>
      </c>
      <c r="H33" s="51" t="e">
        <f t="shared" si="1"/>
        <v>#DIV/0!</v>
      </c>
      <c r="I33" s="51" t="e">
        <f t="shared" si="2"/>
        <v>#DIV/0!</v>
      </c>
      <c r="J33" s="51">
        <f t="shared" si="4"/>
        <v>0</v>
      </c>
      <c r="K33" s="51" t="e">
        <f t="shared" si="3"/>
        <v>#DIV/0!</v>
      </c>
      <c r="L33" s="51">
        <v>0</v>
      </c>
      <c r="M33" s="51" t="str">
        <f t="shared" si="5"/>
        <v>-</v>
      </c>
      <c r="N33" s="51">
        <v>0</v>
      </c>
      <c r="O33" s="51">
        <f t="shared" ref="O33:P33" si="43">D33/7</f>
        <v>0</v>
      </c>
      <c r="P33" s="51">
        <f t="shared" si="43"/>
        <v>0</v>
      </c>
      <c r="Q33" s="51" t="e">
        <f t="shared" si="7"/>
        <v>#DIV/0!</v>
      </c>
      <c r="R33" s="55">
        <v>100</v>
      </c>
      <c r="S33" s="53">
        <v>48</v>
      </c>
      <c r="T33" s="54">
        <v>44058</v>
      </c>
      <c r="U33" s="55">
        <v>0</v>
      </c>
      <c r="V33" s="55">
        <f t="shared" si="8"/>
        <v>0</v>
      </c>
      <c r="W33" s="55">
        <f t="shared" si="9"/>
        <v>0</v>
      </c>
      <c r="X33" s="55">
        <v>0</v>
      </c>
      <c r="Y33" s="55" t="e">
        <v>#N/A</v>
      </c>
      <c r="Z33" s="56" t="e">
        <f t="shared" si="19"/>
        <v>#N/A</v>
      </c>
      <c r="AA33" s="55" t="e">
        <v>#N/A</v>
      </c>
      <c r="AB33" s="55">
        <f t="shared" si="27"/>
        <v>0</v>
      </c>
      <c r="AC33" s="55">
        <v>0</v>
      </c>
      <c r="AD33" s="55">
        <v>-6.4803224358974356</v>
      </c>
      <c r="AE33" s="55">
        <v>0</v>
      </c>
      <c r="AF33" s="55" t="e">
        <v>#N/A</v>
      </c>
    </row>
    <row r="34" spans="1:32" s="57" customFormat="1" ht="15.75" customHeight="1">
      <c r="A34" s="2" t="s">
        <v>95</v>
      </c>
      <c r="B34" s="2"/>
      <c r="C34" s="51" t="str">
        <f t="shared" si="35"/>
        <v xml:space="preserve"> - </v>
      </c>
      <c r="D34" s="51">
        <v>0</v>
      </c>
      <c r="E34" s="51">
        <v>0</v>
      </c>
      <c r="F34" s="51">
        <v>0</v>
      </c>
      <c r="G34" s="51">
        <v>0</v>
      </c>
      <c r="H34" s="51" t="e">
        <f t="shared" si="1"/>
        <v>#DIV/0!</v>
      </c>
      <c r="I34" s="51" t="e">
        <f t="shared" si="2"/>
        <v>#DIV/0!</v>
      </c>
      <c r="J34" s="51">
        <f t="shared" si="4"/>
        <v>0</v>
      </c>
      <c r="K34" s="51" t="e">
        <f t="shared" si="3"/>
        <v>#DIV/0!</v>
      </c>
      <c r="L34" s="51">
        <v>0</v>
      </c>
      <c r="M34" s="51" t="str">
        <f t="shared" si="5"/>
        <v>-</v>
      </c>
      <c r="N34" s="51">
        <v>0</v>
      </c>
      <c r="O34" s="51">
        <f t="shared" ref="O34:P34" si="44">D34/7</f>
        <v>0</v>
      </c>
      <c r="P34" s="51">
        <f t="shared" si="44"/>
        <v>0</v>
      </c>
      <c r="Q34" s="51" t="e">
        <f t="shared" si="7"/>
        <v>#DIV/0!</v>
      </c>
      <c r="R34" s="55">
        <v>100</v>
      </c>
      <c r="S34" s="53">
        <v>48</v>
      </c>
      <c r="T34" s="54">
        <v>44058</v>
      </c>
      <c r="U34" s="55">
        <v>0</v>
      </c>
      <c r="V34" s="55">
        <f t="shared" si="8"/>
        <v>0</v>
      </c>
      <c r="W34" s="55">
        <f t="shared" si="9"/>
        <v>0</v>
      </c>
      <c r="X34" s="55">
        <v>0</v>
      </c>
      <c r="Y34" s="55" t="e">
        <v>#N/A</v>
      </c>
      <c r="Z34" s="56" t="e">
        <f t="shared" si="19"/>
        <v>#N/A</v>
      </c>
      <c r="AA34" s="55" t="e">
        <v>#N/A</v>
      </c>
      <c r="AB34" s="55">
        <f t="shared" si="27"/>
        <v>0</v>
      </c>
      <c r="AC34" s="55">
        <v>0</v>
      </c>
      <c r="AD34" s="55">
        <v>-6.4803224358974356</v>
      </c>
      <c r="AE34" s="55">
        <v>0</v>
      </c>
      <c r="AF34" s="55" t="e">
        <v>#N/A</v>
      </c>
    </row>
    <row r="35" spans="1:32" s="57" customFormat="1" ht="15.75" customHeight="1">
      <c r="A35" s="2" t="s">
        <v>96</v>
      </c>
      <c r="B35" s="2"/>
      <c r="C35" s="51" t="str">
        <f t="shared" si="35"/>
        <v xml:space="preserve"> - </v>
      </c>
      <c r="D35" s="51">
        <v>0</v>
      </c>
      <c r="E35" s="51">
        <v>0</v>
      </c>
      <c r="F35" s="51">
        <v>0</v>
      </c>
      <c r="G35" s="51">
        <v>0</v>
      </c>
      <c r="H35" s="51" t="e">
        <f t="shared" si="1"/>
        <v>#DIV/0!</v>
      </c>
      <c r="I35" s="51" t="e">
        <f t="shared" si="2"/>
        <v>#DIV/0!</v>
      </c>
      <c r="J35" s="51">
        <f t="shared" si="4"/>
        <v>0</v>
      </c>
      <c r="K35" s="51" t="e">
        <f t="shared" si="3"/>
        <v>#DIV/0!</v>
      </c>
      <c r="L35" s="51">
        <v>0</v>
      </c>
      <c r="M35" s="51" t="str">
        <f t="shared" si="5"/>
        <v>-</v>
      </c>
      <c r="N35" s="51">
        <v>0</v>
      </c>
      <c r="O35" s="51">
        <f t="shared" ref="O35:P35" si="45">D35/7</f>
        <v>0</v>
      </c>
      <c r="P35" s="51">
        <f t="shared" si="45"/>
        <v>0</v>
      </c>
      <c r="Q35" s="51" t="e">
        <f t="shared" si="7"/>
        <v>#DIV/0!</v>
      </c>
      <c r="R35" s="55">
        <v>52</v>
      </c>
      <c r="S35" s="53" t="s">
        <v>34</v>
      </c>
      <c r="T35" s="54" t="s">
        <v>34</v>
      </c>
      <c r="U35" s="55">
        <v>0</v>
      </c>
      <c r="V35" s="55">
        <f t="shared" si="8"/>
        <v>0</v>
      </c>
      <c r="W35" s="55">
        <f t="shared" si="9"/>
        <v>0</v>
      </c>
      <c r="X35" s="55">
        <v>0</v>
      </c>
      <c r="Y35" s="55" t="e">
        <v>#N/A</v>
      </c>
      <c r="Z35" s="56" t="e">
        <f t="shared" si="19"/>
        <v>#N/A</v>
      </c>
      <c r="AA35" s="55" t="e">
        <v>#N/A</v>
      </c>
      <c r="AB35" s="55">
        <f t="shared" si="27"/>
        <v>0</v>
      </c>
      <c r="AC35" s="55">
        <v>0</v>
      </c>
      <c r="AD35" s="55">
        <v>-6.4803224358974356</v>
      </c>
      <c r="AE35" s="55">
        <v>0</v>
      </c>
      <c r="AF35" s="55" t="e">
        <v>#N/A</v>
      </c>
    </row>
    <row r="36" spans="1:32" s="57" customFormat="1" ht="15.75" customHeight="1">
      <c r="A36" s="2" t="s">
        <v>98</v>
      </c>
      <c r="B36" s="2"/>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v>52</v>
      </c>
      <c r="S36" s="53"/>
      <c r="T36" s="54" t="s">
        <v>34</v>
      </c>
      <c r="U36" s="55"/>
      <c r="V36" s="55">
        <f t="shared" si="8"/>
        <v>0</v>
      </c>
      <c r="W36" s="55">
        <f t="shared" si="9"/>
        <v>0</v>
      </c>
      <c r="X36" s="55"/>
      <c r="Y36" s="55" t="e">
        <v>#N/A</v>
      </c>
      <c r="Z36" s="56" t="e">
        <f t="shared" si="19"/>
        <v>#N/A</v>
      </c>
      <c r="AA36" s="55" t="e">
        <v>#N/A</v>
      </c>
      <c r="AB36" s="55">
        <f t="shared" si="27"/>
        <v>0</v>
      </c>
      <c r="AC36" s="55">
        <v>0</v>
      </c>
      <c r="AD36" s="55">
        <v>-6.4803224358974356</v>
      </c>
      <c r="AE36" s="55">
        <v>0</v>
      </c>
      <c r="AF36" s="55" t="e">
        <v>#N/A</v>
      </c>
    </row>
    <row r="37" spans="1:32" s="57" customFormat="1" ht="15.75" customHeight="1">
      <c r="A37" s="2" t="s">
        <v>99</v>
      </c>
      <c r="B37" s="2"/>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v>52</v>
      </c>
      <c r="S37" s="53" t="s">
        <v>34</v>
      </c>
      <c r="T37" s="54" t="s">
        <v>34</v>
      </c>
      <c r="U37" s="55">
        <v>0</v>
      </c>
      <c r="V37" s="55">
        <f t="shared" si="8"/>
        <v>0</v>
      </c>
      <c r="W37" s="55">
        <f t="shared" si="9"/>
        <v>0</v>
      </c>
      <c r="X37" s="55">
        <v>0</v>
      </c>
      <c r="Y37" s="55" t="e">
        <v>#N/A</v>
      </c>
      <c r="Z37" s="56" t="e">
        <f t="shared" si="19"/>
        <v>#N/A</v>
      </c>
      <c r="AA37" s="55" t="e">
        <v>#N/A</v>
      </c>
      <c r="AB37" s="55">
        <f t="shared" si="27"/>
        <v>0</v>
      </c>
      <c r="AC37" s="55">
        <v>0</v>
      </c>
      <c r="AD37" s="55">
        <v>-6.4803224358974356</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5">
        <v>100</v>
      </c>
      <c r="S38" s="53"/>
      <c r="T38" s="54" t="s">
        <v>34</v>
      </c>
      <c r="U38" s="55">
        <v>0</v>
      </c>
      <c r="V38" s="55">
        <f t="shared" si="8"/>
        <v>0</v>
      </c>
      <c r="W38" s="55">
        <f t="shared" si="9"/>
        <v>0</v>
      </c>
      <c r="X38" s="55">
        <v>0</v>
      </c>
      <c r="Y38" s="55" t="e">
        <v>#N/A</v>
      </c>
      <c r="Z38" s="56" t="e">
        <f t="shared" si="19"/>
        <v>#N/A</v>
      </c>
      <c r="AA38" s="55" t="e">
        <v>#N/A</v>
      </c>
      <c r="AB38" s="55">
        <f t="shared" si="27"/>
        <v>0</v>
      </c>
      <c r="AC38" s="55">
        <v>0</v>
      </c>
      <c r="AD38" s="55">
        <v>-6.4803224358974356</v>
      </c>
      <c r="AE38" s="55">
        <v>0</v>
      </c>
      <c r="AF38" s="55" t="e">
        <v>#N/A</v>
      </c>
    </row>
    <row r="39" spans="1:32" s="57" customFormat="1" ht="15.75" customHeight="1">
      <c r="A39" s="2" t="s">
        <v>101</v>
      </c>
      <c r="B39" s="2"/>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0</v>
      </c>
      <c r="O39" s="51">
        <f t="shared" ref="O39:P39" si="49">D39/7</f>
        <v>0</v>
      </c>
      <c r="P39" s="51">
        <f t="shared" si="49"/>
        <v>0</v>
      </c>
      <c r="Q39" s="51" t="e">
        <f t="shared" si="7"/>
        <v>#DIV/0!</v>
      </c>
      <c r="R39" s="55">
        <v>100</v>
      </c>
      <c r="S39" s="53" t="s">
        <v>34</v>
      </c>
      <c r="T39" s="54" t="s">
        <v>34</v>
      </c>
      <c r="U39" s="55">
        <v>0</v>
      </c>
      <c r="V39" s="55">
        <f t="shared" si="8"/>
        <v>0</v>
      </c>
      <c r="W39" s="55">
        <f t="shared" si="9"/>
        <v>0</v>
      </c>
      <c r="X39" s="55">
        <v>0</v>
      </c>
      <c r="Y39" s="55" t="e">
        <v>#N/A</v>
      </c>
      <c r="Z39" s="56" t="e">
        <f t="shared" si="19"/>
        <v>#N/A</v>
      </c>
      <c r="AA39" s="55" t="e">
        <v>#N/A</v>
      </c>
      <c r="AB39" s="55">
        <f t="shared" si="27"/>
        <v>0</v>
      </c>
      <c r="AC39" s="55">
        <v>0</v>
      </c>
      <c r="AD39" s="55">
        <v>-6.4803224358974303</v>
      </c>
      <c r="AE39" s="55">
        <v>0</v>
      </c>
      <c r="AF39" s="55" t="e">
        <v>#N/A</v>
      </c>
    </row>
    <row r="40" spans="1:32" s="57" customFormat="1" ht="15.75" customHeight="1">
      <c r="A40" s="2" t="s">
        <v>102</v>
      </c>
      <c r="B40" s="2"/>
      <c r="C40" s="51" t="s">
        <v>103</v>
      </c>
      <c r="D40" s="51">
        <v>0</v>
      </c>
      <c r="E40" s="51">
        <v>0</v>
      </c>
      <c r="F40" s="51">
        <v>0</v>
      </c>
      <c r="G40" s="51">
        <v>0</v>
      </c>
      <c r="H40" s="51" t="e">
        <v>#DIV/0!</v>
      </c>
      <c r="I40" s="51" t="e">
        <v>#DIV/0!</v>
      </c>
      <c r="J40" s="51">
        <v>0</v>
      </c>
      <c r="K40" s="51" t="e">
        <v>#DIV/0!</v>
      </c>
      <c r="L40" s="51">
        <v>0</v>
      </c>
      <c r="M40" s="51" t="s">
        <v>104</v>
      </c>
      <c r="N40" s="51">
        <v>0</v>
      </c>
      <c r="O40" s="51">
        <v>0</v>
      </c>
      <c r="P40" s="51">
        <v>0</v>
      </c>
      <c r="Q40" s="51" t="e">
        <v>#DIV/0!</v>
      </c>
      <c r="R40" s="55">
        <v>100</v>
      </c>
      <c r="S40" s="53" t="s">
        <v>34</v>
      </c>
      <c r="T40" s="54" t="s">
        <v>34</v>
      </c>
      <c r="U40" s="55">
        <v>0</v>
      </c>
      <c r="V40" s="55">
        <v>0</v>
      </c>
      <c r="W40" s="55">
        <v>0</v>
      </c>
      <c r="X40" s="55">
        <v>0</v>
      </c>
      <c r="Y40" s="55" t="e">
        <v>#N/A</v>
      </c>
      <c r="Z40" s="56" t="e">
        <v>#N/A</v>
      </c>
      <c r="AA40" s="55" t="e">
        <v>#N/A</v>
      </c>
      <c r="AB40" s="55">
        <v>0</v>
      </c>
      <c r="AC40" s="55">
        <v>0</v>
      </c>
      <c r="AD40" s="55">
        <v>-6.4803224358974303</v>
      </c>
      <c r="AE40" s="55">
        <v>0</v>
      </c>
      <c r="AF40" s="55" t="e">
        <v>#N/A</v>
      </c>
    </row>
    <row r="41" spans="1:32" s="57" customFormat="1" ht="15.75" customHeight="1">
      <c r="A41" s="2" t="s">
        <v>105</v>
      </c>
      <c r="B41" s="2"/>
      <c r="C41" s="51" t="str">
        <f t="shared" ref="C41:C56" si="50">IFERROR(F41/D41," - ")</f>
        <v xml:space="preserve"> - </v>
      </c>
      <c r="D41" s="51">
        <v>0</v>
      </c>
      <c r="E41" s="51">
        <v>0</v>
      </c>
      <c r="F41" s="51">
        <v>0</v>
      </c>
      <c r="G41" s="51">
        <v>0</v>
      </c>
      <c r="H41" s="51" t="e">
        <f t="shared" ref="H41:H56" si="51">G41/F41*-1</f>
        <v>#DIV/0!</v>
      </c>
      <c r="I41" s="51" t="e">
        <f t="shared" ref="I41:I56" si="52">J41/F41</f>
        <v>#DIV/0!</v>
      </c>
      <c r="J41" s="51">
        <f t="shared" ref="J41:J48" si="53">F41*0.85+G41+AD41*D41+D41*AC41+AE42+AB41</f>
        <v>0</v>
      </c>
      <c r="K41" s="51" t="e">
        <f t="shared" ref="K41:K56" si="54">J41/D41</f>
        <v>#DIV/0!</v>
      </c>
      <c r="L41" s="51">
        <v>0</v>
      </c>
      <c r="M41" s="51" t="str">
        <f t="shared" ref="M41:M56" si="55">IFERROR(D41/L41,"-")</f>
        <v>-</v>
      </c>
      <c r="N41" s="51">
        <v>0</v>
      </c>
      <c r="O41" s="51">
        <f t="shared" ref="O41:P41" si="56">D41/7</f>
        <v>0</v>
      </c>
      <c r="P41" s="51">
        <f t="shared" si="56"/>
        <v>0</v>
      </c>
      <c r="Q41" s="51" t="e">
        <f t="shared" ref="Q41:Q56" si="57">ROUNDDOWN(N41/(O41+P41),0)</f>
        <v>#DIV/0!</v>
      </c>
      <c r="R41" s="55">
        <v>100</v>
      </c>
      <c r="S41" s="53" t="s">
        <v>34</v>
      </c>
      <c r="T41" s="54" t="s">
        <v>34</v>
      </c>
      <c r="U41" s="55">
        <v>0</v>
      </c>
      <c r="V41" s="55">
        <f t="shared" ref="V41:V56" si="58">IFERROR(U41/D41,0)</f>
        <v>0</v>
      </c>
      <c r="W41" s="55">
        <f t="shared" ref="W41:W56" si="59">IFERROR(G41/(U41+X41)*-1,0)</f>
        <v>0</v>
      </c>
      <c r="X41" s="55">
        <v>0</v>
      </c>
      <c r="Y41" s="52" t="e">
        <v>#N/A</v>
      </c>
      <c r="Z41" s="56" t="e">
        <f t="shared" ref="Z41:Z43" si="60">IF(OR(Y41="UsLargeStandardSize",Y41="UsSmallStandardSize"),-0.75,-0.48)</f>
        <v>#N/A</v>
      </c>
      <c r="AA41" s="55" t="e">
        <v>#N/A</v>
      </c>
      <c r="AB41" s="55">
        <f t="shared" ref="AB41:AB56" si="61">IFERROR(Z41*AA41*D41*3,0)</f>
        <v>0</v>
      </c>
      <c r="AC41" s="55">
        <v>0</v>
      </c>
      <c r="AD41" s="55">
        <v>-6.4803224358974303</v>
      </c>
      <c r="AE41" s="55">
        <v>0</v>
      </c>
      <c r="AF41" s="55" t="e">
        <v>#N/A</v>
      </c>
    </row>
    <row r="42" spans="1:32" s="57" customFormat="1" ht="15.75" customHeight="1">
      <c r="A42" s="2" t="s">
        <v>106</v>
      </c>
      <c r="B42" s="2"/>
      <c r="C42" s="51" t="str">
        <f t="shared" si="50"/>
        <v xml:space="preserve"> - </v>
      </c>
      <c r="D42" s="51">
        <v>0</v>
      </c>
      <c r="E42" s="51">
        <v>0</v>
      </c>
      <c r="F42" s="51">
        <v>0</v>
      </c>
      <c r="G42" s="51">
        <v>0</v>
      </c>
      <c r="H42" s="51" t="e">
        <f t="shared" si="51"/>
        <v>#DIV/0!</v>
      </c>
      <c r="I42" s="51" t="e">
        <f t="shared" si="52"/>
        <v>#DIV/0!</v>
      </c>
      <c r="J42" s="51">
        <f t="shared" si="53"/>
        <v>0</v>
      </c>
      <c r="K42" s="51" t="e">
        <f t="shared" si="54"/>
        <v>#DIV/0!</v>
      </c>
      <c r="L42" s="51">
        <v>0</v>
      </c>
      <c r="M42" s="51" t="str">
        <f t="shared" si="55"/>
        <v>-</v>
      </c>
      <c r="N42" s="51">
        <v>0</v>
      </c>
      <c r="O42" s="51">
        <f t="shared" ref="O42:P42" si="62">D42/7</f>
        <v>0</v>
      </c>
      <c r="P42" s="51">
        <f t="shared" si="62"/>
        <v>0</v>
      </c>
      <c r="Q42" s="51" t="e">
        <f t="shared" si="57"/>
        <v>#DIV/0!</v>
      </c>
      <c r="R42" s="55">
        <f ca="1">IFERROR(__xludf.DUMMYFUNCTION("IFERROR(VLOOKUP($B$2,IMPORTRANGE(""https://docs.google.com/spreadsheets/d/1iVgg6Mw12RULLujzHmfOFIY8Q_KaAD8anoZzgtVAQ74/edit#gid=1503384807"",""Second Star - Summary!A1:AD2000""),9,FALSE),"""")"),224)</f>
        <v>224</v>
      </c>
      <c r="S42" s="53">
        <f ca="1">IFERROR(__xludf.DUMMYFUNCTION("IFERROR(VLOOKUP($B$2,IMPORTRANGE(""https://docs.google.com/spreadsheets/d/1iVgg6Mw12RULLujzHmfOFIY8Q_KaAD8anoZzgtVAQ74/edit#gid=1503384807"",""Second Star - Summary!A1:AD2000""),28,FALSE),"""")"),80)</f>
        <v>80</v>
      </c>
      <c r="T42" s="54">
        <f ca="1">IFERROR(__xludf.DUMMYFUNCTION("IFERROR(VLOOKUP($B$2,IMPORTRANGE(""https://docs.google.com/spreadsheets/d/1iVgg6Mw12RULLujzHmfOFIY8Q_KaAD8anoZzgtVAQ74/edit#gid=1503384807"",""Second Star - Summary!A1:AD2000""),29,FALSE),"""")"),44339)</f>
        <v>44339</v>
      </c>
      <c r="U42" s="55">
        <v>0</v>
      </c>
      <c r="V42" s="55">
        <f t="shared" si="58"/>
        <v>0</v>
      </c>
      <c r="W42" s="55">
        <f t="shared" si="59"/>
        <v>0</v>
      </c>
      <c r="X42" s="55">
        <v>0</v>
      </c>
      <c r="Y42" s="55" t="e">
        <v>#N/A</v>
      </c>
      <c r="Z42" s="56" t="e">
        <f t="shared" si="60"/>
        <v>#N/A</v>
      </c>
      <c r="AA42" s="55" t="e">
        <v>#N/A</v>
      </c>
      <c r="AB42" s="55">
        <f t="shared" si="61"/>
        <v>0</v>
      </c>
      <c r="AC42" s="55">
        <v>0</v>
      </c>
      <c r="AD42" s="55">
        <v>-6.4803224358974303</v>
      </c>
      <c r="AE42" s="55">
        <v>0</v>
      </c>
      <c r="AF42" s="55" t="e">
        <v>#N/A</v>
      </c>
    </row>
    <row r="43" spans="1:32" s="57" customFormat="1" ht="15.75" customHeight="1">
      <c r="A43" s="2" t="s">
        <v>107</v>
      </c>
      <c r="B43" s="2"/>
      <c r="C43" s="51" t="str">
        <f t="shared" si="50"/>
        <v xml:space="preserve"> - </v>
      </c>
      <c r="D43" s="51">
        <v>0</v>
      </c>
      <c r="E43" s="51">
        <v>0</v>
      </c>
      <c r="F43" s="51">
        <v>0</v>
      </c>
      <c r="G43" s="51">
        <v>0</v>
      </c>
      <c r="H43" s="51" t="e">
        <f t="shared" si="51"/>
        <v>#DIV/0!</v>
      </c>
      <c r="I43" s="51" t="e">
        <f t="shared" si="52"/>
        <v>#DIV/0!</v>
      </c>
      <c r="J43" s="51">
        <f t="shared" si="53"/>
        <v>0</v>
      </c>
      <c r="K43" s="51" t="e">
        <f t="shared" si="54"/>
        <v>#DIV/0!</v>
      </c>
      <c r="L43" s="51">
        <v>0</v>
      </c>
      <c r="M43" s="51" t="str">
        <f t="shared" si="55"/>
        <v>-</v>
      </c>
      <c r="N43" s="51">
        <v>0</v>
      </c>
      <c r="O43" s="51">
        <f t="shared" ref="O43:P43" si="63">D43/7</f>
        <v>0</v>
      </c>
      <c r="P43" s="51">
        <f t="shared" si="63"/>
        <v>0</v>
      </c>
      <c r="Q43" s="51" t="e">
        <f t="shared" si="57"/>
        <v>#DIV/0!</v>
      </c>
      <c r="R43" s="55">
        <v>100</v>
      </c>
      <c r="S43" s="53" t="s">
        <v>34</v>
      </c>
      <c r="T43" s="54" t="s">
        <v>34</v>
      </c>
      <c r="U43" s="55">
        <v>0</v>
      </c>
      <c r="V43" s="55">
        <f t="shared" si="58"/>
        <v>0</v>
      </c>
      <c r="W43" s="55">
        <f t="shared" si="59"/>
        <v>0</v>
      </c>
      <c r="X43" s="55">
        <v>0</v>
      </c>
      <c r="Y43" s="55" t="e">
        <v>#N/A</v>
      </c>
      <c r="Z43" s="56" t="e">
        <f t="shared" si="60"/>
        <v>#N/A</v>
      </c>
      <c r="AA43" s="55" t="e">
        <v>#N/A</v>
      </c>
      <c r="AB43" s="55">
        <f t="shared" si="61"/>
        <v>0</v>
      </c>
      <c r="AC43" s="55">
        <v>0</v>
      </c>
      <c r="AD43" s="55">
        <v>-6.4803224358974303</v>
      </c>
      <c r="AE43" s="55">
        <v>0</v>
      </c>
      <c r="AF43" s="55" t="e">
        <v>#N/A</v>
      </c>
    </row>
    <row r="44" spans="1:32" s="57" customFormat="1" ht="15.75" customHeight="1">
      <c r="A44" s="2" t="s">
        <v>108</v>
      </c>
      <c r="B44" s="2"/>
      <c r="C44" s="51" t="str">
        <f t="shared" si="50"/>
        <v xml:space="preserve"> - </v>
      </c>
      <c r="D44" s="51">
        <v>0</v>
      </c>
      <c r="E44" s="51">
        <v>0</v>
      </c>
      <c r="F44" s="51">
        <v>0</v>
      </c>
      <c r="G44" s="51">
        <v>0</v>
      </c>
      <c r="H44" s="51" t="e">
        <f t="shared" si="51"/>
        <v>#DIV/0!</v>
      </c>
      <c r="I44" s="51" t="e">
        <f t="shared" si="52"/>
        <v>#DIV/0!</v>
      </c>
      <c r="J44" s="51">
        <f t="shared" si="53"/>
        <v>0</v>
      </c>
      <c r="K44" s="51" t="e">
        <f t="shared" si="54"/>
        <v>#DIV/0!</v>
      </c>
      <c r="L44" s="51">
        <v>0</v>
      </c>
      <c r="M44" s="51" t="str">
        <f t="shared" si="55"/>
        <v>-</v>
      </c>
      <c r="N44" s="51">
        <v>0</v>
      </c>
      <c r="O44" s="51">
        <f t="shared" ref="O44:P44" si="64">D44/7</f>
        <v>0</v>
      </c>
      <c r="P44" s="51">
        <f t="shared" si="64"/>
        <v>0</v>
      </c>
      <c r="Q44" s="51" t="e">
        <f t="shared" si="57"/>
        <v>#DIV/0!</v>
      </c>
      <c r="R44" s="55">
        <v>100</v>
      </c>
      <c r="S44" s="53" t="s">
        <v>34</v>
      </c>
      <c r="T44" s="54" t="s">
        <v>34</v>
      </c>
      <c r="U44" s="55">
        <v>0</v>
      </c>
      <c r="V44" s="55">
        <f t="shared" si="58"/>
        <v>0</v>
      </c>
      <c r="W44" s="55">
        <f t="shared" si="59"/>
        <v>0</v>
      </c>
      <c r="X44" s="55">
        <v>0</v>
      </c>
      <c r="Y44" s="55" t="e">
        <v>#N/A</v>
      </c>
      <c r="Z44" s="56" t="e">
        <f t="shared" ref="Z44:Z56" si="65">IF(OR(Y44="UsLargeStandardSize",Y44="UsSmallStandardSize"),-2.4,-1.2)</f>
        <v>#N/A</v>
      </c>
      <c r="AA44" s="55" t="e">
        <v>#N/A</v>
      </c>
      <c r="AB44" s="55">
        <f t="shared" si="61"/>
        <v>0</v>
      </c>
      <c r="AC44" s="55">
        <v>0</v>
      </c>
      <c r="AD44" s="55">
        <v>-6.4803224358974303</v>
      </c>
      <c r="AE44" s="55">
        <v>0</v>
      </c>
      <c r="AF44" s="55" t="e">
        <v>#N/A</v>
      </c>
    </row>
    <row r="45" spans="1:32" s="57" customFormat="1" ht="15.75" customHeight="1">
      <c r="A45" s="2" t="s">
        <v>109</v>
      </c>
      <c r="B45" s="2"/>
      <c r="C45" s="51" t="str">
        <f t="shared" si="50"/>
        <v xml:space="preserve"> - </v>
      </c>
      <c r="D45" s="51">
        <v>0</v>
      </c>
      <c r="E45" s="51">
        <v>0</v>
      </c>
      <c r="F45" s="51">
        <v>0</v>
      </c>
      <c r="G45" s="51">
        <v>0</v>
      </c>
      <c r="H45" s="51" t="e">
        <f t="shared" si="51"/>
        <v>#DIV/0!</v>
      </c>
      <c r="I45" s="51" t="e">
        <f t="shared" si="52"/>
        <v>#DIV/0!</v>
      </c>
      <c r="J45" s="51">
        <f t="shared" si="53"/>
        <v>0</v>
      </c>
      <c r="K45" s="51" t="e">
        <f t="shared" si="54"/>
        <v>#DIV/0!</v>
      </c>
      <c r="L45" s="51">
        <v>0</v>
      </c>
      <c r="M45" s="51" t="str">
        <f t="shared" si="55"/>
        <v>-</v>
      </c>
      <c r="N45" s="51">
        <v>0</v>
      </c>
      <c r="O45" s="51">
        <f t="shared" ref="O45:P45" si="66">D45/7</f>
        <v>0</v>
      </c>
      <c r="P45" s="51">
        <f t="shared" si="66"/>
        <v>0</v>
      </c>
      <c r="Q45" s="51" t="e">
        <f t="shared" si="57"/>
        <v>#DIV/0!</v>
      </c>
      <c r="R45" s="55">
        <v>100</v>
      </c>
      <c r="S45" s="53" t="s">
        <v>34</v>
      </c>
      <c r="T45" s="54" t="s">
        <v>34</v>
      </c>
      <c r="U45" s="55">
        <v>0</v>
      </c>
      <c r="V45" s="55">
        <f t="shared" si="58"/>
        <v>0</v>
      </c>
      <c r="W45" s="55">
        <f t="shared" si="59"/>
        <v>0</v>
      </c>
      <c r="X45" s="55">
        <v>0</v>
      </c>
      <c r="Y45" s="55" t="e">
        <v>#N/A</v>
      </c>
      <c r="Z45" s="56" t="e">
        <f t="shared" si="65"/>
        <v>#N/A</v>
      </c>
      <c r="AA45" s="55" t="e">
        <v>#N/A</v>
      </c>
      <c r="AB45" s="55">
        <f t="shared" si="61"/>
        <v>0</v>
      </c>
      <c r="AC45" s="55">
        <v>0</v>
      </c>
      <c r="AD45" s="55">
        <v>-6.4803224358974303</v>
      </c>
      <c r="AE45" s="55">
        <v>0</v>
      </c>
      <c r="AF45" s="55" t="e">
        <v>#N/A</v>
      </c>
    </row>
    <row r="46" spans="1:32" s="57" customFormat="1" ht="15.75" customHeight="1">
      <c r="A46" s="2" t="s">
        <v>111</v>
      </c>
      <c r="B46" s="2"/>
      <c r="C46" s="51" t="str">
        <f t="shared" si="50"/>
        <v xml:space="preserve"> - </v>
      </c>
      <c r="D46" s="51">
        <v>0</v>
      </c>
      <c r="E46" s="51">
        <v>0</v>
      </c>
      <c r="F46" s="51">
        <v>0</v>
      </c>
      <c r="G46" s="51">
        <v>0</v>
      </c>
      <c r="H46" s="51" t="e">
        <f t="shared" si="51"/>
        <v>#DIV/0!</v>
      </c>
      <c r="I46" s="51" t="e">
        <f t="shared" si="52"/>
        <v>#DIV/0!</v>
      </c>
      <c r="J46" s="51">
        <f t="shared" si="53"/>
        <v>0</v>
      </c>
      <c r="K46" s="51" t="e">
        <f t="shared" si="54"/>
        <v>#DIV/0!</v>
      </c>
      <c r="L46" s="51">
        <v>0</v>
      </c>
      <c r="M46" s="51" t="str">
        <f t="shared" si="55"/>
        <v>-</v>
      </c>
      <c r="N46" s="51">
        <v>0</v>
      </c>
      <c r="O46" s="51">
        <f t="shared" ref="O46:P46" si="67">D46/7</f>
        <v>0</v>
      </c>
      <c r="P46" s="51">
        <f t="shared" si="67"/>
        <v>0</v>
      </c>
      <c r="Q46" s="51" t="e">
        <f t="shared" si="57"/>
        <v>#DIV/0!</v>
      </c>
      <c r="R46" s="55">
        <v>100</v>
      </c>
      <c r="S46" s="53" t="s">
        <v>34</v>
      </c>
      <c r="T46" s="54" t="s">
        <v>34</v>
      </c>
      <c r="U46" s="55">
        <v>0</v>
      </c>
      <c r="V46" s="55">
        <f t="shared" si="58"/>
        <v>0</v>
      </c>
      <c r="W46" s="55">
        <f t="shared" si="59"/>
        <v>0</v>
      </c>
      <c r="X46" s="55">
        <v>0</v>
      </c>
      <c r="Y46" s="55" t="e">
        <v>#N/A</v>
      </c>
      <c r="Z46" s="56" t="e">
        <f t="shared" si="65"/>
        <v>#N/A</v>
      </c>
      <c r="AA46" s="55" t="e">
        <v>#N/A</v>
      </c>
      <c r="AB46" s="55">
        <f t="shared" si="61"/>
        <v>0</v>
      </c>
      <c r="AC46" s="55">
        <v>0</v>
      </c>
      <c r="AD46" s="55">
        <v>-6.4803224358974303</v>
      </c>
      <c r="AE46" s="55">
        <v>0</v>
      </c>
      <c r="AF46" s="55" t="e">
        <v>#N/A</v>
      </c>
    </row>
    <row r="47" spans="1:32" s="57" customFormat="1" ht="15.75" customHeight="1">
      <c r="A47" s="2" t="s">
        <v>113</v>
      </c>
      <c r="B47" s="2"/>
      <c r="C47" s="51" t="str">
        <f t="shared" si="50"/>
        <v xml:space="preserve"> - </v>
      </c>
      <c r="D47" s="51">
        <v>0</v>
      </c>
      <c r="E47" s="51">
        <v>0</v>
      </c>
      <c r="F47" s="51">
        <v>0</v>
      </c>
      <c r="G47" s="51">
        <v>0</v>
      </c>
      <c r="H47" s="51" t="e">
        <f t="shared" si="51"/>
        <v>#DIV/0!</v>
      </c>
      <c r="I47" s="51" t="e">
        <f t="shared" si="52"/>
        <v>#DIV/0!</v>
      </c>
      <c r="J47" s="51">
        <f t="shared" si="53"/>
        <v>0</v>
      </c>
      <c r="K47" s="51" t="e">
        <f t="shared" si="54"/>
        <v>#DIV/0!</v>
      </c>
      <c r="L47" s="51">
        <v>0</v>
      </c>
      <c r="M47" s="51" t="str">
        <f t="shared" si="55"/>
        <v>-</v>
      </c>
      <c r="N47" s="51">
        <v>1</v>
      </c>
      <c r="O47" s="51">
        <f t="shared" ref="O47:P47" si="68">D47/7</f>
        <v>0</v>
      </c>
      <c r="P47" s="51">
        <f t="shared" si="68"/>
        <v>0</v>
      </c>
      <c r="Q47" s="51" t="e">
        <f t="shared" si="57"/>
        <v>#DIV/0!</v>
      </c>
      <c r="R47" s="55">
        <v>100</v>
      </c>
      <c r="S47" s="53" t="s">
        <v>34</v>
      </c>
      <c r="T47" s="54" t="s">
        <v>34</v>
      </c>
      <c r="U47" s="55">
        <v>0</v>
      </c>
      <c r="V47" s="55">
        <f t="shared" si="58"/>
        <v>0</v>
      </c>
      <c r="W47" s="55">
        <f t="shared" si="59"/>
        <v>0</v>
      </c>
      <c r="X47" s="55">
        <v>0</v>
      </c>
      <c r="Y47" s="55" t="e">
        <v>#N/A</v>
      </c>
      <c r="Z47" s="56" t="e">
        <f t="shared" si="65"/>
        <v>#N/A</v>
      </c>
      <c r="AA47" s="55" t="e">
        <v>#N/A</v>
      </c>
      <c r="AB47" s="55">
        <f t="shared" si="61"/>
        <v>0</v>
      </c>
      <c r="AC47" s="55">
        <v>0</v>
      </c>
      <c r="AD47" s="55">
        <v>-6.4803224358974303</v>
      </c>
      <c r="AE47" s="55">
        <v>0</v>
      </c>
      <c r="AF47" s="55">
        <v>0</v>
      </c>
    </row>
    <row r="48" spans="1:32" s="57" customFormat="1" ht="15.75" customHeight="1">
      <c r="A48" s="2" t="s">
        <v>115</v>
      </c>
      <c r="B48" s="2"/>
      <c r="C48" s="51" t="str">
        <f t="shared" si="50"/>
        <v xml:space="preserve"> - </v>
      </c>
      <c r="D48" s="51">
        <v>0</v>
      </c>
      <c r="E48" s="51">
        <v>0</v>
      </c>
      <c r="F48" s="51">
        <v>0</v>
      </c>
      <c r="G48" s="51">
        <v>0</v>
      </c>
      <c r="H48" s="51" t="e">
        <f t="shared" si="51"/>
        <v>#DIV/0!</v>
      </c>
      <c r="I48" s="51" t="e">
        <f t="shared" si="52"/>
        <v>#DIV/0!</v>
      </c>
      <c r="J48" s="51">
        <f t="shared" si="53"/>
        <v>0</v>
      </c>
      <c r="K48" s="51" t="e">
        <f t="shared" si="54"/>
        <v>#DIV/0!</v>
      </c>
      <c r="L48" s="51">
        <v>0</v>
      </c>
      <c r="M48" s="51" t="str">
        <f t="shared" si="55"/>
        <v>-</v>
      </c>
      <c r="N48" s="51">
        <v>1</v>
      </c>
      <c r="O48" s="51">
        <f t="shared" ref="O48:P48" si="69">D48/7</f>
        <v>0</v>
      </c>
      <c r="P48" s="51">
        <f t="shared" si="69"/>
        <v>0</v>
      </c>
      <c r="Q48" s="51" t="e">
        <f t="shared" si="57"/>
        <v>#DIV/0!</v>
      </c>
      <c r="R48" s="55">
        <f ca="1">IFERROR(__xludf.DUMMYFUNCTION("IFERROR(VLOOKUP($B$2,IMPORTRANGE(""https://docs.google.com/spreadsheets/d/1iVgg6Mw12RULLujzHmfOFIY8Q_KaAD8anoZzgtVAQ74/edit#gid=1503384807"",""Second Star - Summary!A1:AD2000""),9,FALSE),"""")"),224)</f>
        <v>224</v>
      </c>
      <c r="S48" s="53">
        <f ca="1">IFERROR(__xludf.DUMMYFUNCTION("IFERROR(VLOOKUP($B$2,IMPORTRANGE(""https://docs.google.com/spreadsheets/d/1iVgg6Mw12RULLujzHmfOFIY8Q_KaAD8anoZzgtVAQ74/edit#gid=1503384807"",""Second Star - Summary!A1:AD2000""),28,FALSE),"""")"),80)</f>
        <v>80</v>
      </c>
      <c r="T48" s="54">
        <f ca="1">IFERROR(__xludf.DUMMYFUNCTION("IFERROR(VLOOKUP($B$2,IMPORTRANGE(""https://docs.google.com/spreadsheets/d/1iVgg6Mw12RULLujzHmfOFIY8Q_KaAD8anoZzgtVAQ74/edit#gid=1503384807"",""Second Star - Summary!A1:AD2000""),29,FALSE),"""")"),44339)</f>
        <v>44339</v>
      </c>
      <c r="U48" s="55">
        <v>0</v>
      </c>
      <c r="V48" s="55">
        <f t="shared" si="58"/>
        <v>0</v>
      </c>
      <c r="W48" s="55">
        <f t="shared" si="59"/>
        <v>0</v>
      </c>
      <c r="X48" s="55">
        <v>0</v>
      </c>
      <c r="Y48" s="55" t="s">
        <v>35</v>
      </c>
      <c r="Z48" s="56">
        <f t="shared" si="65"/>
        <v>-2.4</v>
      </c>
      <c r="AA48" s="55">
        <v>0.27617916666666664</v>
      </c>
      <c r="AB48" s="55">
        <f t="shared" si="61"/>
        <v>0</v>
      </c>
      <c r="AC48" s="55">
        <v>-7.32</v>
      </c>
      <c r="AD48" s="55">
        <v>-6.4803224358974303</v>
      </c>
      <c r="AE48" s="55">
        <v>0</v>
      </c>
      <c r="AF48" s="55">
        <v>0</v>
      </c>
    </row>
    <row r="49" spans="1:32" s="57" customFormat="1" ht="15.75" customHeight="1">
      <c r="A49" s="2" t="s">
        <v>117</v>
      </c>
      <c r="B49" s="2"/>
      <c r="C49" s="51" t="str">
        <f t="shared" si="50"/>
        <v xml:space="preserve"> - </v>
      </c>
      <c r="D49" s="51">
        <v>0</v>
      </c>
      <c r="E49" s="51">
        <v>0</v>
      </c>
      <c r="F49" s="51">
        <v>0</v>
      </c>
      <c r="G49" s="51">
        <v>0</v>
      </c>
      <c r="H49" s="51" t="e">
        <f t="shared" si="51"/>
        <v>#DIV/0!</v>
      </c>
      <c r="I49" s="51" t="e">
        <f t="shared" si="52"/>
        <v>#DIV/0!</v>
      </c>
      <c r="J49" s="51">
        <f t="shared" ref="J49:J56" si="70">F49*0.85+G49+AD49*D49+D49*AC49+AE49+AB49</f>
        <v>0</v>
      </c>
      <c r="K49" s="51" t="e">
        <f t="shared" si="54"/>
        <v>#DIV/0!</v>
      </c>
      <c r="L49" s="51">
        <v>0</v>
      </c>
      <c r="M49" s="51" t="str">
        <f t="shared" si="55"/>
        <v>-</v>
      </c>
      <c r="N49" s="51">
        <v>1</v>
      </c>
      <c r="O49" s="51">
        <f t="shared" ref="O49:P49" si="71">D49/7</f>
        <v>0</v>
      </c>
      <c r="P49" s="51">
        <f t="shared" si="71"/>
        <v>0</v>
      </c>
      <c r="Q49" s="51" t="e">
        <f t="shared" si="57"/>
        <v>#DIV/0!</v>
      </c>
      <c r="R49" s="55">
        <f ca="1">IFERROR(__xludf.DUMMYFUNCTION("IFERROR(VLOOKUP($B$2,IMPORTRANGE(""https://docs.google.com/spreadsheets/d/1iVgg6Mw12RULLujzHmfOFIY8Q_KaAD8anoZzgtVAQ74/edit#gid=1503384807"",""Second Star - Summary!A1:AD2000""),9,FALSE),"""")"),224)</f>
        <v>224</v>
      </c>
      <c r="S49" s="53">
        <f ca="1">IFERROR(__xludf.DUMMYFUNCTION("IFERROR(VLOOKUP($B$2,IMPORTRANGE(""https://docs.google.com/spreadsheets/d/1iVgg6Mw12RULLujzHmfOFIY8Q_KaAD8anoZzgtVAQ74/edit#gid=1503384807"",""Second Star - Summary!A1:AD2000""),28,FALSE),"""")"),80)</f>
        <v>80</v>
      </c>
      <c r="T49" s="54">
        <f ca="1">IFERROR(__xludf.DUMMYFUNCTION("IFERROR(VLOOKUP($B$2,IMPORTRANGE(""https://docs.google.com/spreadsheets/d/1iVgg6Mw12RULLujzHmfOFIY8Q_KaAD8anoZzgtVAQ74/edit#gid=1503384807"",""Second Star - Summary!A1:AD2000""),29,FALSE),"""")"),44339)</f>
        <v>44339</v>
      </c>
      <c r="U49" s="55">
        <v>0</v>
      </c>
      <c r="V49" s="55">
        <f t="shared" si="58"/>
        <v>0</v>
      </c>
      <c r="W49" s="55">
        <f t="shared" si="59"/>
        <v>0</v>
      </c>
      <c r="X49" s="55">
        <v>0</v>
      </c>
      <c r="Y49" s="55" t="s">
        <v>35</v>
      </c>
      <c r="Z49" s="56">
        <f t="shared" si="65"/>
        <v>-2.4</v>
      </c>
      <c r="AA49" s="55">
        <v>0.27617916666666664</v>
      </c>
      <c r="AB49" s="55">
        <f t="shared" si="61"/>
        <v>0</v>
      </c>
      <c r="AC49" s="55">
        <v>-7.32</v>
      </c>
      <c r="AD49" s="55">
        <v>-6.4803224358974303</v>
      </c>
      <c r="AE49" s="55"/>
      <c r="AF49" s="55">
        <v>0</v>
      </c>
    </row>
    <row r="50" spans="1:32" s="57" customFormat="1" ht="15.75" customHeight="1">
      <c r="A50" s="2" t="s">
        <v>119</v>
      </c>
      <c r="B50" s="2"/>
      <c r="C50" s="51">
        <f t="shared" si="50"/>
        <v>19.989999999999998</v>
      </c>
      <c r="D50" s="51">
        <v>1</v>
      </c>
      <c r="E50" s="51">
        <v>0</v>
      </c>
      <c r="F50" s="51">
        <v>19.989999999999998</v>
      </c>
      <c r="G50" s="51">
        <v>0</v>
      </c>
      <c r="H50" s="51">
        <f t="shared" si="51"/>
        <v>0</v>
      </c>
      <c r="I50" s="51">
        <f t="shared" si="52"/>
        <v>6.0164460435346047E-2</v>
      </c>
      <c r="J50" s="51">
        <f t="shared" si="70"/>
        <v>1.2026875641025674</v>
      </c>
      <c r="K50" s="51">
        <f t="shared" si="54"/>
        <v>1.2026875641025674</v>
      </c>
      <c r="L50" s="51">
        <v>1</v>
      </c>
      <c r="M50" s="51">
        <f t="shared" si="55"/>
        <v>1</v>
      </c>
      <c r="N50" s="51">
        <v>0</v>
      </c>
      <c r="O50" s="51">
        <f t="shared" ref="O50:P50" si="72">D50/7</f>
        <v>0.14285714285714285</v>
      </c>
      <c r="P50" s="51">
        <f t="shared" si="72"/>
        <v>0</v>
      </c>
      <c r="Q50" s="51">
        <f t="shared" si="57"/>
        <v>0</v>
      </c>
      <c r="R50" s="55">
        <f ca="1">IFERROR(__xludf.DUMMYFUNCTION("IFERROR(VLOOKUP($B$2,IMPORTRANGE(""https://docs.google.com/spreadsheets/d/1iVgg6Mw12RULLujzHmfOFIY8Q_KaAD8anoZzgtVAQ74/edit#gid=1503384807"",""Second Star - Summary!A1:AD2000""),9,FALSE),"""")"),224)</f>
        <v>224</v>
      </c>
      <c r="S50" s="53">
        <f ca="1">IFERROR(__xludf.DUMMYFUNCTION("IFERROR(VLOOKUP($B$2,IMPORTRANGE(""https://docs.google.com/spreadsheets/d/1iVgg6Mw12RULLujzHmfOFIY8Q_KaAD8anoZzgtVAQ74/edit#gid=1503384807"",""Second Star - Summary!A1:AD2000""),28,FALSE),"""")"),80)</f>
        <v>80</v>
      </c>
      <c r="T50" s="54">
        <f ca="1">IFERROR(__xludf.DUMMYFUNCTION("IFERROR(VLOOKUP($B$2,IMPORTRANGE(""https://docs.google.com/spreadsheets/d/1iVgg6Mw12RULLujzHmfOFIY8Q_KaAD8anoZzgtVAQ74/edit#gid=1503384807"",""Second Star - Summary!A1:AD2000""),29,FALSE),"""")"),44339)</f>
        <v>44339</v>
      </c>
      <c r="U50" s="55">
        <v>0</v>
      </c>
      <c r="V50" s="55">
        <f t="shared" si="58"/>
        <v>0</v>
      </c>
      <c r="W50" s="55">
        <f t="shared" si="59"/>
        <v>0</v>
      </c>
      <c r="X50" s="55">
        <v>0</v>
      </c>
      <c r="Y50" s="55" t="s">
        <v>35</v>
      </c>
      <c r="Z50" s="56">
        <f t="shared" si="65"/>
        <v>-2.4</v>
      </c>
      <c r="AA50" s="55">
        <v>0.27617916666666664</v>
      </c>
      <c r="AB50" s="55">
        <f t="shared" si="61"/>
        <v>-1.9884899999999996</v>
      </c>
      <c r="AC50" s="55">
        <v>-7.32</v>
      </c>
      <c r="AD50" s="55">
        <v>-6.4803224358974303</v>
      </c>
      <c r="AE50" s="55">
        <v>0</v>
      </c>
      <c r="AF50" s="55" t="e">
        <v>#N/A</v>
      </c>
    </row>
    <row r="51" spans="1:32" s="57" customFormat="1" ht="15.75" customHeight="1">
      <c r="A51" s="2" t="s">
        <v>121</v>
      </c>
      <c r="B51" s="2"/>
      <c r="C51" s="51" t="str">
        <f t="shared" si="50"/>
        <v xml:space="preserve"> - </v>
      </c>
      <c r="D51" s="51">
        <v>0</v>
      </c>
      <c r="E51" s="51">
        <v>0</v>
      </c>
      <c r="F51" s="51">
        <v>0</v>
      </c>
      <c r="G51" s="51">
        <v>0</v>
      </c>
      <c r="H51" s="51" t="e">
        <f t="shared" si="51"/>
        <v>#DIV/0!</v>
      </c>
      <c r="I51" s="51" t="e">
        <f t="shared" si="52"/>
        <v>#DIV/0!</v>
      </c>
      <c r="J51" s="51">
        <f t="shared" si="70"/>
        <v>0</v>
      </c>
      <c r="K51" s="51" t="e">
        <f t="shared" si="54"/>
        <v>#DIV/0!</v>
      </c>
      <c r="L51" s="51">
        <v>0</v>
      </c>
      <c r="M51" s="51" t="str">
        <f t="shared" si="55"/>
        <v>-</v>
      </c>
      <c r="N51" s="51">
        <v>0</v>
      </c>
      <c r="O51" s="51">
        <f t="shared" ref="O51:P51" si="73">D51/7</f>
        <v>0</v>
      </c>
      <c r="P51" s="51">
        <f t="shared" si="73"/>
        <v>0</v>
      </c>
      <c r="Q51" s="51" t="e">
        <f t="shared" si="57"/>
        <v>#DIV/0!</v>
      </c>
      <c r="R51" s="55">
        <f ca="1">IFERROR(__xludf.DUMMYFUNCTION("IFERROR(VLOOKUP($B$2,IMPORTRANGE(""https://docs.google.com/spreadsheets/d/1iVgg6Mw12RULLujzHmfOFIY8Q_KaAD8anoZzgtVAQ74/edit#gid=1503384807"",""Second Star - Summary!A1:AD2000""),9,FALSE),"""")"),224)</f>
        <v>224</v>
      </c>
      <c r="S51" s="53">
        <f ca="1">IFERROR(__xludf.DUMMYFUNCTION("IFERROR(VLOOKUP($B$2,IMPORTRANGE(""https://docs.google.com/spreadsheets/d/1iVgg6Mw12RULLujzHmfOFIY8Q_KaAD8anoZzgtVAQ74/edit#gid=1503384807"",""Second Star - Summary!A1:AD2000""),28,FALSE),"""")"),80)</f>
        <v>80</v>
      </c>
      <c r="T51" s="54">
        <f ca="1">IFERROR(__xludf.DUMMYFUNCTION("IFERROR(VLOOKUP($B$2,IMPORTRANGE(""https://docs.google.com/spreadsheets/d/1iVgg6Mw12RULLujzHmfOFIY8Q_KaAD8anoZzgtVAQ74/edit#gid=1503384807"",""Second Star - Summary!A1:AD2000""),29,FALSE),"""")"),44339)</f>
        <v>44339</v>
      </c>
      <c r="U51" s="55">
        <v>0</v>
      </c>
      <c r="V51" s="55">
        <f t="shared" si="58"/>
        <v>0</v>
      </c>
      <c r="W51" s="55">
        <f t="shared" si="59"/>
        <v>0</v>
      </c>
      <c r="X51" s="55">
        <v>0</v>
      </c>
      <c r="Y51" s="55" t="e">
        <v>#N/A</v>
      </c>
      <c r="Z51" s="56" t="e">
        <f t="shared" si="65"/>
        <v>#N/A</v>
      </c>
      <c r="AA51" s="55" t="e">
        <v>#N/A</v>
      </c>
      <c r="AB51" s="55">
        <f t="shared" si="61"/>
        <v>0</v>
      </c>
      <c r="AC51" s="55">
        <v>0</v>
      </c>
      <c r="AD51" s="55">
        <v>-6.4803224358974303</v>
      </c>
      <c r="AE51" s="55">
        <v>0</v>
      </c>
      <c r="AF51" s="55" t="e">
        <v>#N/A</v>
      </c>
    </row>
    <row r="52" spans="1:32" s="57" customFormat="1" ht="15.75" customHeight="1">
      <c r="A52" s="2" t="s">
        <v>123</v>
      </c>
      <c r="B52" s="2"/>
      <c r="C52" s="51" t="str">
        <f t="shared" si="50"/>
        <v xml:space="preserve"> - </v>
      </c>
      <c r="D52" s="51">
        <v>0</v>
      </c>
      <c r="E52" s="51">
        <v>0</v>
      </c>
      <c r="F52" s="51">
        <v>0</v>
      </c>
      <c r="G52" s="51">
        <v>0</v>
      </c>
      <c r="H52" s="51" t="e">
        <f t="shared" si="51"/>
        <v>#DIV/0!</v>
      </c>
      <c r="I52" s="51" t="e">
        <f t="shared" si="52"/>
        <v>#DIV/0!</v>
      </c>
      <c r="J52" s="51">
        <f t="shared" si="70"/>
        <v>0</v>
      </c>
      <c r="K52" s="51" t="e">
        <f t="shared" si="54"/>
        <v>#DIV/0!</v>
      </c>
      <c r="L52" s="51">
        <v>0</v>
      </c>
      <c r="M52" s="51" t="str">
        <f t="shared" si="55"/>
        <v>-</v>
      </c>
      <c r="N52" s="51">
        <v>0</v>
      </c>
      <c r="O52" s="51">
        <f t="shared" ref="O52:P52" si="74">D52/7</f>
        <v>0</v>
      </c>
      <c r="P52" s="51">
        <f t="shared" si="74"/>
        <v>0</v>
      </c>
      <c r="Q52" s="51" t="e">
        <f t="shared" si="57"/>
        <v>#DIV/0!</v>
      </c>
      <c r="R52" s="55">
        <f ca="1">IFERROR(__xludf.DUMMYFUNCTION("IFERROR(VLOOKUP($B$2,IMPORTRANGE(""https://docs.google.com/spreadsheets/d/1iVgg6Mw12RULLujzHmfOFIY8Q_KaAD8anoZzgtVAQ74/edit#gid=1503384807"",""Second Star - Summary!A1:AD2000""),9,FALSE),"""")"),224)</f>
        <v>224</v>
      </c>
      <c r="S52" s="53">
        <f ca="1">IFERROR(__xludf.DUMMYFUNCTION("IFERROR(VLOOKUP($B$2,IMPORTRANGE(""https://docs.google.com/spreadsheets/d/1iVgg6Mw12RULLujzHmfOFIY8Q_KaAD8anoZzgtVAQ74/edit#gid=1503384807"",""Second Star - Summary!A1:AD2000""),28,FALSE),"""")"),80)</f>
        <v>80</v>
      </c>
      <c r="T52" s="54">
        <f ca="1">IFERROR(__xludf.DUMMYFUNCTION("IFERROR(VLOOKUP($B$2,IMPORTRANGE(""https://docs.google.com/spreadsheets/d/1iVgg6Mw12RULLujzHmfOFIY8Q_KaAD8anoZzgtVAQ74/edit#gid=1503384807"",""Second Star - Summary!A1:AD2000""),29,FALSE),"""")"),44339)</f>
        <v>44339</v>
      </c>
      <c r="U52" s="55">
        <v>0</v>
      </c>
      <c r="V52" s="55">
        <f t="shared" si="58"/>
        <v>0</v>
      </c>
      <c r="W52" s="55">
        <f t="shared" si="59"/>
        <v>0</v>
      </c>
      <c r="X52" s="55">
        <v>0</v>
      </c>
      <c r="Y52" s="55" t="e">
        <v>#N/A</v>
      </c>
      <c r="Z52" s="56" t="e">
        <f t="shared" si="65"/>
        <v>#N/A</v>
      </c>
      <c r="AA52" s="55" t="e">
        <v>#N/A</v>
      </c>
      <c r="AB52" s="55">
        <f t="shared" si="61"/>
        <v>0</v>
      </c>
      <c r="AC52" s="55">
        <v>0</v>
      </c>
      <c r="AD52" s="55">
        <v>-6.4803224358974303</v>
      </c>
      <c r="AE52" s="55">
        <v>0</v>
      </c>
      <c r="AF52" s="55">
        <v>0</v>
      </c>
    </row>
    <row r="53" spans="1:32" s="57" customFormat="1">
      <c r="A53" s="2" t="s">
        <v>38</v>
      </c>
      <c r="B53" s="2"/>
      <c r="C53" s="51" t="str">
        <f t="shared" si="50"/>
        <v xml:space="preserve"> - </v>
      </c>
      <c r="D53" s="51">
        <v>0</v>
      </c>
      <c r="E53" s="51">
        <v>0</v>
      </c>
      <c r="F53" s="51">
        <v>0</v>
      </c>
      <c r="G53" s="51">
        <v>0</v>
      </c>
      <c r="H53" s="51" t="e">
        <f t="shared" si="51"/>
        <v>#DIV/0!</v>
      </c>
      <c r="I53" s="51" t="e">
        <f t="shared" si="52"/>
        <v>#DIV/0!</v>
      </c>
      <c r="J53" s="51">
        <f t="shared" si="70"/>
        <v>0</v>
      </c>
      <c r="K53" s="51" t="e">
        <f t="shared" si="54"/>
        <v>#DIV/0!</v>
      </c>
      <c r="L53" s="51">
        <v>0</v>
      </c>
      <c r="M53" s="51" t="str">
        <f t="shared" si="55"/>
        <v>-</v>
      </c>
      <c r="N53" s="51">
        <v>0</v>
      </c>
      <c r="O53" s="51">
        <f t="shared" ref="O53:P53" si="75">D53/7</f>
        <v>0</v>
      </c>
      <c r="P53" s="51">
        <f t="shared" si="75"/>
        <v>0</v>
      </c>
      <c r="Q53" s="51" t="e">
        <f t="shared" si="57"/>
        <v>#DIV/0!</v>
      </c>
      <c r="R53" s="55">
        <f ca="1">IFERROR(__xludf.DUMMYFUNCTION("IFERROR(VLOOKUP($B$2,IMPORTRANGE(""https://docs.google.com/spreadsheets/d/1iVgg6Mw12RULLujzHmfOFIY8Q_KaAD8anoZzgtVAQ74/edit#gid=1503384807"",""Second Star - Summary!A1:AD2000""),9,FALSE),"""")"),224)</f>
        <v>224</v>
      </c>
      <c r="S53" s="53">
        <f ca="1">IFERROR(__xludf.DUMMYFUNCTION("IFERROR(VLOOKUP($B$2,IMPORTRANGE(""https://docs.google.com/spreadsheets/d/1iVgg6Mw12RULLujzHmfOFIY8Q_KaAD8anoZzgtVAQ74/edit#gid=1503384807"",""Second Star - Summary!A1:AD2000""),28,FALSE),"""")"),80)</f>
        <v>80</v>
      </c>
      <c r="T53" s="54">
        <f ca="1">IFERROR(__xludf.DUMMYFUNCTION("IFERROR(VLOOKUP($B$2,IMPORTRANGE(""https://docs.google.com/spreadsheets/d/1iVgg6Mw12RULLujzHmfOFIY8Q_KaAD8anoZzgtVAQ74/edit#gid=1503384807"",""Second Star - Summary!A1:AD2000""),29,FALSE),"""")"),44339)</f>
        <v>44339</v>
      </c>
      <c r="U53" s="55">
        <v>0</v>
      </c>
      <c r="V53" s="55">
        <f t="shared" si="58"/>
        <v>0</v>
      </c>
      <c r="W53" s="55">
        <f t="shared" si="59"/>
        <v>0</v>
      </c>
      <c r="X53" s="55">
        <v>0</v>
      </c>
      <c r="Y53" s="55" t="e">
        <v>#N/A</v>
      </c>
      <c r="Z53" s="56" t="e">
        <f t="shared" si="65"/>
        <v>#N/A</v>
      </c>
      <c r="AA53" s="55" t="e">
        <v>#N/A</v>
      </c>
      <c r="AB53" s="55">
        <f t="shared" si="61"/>
        <v>0</v>
      </c>
      <c r="AC53" s="55">
        <v>0</v>
      </c>
      <c r="AD53" s="55">
        <v>-6.4803224358974303</v>
      </c>
      <c r="AE53" s="55">
        <v>0</v>
      </c>
      <c r="AF53" s="55">
        <v>0</v>
      </c>
    </row>
    <row r="54" spans="1:32" s="57" customFormat="1">
      <c r="A54" s="2" t="s">
        <v>40</v>
      </c>
      <c r="B54" s="2"/>
      <c r="C54" s="51" t="str">
        <f t="shared" si="50"/>
        <v xml:space="preserve"> - </v>
      </c>
      <c r="D54" s="51">
        <v>0</v>
      </c>
      <c r="E54" s="51">
        <v>0</v>
      </c>
      <c r="F54" s="51">
        <v>0</v>
      </c>
      <c r="G54" s="51">
        <v>0</v>
      </c>
      <c r="H54" s="51" t="e">
        <f t="shared" si="51"/>
        <v>#DIV/0!</v>
      </c>
      <c r="I54" s="51" t="e">
        <f t="shared" si="52"/>
        <v>#DIV/0!</v>
      </c>
      <c r="J54" s="51">
        <f t="shared" si="70"/>
        <v>0</v>
      </c>
      <c r="K54" s="51" t="e">
        <f t="shared" si="54"/>
        <v>#DIV/0!</v>
      </c>
      <c r="L54" s="51">
        <v>0</v>
      </c>
      <c r="M54" s="51" t="str">
        <f t="shared" si="55"/>
        <v>-</v>
      </c>
      <c r="N54" s="51">
        <v>0</v>
      </c>
      <c r="O54" s="51">
        <f t="shared" ref="O54:P54" si="76">D54/7</f>
        <v>0</v>
      </c>
      <c r="P54" s="51">
        <f t="shared" si="76"/>
        <v>0</v>
      </c>
      <c r="Q54" s="51" t="e">
        <f t="shared" si="57"/>
        <v>#DIV/0!</v>
      </c>
      <c r="R54" s="55">
        <f ca="1">IFERROR(__xludf.DUMMYFUNCTION("IFERROR(VLOOKUP($B$2,IMPORTRANGE(""https://docs.google.com/spreadsheets/d/1iVgg6Mw12RULLujzHmfOFIY8Q_KaAD8anoZzgtVAQ74/edit#gid=1503384807"",""Second Star - Summary!A1:AD2000""),9,FALSE),"""")"),224)</f>
        <v>224</v>
      </c>
      <c r="S54" s="53">
        <f ca="1">IFERROR(__xludf.DUMMYFUNCTION("IFERROR(VLOOKUP($B$2,IMPORTRANGE(""https://docs.google.com/spreadsheets/d/1iVgg6Mw12RULLujzHmfOFIY8Q_KaAD8anoZzgtVAQ74/edit#gid=1503384807"",""Second Star - Summary!A1:AD2000""),28,FALSE),"""")"),80)</f>
        <v>80</v>
      </c>
      <c r="T54" s="54">
        <f ca="1">IFERROR(__xludf.DUMMYFUNCTION("IFERROR(VLOOKUP($B$2,IMPORTRANGE(""https://docs.google.com/spreadsheets/d/1iVgg6Mw12RULLujzHmfOFIY8Q_KaAD8anoZzgtVAQ74/edit#gid=1503384807"",""Second Star - Summary!A1:AD2000""),29,FALSE),"""")"),44339)</f>
        <v>44339</v>
      </c>
      <c r="U54" s="55">
        <v>0</v>
      </c>
      <c r="V54" s="55">
        <f t="shared" si="58"/>
        <v>0</v>
      </c>
      <c r="W54" s="55">
        <f t="shared" si="59"/>
        <v>0</v>
      </c>
      <c r="X54" s="55">
        <v>0</v>
      </c>
      <c r="Y54" s="55" t="e">
        <v>#N/A</v>
      </c>
      <c r="Z54" s="56" t="e">
        <f t="shared" si="65"/>
        <v>#N/A</v>
      </c>
      <c r="AA54" s="55" t="e">
        <v>#N/A</v>
      </c>
      <c r="AB54" s="55">
        <f t="shared" si="61"/>
        <v>0</v>
      </c>
      <c r="AC54" s="55">
        <v>0</v>
      </c>
      <c r="AD54" s="55">
        <v>-6.4803224358974303</v>
      </c>
      <c r="AE54" s="55">
        <v>0</v>
      </c>
      <c r="AF54" s="55">
        <v>0</v>
      </c>
    </row>
    <row r="55" spans="1:32" s="57" customFormat="1" ht="15.75" customHeight="1">
      <c r="A55" s="2" t="s">
        <v>32</v>
      </c>
      <c r="B55" s="2"/>
      <c r="C55" s="51" t="str">
        <f t="shared" si="50"/>
        <v xml:space="preserve"> - </v>
      </c>
      <c r="D55" s="51">
        <v>0</v>
      </c>
      <c r="E55" s="51">
        <v>0</v>
      </c>
      <c r="F55" s="51">
        <v>0</v>
      </c>
      <c r="G55" s="51">
        <v>0</v>
      </c>
      <c r="H55" s="51" t="e">
        <f t="shared" si="51"/>
        <v>#DIV/0!</v>
      </c>
      <c r="I55" s="51" t="e">
        <f t="shared" si="52"/>
        <v>#DIV/0!</v>
      </c>
      <c r="J55" s="51">
        <f t="shared" si="70"/>
        <v>0</v>
      </c>
      <c r="K55" s="51" t="e">
        <f t="shared" si="54"/>
        <v>#DIV/0!</v>
      </c>
      <c r="L55" s="51">
        <v>0</v>
      </c>
      <c r="M55" s="51" t="str">
        <f t="shared" si="55"/>
        <v>-</v>
      </c>
      <c r="N55" s="51">
        <v>0</v>
      </c>
      <c r="O55" s="51">
        <f t="shared" ref="O55:P55" si="77">D55/7</f>
        <v>0</v>
      </c>
      <c r="P55" s="51">
        <f t="shared" si="77"/>
        <v>0</v>
      </c>
      <c r="Q55" s="51" t="e">
        <f t="shared" si="57"/>
        <v>#DIV/0!</v>
      </c>
      <c r="R55" s="55">
        <v>100</v>
      </c>
      <c r="S55" s="53" t="s">
        <v>34</v>
      </c>
      <c r="T55" s="54" t="s">
        <v>34</v>
      </c>
      <c r="U55" s="55">
        <v>0</v>
      </c>
      <c r="V55" s="55">
        <f t="shared" si="58"/>
        <v>0</v>
      </c>
      <c r="W55" s="55">
        <f t="shared" si="59"/>
        <v>0</v>
      </c>
      <c r="X55" s="55">
        <v>0</v>
      </c>
      <c r="Y55" s="55" t="e">
        <v>#N/A</v>
      </c>
      <c r="Z55" s="56" t="e">
        <f t="shared" si="65"/>
        <v>#N/A</v>
      </c>
      <c r="AA55" s="55" t="e">
        <v>#N/A</v>
      </c>
      <c r="AB55" s="55">
        <f t="shared" si="61"/>
        <v>0</v>
      </c>
      <c r="AC55" s="55">
        <v>0</v>
      </c>
      <c r="AD55" s="55">
        <v>-6.4803224358974303</v>
      </c>
      <c r="AE55" s="55">
        <v>0</v>
      </c>
      <c r="AF55" s="55" t="e">
        <v>#N/A</v>
      </c>
    </row>
    <row r="56" spans="1:32" s="57" customFormat="1" ht="15.75" customHeight="1">
      <c r="A56" s="2" t="s">
        <v>36</v>
      </c>
      <c r="B56" s="2"/>
      <c r="C56" s="51" t="str">
        <f t="shared" si="50"/>
        <v xml:space="preserve"> - </v>
      </c>
      <c r="D56" s="51">
        <v>0</v>
      </c>
      <c r="E56" s="51">
        <v>0</v>
      </c>
      <c r="F56" s="51">
        <v>0</v>
      </c>
      <c r="G56" s="51">
        <v>0</v>
      </c>
      <c r="H56" s="51" t="e">
        <f t="shared" si="51"/>
        <v>#DIV/0!</v>
      </c>
      <c r="I56" s="51" t="e">
        <f t="shared" si="52"/>
        <v>#DIV/0!</v>
      </c>
      <c r="J56" s="51">
        <f t="shared" si="70"/>
        <v>0</v>
      </c>
      <c r="K56" s="51" t="e">
        <f t="shared" si="54"/>
        <v>#DIV/0!</v>
      </c>
      <c r="L56" s="51">
        <v>0</v>
      </c>
      <c r="M56" s="51" t="str">
        <f t="shared" si="55"/>
        <v>-</v>
      </c>
      <c r="N56" s="51">
        <v>0</v>
      </c>
      <c r="O56" s="51">
        <f t="shared" ref="O56:P56" si="78">D56/7</f>
        <v>0</v>
      </c>
      <c r="P56" s="51">
        <f t="shared" si="78"/>
        <v>0</v>
      </c>
      <c r="Q56" s="51" t="e">
        <f t="shared" si="57"/>
        <v>#DIV/0!</v>
      </c>
      <c r="R56" s="55">
        <f ca="1">IFERROR(__xludf.DUMMYFUNCTION("IFERROR(VLOOKUP($B$2,IMPORTRANGE(""https://docs.google.com/spreadsheets/d/1iVgg6Mw12RULLujzHmfOFIY8Q_KaAD8anoZzgtVAQ74/edit#gid=1503384807"",""Second Star - Summary!A1:AD2000""),9,FALSE),"""")"),224)</f>
        <v>224</v>
      </c>
      <c r="S56" s="53">
        <f ca="1">IFERROR(__xludf.DUMMYFUNCTION("IFERROR(VLOOKUP($B$2,IMPORTRANGE(""https://docs.google.com/spreadsheets/d/1iVgg6Mw12RULLujzHmfOFIY8Q_KaAD8anoZzgtVAQ74/edit#gid=1503384807"",""Second Star - Summary!A1:AD2000""),28,FALSE),"""")"),80)</f>
        <v>80</v>
      </c>
      <c r="T56" s="54">
        <f ca="1">IFERROR(__xludf.DUMMYFUNCTION("IFERROR(VLOOKUP($B$2,IMPORTRANGE(""https://docs.google.com/spreadsheets/d/1iVgg6Mw12RULLujzHmfOFIY8Q_KaAD8anoZzgtVAQ74/edit#gid=1503384807"",""Second Star - Summary!A1:AD2000""),29,FALSE),"""")"),44339)</f>
        <v>44339</v>
      </c>
      <c r="U56" s="55">
        <v>0</v>
      </c>
      <c r="V56" s="55">
        <f t="shared" si="58"/>
        <v>0</v>
      </c>
      <c r="W56" s="55">
        <f t="shared" si="59"/>
        <v>0</v>
      </c>
      <c r="X56" s="55">
        <v>0</v>
      </c>
      <c r="Y56" s="55" t="e">
        <v>#N/A</v>
      </c>
      <c r="Z56" s="56" t="e">
        <f t="shared" si="65"/>
        <v>#N/A</v>
      </c>
      <c r="AA56" s="55" t="e">
        <v>#N/A</v>
      </c>
      <c r="AB56" s="55">
        <f t="shared" si="61"/>
        <v>0</v>
      </c>
      <c r="AC56" s="55">
        <v>0</v>
      </c>
      <c r="AD56" s="55">
        <v>-6.4803224358974303</v>
      </c>
      <c r="AE56" s="55">
        <v>0</v>
      </c>
      <c r="AF56" s="55" t="e">
        <v>#N/A</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61" priority="1" operator="lessThan">
      <formula>100</formula>
    </cfRule>
  </conditionalFormatting>
  <conditionalFormatting sqref="Q1:Q3 Q57:Q1000">
    <cfRule type="cellIs" dxfId="60" priority="2" operator="lessThan">
      <formula>100</formula>
    </cfRule>
  </conditionalFormatting>
  <conditionalFormatting sqref="I1:I3 I57:I1000">
    <cfRule type="cellIs" dxfId="59" priority="3" operator="lessThan">
      <formula>0.05</formula>
    </cfRule>
  </conditionalFormatting>
  <conditionalFormatting sqref="I4:I56">
    <cfRule type="cellIs" dxfId="58" priority="4" operator="lessThan">
      <formula>0.05</formula>
    </cfRule>
  </conditionalFormatting>
  <conditionalFormatting sqref="Q4:Q56">
    <cfRule type="cellIs" dxfId="57" priority="5" operator="lessThan">
      <formula>100</formula>
    </cfRule>
  </conditionalFormatting>
  <conditionalFormatting sqref="Q4:Q56">
    <cfRule type="cellIs" dxfId="56" priority="6" operator="lessThan">
      <formula>100</formula>
    </cfRule>
  </conditionalFormatting>
  <pageMargins left="0.7" right="0.7" top="0.75" bottom="0.75" header="0" footer="0"/>
  <pageSetup orientation="portrait"/>
  <legacy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25.1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Info!B1:BJ5000""),4,FALSE),"""")"),"Pack of 2 Quilted Waterproof Mattress Overlay Pad - Extra Large Flat 36x70")</f>
        <v>Pack of 2 Quilted Waterproof Mattress Overlay Pad - Extra Large Flat 36x70</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Info!B1:BJ5000""),3,FALSE),"""")"),"B07YYJ4HRZ")</f>
        <v>B07YYJ4HRZ</v>
      </c>
      <c r="B2" s="4" t="s">
        <v>1166</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23.709411764705884</v>
      </c>
      <c r="D3" s="8">
        <f>SUM(D4:D99819)</f>
        <v>1186</v>
      </c>
      <c r="E3" s="8"/>
      <c r="F3" s="9">
        <f t="shared" ref="F3:G3" si="0">SUM(F4:F99819)</f>
        <v>38432.930000000015</v>
      </c>
      <c r="G3" s="9">
        <f t="shared" si="0"/>
        <v>-629.07000000000005</v>
      </c>
      <c r="H3" s="10">
        <f t="shared" ref="H3:H39" si="1">G3/F3*-1</f>
        <v>1.6367994841923316E-2</v>
      </c>
      <c r="I3" s="11">
        <f t="shared" ref="I3:I39" si="2">J3/F3</f>
        <v>0.14581549788583004</v>
      </c>
      <c r="J3" s="9">
        <f>SUM(J4:J99819)</f>
        <v>5604.1168231612555</v>
      </c>
      <c r="K3" s="9">
        <f t="shared" ref="K3:K39" si="3">J3/D3</f>
        <v>4.7252249773703676</v>
      </c>
      <c r="L3" s="8"/>
      <c r="M3" s="12"/>
      <c r="N3" s="13"/>
      <c r="O3" s="8" t="str">
        <f ca="1">IFERROR(__xludf.DUMMYFUNCTION("IFERROR(VLOOKUP(B2,IMPORTRANGE(""https://docs.google.com/spreadsheets/d/1owCo6kL_VFQ5nPTdNogErmCBLjNiktT1m3SzTrxu3R0/edit#gid=2146806407"",""Second Star - Compiled!b1:g5000""),2,FALSE),"""")"),"5 - March
5 - April
5 - May
5 - Jun
5 - Jul
5 - Aug
5 - Sept
5 - Oct
5 - Nov
5 - Dec
5 - Jan
5 - Feb")</f>
        <v>5 - March
5 - April
5 - May
5 - Jun
5 - Jul
5 - Aug
5 - Sept
5 - Oct
5 - Nov
5 - Dec
5 - Jan
5 - Feb</v>
      </c>
      <c r="P3" s="8"/>
      <c r="Q3" s="14"/>
      <c r="R3" s="13"/>
      <c r="S3" s="13"/>
      <c r="T3" s="13"/>
      <c r="U3" s="8">
        <f>SUM(U4:U99819)</f>
        <v>85</v>
      </c>
      <c r="V3" s="10">
        <f>AVERAGE(V4:V99819)</f>
        <v>6.2238296117734314E-2</v>
      </c>
      <c r="W3" s="9">
        <f>ROUND(AVERAGE(W4:W99819),2)</f>
        <v>3.38</v>
      </c>
      <c r="X3" s="8"/>
      <c r="Y3" s="8"/>
      <c r="Z3" s="8"/>
      <c r="AA3" s="8"/>
      <c r="AB3" s="8"/>
      <c r="AC3" s="15"/>
      <c r="AD3" s="9"/>
      <c r="AE3" s="9">
        <f>SUM(AE4:AE99819)</f>
        <v>-10.66</v>
      </c>
      <c r="AF3" s="16"/>
    </row>
    <row r="4" spans="1:32" s="57" customFormat="1" ht="16">
      <c r="A4" s="17" t="s">
        <v>48</v>
      </c>
      <c r="B4" s="17"/>
      <c r="C4" s="50" t="s">
        <v>397</v>
      </c>
      <c r="D4" s="51">
        <v>0</v>
      </c>
      <c r="E4" s="51">
        <v>0</v>
      </c>
      <c r="F4" s="51">
        <v>0</v>
      </c>
      <c r="G4" s="51">
        <v>0</v>
      </c>
      <c r="H4" s="51" t="e">
        <f t="shared" si="1"/>
        <v>#DIV/0!</v>
      </c>
      <c r="I4" s="51" t="e">
        <f t="shared" si="2"/>
        <v>#DIV/0!</v>
      </c>
      <c r="J4" s="51">
        <f t="shared" ref="J4:J38" si="4">F4*0.85+G4+AD4*D4+D4*AC4+AE4+AB4</f>
        <v>0</v>
      </c>
      <c r="K4" s="51" t="e">
        <f t="shared" si="3"/>
        <v>#DIV/0!</v>
      </c>
      <c r="L4" s="51">
        <v>0</v>
      </c>
      <c r="M4" s="51" t="str">
        <f t="shared" ref="M4:M39" si="5">IFERROR(D4/L4,"-")</f>
        <v>-</v>
      </c>
      <c r="N4" s="51">
        <v>0</v>
      </c>
      <c r="O4" s="51">
        <f t="shared" ref="O4:P4" si="6">D4/7</f>
        <v>0</v>
      </c>
      <c r="P4" s="51">
        <f t="shared" si="6"/>
        <v>0</v>
      </c>
      <c r="Q4" s="51" t="e">
        <f t="shared" ref="Q4:Q39" si="7">ROUNDDOWN(N4/(O4+P4),0)</f>
        <v>#DIV/0!</v>
      </c>
      <c r="R4" s="52">
        <v>320</v>
      </c>
      <c r="S4" s="53" t="s">
        <v>34</v>
      </c>
      <c r="T4" s="54" t="s">
        <v>34</v>
      </c>
      <c r="U4" s="52">
        <v>0</v>
      </c>
      <c r="V4" s="55">
        <f t="shared" ref="V4:V39" si="8">IFERROR(U4/D4,0)</f>
        <v>0</v>
      </c>
      <c r="W4" s="55">
        <f t="shared" ref="W4:W39" si="9">IFERROR(G4/(U4+X4)*-1,0)</f>
        <v>0</v>
      </c>
      <c r="X4" s="52">
        <v>0</v>
      </c>
      <c r="Y4" s="56" t="e">
        <v>#N/A</v>
      </c>
      <c r="Z4" s="56" t="e">
        <f t="shared" ref="Z4:Z10" si="10">IF(OR(Y4="UsLargeStandardSize",Y4="UsSmallStandardSize"),-0.69,-0.48)</f>
        <v>#N/A</v>
      </c>
      <c r="AA4" s="55" t="e">
        <v>#N/A</v>
      </c>
      <c r="AB4" s="55">
        <f t="shared" ref="AB4:AB17" si="11">IFERROR((Z4*AA4*N4)/4,0)</f>
        <v>0</v>
      </c>
      <c r="AC4" s="55">
        <v>0</v>
      </c>
      <c r="AD4" s="55">
        <v>-14.651100000000001</v>
      </c>
      <c r="AE4" s="55">
        <v>0</v>
      </c>
      <c r="AF4" s="55"/>
    </row>
    <row r="5" spans="1:32" s="57" customFormat="1" ht="15.75" customHeight="1">
      <c r="A5" s="2" t="s">
        <v>49</v>
      </c>
      <c r="B5" s="2" t="s">
        <v>1167</v>
      </c>
      <c r="C5" s="51">
        <v>44.99</v>
      </c>
      <c r="D5" s="51">
        <v>1</v>
      </c>
      <c r="E5" s="51">
        <v>0</v>
      </c>
      <c r="F5" s="51">
        <v>44.99</v>
      </c>
      <c r="G5" s="51">
        <v>0</v>
      </c>
      <c r="H5" s="51">
        <f t="shared" si="1"/>
        <v>0</v>
      </c>
      <c r="I5" s="51">
        <f t="shared" si="2"/>
        <v>0.37364747721715941</v>
      </c>
      <c r="J5" s="51">
        <f t="shared" si="4"/>
        <v>16.810400000000001</v>
      </c>
      <c r="K5" s="51">
        <f t="shared" si="3"/>
        <v>16.810400000000001</v>
      </c>
      <c r="L5" s="51">
        <v>6</v>
      </c>
      <c r="M5" s="51">
        <f t="shared" si="5"/>
        <v>0.16666666666666666</v>
      </c>
      <c r="N5" s="51">
        <v>0</v>
      </c>
      <c r="O5" s="51">
        <f t="shared" ref="O5:P5" si="12">D5/7</f>
        <v>0.14285714285714285</v>
      </c>
      <c r="P5" s="51">
        <f t="shared" si="12"/>
        <v>0</v>
      </c>
      <c r="Q5" s="51">
        <f t="shared" si="7"/>
        <v>0</v>
      </c>
      <c r="R5" s="55">
        <v>320</v>
      </c>
      <c r="S5" s="53" t="s">
        <v>34</v>
      </c>
      <c r="T5" s="54" t="s">
        <v>34</v>
      </c>
      <c r="U5" s="55">
        <v>0</v>
      </c>
      <c r="V5" s="55">
        <f t="shared" si="8"/>
        <v>0</v>
      </c>
      <c r="W5" s="55">
        <f t="shared" si="9"/>
        <v>0</v>
      </c>
      <c r="X5" s="55">
        <v>0</v>
      </c>
      <c r="Y5" s="55" t="s">
        <v>35</v>
      </c>
      <c r="Z5" s="56">
        <f t="shared" si="10"/>
        <v>-0.69</v>
      </c>
      <c r="AA5" s="55">
        <v>0.52028425000000011</v>
      </c>
      <c r="AB5" s="55">
        <f t="shared" si="11"/>
        <v>0</v>
      </c>
      <c r="AC5" s="55">
        <v>-6.78</v>
      </c>
      <c r="AD5" s="55">
        <v>-14.651100000000001</v>
      </c>
      <c r="AE5" s="55">
        <v>0</v>
      </c>
      <c r="AF5" s="55"/>
    </row>
    <row r="6" spans="1:32" s="57" customFormat="1" ht="15.75" customHeight="1">
      <c r="A6" s="2" t="s">
        <v>51</v>
      </c>
      <c r="B6" s="2"/>
      <c r="C6" s="51" t="s">
        <v>397</v>
      </c>
      <c r="D6" s="51">
        <v>0</v>
      </c>
      <c r="E6" s="51">
        <v>0</v>
      </c>
      <c r="F6" s="51">
        <v>0</v>
      </c>
      <c r="G6" s="51">
        <v>0</v>
      </c>
      <c r="H6" s="51" t="e">
        <f t="shared" si="1"/>
        <v>#DIV/0!</v>
      </c>
      <c r="I6" s="51" t="e">
        <f t="shared" si="2"/>
        <v>#DIV/0!</v>
      </c>
      <c r="J6" s="51">
        <f t="shared" si="4"/>
        <v>0</v>
      </c>
      <c r="K6" s="51" t="e">
        <f t="shared" si="3"/>
        <v>#DIV/0!</v>
      </c>
      <c r="L6" s="51">
        <v>0</v>
      </c>
      <c r="M6" s="51" t="str">
        <f t="shared" si="5"/>
        <v>-</v>
      </c>
      <c r="N6" s="51">
        <v>0</v>
      </c>
      <c r="O6" s="51">
        <f t="shared" ref="O6:P6" si="13">D6/7</f>
        <v>0</v>
      </c>
      <c r="P6" s="51">
        <f t="shared" si="13"/>
        <v>0</v>
      </c>
      <c r="Q6" s="51" t="e">
        <f t="shared" si="7"/>
        <v>#DIV/0!</v>
      </c>
      <c r="R6" s="55">
        <v>0</v>
      </c>
      <c r="S6" s="53" t="s">
        <v>34</v>
      </c>
      <c r="T6" s="54" t="s">
        <v>34</v>
      </c>
      <c r="U6" s="55">
        <v>0</v>
      </c>
      <c r="V6" s="55">
        <f t="shared" si="8"/>
        <v>0</v>
      </c>
      <c r="W6" s="55">
        <f t="shared" si="9"/>
        <v>0</v>
      </c>
      <c r="X6" s="55">
        <v>0</v>
      </c>
      <c r="Y6" s="55" t="e">
        <v>#N/A</v>
      </c>
      <c r="Z6" s="56" t="e">
        <f t="shared" si="10"/>
        <v>#N/A</v>
      </c>
      <c r="AA6" s="55" t="e">
        <v>#N/A</v>
      </c>
      <c r="AB6" s="55">
        <f t="shared" si="11"/>
        <v>0</v>
      </c>
      <c r="AC6" s="55">
        <v>0</v>
      </c>
      <c r="AD6" s="55">
        <v>-14.651100000000001</v>
      </c>
      <c r="AE6" s="55">
        <v>0</v>
      </c>
      <c r="AF6" s="55"/>
    </row>
    <row r="7" spans="1:32" s="57" customFormat="1" ht="15.75" customHeight="1">
      <c r="A7" s="2" t="s">
        <v>53</v>
      </c>
      <c r="B7" s="2"/>
      <c r="C7" s="51" t="s">
        <v>397</v>
      </c>
      <c r="D7" s="51">
        <v>0</v>
      </c>
      <c r="E7" s="51">
        <v>0</v>
      </c>
      <c r="F7" s="51">
        <v>0</v>
      </c>
      <c r="G7" s="51">
        <v>0</v>
      </c>
      <c r="H7" s="51" t="e">
        <f t="shared" si="1"/>
        <v>#DIV/0!</v>
      </c>
      <c r="I7" s="51" t="e">
        <f t="shared" si="2"/>
        <v>#DIV/0!</v>
      </c>
      <c r="J7" s="51">
        <f t="shared" si="4"/>
        <v>0</v>
      </c>
      <c r="K7" s="51" t="e">
        <f t="shared" si="3"/>
        <v>#DIV/0!</v>
      </c>
      <c r="L7" s="51">
        <v>0</v>
      </c>
      <c r="M7" s="51" t="str">
        <f t="shared" si="5"/>
        <v>-</v>
      </c>
      <c r="N7" s="51">
        <v>0</v>
      </c>
      <c r="O7" s="51">
        <f t="shared" ref="O7:P7" si="14">D7/7</f>
        <v>0</v>
      </c>
      <c r="P7" s="51">
        <f t="shared" si="14"/>
        <v>0</v>
      </c>
      <c r="Q7" s="51" t="e">
        <f t="shared" si="7"/>
        <v>#DIV/0!</v>
      </c>
      <c r="R7" s="55">
        <v>270</v>
      </c>
      <c r="S7" s="53" t="s">
        <v>34</v>
      </c>
      <c r="T7" s="54" t="s">
        <v>34</v>
      </c>
      <c r="U7" s="55">
        <v>0</v>
      </c>
      <c r="V7" s="55">
        <f t="shared" si="8"/>
        <v>0</v>
      </c>
      <c r="W7" s="55">
        <f t="shared" si="9"/>
        <v>0</v>
      </c>
      <c r="X7" s="55">
        <v>0</v>
      </c>
      <c r="Y7" s="55" t="e">
        <v>#N/A</v>
      </c>
      <c r="Z7" s="56" t="e">
        <f t="shared" si="10"/>
        <v>#N/A</v>
      </c>
      <c r="AA7" s="55" t="e">
        <v>#N/A</v>
      </c>
      <c r="AB7" s="55">
        <f t="shared" si="11"/>
        <v>0</v>
      </c>
      <c r="AC7" s="55">
        <v>0</v>
      </c>
      <c r="AD7" s="55">
        <v>-14.9</v>
      </c>
      <c r="AE7" s="55">
        <v>0</v>
      </c>
      <c r="AF7" s="55"/>
    </row>
    <row r="8" spans="1:32" s="57" customFormat="1" ht="15.75" customHeight="1">
      <c r="A8" s="2" t="s">
        <v>54</v>
      </c>
      <c r="B8" s="2" t="s">
        <v>1168</v>
      </c>
      <c r="C8" s="51">
        <v>44.99</v>
      </c>
      <c r="D8" s="51">
        <v>0</v>
      </c>
      <c r="E8" s="51">
        <v>0</v>
      </c>
      <c r="F8" s="51">
        <v>0</v>
      </c>
      <c r="G8" s="51">
        <v>0</v>
      </c>
      <c r="H8" s="51" t="e">
        <f t="shared" si="1"/>
        <v>#DIV/0!</v>
      </c>
      <c r="I8" s="51" t="e">
        <f t="shared" si="2"/>
        <v>#DIV/0!</v>
      </c>
      <c r="J8" s="51">
        <f t="shared" si="4"/>
        <v>-18.847296956250002</v>
      </c>
      <c r="K8" s="51" t="e">
        <f t="shared" si="3"/>
        <v>#DIV/0!</v>
      </c>
      <c r="L8" s="51">
        <v>0</v>
      </c>
      <c r="M8" s="51" t="str">
        <f t="shared" si="5"/>
        <v>-</v>
      </c>
      <c r="N8" s="51">
        <v>210</v>
      </c>
      <c r="O8" s="51">
        <f t="shared" ref="O8:P8" si="15">D8/7</f>
        <v>0</v>
      </c>
      <c r="P8" s="51">
        <f t="shared" si="15"/>
        <v>0</v>
      </c>
      <c r="Q8" s="51" t="e">
        <f t="shared" si="7"/>
        <v>#DIV/0!</v>
      </c>
      <c r="R8" s="55">
        <v>270</v>
      </c>
      <c r="S8" s="53" t="s">
        <v>34</v>
      </c>
      <c r="T8" s="54" t="s">
        <v>34</v>
      </c>
      <c r="U8" s="55">
        <v>0</v>
      </c>
      <c r="V8" s="55">
        <f t="shared" si="8"/>
        <v>0</v>
      </c>
      <c r="W8" s="55">
        <f t="shared" si="9"/>
        <v>0</v>
      </c>
      <c r="X8" s="55">
        <v>0</v>
      </c>
      <c r="Y8" s="55" t="s">
        <v>35</v>
      </c>
      <c r="Z8" s="56">
        <f t="shared" si="10"/>
        <v>-0.69</v>
      </c>
      <c r="AA8" s="55">
        <v>0.52028425000000011</v>
      </c>
      <c r="AB8" s="55">
        <f t="shared" si="11"/>
        <v>-18.847296956250002</v>
      </c>
      <c r="AC8" s="55">
        <v>-6.78</v>
      </c>
      <c r="AD8" s="55">
        <v>-14.9</v>
      </c>
      <c r="AE8" s="55">
        <v>0</v>
      </c>
      <c r="AF8" s="55"/>
    </row>
    <row r="9" spans="1:32" s="57" customFormat="1" ht="15.75" customHeight="1">
      <c r="A9" s="2" t="s">
        <v>56</v>
      </c>
      <c r="B9" s="2" t="s">
        <v>1169</v>
      </c>
      <c r="C9" s="51">
        <v>43.99</v>
      </c>
      <c r="D9" s="51">
        <v>17</v>
      </c>
      <c r="E9" s="51">
        <v>0</v>
      </c>
      <c r="F9" s="51">
        <v>746.83</v>
      </c>
      <c r="G9" s="51">
        <v>0</v>
      </c>
      <c r="H9" s="51">
        <f t="shared" si="1"/>
        <v>0</v>
      </c>
      <c r="I9" s="51">
        <f t="shared" si="2"/>
        <v>0.33222580146586239</v>
      </c>
      <c r="J9" s="51">
        <f t="shared" si="4"/>
        <v>248.11619530875004</v>
      </c>
      <c r="K9" s="51">
        <f t="shared" si="3"/>
        <v>14.595070312279415</v>
      </c>
      <c r="L9" s="51">
        <v>82</v>
      </c>
      <c r="M9" s="51">
        <f t="shared" si="5"/>
        <v>0.2073170731707317</v>
      </c>
      <c r="N9" s="51">
        <v>202</v>
      </c>
      <c r="O9" s="51">
        <f t="shared" ref="O9:P9" si="16">D9/7</f>
        <v>2.4285714285714284</v>
      </c>
      <c r="P9" s="51">
        <f t="shared" si="16"/>
        <v>0</v>
      </c>
      <c r="Q9" s="51">
        <f t="shared" si="7"/>
        <v>83</v>
      </c>
      <c r="R9" s="55">
        <v>477</v>
      </c>
      <c r="S9" s="53">
        <v>243</v>
      </c>
      <c r="T9" s="54">
        <v>43881</v>
      </c>
      <c r="U9" s="55">
        <v>0</v>
      </c>
      <c r="V9" s="55">
        <f t="shared" si="8"/>
        <v>0</v>
      </c>
      <c r="W9" s="55">
        <f t="shared" si="9"/>
        <v>0</v>
      </c>
      <c r="X9" s="55">
        <v>0</v>
      </c>
      <c r="Y9" s="55" t="s">
        <v>35</v>
      </c>
      <c r="Z9" s="56">
        <f t="shared" si="10"/>
        <v>-0.69</v>
      </c>
      <c r="AA9" s="55">
        <v>0.52028425000000011</v>
      </c>
      <c r="AB9" s="55">
        <f t="shared" si="11"/>
        <v>-18.129304691250002</v>
      </c>
      <c r="AC9" s="55">
        <v>-6.78</v>
      </c>
      <c r="AD9" s="55">
        <v>-14.9</v>
      </c>
      <c r="AE9" s="55">
        <v>0</v>
      </c>
      <c r="AF9" s="55"/>
    </row>
    <row r="10" spans="1:32" s="57" customFormat="1" ht="15.75" customHeight="1">
      <c r="A10" s="2" t="s">
        <v>58</v>
      </c>
      <c r="B10" s="2" t="s">
        <v>1170</v>
      </c>
      <c r="C10" s="51">
        <v>40.99</v>
      </c>
      <c r="D10" s="51">
        <v>20</v>
      </c>
      <c r="E10" s="51">
        <v>0</v>
      </c>
      <c r="F10" s="51">
        <v>821.80000000000007</v>
      </c>
      <c r="G10" s="51">
        <v>0</v>
      </c>
      <c r="H10" s="51">
        <f t="shared" si="1"/>
        <v>0</v>
      </c>
      <c r="I10" s="51">
        <f t="shared" si="2"/>
        <v>0.30031722476119499</v>
      </c>
      <c r="J10" s="51">
        <f t="shared" si="4"/>
        <v>246.80069530875005</v>
      </c>
      <c r="K10" s="51">
        <f t="shared" si="3"/>
        <v>12.340034765437503</v>
      </c>
      <c r="L10" s="51">
        <v>82</v>
      </c>
      <c r="M10" s="51">
        <f t="shared" si="5"/>
        <v>0.24390243902439024</v>
      </c>
      <c r="N10" s="51">
        <v>202</v>
      </c>
      <c r="O10" s="51">
        <f t="shared" ref="O10:P10" si="17">D10/7</f>
        <v>2.8571428571428572</v>
      </c>
      <c r="P10" s="51">
        <f t="shared" si="17"/>
        <v>0</v>
      </c>
      <c r="Q10" s="51">
        <f t="shared" si="7"/>
        <v>70</v>
      </c>
      <c r="R10" s="55">
        <v>477</v>
      </c>
      <c r="S10" s="53">
        <v>243</v>
      </c>
      <c r="T10" s="54">
        <v>43881</v>
      </c>
      <c r="U10" s="55">
        <v>0</v>
      </c>
      <c r="V10" s="55">
        <f t="shared" si="8"/>
        <v>0</v>
      </c>
      <c r="W10" s="55">
        <f t="shared" si="9"/>
        <v>0</v>
      </c>
      <c r="X10" s="55">
        <v>0</v>
      </c>
      <c r="Y10" s="55" t="s">
        <v>35</v>
      </c>
      <c r="Z10" s="56">
        <f t="shared" si="10"/>
        <v>-0.69</v>
      </c>
      <c r="AA10" s="55">
        <v>0.52028425000000011</v>
      </c>
      <c r="AB10" s="55">
        <f t="shared" si="11"/>
        <v>-18.129304691250002</v>
      </c>
      <c r="AC10" s="55">
        <v>-6.78</v>
      </c>
      <c r="AD10" s="55">
        <v>-14.9</v>
      </c>
      <c r="AE10" s="55">
        <v>0</v>
      </c>
      <c r="AF10" s="55"/>
    </row>
    <row r="11" spans="1:32" s="57" customFormat="1" ht="15.75" customHeight="1">
      <c r="A11" s="2" t="s">
        <v>60</v>
      </c>
      <c r="B11" s="2" t="s">
        <v>1171</v>
      </c>
      <c r="C11" s="51">
        <v>38.99</v>
      </c>
      <c r="D11" s="51">
        <v>18</v>
      </c>
      <c r="E11" s="51">
        <v>0</v>
      </c>
      <c r="F11" s="51">
        <v>693.82</v>
      </c>
      <c r="G11" s="51">
        <v>0</v>
      </c>
      <c r="H11" s="51">
        <f t="shared" si="1"/>
        <v>0</v>
      </c>
      <c r="I11" s="51">
        <f t="shared" si="2"/>
        <v>0.25640190106944172</v>
      </c>
      <c r="J11" s="51">
        <f t="shared" si="4"/>
        <v>177.89676700000007</v>
      </c>
      <c r="K11" s="51">
        <f t="shared" si="3"/>
        <v>9.8831537222222252</v>
      </c>
      <c r="L11" s="51">
        <v>100</v>
      </c>
      <c r="M11" s="51">
        <f t="shared" si="5"/>
        <v>0.18</v>
      </c>
      <c r="N11" s="51">
        <v>192</v>
      </c>
      <c r="O11" s="51">
        <f t="shared" ref="O11:P11" si="18">D11/7</f>
        <v>2.5714285714285716</v>
      </c>
      <c r="P11" s="51">
        <f t="shared" si="18"/>
        <v>0</v>
      </c>
      <c r="Q11" s="51">
        <f t="shared" si="7"/>
        <v>74</v>
      </c>
      <c r="R11" s="55">
        <v>234</v>
      </c>
      <c r="S11" s="53" t="s">
        <v>34</v>
      </c>
      <c r="T11" s="54" t="s">
        <v>34</v>
      </c>
      <c r="U11" s="55">
        <v>0</v>
      </c>
      <c r="V11" s="55">
        <f t="shared" si="8"/>
        <v>0</v>
      </c>
      <c r="W11" s="55">
        <f t="shared" si="9"/>
        <v>0</v>
      </c>
      <c r="X11" s="55">
        <v>0</v>
      </c>
      <c r="Y11" s="55" t="s">
        <v>35</v>
      </c>
      <c r="Z11" s="56">
        <f t="shared" ref="Z11:Z39" si="19">IF(OR(Y11="UsLargeStandardSize",Y11="UsSmallStandardSize"),-0.75,-0.48)</f>
        <v>-0.75</v>
      </c>
      <c r="AA11" s="55">
        <v>0.52028425000000011</v>
      </c>
      <c r="AB11" s="55">
        <f t="shared" si="11"/>
        <v>-18.730233000000005</v>
      </c>
      <c r="AC11" s="55">
        <v>-6.94</v>
      </c>
      <c r="AD11" s="55">
        <v>-14.9</v>
      </c>
      <c r="AE11" s="55">
        <v>0</v>
      </c>
      <c r="AF11" s="55"/>
    </row>
    <row r="12" spans="1:32" s="57" customFormat="1" ht="15.75" customHeight="1">
      <c r="A12" s="2" t="s">
        <v>62</v>
      </c>
      <c r="B12" s="2" t="s">
        <v>1172</v>
      </c>
      <c r="C12" s="51">
        <v>29.99</v>
      </c>
      <c r="D12" s="51">
        <v>36</v>
      </c>
      <c r="E12" s="51">
        <v>0</v>
      </c>
      <c r="F12" s="51">
        <v>1233.6400000000001</v>
      </c>
      <c r="G12" s="51">
        <v>0</v>
      </c>
      <c r="H12" s="51">
        <f t="shared" si="1"/>
        <v>0</v>
      </c>
      <c r="I12" s="51">
        <f t="shared" si="2"/>
        <v>0.21353941796482362</v>
      </c>
      <c r="J12" s="51">
        <f t="shared" si="4"/>
        <v>263.43076757812503</v>
      </c>
      <c r="K12" s="51">
        <f t="shared" si="3"/>
        <v>7.317521321614584</v>
      </c>
      <c r="L12" s="51">
        <v>119</v>
      </c>
      <c r="M12" s="51">
        <f t="shared" si="5"/>
        <v>0.30252100840336132</v>
      </c>
      <c r="N12" s="51">
        <v>377</v>
      </c>
      <c r="O12" s="51">
        <f t="shared" ref="O12:P12" si="20">D12/7</f>
        <v>5.1428571428571432</v>
      </c>
      <c r="P12" s="51">
        <f t="shared" si="20"/>
        <v>0</v>
      </c>
      <c r="Q12" s="51">
        <f t="shared" si="7"/>
        <v>73</v>
      </c>
      <c r="R12" s="55">
        <v>234</v>
      </c>
      <c r="S12" s="53">
        <v>234</v>
      </c>
      <c r="T12" s="54">
        <v>43899</v>
      </c>
      <c r="U12" s="55">
        <v>0</v>
      </c>
      <c r="V12" s="55">
        <f t="shared" si="8"/>
        <v>0</v>
      </c>
      <c r="W12" s="55">
        <f t="shared" si="9"/>
        <v>0</v>
      </c>
      <c r="X12" s="55">
        <v>0</v>
      </c>
      <c r="Y12" s="55" t="s">
        <v>35</v>
      </c>
      <c r="Z12" s="56">
        <f t="shared" si="19"/>
        <v>-0.75</v>
      </c>
      <c r="AA12" s="55">
        <v>0.37182291666666667</v>
      </c>
      <c r="AB12" s="55">
        <f t="shared" si="11"/>
        <v>-26.283232421874999</v>
      </c>
      <c r="AC12" s="55">
        <v>-6.18</v>
      </c>
      <c r="AD12" s="55">
        <v>-14.9</v>
      </c>
      <c r="AE12" s="55">
        <v>0</v>
      </c>
      <c r="AF12" s="55"/>
    </row>
    <row r="13" spans="1:32" s="57" customFormat="1" ht="15.75" customHeight="1">
      <c r="A13" s="2" t="s">
        <v>63</v>
      </c>
      <c r="B13" s="2" t="s">
        <v>1173</v>
      </c>
      <c r="C13" s="51">
        <v>28.99</v>
      </c>
      <c r="D13" s="51">
        <v>52</v>
      </c>
      <c r="E13" s="51">
        <v>0</v>
      </c>
      <c r="F13" s="51">
        <v>1559.4800000000002</v>
      </c>
      <c r="G13" s="51">
        <v>0</v>
      </c>
      <c r="H13" s="51">
        <f t="shared" si="1"/>
        <v>0</v>
      </c>
      <c r="I13" s="51">
        <f t="shared" si="2"/>
        <v>0.13163104899149081</v>
      </c>
      <c r="J13" s="51">
        <f t="shared" si="4"/>
        <v>205.27598828125014</v>
      </c>
      <c r="K13" s="51">
        <f t="shared" si="3"/>
        <v>3.9476151592548101</v>
      </c>
      <c r="L13" s="51">
        <v>103</v>
      </c>
      <c r="M13" s="51">
        <f t="shared" si="5"/>
        <v>0.50485436893203883</v>
      </c>
      <c r="N13" s="51">
        <v>346</v>
      </c>
      <c r="O13" s="51">
        <f t="shared" ref="O13:P13" si="21">D13/7</f>
        <v>7.4285714285714288</v>
      </c>
      <c r="P13" s="51">
        <f t="shared" si="21"/>
        <v>0</v>
      </c>
      <c r="Q13" s="51">
        <f t="shared" si="7"/>
        <v>46</v>
      </c>
      <c r="R13" s="55">
        <v>234</v>
      </c>
      <c r="S13" s="53">
        <v>234</v>
      </c>
      <c r="T13" s="54">
        <v>43899</v>
      </c>
      <c r="U13" s="55">
        <v>0</v>
      </c>
      <c r="V13" s="55">
        <f t="shared" si="8"/>
        <v>0</v>
      </c>
      <c r="W13" s="55">
        <f t="shared" si="9"/>
        <v>0</v>
      </c>
      <c r="X13" s="55">
        <v>0</v>
      </c>
      <c r="Y13" s="55" t="s">
        <v>35</v>
      </c>
      <c r="Z13" s="56">
        <f t="shared" si="19"/>
        <v>-0.75</v>
      </c>
      <c r="AA13" s="55">
        <v>0.37182291666666667</v>
      </c>
      <c r="AB13" s="55">
        <f t="shared" si="11"/>
        <v>-24.122011718749999</v>
      </c>
      <c r="AC13" s="55">
        <v>-6.18</v>
      </c>
      <c r="AD13" s="55">
        <v>-14.9</v>
      </c>
      <c r="AE13" s="55">
        <v>0</v>
      </c>
      <c r="AF13" s="55"/>
    </row>
    <row r="14" spans="1:32" s="57" customFormat="1" ht="15.75" customHeight="1">
      <c r="A14" s="2" t="s">
        <v>64</v>
      </c>
      <c r="B14" s="2"/>
      <c r="C14" s="51">
        <v>34.99</v>
      </c>
      <c r="D14" s="51">
        <v>24</v>
      </c>
      <c r="E14" s="51">
        <v>0</v>
      </c>
      <c r="F14" s="51">
        <v>744.7600000000001</v>
      </c>
      <c r="G14" s="51">
        <v>0</v>
      </c>
      <c r="H14" s="51">
        <f t="shared" si="1"/>
        <v>0</v>
      </c>
      <c r="I14" s="51">
        <f t="shared" si="2"/>
        <v>0.14130045354375909</v>
      </c>
      <c r="J14" s="51">
        <f t="shared" si="4"/>
        <v>105.23492578125004</v>
      </c>
      <c r="K14" s="51">
        <f t="shared" si="3"/>
        <v>4.384788574218752</v>
      </c>
      <c r="L14" s="51">
        <v>96</v>
      </c>
      <c r="M14" s="51">
        <f t="shared" si="5"/>
        <v>0.25</v>
      </c>
      <c r="N14" s="51">
        <v>314</v>
      </c>
      <c r="O14" s="51">
        <f t="shared" ref="O14:P14" si="22">D14/7</f>
        <v>3.4285714285714284</v>
      </c>
      <c r="P14" s="51">
        <f t="shared" si="22"/>
        <v>0</v>
      </c>
      <c r="Q14" s="51">
        <f t="shared" si="7"/>
        <v>91</v>
      </c>
      <c r="R14" s="55">
        <v>234</v>
      </c>
      <c r="S14" s="53">
        <v>234</v>
      </c>
      <c r="T14" s="54">
        <v>43899</v>
      </c>
      <c r="U14" s="55">
        <v>0</v>
      </c>
      <c r="V14" s="55">
        <f t="shared" si="8"/>
        <v>0</v>
      </c>
      <c r="W14" s="55">
        <f t="shared" si="9"/>
        <v>0</v>
      </c>
      <c r="X14" s="55">
        <v>0</v>
      </c>
      <c r="Y14" s="55" t="s">
        <v>35</v>
      </c>
      <c r="Z14" s="56">
        <f t="shared" si="19"/>
        <v>-0.75</v>
      </c>
      <c r="AA14" s="55">
        <v>0.37182291666666667</v>
      </c>
      <c r="AB14" s="55">
        <f t="shared" si="11"/>
        <v>-21.891074218749999</v>
      </c>
      <c r="AC14" s="55">
        <v>-6.18</v>
      </c>
      <c r="AD14" s="55">
        <v>-14.9</v>
      </c>
      <c r="AE14" s="55">
        <v>0</v>
      </c>
      <c r="AF14" s="55"/>
    </row>
    <row r="15" spans="1:32" s="57" customFormat="1" ht="15.75" customHeight="1">
      <c r="A15" s="2" t="s">
        <v>65</v>
      </c>
      <c r="B15" s="2" t="s">
        <v>1174</v>
      </c>
      <c r="C15" s="51">
        <v>38.99</v>
      </c>
      <c r="D15" s="51">
        <v>16</v>
      </c>
      <c r="E15" s="51">
        <v>0</v>
      </c>
      <c r="F15" s="51">
        <v>555.84</v>
      </c>
      <c r="G15" s="51">
        <v>0</v>
      </c>
      <c r="H15" s="51">
        <f t="shared" si="1"/>
        <v>0</v>
      </c>
      <c r="I15" s="51">
        <f t="shared" si="2"/>
        <v>0.20482631720684008</v>
      </c>
      <c r="J15" s="51">
        <f t="shared" si="4"/>
        <v>113.85066015625</v>
      </c>
      <c r="K15" s="51">
        <f t="shared" si="3"/>
        <v>7.1156662597656251</v>
      </c>
      <c r="L15" s="51">
        <v>60</v>
      </c>
      <c r="M15" s="51">
        <f t="shared" si="5"/>
        <v>0.26666666666666666</v>
      </c>
      <c r="N15" s="51">
        <v>306</v>
      </c>
      <c r="O15" s="51">
        <f t="shared" ref="O15:P15" si="23">D15/7</f>
        <v>2.2857142857142856</v>
      </c>
      <c r="P15" s="51">
        <f t="shared" si="23"/>
        <v>0</v>
      </c>
      <c r="Q15" s="51">
        <f t="shared" si="7"/>
        <v>133</v>
      </c>
      <c r="R15" s="55">
        <v>0</v>
      </c>
      <c r="S15" s="53" t="s">
        <v>34</v>
      </c>
      <c r="T15" s="54" t="s">
        <v>34</v>
      </c>
      <c r="U15" s="55">
        <v>0</v>
      </c>
      <c r="V15" s="55">
        <f t="shared" si="8"/>
        <v>0</v>
      </c>
      <c r="W15" s="55">
        <f t="shared" si="9"/>
        <v>0</v>
      </c>
      <c r="X15" s="55">
        <v>0</v>
      </c>
      <c r="Y15" s="55" t="s">
        <v>35</v>
      </c>
      <c r="Z15" s="56">
        <f t="shared" si="19"/>
        <v>-0.75</v>
      </c>
      <c r="AA15" s="55">
        <v>0.37182291666666667</v>
      </c>
      <c r="AB15" s="55">
        <f t="shared" si="11"/>
        <v>-21.33333984375</v>
      </c>
      <c r="AC15" s="55">
        <v>-6.18</v>
      </c>
      <c r="AD15" s="55">
        <v>-14.9</v>
      </c>
      <c r="AE15" s="55">
        <v>0</v>
      </c>
      <c r="AF15" s="55"/>
    </row>
    <row r="16" spans="1:32" s="57" customFormat="1" ht="15.75" customHeight="1">
      <c r="A16" s="2" t="s">
        <v>66</v>
      </c>
      <c r="B16" s="2" t="s">
        <v>1175</v>
      </c>
      <c r="C16" s="51">
        <v>34.99</v>
      </c>
      <c r="D16" s="51">
        <v>27</v>
      </c>
      <c r="E16" s="51">
        <v>0</v>
      </c>
      <c r="F16" s="51">
        <v>927.73000000000013</v>
      </c>
      <c r="G16" s="51">
        <v>0</v>
      </c>
      <c r="H16" s="51">
        <f t="shared" si="1"/>
        <v>0</v>
      </c>
      <c r="I16" s="51">
        <f t="shared" si="2"/>
        <v>0.19780146121110129</v>
      </c>
      <c r="J16" s="51">
        <f t="shared" si="4"/>
        <v>183.50634960937504</v>
      </c>
      <c r="K16" s="51">
        <f t="shared" si="3"/>
        <v>6.7965314670138905</v>
      </c>
      <c r="L16" s="51">
        <v>88</v>
      </c>
      <c r="M16" s="51">
        <f t="shared" si="5"/>
        <v>0.30681818181818182</v>
      </c>
      <c r="N16" s="51">
        <v>515</v>
      </c>
      <c r="O16" s="51">
        <f t="shared" ref="O16:P16" si="24">D16/7</f>
        <v>3.8571428571428572</v>
      </c>
      <c r="P16" s="51">
        <f t="shared" si="24"/>
        <v>0</v>
      </c>
      <c r="Q16" s="51">
        <f t="shared" si="7"/>
        <v>133</v>
      </c>
      <c r="R16" s="55">
        <v>0</v>
      </c>
      <c r="S16" s="53" t="s">
        <v>34</v>
      </c>
      <c r="T16" s="54" t="s">
        <v>34</v>
      </c>
      <c r="U16" s="55">
        <v>0</v>
      </c>
      <c r="V16" s="55">
        <f t="shared" si="8"/>
        <v>0</v>
      </c>
      <c r="W16" s="55">
        <f t="shared" si="9"/>
        <v>0</v>
      </c>
      <c r="X16" s="55">
        <v>0</v>
      </c>
      <c r="Y16" s="55" t="s">
        <v>35</v>
      </c>
      <c r="Z16" s="56">
        <f t="shared" si="19"/>
        <v>-0.75</v>
      </c>
      <c r="AA16" s="55">
        <v>0.37182291666666667</v>
      </c>
      <c r="AB16" s="55">
        <f t="shared" si="11"/>
        <v>-35.904150390624999</v>
      </c>
      <c r="AC16" s="55">
        <v>-6.18</v>
      </c>
      <c r="AD16" s="55">
        <v>-14.9</v>
      </c>
      <c r="AE16" s="55">
        <v>0</v>
      </c>
      <c r="AF16" s="55"/>
    </row>
    <row r="17" spans="1:32" s="57" customFormat="1" ht="15.75" customHeight="1">
      <c r="A17" s="2" t="s">
        <v>67</v>
      </c>
      <c r="B17" s="2" t="s">
        <v>1176</v>
      </c>
      <c r="C17" s="51">
        <v>32.99</v>
      </c>
      <c r="D17" s="51">
        <v>26</v>
      </c>
      <c r="E17" s="51">
        <v>0</v>
      </c>
      <c r="F17" s="51">
        <v>922.74000000000012</v>
      </c>
      <c r="G17" s="51">
        <v>0</v>
      </c>
      <c r="H17" s="51">
        <f t="shared" si="1"/>
        <v>0</v>
      </c>
      <c r="I17" s="51">
        <f t="shared" si="2"/>
        <v>0.21900835504177774</v>
      </c>
      <c r="J17" s="51">
        <f t="shared" si="4"/>
        <v>202.08776953125002</v>
      </c>
      <c r="K17" s="51">
        <f t="shared" si="3"/>
        <v>7.7726065204326931</v>
      </c>
      <c r="L17" s="51">
        <v>98</v>
      </c>
      <c r="M17" s="51">
        <f t="shared" si="5"/>
        <v>0.26530612244897961</v>
      </c>
      <c r="N17" s="51">
        <v>490</v>
      </c>
      <c r="O17" s="51">
        <f t="shared" ref="O17:P17" si="25">D17/7</f>
        <v>3.7142857142857144</v>
      </c>
      <c r="P17" s="51">
        <f t="shared" si="25"/>
        <v>0</v>
      </c>
      <c r="Q17" s="51">
        <f t="shared" si="7"/>
        <v>131</v>
      </c>
      <c r="R17" s="55">
        <v>0</v>
      </c>
      <c r="S17" s="53" t="s">
        <v>34</v>
      </c>
      <c r="T17" s="54" t="s">
        <v>34</v>
      </c>
      <c r="U17" s="55">
        <v>0</v>
      </c>
      <c r="V17" s="55">
        <f t="shared" si="8"/>
        <v>0</v>
      </c>
      <c r="W17" s="55">
        <f t="shared" si="9"/>
        <v>0</v>
      </c>
      <c r="X17" s="55">
        <v>0</v>
      </c>
      <c r="Y17" s="55" t="s">
        <v>35</v>
      </c>
      <c r="Z17" s="56">
        <f t="shared" si="19"/>
        <v>-0.75</v>
      </c>
      <c r="AA17" s="55">
        <v>0.37182291666666667</v>
      </c>
      <c r="AB17" s="55">
        <f t="shared" si="11"/>
        <v>-34.161230468749999</v>
      </c>
      <c r="AC17" s="55">
        <v>-6.18</v>
      </c>
      <c r="AD17" s="55">
        <v>-14.9</v>
      </c>
      <c r="AE17" s="55">
        <v>0</v>
      </c>
      <c r="AF17" s="55"/>
    </row>
    <row r="18" spans="1:32" s="57" customFormat="1" ht="15.75" customHeight="1">
      <c r="A18" s="2" t="s">
        <v>69</v>
      </c>
      <c r="B18" s="2" t="s">
        <v>1177</v>
      </c>
      <c r="C18" s="51">
        <v>28.99</v>
      </c>
      <c r="D18" s="51">
        <v>27</v>
      </c>
      <c r="E18" s="51">
        <v>0</v>
      </c>
      <c r="F18" s="51">
        <v>800.75000000000011</v>
      </c>
      <c r="G18" s="51">
        <v>0</v>
      </c>
      <c r="H18" s="51">
        <f t="shared" si="1"/>
        <v>0</v>
      </c>
      <c r="I18" s="51">
        <f t="shared" si="2"/>
        <v>0.11100750273181396</v>
      </c>
      <c r="J18" s="51">
        <f t="shared" si="4"/>
        <v>88.889257812500048</v>
      </c>
      <c r="K18" s="51">
        <f t="shared" si="3"/>
        <v>3.2921947337962982</v>
      </c>
      <c r="L18" s="51">
        <v>89</v>
      </c>
      <c r="M18" s="51">
        <f t="shared" si="5"/>
        <v>0.30337078651685395</v>
      </c>
      <c r="N18" s="51">
        <v>452</v>
      </c>
      <c r="O18" s="51">
        <f t="shared" ref="O18:P18" si="26">D18/7</f>
        <v>3.8571428571428572</v>
      </c>
      <c r="P18" s="51">
        <f t="shared" si="26"/>
        <v>0</v>
      </c>
      <c r="Q18" s="51">
        <f t="shared" si="7"/>
        <v>117</v>
      </c>
      <c r="R18" s="55">
        <v>0</v>
      </c>
      <c r="S18" s="53" t="s">
        <v>34</v>
      </c>
      <c r="T18" s="54" t="s">
        <v>34</v>
      </c>
      <c r="U18" s="55">
        <v>0</v>
      </c>
      <c r="V18" s="55">
        <f t="shared" si="8"/>
        <v>0</v>
      </c>
      <c r="W18" s="55">
        <f t="shared" si="9"/>
        <v>0</v>
      </c>
      <c r="X18" s="55">
        <v>0</v>
      </c>
      <c r="Y18" s="55" t="s">
        <v>35</v>
      </c>
      <c r="Z18" s="56">
        <f t="shared" si="19"/>
        <v>-0.75</v>
      </c>
      <c r="AA18" s="55">
        <v>0.37182291666666667</v>
      </c>
      <c r="AB18" s="58">
        <f t="shared" ref="AB18:AB39" si="27">IFERROR(Z18*AA18*D18*3,0)</f>
        <v>-22.588242187500001</v>
      </c>
      <c r="AC18" s="55">
        <v>-6.18</v>
      </c>
      <c r="AD18" s="55">
        <v>-14.9</v>
      </c>
      <c r="AE18" s="55">
        <v>0</v>
      </c>
      <c r="AF18" s="55"/>
    </row>
    <row r="19" spans="1:32" s="57" customFormat="1" ht="15.75" customHeight="1">
      <c r="A19" s="2" t="s">
        <v>71</v>
      </c>
      <c r="B19" s="2" t="s">
        <v>1178</v>
      </c>
      <c r="C19" s="51">
        <v>32.1</v>
      </c>
      <c r="D19" s="51">
        <v>32</v>
      </c>
      <c r="E19" s="51">
        <v>0</v>
      </c>
      <c r="F19" s="51">
        <v>991.69000000000017</v>
      </c>
      <c r="G19" s="51">
        <v>-0.67</v>
      </c>
      <c r="H19" s="51">
        <f t="shared" si="1"/>
        <v>6.7561435529248039E-4</v>
      </c>
      <c r="I19" s="51">
        <f t="shared" si="2"/>
        <v>0.14211623592049949</v>
      </c>
      <c r="J19" s="51">
        <f t="shared" si="4"/>
        <v>140.93525000000017</v>
      </c>
      <c r="K19" s="51">
        <f t="shared" si="3"/>
        <v>4.4042265625000052</v>
      </c>
      <c r="L19" s="51">
        <v>103</v>
      </c>
      <c r="M19" s="51">
        <f t="shared" si="5"/>
        <v>0.31067961165048541</v>
      </c>
      <c r="N19" s="51">
        <v>429</v>
      </c>
      <c r="O19" s="51">
        <f t="shared" ref="O19:P19" si="28">D19/7</f>
        <v>4.5714285714285712</v>
      </c>
      <c r="P19" s="51">
        <f t="shared" si="28"/>
        <v>0</v>
      </c>
      <c r="Q19" s="51">
        <f t="shared" si="7"/>
        <v>93</v>
      </c>
      <c r="R19" s="55">
        <v>0</v>
      </c>
      <c r="S19" s="53" t="s">
        <v>34</v>
      </c>
      <c r="T19" s="54" t="s">
        <v>34</v>
      </c>
      <c r="U19" s="55">
        <v>0</v>
      </c>
      <c r="V19" s="55">
        <f t="shared" si="8"/>
        <v>0</v>
      </c>
      <c r="W19" s="55">
        <f t="shared" si="9"/>
        <v>0</v>
      </c>
      <c r="X19" s="55">
        <v>0</v>
      </c>
      <c r="Y19" s="55" t="s">
        <v>35</v>
      </c>
      <c r="Z19" s="56">
        <f t="shared" si="19"/>
        <v>-0.75</v>
      </c>
      <c r="AA19" s="55">
        <v>0.37182291666666667</v>
      </c>
      <c r="AB19" s="55">
        <f t="shared" si="27"/>
        <v>-26.771250000000002</v>
      </c>
      <c r="AC19" s="55">
        <v>-6.18</v>
      </c>
      <c r="AD19" s="55">
        <v>-14.9</v>
      </c>
      <c r="AE19" s="55">
        <v>0</v>
      </c>
      <c r="AF19" s="55"/>
    </row>
    <row r="20" spans="1:32" s="57" customFormat="1" ht="15.75" customHeight="1">
      <c r="A20" s="2" t="s">
        <v>73</v>
      </c>
      <c r="B20" s="2" t="s">
        <v>1179</v>
      </c>
      <c r="C20" s="51">
        <v>26.99</v>
      </c>
      <c r="D20" s="51">
        <v>36</v>
      </c>
      <c r="E20" s="51">
        <v>0</v>
      </c>
      <c r="F20" s="51">
        <v>1071.5000000000002</v>
      </c>
      <c r="G20" s="51">
        <v>-7.8499999999999988</v>
      </c>
      <c r="H20" s="51">
        <f t="shared" si="1"/>
        <v>7.3261782547830116E-3</v>
      </c>
      <c r="I20" s="51">
        <f t="shared" si="2"/>
        <v>0.10632509916005618</v>
      </c>
      <c r="J20" s="51">
        <f t="shared" si="4"/>
        <v>113.92734375000022</v>
      </c>
      <c r="K20" s="51">
        <f t="shared" si="3"/>
        <v>3.1646484375000061</v>
      </c>
      <c r="L20" s="51">
        <v>98</v>
      </c>
      <c r="M20" s="51">
        <f t="shared" si="5"/>
        <v>0.36734693877551022</v>
      </c>
      <c r="N20" s="51">
        <v>345</v>
      </c>
      <c r="O20" s="51">
        <f t="shared" ref="O20:P20" si="29">D20/7</f>
        <v>5.1428571428571432</v>
      </c>
      <c r="P20" s="51">
        <f t="shared" si="29"/>
        <v>0</v>
      </c>
      <c r="Q20" s="51">
        <f t="shared" si="7"/>
        <v>67</v>
      </c>
      <c r="R20" s="55">
        <v>252</v>
      </c>
      <c r="S20" s="53" t="s">
        <v>34</v>
      </c>
      <c r="T20" s="54" t="s">
        <v>34</v>
      </c>
      <c r="U20" s="55">
        <v>1</v>
      </c>
      <c r="V20" s="55">
        <f t="shared" si="8"/>
        <v>2.7777777777777776E-2</v>
      </c>
      <c r="W20" s="55">
        <f t="shared" si="9"/>
        <v>3.9249999999999994</v>
      </c>
      <c r="X20" s="55">
        <v>1</v>
      </c>
      <c r="Y20" s="55" t="s">
        <v>35</v>
      </c>
      <c r="Z20" s="56">
        <f t="shared" si="19"/>
        <v>-0.75</v>
      </c>
      <c r="AA20" s="55">
        <v>0.37182291666666667</v>
      </c>
      <c r="AB20" s="55">
        <f t="shared" si="27"/>
        <v>-30.11765625</v>
      </c>
      <c r="AC20" s="55">
        <v>-6.18</v>
      </c>
      <c r="AD20" s="55">
        <v>-14.9</v>
      </c>
      <c r="AE20" s="55">
        <v>0</v>
      </c>
      <c r="AF20" s="55"/>
    </row>
    <row r="21" spans="1:32" s="57" customFormat="1" ht="15.75" customHeight="1">
      <c r="A21" s="2" t="s">
        <v>75</v>
      </c>
      <c r="B21" s="2" t="s">
        <v>1180</v>
      </c>
      <c r="C21" s="51">
        <v>26.99</v>
      </c>
      <c r="D21" s="51">
        <v>73</v>
      </c>
      <c r="E21" s="51">
        <v>0</v>
      </c>
      <c r="F21" s="51">
        <v>2046.8900000000012</v>
      </c>
      <c r="G21" s="51">
        <v>-17.37</v>
      </c>
      <c r="H21" s="51">
        <f t="shared" si="1"/>
        <v>8.4860446824206424E-3</v>
      </c>
      <c r="I21" s="51">
        <f t="shared" si="2"/>
        <v>5.9883328335914976E-2</v>
      </c>
      <c r="J21" s="51">
        <f t="shared" si="4"/>
        <v>122.57458593750108</v>
      </c>
      <c r="K21" s="51">
        <f t="shared" si="3"/>
        <v>1.6791039169520696</v>
      </c>
      <c r="L21" s="51">
        <v>181</v>
      </c>
      <c r="M21" s="51">
        <f t="shared" si="5"/>
        <v>0.40331491712707185</v>
      </c>
      <c r="N21" s="51">
        <v>311</v>
      </c>
      <c r="O21" s="51">
        <f t="shared" ref="O21:P21" si="30">D21/7</f>
        <v>10.428571428571429</v>
      </c>
      <c r="P21" s="51">
        <f t="shared" si="30"/>
        <v>0</v>
      </c>
      <c r="Q21" s="51">
        <f t="shared" si="7"/>
        <v>29</v>
      </c>
      <c r="R21" s="55">
        <v>252</v>
      </c>
      <c r="S21" s="53" t="s">
        <v>34</v>
      </c>
      <c r="T21" s="54" t="s">
        <v>34</v>
      </c>
      <c r="U21" s="55">
        <v>4</v>
      </c>
      <c r="V21" s="55">
        <f t="shared" si="8"/>
        <v>5.4794520547945202E-2</v>
      </c>
      <c r="W21" s="55">
        <f t="shared" si="9"/>
        <v>4.3425000000000002</v>
      </c>
      <c r="X21" s="55">
        <v>0</v>
      </c>
      <c r="Y21" s="55" t="s">
        <v>35</v>
      </c>
      <c r="Z21" s="56">
        <f t="shared" si="19"/>
        <v>-0.75</v>
      </c>
      <c r="AA21" s="55">
        <v>0.37182291666666667</v>
      </c>
      <c r="AB21" s="55">
        <f t="shared" si="27"/>
        <v>-61.071914062499999</v>
      </c>
      <c r="AC21" s="55">
        <v>-6.18</v>
      </c>
      <c r="AD21" s="55">
        <v>-14.9</v>
      </c>
      <c r="AE21" s="55">
        <v>0</v>
      </c>
      <c r="AF21" s="55"/>
    </row>
    <row r="22" spans="1:32" s="57" customFormat="1" ht="15.75" customHeight="1">
      <c r="A22" s="2" t="s">
        <v>77</v>
      </c>
      <c r="B22" s="2"/>
      <c r="C22" s="51">
        <v>26.99</v>
      </c>
      <c r="D22" s="51">
        <v>58</v>
      </c>
      <c r="E22" s="51">
        <v>0</v>
      </c>
      <c r="F22" s="51">
        <v>1602.3200000000004</v>
      </c>
      <c r="G22" s="51">
        <v>-30.91</v>
      </c>
      <c r="H22" s="51">
        <f t="shared" si="1"/>
        <v>1.9290778371361523E-2</v>
      </c>
      <c r="I22" s="51">
        <f t="shared" si="2"/>
        <v>3.7382738388711409E-2</v>
      </c>
      <c r="J22" s="51">
        <f t="shared" si="4"/>
        <v>59.89910937500008</v>
      </c>
      <c r="K22" s="51">
        <f t="shared" si="3"/>
        <v>1.0327432650862083</v>
      </c>
      <c r="L22" s="51">
        <v>155</v>
      </c>
      <c r="M22" s="51">
        <f t="shared" si="5"/>
        <v>0.37419354838709679</v>
      </c>
      <c r="N22" s="51">
        <v>240</v>
      </c>
      <c r="O22" s="51">
        <f t="shared" ref="O22:P22" si="31">D22/7</f>
        <v>8.2857142857142865</v>
      </c>
      <c r="P22" s="51">
        <f t="shared" si="31"/>
        <v>0</v>
      </c>
      <c r="Q22" s="51">
        <f t="shared" si="7"/>
        <v>28</v>
      </c>
      <c r="R22" s="55">
        <v>252</v>
      </c>
      <c r="S22" s="53" t="s">
        <v>34</v>
      </c>
      <c r="T22" s="54" t="s">
        <v>34</v>
      </c>
      <c r="U22" s="55">
        <v>7</v>
      </c>
      <c r="V22" s="55">
        <f t="shared" si="8"/>
        <v>0.1206896551724138</v>
      </c>
      <c r="W22" s="55">
        <f t="shared" si="9"/>
        <v>3.4344444444444444</v>
      </c>
      <c r="X22" s="55">
        <v>2</v>
      </c>
      <c r="Y22" s="55" t="s">
        <v>35</v>
      </c>
      <c r="Z22" s="56">
        <f t="shared" si="19"/>
        <v>-0.75</v>
      </c>
      <c r="AA22" s="55">
        <v>0.37182291666666667</v>
      </c>
      <c r="AB22" s="55">
        <f t="shared" si="27"/>
        <v>-48.522890625000002</v>
      </c>
      <c r="AC22" s="55">
        <v>-6.18</v>
      </c>
      <c r="AD22" s="55">
        <v>-14.9</v>
      </c>
      <c r="AE22" s="55">
        <v>0</v>
      </c>
      <c r="AF22" s="55"/>
    </row>
    <row r="23" spans="1:32" s="57" customFormat="1" ht="15.75" customHeight="1">
      <c r="A23" s="2" t="s">
        <v>79</v>
      </c>
      <c r="B23" s="2" t="s">
        <v>1181</v>
      </c>
      <c r="C23" s="51">
        <v>29.46</v>
      </c>
      <c r="D23" s="51">
        <v>52</v>
      </c>
      <c r="E23" s="51">
        <v>0</v>
      </c>
      <c r="F23" s="51">
        <v>1445.7700000000007</v>
      </c>
      <c r="G23" s="51">
        <v>-27.369999999999997</v>
      </c>
      <c r="H23" s="51">
        <f t="shared" si="1"/>
        <v>1.893108862405499E-2</v>
      </c>
      <c r="I23" s="51">
        <f t="shared" si="2"/>
        <v>4.2794648353472922E-2</v>
      </c>
      <c r="J23" s="51">
        <f t="shared" si="4"/>
        <v>61.87121875000058</v>
      </c>
      <c r="K23" s="51">
        <f t="shared" si="3"/>
        <v>1.1898311298077036</v>
      </c>
      <c r="L23" s="51">
        <v>127</v>
      </c>
      <c r="M23" s="51">
        <f t="shared" si="5"/>
        <v>0.40944881889763779</v>
      </c>
      <c r="N23" s="51">
        <v>201</v>
      </c>
      <c r="O23" s="51">
        <f t="shared" ref="O23:P23" si="32">D23/7</f>
        <v>7.4285714285714288</v>
      </c>
      <c r="P23" s="51">
        <f t="shared" si="32"/>
        <v>0</v>
      </c>
      <c r="Q23" s="51">
        <f t="shared" si="7"/>
        <v>27</v>
      </c>
      <c r="R23" s="55">
        <v>252</v>
      </c>
      <c r="S23" s="53" t="s">
        <v>34</v>
      </c>
      <c r="T23" s="54" t="s">
        <v>34</v>
      </c>
      <c r="U23" s="55">
        <v>6</v>
      </c>
      <c r="V23" s="55">
        <f t="shared" si="8"/>
        <v>0.11538461538461539</v>
      </c>
      <c r="W23" s="55">
        <f t="shared" si="9"/>
        <v>4.5616666666666665</v>
      </c>
      <c r="X23" s="55">
        <v>0</v>
      </c>
      <c r="Y23" s="55" t="s">
        <v>35</v>
      </c>
      <c r="Z23" s="56">
        <f t="shared" si="19"/>
        <v>-0.75</v>
      </c>
      <c r="AA23" s="55">
        <v>0.37182291666666667</v>
      </c>
      <c r="AB23" s="55">
        <f t="shared" si="27"/>
        <v>-43.503281250000001</v>
      </c>
      <c r="AC23" s="55">
        <v>-6.18</v>
      </c>
      <c r="AD23" s="55">
        <v>-14.9</v>
      </c>
      <c r="AE23" s="55">
        <v>0</v>
      </c>
      <c r="AF23" s="55"/>
    </row>
    <row r="24" spans="1:32" s="57" customFormat="1" ht="15.75" customHeight="1">
      <c r="A24" s="2" t="s">
        <v>80</v>
      </c>
      <c r="B24" s="2" t="s">
        <v>1182</v>
      </c>
      <c r="C24" s="51"/>
      <c r="D24" s="51">
        <v>54</v>
      </c>
      <c r="E24" s="51">
        <v>0</v>
      </c>
      <c r="F24" s="51">
        <v>1553.38</v>
      </c>
      <c r="G24" s="51">
        <v>-12.23</v>
      </c>
      <c r="H24" s="51">
        <f t="shared" si="1"/>
        <v>7.8731540254155449E-3</v>
      </c>
      <c r="I24" s="51">
        <f t="shared" si="2"/>
        <v>8.0242127248323025E-2</v>
      </c>
      <c r="J24" s="51">
        <f t="shared" si="4"/>
        <v>124.64651562500003</v>
      </c>
      <c r="K24" s="51">
        <f t="shared" si="3"/>
        <v>2.308268807870371</v>
      </c>
      <c r="L24" s="51">
        <v>122</v>
      </c>
      <c r="M24" s="51">
        <f t="shared" si="5"/>
        <v>0.44262295081967212</v>
      </c>
      <c r="N24" s="51">
        <v>128</v>
      </c>
      <c r="O24" s="51">
        <f t="shared" ref="O24:P24" si="33">D24/7</f>
        <v>7.7142857142857144</v>
      </c>
      <c r="P24" s="51">
        <f t="shared" si="33"/>
        <v>0</v>
      </c>
      <c r="Q24" s="51">
        <f t="shared" si="7"/>
        <v>16</v>
      </c>
      <c r="R24" s="55">
        <v>252</v>
      </c>
      <c r="S24" s="53">
        <v>252</v>
      </c>
      <c r="T24" s="54">
        <v>43983</v>
      </c>
      <c r="U24" s="55">
        <v>2</v>
      </c>
      <c r="V24" s="55">
        <f t="shared" si="8"/>
        <v>3.7037037037037035E-2</v>
      </c>
      <c r="W24" s="55">
        <f t="shared" si="9"/>
        <v>6.1150000000000002</v>
      </c>
      <c r="X24" s="55">
        <v>0</v>
      </c>
      <c r="Y24" s="55" t="s">
        <v>35</v>
      </c>
      <c r="Z24" s="56">
        <f t="shared" si="19"/>
        <v>-0.75</v>
      </c>
      <c r="AA24" s="55">
        <v>0.37182291666666667</v>
      </c>
      <c r="AB24" s="55">
        <f t="shared" si="27"/>
        <v>-45.176484375000001</v>
      </c>
      <c r="AC24" s="55">
        <v>-6.18</v>
      </c>
      <c r="AD24" s="55">
        <v>-14.9</v>
      </c>
      <c r="AE24" s="55">
        <v>0</v>
      </c>
      <c r="AF24" s="55"/>
    </row>
    <row r="25" spans="1:32" s="57" customFormat="1" ht="15.75" customHeight="1">
      <c r="A25" s="2" t="s">
        <v>81</v>
      </c>
      <c r="B25" s="17" t="s">
        <v>1183</v>
      </c>
      <c r="C25" s="51"/>
      <c r="D25" s="51">
        <v>46</v>
      </c>
      <c r="E25" s="51">
        <v>0</v>
      </c>
      <c r="F25" s="51">
        <v>1367.7699999999995</v>
      </c>
      <c r="G25" s="51">
        <v>-2.3600000000000003</v>
      </c>
      <c r="H25" s="51">
        <f t="shared" si="1"/>
        <v>1.7254362941137773E-3</v>
      </c>
      <c r="I25" s="51">
        <f t="shared" si="2"/>
        <v>0.11118889003633628</v>
      </c>
      <c r="J25" s="51">
        <f t="shared" si="4"/>
        <v>152.08082812499961</v>
      </c>
      <c r="K25" s="51">
        <f t="shared" si="3"/>
        <v>3.3061049592391218</v>
      </c>
      <c r="L25" s="51">
        <v>76</v>
      </c>
      <c r="M25" s="51">
        <f t="shared" si="5"/>
        <v>0.60526315789473684</v>
      </c>
      <c r="N25" s="51">
        <v>106</v>
      </c>
      <c r="O25" s="51">
        <f t="shared" ref="O25:P25" si="34">D25/7</f>
        <v>6.5714285714285712</v>
      </c>
      <c r="P25" s="51">
        <f t="shared" si="34"/>
        <v>0</v>
      </c>
      <c r="Q25" s="51">
        <f t="shared" si="7"/>
        <v>16</v>
      </c>
      <c r="R25" s="55">
        <v>252</v>
      </c>
      <c r="S25" s="53">
        <v>252</v>
      </c>
      <c r="T25" s="54">
        <v>43983</v>
      </c>
      <c r="U25" s="55">
        <v>0</v>
      </c>
      <c r="V25" s="55">
        <f t="shared" si="8"/>
        <v>0</v>
      </c>
      <c r="W25" s="55">
        <f t="shared" si="9"/>
        <v>0</v>
      </c>
      <c r="X25" s="55">
        <v>0</v>
      </c>
      <c r="Y25" s="55" t="s">
        <v>35</v>
      </c>
      <c r="Z25" s="56">
        <f t="shared" si="19"/>
        <v>-0.75</v>
      </c>
      <c r="AA25" s="55">
        <v>0.37182291666666667</v>
      </c>
      <c r="AB25" s="55">
        <f t="shared" si="27"/>
        <v>-38.483671874999999</v>
      </c>
      <c r="AC25" s="55">
        <v>-6.18</v>
      </c>
      <c r="AD25" s="55">
        <v>-14.9</v>
      </c>
      <c r="AE25" s="55">
        <v>0</v>
      </c>
      <c r="AF25" s="55"/>
    </row>
    <row r="26" spans="1:32" s="57" customFormat="1" ht="15.75" customHeight="1">
      <c r="A26" s="2" t="s">
        <v>83</v>
      </c>
      <c r="B26" s="2" t="s">
        <v>1184</v>
      </c>
      <c r="C26" s="51">
        <f t="shared" ref="C26:C39" si="35">IFERROR(F26/D26," - ")</f>
        <v>31.057659574468101</v>
      </c>
      <c r="D26" s="51">
        <v>47</v>
      </c>
      <c r="E26" s="51">
        <v>0</v>
      </c>
      <c r="F26" s="51">
        <v>1459.7100000000007</v>
      </c>
      <c r="G26" s="51">
        <v>0</v>
      </c>
      <c r="H26" s="51">
        <f t="shared" si="1"/>
        <v>0</v>
      </c>
      <c r="I26" s="51">
        <f t="shared" si="2"/>
        <v>0.140845254579677</v>
      </c>
      <c r="J26" s="51">
        <f t="shared" si="4"/>
        <v>205.59322656250043</v>
      </c>
      <c r="K26" s="51">
        <f t="shared" si="3"/>
        <v>4.3743239694149025</v>
      </c>
      <c r="L26" s="51">
        <v>97</v>
      </c>
      <c r="M26" s="51">
        <f t="shared" si="5"/>
        <v>0.4845360824742268</v>
      </c>
      <c r="N26" s="51">
        <v>298</v>
      </c>
      <c r="O26" s="51">
        <f t="shared" ref="O26:P26" si="36">D26/7</f>
        <v>6.7142857142857144</v>
      </c>
      <c r="P26" s="51">
        <f t="shared" si="36"/>
        <v>0</v>
      </c>
      <c r="Q26" s="51">
        <f t="shared" si="7"/>
        <v>44</v>
      </c>
      <c r="R26" s="55">
        <v>0</v>
      </c>
      <c r="S26" s="53" t="s">
        <v>34</v>
      </c>
      <c r="T26" s="54" t="s">
        <v>34</v>
      </c>
      <c r="U26" s="55">
        <v>0</v>
      </c>
      <c r="V26" s="55">
        <f t="shared" si="8"/>
        <v>0</v>
      </c>
      <c r="W26" s="55">
        <f t="shared" si="9"/>
        <v>0</v>
      </c>
      <c r="X26" s="55">
        <v>0</v>
      </c>
      <c r="Y26" s="55" t="s">
        <v>35</v>
      </c>
      <c r="Z26" s="56">
        <f t="shared" si="19"/>
        <v>-0.75</v>
      </c>
      <c r="AA26" s="55">
        <v>0.37182291666666667</v>
      </c>
      <c r="AB26" s="55">
        <f t="shared" si="27"/>
        <v>-39.320273437499999</v>
      </c>
      <c r="AC26" s="55">
        <v>-6.18</v>
      </c>
      <c r="AD26" s="55">
        <v>-14.9</v>
      </c>
      <c r="AE26" s="55">
        <v>-5.08</v>
      </c>
      <c r="AF26" s="55"/>
    </row>
    <row r="27" spans="1:32" s="57" customFormat="1" ht="15.75" customHeight="1">
      <c r="A27" s="2" t="s">
        <v>84</v>
      </c>
      <c r="B27" s="2" t="s">
        <v>1185</v>
      </c>
      <c r="C27" s="51">
        <f t="shared" si="35"/>
        <v>34.295357142857149</v>
      </c>
      <c r="D27" s="51">
        <v>28</v>
      </c>
      <c r="E27" s="51">
        <v>0</v>
      </c>
      <c r="F27" s="51">
        <v>960.2700000000001</v>
      </c>
      <c r="G27" s="51">
        <v>0</v>
      </c>
      <c r="H27" s="51">
        <f t="shared" si="1"/>
        <v>0</v>
      </c>
      <c r="I27" s="51">
        <f t="shared" si="2"/>
        <v>0.21094552183240134</v>
      </c>
      <c r="J27" s="51">
        <f t="shared" si="4"/>
        <v>202.56465625000004</v>
      </c>
      <c r="K27" s="51">
        <f t="shared" si="3"/>
        <v>7.2344520089285727</v>
      </c>
      <c r="L27" s="51">
        <v>77</v>
      </c>
      <c r="M27" s="51">
        <f t="shared" si="5"/>
        <v>0.36363636363636365</v>
      </c>
      <c r="N27" s="51">
        <v>291</v>
      </c>
      <c r="O27" s="51">
        <f t="shared" ref="O27:P27" si="37">D27/7</f>
        <v>4</v>
      </c>
      <c r="P27" s="51">
        <f t="shared" si="37"/>
        <v>0</v>
      </c>
      <c r="Q27" s="51">
        <f t="shared" si="7"/>
        <v>72</v>
      </c>
      <c r="R27" s="55">
        <v>0</v>
      </c>
      <c r="S27" s="53" t="s">
        <v>34</v>
      </c>
      <c r="T27" s="54" t="s">
        <v>34</v>
      </c>
      <c r="U27" s="55">
        <v>0</v>
      </c>
      <c r="V27" s="55">
        <f t="shared" si="8"/>
        <v>0</v>
      </c>
      <c r="W27" s="55">
        <f t="shared" si="9"/>
        <v>0</v>
      </c>
      <c r="X27" s="55">
        <v>0</v>
      </c>
      <c r="Y27" s="55" t="s">
        <v>35</v>
      </c>
      <c r="Z27" s="56">
        <f t="shared" si="19"/>
        <v>-0.75</v>
      </c>
      <c r="AA27" s="55">
        <v>0.37182291666666667</v>
      </c>
      <c r="AB27" s="55">
        <f t="shared" si="27"/>
        <v>-23.424843750000001</v>
      </c>
      <c r="AC27" s="55">
        <v>-6.18</v>
      </c>
      <c r="AD27" s="55">
        <v>-14.9</v>
      </c>
      <c r="AE27" s="55">
        <v>0</v>
      </c>
      <c r="AF27" s="55"/>
    </row>
    <row r="28" spans="1:32" s="57" customFormat="1" ht="15.75" customHeight="1">
      <c r="A28" s="2" t="s">
        <v>86</v>
      </c>
      <c r="B28" s="2" t="s">
        <v>1186</v>
      </c>
      <c r="C28" s="51">
        <f t="shared" si="35"/>
        <v>34.056333333333335</v>
      </c>
      <c r="D28" s="51">
        <v>30</v>
      </c>
      <c r="E28" s="51">
        <v>0</v>
      </c>
      <c r="F28" s="51">
        <v>1021.69</v>
      </c>
      <c r="G28" s="51">
        <v>0</v>
      </c>
      <c r="H28" s="51">
        <f t="shared" si="1"/>
        <v>0</v>
      </c>
      <c r="I28" s="51">
        <f t="shared" si="2"/>
        <v>0.2064603285977156</v>
      </c>
      <c r="J28" s="51">
        <f t="shared" si="4"/>
        <v>210.93845312500005</v>
      </c>
      <c r="K28" s="51">
        <f t="shared" si="3"/>
        <v>7.0312817708333348</v>
      </c>
      <c r="L28" s="51">
        <v>106</v>
      </c>
      <c r="M28" s="51">
        <f t="shared" si="5"/>
        <v>0.28301886792452829</v>
      </c>
      <c r="N28" s="51">
        <v>259</v>
      </c>
      <c r="O28" s="51">
        <f t="shared" ref="O28:P28" si="38">D28/7</f>
        <v>4.2857142857142856</v>
      </c>
      <c r="P28" s="51">
        <f t="shared" si="38"/>
        <v>0</v>
      </c>
      <c r="Q28" s="51">
        <f t="shared" si="7"/>
        <v>60</v>
      </c>
      <c r="R28" s="55">
        <v>0</v>
      </c>
      <c r="S28" s="53" t="s">
        <v>34</v>
      </c>
      <c r="T28" s="54" t="s">
        <v>34</v>
      </c>
      <c r="U28" s="55">
        <v>0</v>
      </c>
      <c r="V28" s="55">
        <f t="shared" si="8"/>
        <v>0</v>
      </c>
      <c r="W28" s="55">
        <f t="shared" si="9"/>
        <v>0</v>
      </c>
      <c r="X28" s="55">
        <v>0</v>
      </c>
      <c r="Y28" s="55" t="s">
        <v>35</v>
      </c>
      <c r="Z28" s="56">
        <f t="shared" si="19"/>
        <v>-0.75</v>
      </c>
      <c r="AA28" s="55">
        <v>0.37182291666666667</v>
      </c>
      <c r="AB28" s="55">
        <f t="shared" si="27"/>
        <v>-25.098046874999998</v>
      </c>
      <c r="AC28" s="55">
        <v>-6.18</v>
      </c>
      <c r="AD28" s="55">
        <v>-14.9</v>
      </c>
      <c r="AE28" s="55">
        <v>0</v>
      </c>
      <c r="AF28" s="55"/>
    </row>
    <row r="29" spans="1:32" s="57" customFormat="1" ht="15.75" customHeight="1">
      <c r="A29" s="2" t="s">
        <v>87</v>
      </c>
      <c r="B29" s="2" t="s">
        <v>1187</v>
      </c>
      <c r="C29" s="51">
        <f t="shared" si="35"/>
        <v>33.912500000000001</v>
      </c>
      <c r="D29" s="51">
        <v>32</v>
      </c>
      <c r="E29" s="51">
        <v>0</v>
      </c>
      <c r="F29" s="51">
        <v>1085.2</v>
      </c>
      <c r="G29" s="51">
        <v>-7.4399999999999995</v>
      </c>
      <c r="H29" s="51">
        <f t="shared" si="1"/>
        <v>6.8558791006266117E-3</v>
      </c>
      <c r="I29" s="51">
        <f t="shared" si="2"/>
        <v>0.19687499999999988</v>
      </c>
      <c r="J29" s="51">
        <f t="shared" si="4"/>
        <v>213.64874999999989</v>
      </c>
      <c r="K29" s="51">
        <f t="shared" si="3"/>
        <v>6.6765234374999967</v>
      </c>
      <c r="L29" s="51">
        <v>89</v>
      </c>
      <c r="M29" s="51">
        <f t="shared" si="5"/>
        <v>0.3595505617977528</v>
      </c>
      <c r="N29" s="51">
        <v>224</v>
      </c>
      <c r="O29" s="51">
        <f t="shared" ref="O29:P29" si="39">D29/7</f>
        <v>4.5714285714285712</v>
      </c>
      <c r="P29" s="51">
        <f t="shared" si="39"/>
        <v>0</v>
      </c>
      <c r="Q29" s="51">
        <f t="shared" si="7"/>
        <v>49</v>
      </c>
      <c r="R29" s="55">
        <v>0</v>
      </c>
      <c r="S29" s="53" t="s">
        <v>34</v>
      </c>
      <c r="T29" s="54" t="s">
        <v>34</v>
      </c>
      <c r="U29" s="55">
        <v>1</v>
      </c>
      <c r="V29" s="55">
        <f t="shared" si="8"/>
        <v>3.125E-2</v>
      </c>
      <c r="W29" s="55">
        <f t="shared" si="9"/>
        <v>7.4399999999999995</v>
      </c>
      <c r="X29" s="55">
        <v>0</v>
      </c>
      <c r="Y29" s="55" t="s">
        <v>35</v>
      </c>
      <c r="Z29" s="56">
        <f t="shared" si="19"/>
        <v>-0.75</v>
      </c>
      <c r="AA29" s="55">
        <v>0.37182291666666667</v>
      </c>
      <c r="AB29" s="55">
        <f t="shared" si="27"/>
        <v>-26.771250000000002</v>
      </c>
      <c r="AC29" s="55">
        <v>-6.18</v>
      </c>
      <c r="AD29" s="55">
        <v>-14.9</v>
      </c>
      <c r="AE29" s="55">
        <v>0</v>
      </c>
      <c r="AF29" s="55"/>
    </row>
    <row r="30" spans="1:32" s="57" customFormat="1" ht="15.75" customHeight="1">
      <c r="A30" s="2" t="s">
        <v>89</v>
      </c>
      <c r="B30" s="2" t="s">
        <v>1188</v>
      </c>
      <c r="C30" s="51">
        <f t="shared" si="35"/>
        <v>34.339629629629634</v>
      </c>
      <c r="D30" s="51">
        <v>27</v>
      </c>
      <c r="E30" s="51">
        <v>0</v>
      </c>
      <c r="F30" s="51">
        <v>927.17000000000007</v>
      </c>
      <c r="G30" s="51">
        <v>-19.649999999999999</v>
      </c>
      <c r="H30" s="51">
        <f t="shared" si="1"/>
        <v>2.1193524380642165E-2</v>
      </c>
      <c r="I30" s="51">
        <f t="shared" si="2"/>
        <v>0.19057590065737678</v>
      </c>
      <c r="J30" s="51">
        <f t="shared" si="4"/>
        <v>176.69625781250005</v>
      </c>
      <c r="K30" s="51">
        <f t="shared" si="3"/>
        <v>6.5443058449074094</v>
      </c>
      <c r="L30" s="51">
        <v>99</v>
      </c>
      <c r="M30" s="51">
        <f t="shared" si="5"/>
        <v>0.27272727272727271</v>
      </c>
      <c r="N30" s="51">
        <v>179</v>
      </c>
      <c r="O30" s="51">
        <f t="shared" ref="O30:P30" si="40">D30/7</f>
        <v>3.8571428571428572</v>
      </c>
      <c r="P30" s="51">
        <f t="shared" si="40"/>
        <v>0</v>
      </c>
      <c r="Q30" s="51">
        <f t="shared" si="7"/>
        <v>46</v>
      </c>
      <c r="R30" s="55">
        <v>0</v>
      </c>
      <c r="S30" s="53" t="s">
        <v>34</v>
      </c>
      <c r="T30" s="54" t="s">
        <v>34</v>
      </c>
      <c r="U30" s="55">
        <v>4</v>
      </c>
      <c r="V30" s="55">
        <f t="shared" si="8"/>
        <v>0.14814814814814814</v>
      </c>
      <c r="W30" s="55">
        <f t="shared" si="9"/>
        <v>3.2749999999999999</v>
      </c>
      <c r="X30" s="55">
        <v>2</v>
      </c>
      <c r="Y30" s="55" t="s">
        <v>35</v>
      </c>
      <c r="Z30" s="56">
        <f t="shared" si="19"/>
        <v>-0.75</v>
      </c>
      <c r="AA30" s="55">
        <v>0.37182291666666667</v>
      </c>
      <c r="AB30" s="55">
        <f t="shared" si="27"/>
        <v>-22.588242187500001</v>
      </c>
      <c r="AC30" s="55">
        <v>-6.18</v>
      </c>
      <c r="AD30" s="55">
        <v>-14.9</v>
      </c>
      <c r="AE30" s="55">
        <v>0</v>
      </c>
      <c r="AF30" s="55"/>
    </row>
    <row r="31" spans="1:32" s="57" customFormat="1" ht="15.75" customHeight="1">
      <c r="A31" s="2" t="s">
        <v>90</v>
      </c>
      <c r="B31" s="2" t="s">
        <v>1189</v>
      </c>
      <c r="C31" s="51">
        <f t="shared" si="35"/>
        <v>33.154047619047624</v>
      </c>
      <c r="D31" s="51">
        <v>42</v>
      </c>
      <c r="E31" s="51">
        <v>0</v>
      </c>
      <c r="F31" s="51">
        <v>1392.4700000000003</v>
      </c>
      <c r="G31" s="51">
        <v>-11.749999999999998</v>
      </c>
      <c r="H31" s="51">
        <f t="shared" si="1"/>
        <v>8.4382428346750707E-3</v>
      </c>
      <c r="I31" s="51">
        <f t="shared" si="2"/>
        <v>0.18050818644207786</v>
      </c>
      <c r="J31" s="51">
        <f t="shared" si="4"/>
        <v>251.35223437500019</v>
      </c>
      <c r="K31" s="51">
        <f t="shared" si="3"/>
        <v>5.9845770089285759</v>
      </c>
      <c r="L31" s="51">
        <v>98</v>
      </c>
      <c r="M31" s="51">
        <f t="shared" si="5"/>
        <v>0.42857142857142855</v>
      </c>
      <c r="N31" s="51">
        <v>156</v>
      </c>
      <c r="O31" s="51">
        <f t="shared" ref="O31:P31" si="41">D31/7</f>
        <v>6</v>
      </c>
      <c r="P31" s="51">
        <f t="shared" si="41"/>
        <v>0</v>
      </c>
      <c r="Q31" s="51">
        <f t="shared" si="7"/>
        <v>26</v>
      </c>
      <c r="R31" s="55">
        <v>0</v>
      </c>
      <c r="S31" s="53" t="s">
        <v>34</v>
      </c>
      <c r="T31" s="54" t="s">
        <v>34</v>
      </c>
      <c r="U31" s="55">
        <v>5</v>
      </c>
      <c r="V31" s="55">
        <f t="shared" si="8"/>
        <v>0.11904761904761904</v>
      </c>
      <c r="W31" s="55">
        <f t="shared" si="9"/>
        <v>2.3499999999999996</v>
      </c>
      <c r="X31" s="55">
        <v>0</v>
      </c>
      <c r="Y31" s="55" t="s">
        <v>35</v>
      </c>
      <c r="Z31" s="56">
        <f t="shared" si="19"/>
        <v>-0.75</v>
      </c>
      <c r="AA31" s="55">
        <v>0.37182291666666667</v>
      </c>
      <c r="AB31" s="55">
        <f t="shared" si="27"/>
        <v>-35.137265624999998</v>
      </c>
      <c r="AC31" s="55">
        <v>-6.18</v>
      </c>
      <c r="AD31" s="55">
        <v>-14.9</v>
      </c>
      <c r="AE31" s="55">
        <v>0</v>
      </c>
      <c r="AF31" s="55"/>
    </row>
    <row r="32" spans="1:32" s="57" customFormat="1" ht="15.75" customHeight="1">
      <c r="A32" s="2" t="s">
        <v>92</v>
      </c>
      <c r="B32" s="2" t="s">
        <v>1190</v>
      </c>
      <c r="C32" s="51">
        <f t="shared" si="35"/>
        <v>33.43333333333333</v>
      </c>
      <c r="D32" s="51">
        <v>21</v>
      </c>
      <c r="E32" s="51">
        <v>0</v>
      </c>
      <c r="F32" s="51">
        <v>702.09999999999991</v>
      </c>
      <c r="G32" s="51">
        <v>-18.650000000000002</v>
      </c>
      <c r="H32" s="51">
        <f t="shared" si="1"/>
        <v>2.6563167639937338E-2</v>
      </c>
      <c r="I32" s="51">
        <f t="shared" si="2"/>
        <v>0.1679053798426148</v>
      </c>
      <c r="J32" s="51">
        <f t="shared" si="4"/>
        <v>117.88636718749984</v>
      </c>
      <c r="K32" s="51">
        <f t="shared" si="3"/>
        <v>5.6136365327380879</v>
      </c>
      <c r="L32" s="51">
        <v>114</v>
      </c>
      <c r="M32" s="51">
        <f t="shared" si="5"/>
        <v>0.18421052631578946</v>
      </c>
      <c r="N32" s="51">
        <v>117</v>
      </c>
      <c r="O32" s="51">
        <f t="shared" ref="O32:P32" si="42">D32/7</f>
        <v>3</v>
      </c>
      <c r="P32" s="51">
        <f t="shared" si="42"/>
        <v>0</v>
      </c>
      <c r="Q32" s="51">
        <f t="shared" si="7"/>
        <v>39</v>
      </c>
      <c r="R32" s="55">
        <v>0</v>
      </c>
      <c r="S32" s="53" t="s">
        <v>34</v>
      </c>
      <c r="T32" s="54" t="s">
        <v>34</v>
      </c>
      <c r="U32" s="55">
        <v>1</v>
      </c>
      <c r="V32" s="55">
        <f t="shared" si="8"/>
        <v>4.7619047619047616E-2</v>
      </c>
      <c r="W32" s="55">
        <f t="shared" si="9"/>
        <v>3.1083333333333338</v>
      </c>
      <c r="X32" s="55">
        <v>5</v>
      </c>
      <c r="Y32" s="55" t="s">
        <v>35</v>
      </c>
      <c r="Z32" s="56">
        <f t="shared" si="19"/>
        <v>-0.75</v>
      </c>
      <c r="AA32" s="55">
        <v>0.37182291666666667</v>
      </c>
      <c r="AB32" s="55">
        <f t="shared" si="27"/>
        <v>-17.568632812499999</v>
      </c>
      <c r="AC32" s="55">
        <v>-6.18</v>
      </c>
      <c r="AD32" s="55">
        <v>-14.9</v>
      </c>
      <c r="AE32" s="55">
        <v>0</v>
      </c>
      <c r="AF32" s="52">
        <v>2.0432737535277501</v>
      </c>
    </row>
    <row r="33" spans="1:32" s="57" customFormat="1" ht="15.75" customHeight="1">
      <c r="A33" s="2" t="s">
        <v>94</v>
      </c>
      <c r="B33" s="2" t="s">
        <v>174</v>
      </c>
      <c r="C33" s="51">
        <f t="shared" si="35"/>
        <v>33.18685714285715</v>
      </c>
      <c r="D33" s="51">
        <v>35</v>
      </c>
      <c r="E33" s="51">
        <v>0</v>
      </c>
      <c r="F33" s="51">
        <v>1161.5400000000002</v>
      </c>
      <c r="G33" s="51">
        <v>-24.669999999999998</v>
      </c>
      <c r="H33" s="51">
        <f t="shared" si="1"/>
        <v>2.1239044716497058E-2</v>
      </c>
      <c r="I33" s="51">
        <f t="shared" si="2"/>
        <v>0.16836092197642794</v>
      </c>
      <c r="J33" s="51">
        <f t="shared" si="4"/>
        <v>195.55794531250012</v>
      </c>
      <c r="K33" s="51">
        <f t="shared" si="3"/>
        <v>5.5873698660714322</v>
      </c>
      <c r="L33" s="51">
        <v>124</v>
      </c>
      <c r="M33" s="51">
        <f t="shared" si="5"/>
        <v>0.28225806451612906</v>
      </c>
      <c r="N33" s="51">
        <v>99</v>
      </c>
      <c r="O33" s="51">
        <f t="shared" ref="O33:P33" si="43">D33/7</f>
        <v>5</v>
      </c>
      <c r="P33" s="51">
        <f t="shared" si="43"/>
        <v>0</v>
      </c>
      <c r="Q33" s="51">
        <f t="shared" si="7"/>
        <v>19</v>
      </c>
      <c r="R33" s="55">
        <v>0</v>
      </c>
      <c r="S33" s="53" t="s">
        <v>34</v>
      </c>
      <c r="T33" s="54" t="s">
        <v>34</v>
      </c>
      <c r="U33" s="55">
        <v>3</v>
      </c>
      <c r="V33" s="55">
        <f t="shared" si="8"/>
        <v>8.5714285714285715E-2</v>
      </c>
      <c r="W33" s="55">
        <f t="shared" si="9"/>
        <v>4.1116666666666664</v>
      </c>
      <c r="X33" s="55">
        <v>3</v>
      </c>
      <c r="Y33" s="55" t="s">
        <v>35</v>
      </c>
      <c r="Z33" s="56">
        <f t="shared" si="19"/>
        <v>-0.75</v>
      </c>
      <c r="AA33" s="55">
        <v>0.37182291666666667</v>
      </c>
      <c r="AB33" s="55">
        <f t="shared" si="27"/>
        <v>-29.281054687500003</v>
      </c>
      <c r="AC33" s="55">
        <v>-6.18</v>
      </c>
      <c r="AD33" s="55">
        <v>-14.9</v>
      </c>
      <c r="AE33" s="55">
        <v>0</v>
      </c>
      <c r="AF33" s="55">
        <v>2.2588726513569899</v>
      </c>
    </row>
    <row r="34" spans="1:32" s="57" customFormat="1" ht="15.75" customHeight="1">
      <c r="A34" s="2" t="s">
        <v>95</v>
      </c>
      <c r="B34" s="2" t="s">
        <v>174</v>
      </c>
      <c r="C34" s="51">
        <f t="shared" si="35"/>
        <v>33.414615384615402</v>
      </c>
      <c r="D34" s="51">
        <v>26</v>
      </c>
      <c r="E34" s="51">
        <v>0</v>
      </c>
      <c r="F34" s="51">
        <v>868.78000000000043</v>
      </c>
      <c r="G34" s="51">
        <v>-26.389999999999997</v>
      </c>
      <c r="H34" s="51">
        <f t="shared" si="1"/>
        <v>3.0375929464306249E-2</v>
      </c>
      <c r="I34" s="51">
        <f t="shared" si="2"/>
        <v>0.16372540732406388</v>
      </c>
      <c r="J34" s="51">
        <f t="shared" si="4"/>
        <v>142.24135937500029</v>
      </c>
      <c r="K34" s="51">
        <f t="shared" si="3"/>
        <v>5.4708215144230881</v>
      </c>
      <c r="L34" s="51">
        <v>104</v>
      </c>
      <c r="M34" s="51">
        <f t="shared" si="5"/>
        <v>0.25</v>
      </c>
      <c r="N34" s="51">
        <v>62</v>
      </c>
      <c r="O34" s="51">
        <f t="shared" ref="O34:P34" si="44">D34/7</f>
        <v>3.7142857142857144</v>
      </c>
      <c r="P34" s="51">
        <f t="shared" si="44"/>
        <v>0</v>
      </c>
      <c r="Q34" s="51">
        <f t="shared" si="7"/>
        <v>16</v>
      </c>
      <c r="R34" s="55">
        <v>0</v>
      </c>
      <c r="S34" s="53" t="s">
        <v>34</v>
      </c>
      <c r="T34" s="54" t="s">
        <v>34</v>
      </c>
      <c r="U34" s="55">
        <v>1</v>
      </c>
      <c r="V34" s="55">
        <f t="shared" si="8"/>
        <v>3.8461538461538464E-2</v>
      </c>
      <c r="W34" s="55">
        <f t="shared" si="9"/>
        <v>26.389999999999997</v>
      </c>
      <c r="X34" s="55">
        <v>0</v>
      </c>
      <c r="Y34" s="55" t="s">
        <v>35</v>
      </c>
      <c r="Z34" s="56">
        <f t="shared" si="19"/>
        <v>-0.75</v>
      </c>
      <c r="AA34" s="55">
        <v>0.37182291666666667</v>
      </c>
      <c r="AB34" s="55">
        <f t="shared" si="27"/>
        <v>-21.751640625</v>
      </c>
      <c r="AC34" s="55">
        <v>-6.18</v>
      </c>
      <c r="AD34" s="55">
        <v>-14.9</v>
      </c>
      <c r="AE34" s="55">
        <v>0</v>
      </c>
      <c r="AF34" s="55">
        <v>2.87425149700598</v>
      </c>
    </row>
    <row r="35" spans="1:32" s="57" customFormat="1" ht="15.75" customHeight="1">
      <c r="A35" s="2" t="s">
        <v>96</v>
      </c>
      <c r="B35" s="2" t="s">
        <v>1191</v>
      </c>
      <c r="C35" s="51">
        <f t="shared" si="35"/>
        <v>33.077058823529413</v>
      </c>
      <c r="D35" s="51">
        <v>34</v>
      </c>
      <c r="E35" s="51">
        <v>0</v>
      </c>
      <c r="F35" s="51">
        <v>1124.6200000000001</v>
      </c>
      <c r="G35" s="51">
        <v>-26.330000000000002</v>
      </c>
      <c r="H35" s="51">
        <f t="shared" si="1"/>
        <v>2.3412352616883923E-2</v>
      </c>
      <c r="I35" s="51">
        <f t="shared" si="2"/>
        <v>0.16399543568049646</v>
      </c>
      <c r="J35" s="51">
        <f t="shared" si="4"/>
        <v>184.43254687499996</v>
      </c>
      <c r="K35" s="51">
        <f t="shared" si="3"/>
        <v>5.4244866727941163</v>
      </c>
      <c r="L35" s="51">
        <v>95</v>
      </c>
      <c r="M35" s="51">
        <f t="shared" si="5"/>
        <v>0.35789473684210527</v>
      </c>
      <c r="N35" s="51">
        <v>40</v>
      </c>
      <c r="O35" s="51">
        <f t="shared" ref="O35:P35" si="45">D35/7</f>
        <v>4.8571428571428568</v>
      </c>
      <c r="P35" s="51">
        <f t="shared" si="45"/>
        <v>0</v>
      </c>
      <c r="Q35" s="51">
        <f t="shared" si="7"/>
        <v>8</v>
      </c>
      <c r="R35" s="55">
        <v>0</v>
      </c>
      <c r="S35" s="53" t="s">
        <v>34</v>
      </c>
      <c r="T35" s="54" t="s">
        <v>34</v>
      </c>
      <c r="U35" s="55">
        <v>7</v>
      </c>
      <c r="V35" s="55">
        <f t="shared" si="8"/>
        <v>0.20588235294117646</v>
      </c>
      <c r="W35" s="55">
        <f t="shared" si="9"/>
        <v>2.633</v>
      </c>
      <c r="X35" s="55">
        <v>3</v>
      </c>
      <c r="Y35" s="55" t="s">
        <v>35</v>
      </c>
      <c r="Z35" s="56">
        <f t="shared" si="19"/>
        <v>-0.75</v>
      </c>
      <c r="AA35" s="55">
        <v>0.37182291666666667</v>
      </c>
      <c r="AB35" s="55">
        <f t="shared" si="27"/>
        <v>-28.444453125000003</v>
      </c>
      <c r="AC35" s="55">
        <v>-6.18</v>
      </c>
      <c r="AD35" s="55">
        <v>-14.9</v>
      </c>
      <c r="AE35" s="55">
        <v>0</v>
      </c>
      <c r="AF35" s="55">
        <v>2.5911602209944702</v>
      </c>
    </row>
    <row r="36" spans="1:32" s="57" customFormat="1" ht="15.75" customHeight="1">
      <c r="A36" s="2" t="s">
        <v>98</v>
      </c>
      <c r="B36" s="2" t="s">
        <v>1192</v>
      </c>
      <c r="C36" s="51">
        <f t="shared" si="35"/>
        <v>32.036842105263162</v>
      </c>
      <c r="D36" s="51">
        <v>19</v>
      </c>
      <c r="E36" s="51">
        <v>0</v>
      </c>
      <c r="F36" s="51">
        <v>608.70000000000005</v>
      </c>
      <c r="G36" s="51">
        <v>-31.18</v>
      </c>
      <c r="H36" s="51">
        <f t="shared" si="1"/>
        <v>5.1223919829144073E-2</v>
      </c>
      <c r="I36" s="51">
        <f t="shared" si="2"/>
        <v>0.11466990358551003</v>
      </c>
      <c r="J36" s="51">
        <f t="shared" si="4"/>
        <v>69.799570312499966</v>
      </c>
      <c r="K36" s="51">
        <f t="shared" si="3"/>
        <v>3.6736615953947349</v>
      </c>
      <c r="L36" s="51">
        <v>71</v>
      </c>
      <c r="M36" s="51">
        <f t="shared" si="5"/>
        <v>0.26760563380281688</v>
      </c>
      <c r="N36" s="51">
        <v>22</v>
      </c>
      <c r="O36" s="51">
        <f t="shared" ref="O36:P36" si="46">D36/7</f>
        <v>2.7142857142857144</v>
      </c>
      <c r="P36" s="51">
        <f t="shared" si="46"/>
        <v>0</v>
      </c>
      <c r="Q36" s="51">
        <f t="shared" si="7"/>
        <v>8</v>
      </c>
      <c r="R36" s="55">
        <v>0</v>
      </c>
      <c r="S36" s="53"/>
      <c r="T36" s="54" t="s">
        <v>34</v>
      </c>
      <c r="U36" s="55"/>
      <c r="V36" s="55">
        <f t="shared" si="8"/>
        <v>0</v>
      </c>
      <c r="W36" s="55">
        <f t="shared" si="9"/>
        <v>0</v>
      </c>
      <c r="X36" s="55"/>
      <c r="Y36" s="55" t="s">
        <v>35</v>
      </c>
      <c r="Z36" s="56">
        <f t="shared" si="19"/>
        <v>-0.75</v>
      </c>
      <c r="AA36" s="55">
        <v>0.37182291666666667</v>
      </c>
      <c r="AB36" s="55">
        <f t="shared" si="27"/>
        <v>-15.895429687500002</v>
      </c>
      <c r="AC36" s="55">
        <v>-6.18</v>
      </c>
      <c r="AD36" s="55">
        <v>-14.9</v>
      </c>
      <c r="AE36" s="55">
        <v>0</v>
      </c>
      <c r="AF36" s="55">
        <v>2.57750759878419</v>
      </c>
    </row>
    <row r="37" spans="1:32" s="57" customFormat="1" ht="15.75" customHeight="1">
      <c r="A37" s="2" t="s">
        <v>99</v>
      </c>
      <c r="B37" s="2" t="s">
        <v>46</v>
      </c>
      <c r="C37" s="51">
        <f t="shared" si="35"/>
        <v>36.076956521739135</v>
      </c>
      <c r="D37" s="51">
        <v>23</v>
      </c>
      <c r="E37" s="51">
        <v>0</v>
      </c>
      <c r="F37" s="51">
        <v>829.7700000000001</v>
      </c>
      <c r="G37" s="51">
        <v>-31.980000000000004</v>
      </c>
      <c r="H37" s="51">
        <f t="shared" si="1"/>
        <v>3.8540800462778843E-2</v>
      </c>
      <c r="I37" s="51">
        <f t="shared" si="2"/>
        <v>0.20396334413451928</v>
      </c>
      <c r="J37" s="51">
        <f t="shared" si="4"/>
        <v>169.24266406250007</v>
      </c>
      <c r="K37" s="51">
        <f t="shared" si="3"/>
        <v>7.3583766983695682</v>
      </c>
      <c r="L37" s="51">
        <v>91</v>
      </c>
      <c r="M37" s="51">
        <f t="shared" si="5"/>
        <v>0.25274725274725274</v>
      </c>
      <c r="N37" s="51">
        <v>3</v>
      </c>
      <c r="O37" s="51">
        <f t="shared" ref="O37:P37" si="47">D37/7</f>
        <v>3.2857142857142856</v>
      </c>
      <c r="P37" s="51">
        <f t="shared" si="47"/>
        <v>0</v>
      </c>
      <c r="Q37" s="51">
        <f t="shared" si="7"/>
        <v>0</v>
      </c>
      <c r="R37" s="55">
        <v>0</v>
      </c>
      <c r="S37" s="53" t="s">
        <v>34</v>
      </c>
      <c r="T37" s="54" t="s">
        <v>34</v>
      </c>
      <c r="U37" s="55">
        <v>4</v>
      </c>
      <c r="V37" s="55">
        <f t="shared" si="8"/>
        <v>0.17391304347826086</v>
      </c>
      <c r="W37" s="55">
        <f t="shared" si="9"/>
        <v>5.330000000000001</v>
      </c>
      <c r="X37" s="55">
        <v>2</v>
      </c>
      <c r="Y37" s="55" t="s">
        <v>35</v>
      </c>
      <c r="Z37" s="56">
        <f t="shared" si="19"/>
        <v>-0.75</v>
      </c>
      <c r="AA37" s="55">
        <v>0.37182291666666667</v>
      </c>
      <c r="AB37" s="55">
        <f t="shared" si="27"/>
        <v>-19.241835937499999</v>
      </c>
      <c r="AC37" s="55">
        <v>-6.18</v>
      </c>
      <c r="AD37" s="55">
        <v>-14.9</v>
      </c>
      <c r="AE37" s="55">
        <v>0</v>
      </c>
      <c r="AF37" s="55">
        <v>2.8837209302325499</v>
      </c>
    </row>
    <row r="38" spans="1:32" s="57" customFormat="1" ht="15.75" customHeight="1">
      <c r="A38" s="2" t="s">
        <v>100</v>
      </c>
      <c r="B38" s="2" t="s">
        <v>179</v>
      </c>
      <c r="C38" s="51">
        <f t="shared" si="35"/>
        <v>36.234999999999999</v>
      </c>
      <c r="D38" s="51">
        <v>4</v>
      </c>
      <c r="E38" s="51">
        <v>0</v>
      </c>
      <c r="F38" s="51">
        <v>144.94</v>
      </c>
      <c r="G38" s="51">
        <v>-13.66</v>
      </c>
      <c r="H38" s="51">
        <f t="shared" si="1"/>
        <v>9.4245894853042647E-2</v>
      </c>
      <c r="I38" s="51">
        <f t="shared" si="2"/>
        <v>0.15090791879398371</v>
      </c>
      <c r="J38" s="51">
        <f t="shared" si="4"/>
        <v>21.87259375</v>
      </c>
      <c r="K38" s="51">
        <f t="shared" si="3"/>
        <v>5.4681484375</v>
      </c>
      <c r="L38" s="51">
        <v>39</v>
      </c>
      <c r="M38" s="51">
        <f t="shared" si="5"/>
        <v>0.10256410256410256</v>
      </c>
      <c r="N38" s="51">
        <v>0</v>
      </c>
      <c r="O38" s="51">
        <f t="shared" ref="O38:P38" si="48">D38/7</f>
        <v>0.5714285714285714</v>
      </c>
      <c r="P38" s="51">
        <f t="shared" si="48"/>
        <v>0</v>
      </c>
      <c r="Q38" s="51">
        <f t="shared" si="7"/>
        <v>0</v>
      </c>
      <c r="R38" s="55">
        <v>0</v>
      </c>
      <c r="S38" s="53"/>
      <c r="T38" s="54" t="s">
        <v>34</v>
      </c>
      <c r="U38" s="55">
        <v>1</v>
      </c>
      <c r="V38" s="55">
        <f t="shared" si="8"/>
        <v>0.25</v>
      </c>
      <c r="W38" s="55">
        <f t="shared" si="9"/>
        <v>13.66</v>
      </c>
      <c r="X38" s="55">
        <v>0</v>
      </c>
      <c r="Y38" s="55" t="s">
        <v>35</v>
      </c>
      <c r="Z38" s="56">
        <f t="shared" si="19"/>
        <v>-0.75</v>
      </c>
      <c r="AA38" s="55">
        <v>0.37182291666666667</v>
      </c>
      <c r="AB38" s="55">
        <f t="shared" si="27"/>
        <v>-3.3464062500000002</v>
      </c>
      <c r="AC38" s="55">
        <v>-6.18</v>
      </c>
      <c r="AD38" s="55">
        <v>-14.9</v>
      </c>
      <c r="AE38" s="55">
        <v>0</v>
      </c>
      <c r="AF38" s="55" t="e">
        <v>#N/A</v>
      </c>
    </row>
    <row r="39" spans="1:32" s="57" customFormat="1" ht="15.75" customHeight="1">
      <c r="A39" s="2" t="s">
        <v>101</v>
      </c>
      <c r="B39" s="2" t="s">
        <v>46</v>
      </c>
      <c r="C39" s="51">
        <f t="shared" si="35"/>
        <v>35.99</v>
      </c>
      <c r="D39" s="51">
        <v>3</v>
      </c>
      <c r="E39" s="51">
        <v>0</v>
      </c>
      <c r="F39" s="51">
        <v>107.97</v>
      </c>
      <c r="G39" s="51">
        <v>0</v>
      </c>
      <c r="H39" s="51">
        <f t="shared" si="1"/>
        <v>0</v>
      </c>
      <c r="I39" s="51">
        <f t="shared" si="2"/>
        <v>0.2410363555848847</v>
      </c>
      <c r="J39" s="51">
        <f>F39*0.85+G39+AD39*D39+D39*AC39+AE40+AB39</f>
        <v>26.0246953125</v>
      </c>
      <c r="K39" s="51">
        <f t="shared" si="3"/>
        <v>8.6748984374999996</v>
      </c>
      <c r="L39" s="51">
        <v>10</v>
      </c>
      <c r="M39" s="51">
        <f t="shared" si="5"/>
        <v>0.3</v>
      </c>
      <c r="N39" s="51">
        <v>0</v>
      </c>
      <c r="O39" s="51">
        <f t="shared" ref="O39:P39" si="49">D39/7</f>
        <v>0.42857142857142855</v>
      </c>
      <c r="P39" s="51">
        <f t="shared" si="49"/>
        <v>0</v>
      </c>
      <c r="Q39" s="51">
        <f t="shared" si="7"/>
        <v>0</v>
      </c>
      <c r="R39" s="55">
        <v>0</v>
      </c>
      <c r="S39" s="53" t="s">
        <v>34</v>
      </c>
      <c r="T39" s="54" t="s">
        <v>34</v>
      </c>
      <c r="U39" s="55">
        <v>0</v>
      </c>
      <c r="V39" s="55">
        <f t="shared" si="8"/>
        <v>0</v>
      </c>
      <c r="W39" s="55">
        <f t="shared" si="9"/>
        <v>0</v>
      </c>
      <c r="X39" s="55">
        <v>0</v>
      </c>
      <c r="Y39" s="55" t="s">
        <v>35</v>
      </c>
      <c r="Z39" s="56">
        <f t="shared" si="19"/>
        <v>-0.75</v>
      </c>
      <c r="AA39" s="55">
        <v>0.37182291666666667</v>
      </c>
      <c r="AB39" s="55">
        <f t="shared" si="27"/>
        <v>-2.5098046875</v>
      </c>
      <c r="AC39" s="55">
        <v>-6.18</v>
      </c>
      <c r="AD39" s="55">
        <v>-14.9</v>
      </c>
      <c r="AE39" s="55">
        <v>0</v>
      </c>
      <c r="AF39" s="55">
        <v>2.3269961977186302</v>
      </c>
    </row>
    <row r="40" spans="1:32" s="57" customFormat="1" ht="15.75" customHeight="1">
      <c r="A40" s="2" t="s">
        <v>102</v>
      </c>
      <c r="B40" s="2"/>
      <c r="C40" s="51" t="s">
        <v>103</v>
      </c>
      <c r="D40" s="51">
        <v>0</v>
      </c>
      <c r="E40" s="51">
        <v>0</v>
      </c>
      <c r="F40" s="51">
        <v>0</v>
      </c>
      <c r="G40" s="51">
        <v>0</v>
      </c>
      <c r="H40" s="51" t="e">
        <v>#DIV/0!</v>
      </c>
      <c r="I40" s="51" t="e">
        <v>#DIV/0!</v>
      </c>
      <c r="J40" s="51">
        <v>0</v>
      </c>
      <c r="K40" s="51" t="e">
        <v>#DIV/0!</v>
      </c>
      <c r="L40" s="51">
        <v>0</v>
      </c>
      <c r="M40" s="51" t="s">
        <v>104</v>
      </c>
      <c r="N40" s="51">
        <v>0</v>
      </c>
      <c r="O40" s="51">
        <v>0</v>
      </c>
      <c r="P40" s="51">
        <v>0</v>
      </c>
      <c r="Q40" s="51" t="e">
        <v>#DIV/0!</v>
      </c>
      <c r="R40" s="55">
        <v>0</v>
      </c>
      <c r="S40" s="53" t="s">
        <v>34</v>
      </c>
      <c r="T40" s="54" t="s">
        <v>34</v>
      </c>
      <c r="U40" s="55">
        <v>0</v>
      </c>
      <c r="V40" s="55">
        <v>0</v>
      </c>
      <c r="W40" s="55">
        <v>0</v>
      </c>
      <c r="X40" s="55">
        <v>0</v>
      </c>
      <c r="Y40" s="55" t="e">
        <v>#N/A</v>
      </c>
      <c r="Z40" s="56" t="e">
        <v>#N/A</v>
      </c>
      <c r="AA40" s="55" t="e">
        <v>#N/A</v>
      </c>
      <c r="AB40" s="55">
        <v>0</v>
      </c>
      <c r="AC40" s="55">
        <v>-6.18</v>
      </c>
      <c r="AD40" s="55">
        <v>-14.9</v>
      </c>
      <c r="AE40" s="55">
        <v>0</v>
      </c>
      <c r="AF40" s="55">
        <v>2.3428571428571399</v>
      </c>
    </row>
    <row r="41" spans="1:32" s="57" customFormat="1" ht="15.75" customHeight="1">
      <c r="A41" s="2" t="s">
        <v>105</v>
      </c>
      <c r="B41" s="2"/>
      <c r="C41" s="51" t="str">
        <f t="shared" ref="C41:C56" si="50">IFERROR(F41/D41," - ")</f>
        <v xml:space="preserve"> - </v>
      </c>
      <c r="D41" s="51">
        <v>0</v>
      </c>
      <c r="E41" s="51">
        <v>0</v>
      </c>
      <c r="F41" s="51">
        <v>0</v>
      </c>
      <c r="G41" s="51">
        <v>0</v>
      </c>
      <c r="H41" s="51" t="e">
        <f t="shared" ref="H41:H56" si="51">G41/F41*-1</f>
        <v>#DIV/0!</v>
      </c>
      <c r="I41" s="51" t="e">
        <f t="shared" ref="I41:I56" si="52">J41/F41</f>
        <v>#DIV/0!</v>
      </c>
      <c r="J41" s="51">
        <f t="shared" ref="J41:J48" si="53">F41*0.85+G41+AD41*D41+D41*AC41+AE42+AB41</f>
        <v>0</v>
      </c>
      <c r="K41" s="51" t="e">
        <f t="shared" ref="K41:K56" si="54">J41/D41</f>
        <v>#DIV/0!</v>
      </c>
      <c r="L41" s="51">
        <v>0</v>
      </c>
      <c r="M41" s="51" t="str">
        <f t="shared" ref="M41:M56" si="55">IFERROR(D41/L41,"-")</f>
        <v>-</v>
      </c>
      <c r="N41" s="51">
        <v>1</v>
      </c>
      <c r="O41" s="51">
        <f t="shared" ref="O41:P41" si="56">D41/7</f>
        <v>0</v>
      </c>
      <c r="P41" s="51">
        <f t="shared" si="56"/>
        <v>0</v>
      </c>
      <c r="Q41" s="51" t="e">
        <f t="shared" ref="Q41:Q56" si="57">ROUNDDOWN(N41/(O41+P41),0)</f>
        <v>#DIV/0!</v>
      </c>
      <c r="R41" s="55">
        <v>0</v>
      </c>
      <c r="S41" s="53" t="s">
        <v>34</v>
      </c>
      <c r="T41" s="54" t="s">
        <v>34</v>
      </c>
      <c r="U41" s="55">
        <v>0</v>
      </c>
      <c r="V41" s="55">
        <f t="shared" ref="V41:V56" si="58">IFERROR(U41/D41,0)</f>
        <v>0</v>
      </c>
      <c r="W41" s="55">
        <f t="shared" ref="W41:W56" si="59">IFERROR(G41/(U41+X41)*-1,0)</f>
        <v>0</v>
      </c>
      <c r="X41" s="55">
        <v>0</v>
      </c>
      <c r="Y41" s="52" t="e">
        <v>#N/A</v>
      </c>
      <c r="Z41" s="56" t="e">
        <f t="shared" ref="Z41:Z43" si="60">IF(OR(Y41="UsLargeStandardSize",Y41="UsSmallStandardSize"),-0.75,-0.48)</f>
        <v>#N/A</v>
      </c>
      <c r="AA41" s="55" t="e">
        <v>#N/A</v>
      </c>
      <c r="AB41" s="55">
        <f t="shared" ref="AB41:AB56" si="61">IFERROR(Z41*AA41*D41*3,0)</f>
        <v>0</v>
      </c>
      <c r="AC41" s="55">
        <v>-6.18</v>
      </c>
      <c r="AD41" s="55">
        <v>-14.9</v>
      </c>
      <c r="AE41" s="55">
        <v>0</v>
      </c>
      <c r="AF41" s="55" t="e">
        <v>#N/A</v>
      </c>
    </row>
    <row r="42" spans="1:32" s="57" customFormat="1" ht="15.75" customHeight="1">
      <c r="A42" s="2" t="s">
        <v>106</v>
      </c>
      <c r="B42" s="2" t="s">
        <v>46</v>
      </c>
      <c r="C42" s="51">
        <f t="shared" si="50"/>
        <v>35.99</v>
      </c>
      <c r="D42" s="51">
        <v>2</v>
      </c>
      <c r="E42" s="51">
        <v>0</v>
      </c>
      <c r="F42" s="51">
        <v>71.98</v>
      </c>
      <c r="G42" s="51">
        <v>0</v>
      </c>
      <c r="H42" s="51">
        <f t="shared" si="51"/>
        <v>0</v>
      </c>
      <c r="I42" s="51">
        <f t="shared" si="52"/>
        <v>0.24103635558488468</v>
      </c>
      <c r="J42" s="51">
        <f t="shared" si="53"/>
        <v>17.349796874999999</v>
      </c>
      <c r="K42" s="51">
        <f t="shared" si="54"/>
        <v>8.6748984374999996</v>
      </c>
      <c r="L42" s="51">
        <v>13</v>
      </c>
      <c r="M42" s="51">
        <f t="shared" si="55"/>
        <v>0.15384615384615385</v>
      </c>
      <c r="N42" s="51">
        <v>0</v>
      </c>
      <c r="O42" s="51">
        <f t="shared" ref="O42:P42" si="62">D42/7</f>
        <v>0.2857142857142857</v>
      </c>
      <c r="P42" s="51">
        <f t="shared" si="62"/>
        <v>0</v>
      </c>
      <c r="Q42" s="51">
        <f t="shared" si="57"/>
        <v>0</v>
      </c>
      <c r="R42" s="55">
        <f ca="1">IFERROR(__xludf.DUMMYFUNCTION("IFERROR(VLOOKUP($B$2,IMPORTRANGE(""https://docs.google.com/spreadsheets/d/1iVgg6Mw12RULLujzHmfOFIY8Q_KaAD8anoZzgtVAQ74/edit#gid=1503384807"",""Second Star - Summary!A1:AD2000""),9,FALSE),"""")"),1368)</f>
        <v>1368</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0</v>
      </c>
      <c r="V42" s="55">
        <f t="shared" si="58"/>
        <v>0</v>
      </c>
      <c r="W42" s="55">
        <f t="shared" si="59"/>
        <v>0</v>
      </c>
      <c r="X42" s="55">
        <v>0</v>
      </c>
      <c r="Y42" s="55" t="s">
        <v>35</v>
      </c>
      <c r="Z42" s="56">
        <f t="shared" si="60"/>
        <v>-0.75</v>
      </c>
      <c r="AA42" s="55">
        <v>0.37182291666666667</v>
      </c>
      <c r="AB42" s="55">
        <f t="shared" si="61"/>
        <v>-1.6732031250000001</v>
      </c>
      <c r="AC42" s="55">
        <v>-6.18</v>
      </c>
      <c r="AD42" s="55">
        <v>-14.9</v>
      </c>
      <c r="AE42" s="55">
        <v>0</v>
      </c>
      <c r="AF42" s="55" t="e">
        <v>#N/A</v>
      </c>
    </row>
    <row r="43" spans="1:32" s="57" customFormat="1" ht="15.75" customHeight="1">
      <c r="A43" s="2" t="s">
        <v>107</v>
      </c>
      <c r="B43" s="2" t="s">
        <v>46</v>
      </c>
      <c r="C43" s="51" t="str">
        <f t="shared" si="50"/>
        <v xml:space="preserve"> - </v>
      </c>
      <c r="D43" s="51">
        <v>0</v>
      </c>
      <c r="E43" s="51">
        <v>0</v>
      </c>
      <c r="F43" s="51">
        <v>0</v>
      </c>
      <c r="G43" s="51">
        <v>0</v>
      </c>
      <c r="H43" s="51" t="e">
        <f t="shared" si="51"/>
        <v>#DIV/0!</v>
      </c>
      <c r="I43" s="51" t="e">
        <f t="shared" si="52"/>
        <v>#DIV/0!</v>
      </c>
      <c r="J43" s="51">
        <f t="shared" si="53"/>
        <v>0</v>
      </c>
      <c r="K43" s="51" t="e">
        <f t="shared" si="54"/>
        <v>#DIV/0!</v>
      </c>
      <c r="L43" s="51">
        <v>0</v>
      </c>
      <c r="M43" s="51" t="str">
        <f t="shared" si="55"/>
        <v>-</v>
      </c>
      <c r="N43" s="51">
        <v>0</v>
      </c>
      <c r="O43" s="51">
        <f t="shared" ref="O43:P43" si="63">D43/7</f>
        <v>0</v>
      </c>
      <c r="P43" s="51">
        <f t="shared" si="63"/>
        <v>0</v>
      </c>
      <c r="Q43" s="51" t="e">
        <f t="shared" si="57"/>
        <v>#DIV/0!</v>
      </c>
      <c r="R43" s="55">
        <v>396</v>
      </c>
      <c r="S43" s="53">
        <v>198</v>
      </c>
      <c r="T43" s="54">
        <v>44118</v>
      </c>
      <c r="U43" s="55">
        <v>0</v>
      </c>
      <c r="V43" s="55">
        <f t="shared" si="58"/>
        <v>0</v>
      </c>
      <c r="W43" s="55">
        <f t="shared" si="59"/>
        <v>0</v>
      </c>
      <c r="X43" s="55">
        <v>0</v>
      </c>
      <c r="Y43" s="55" t="e">
        <v>#N/A</v>
      </c>
      <c r="Z43" s="56" t="e">
        <f t="shared" si="60"/>
        <v>#N/A</v>
      </c>
      <c r="AA43" s="55" t="e">
        <v>#N/A</v>
      </c>
      <c r="AB43" s="55">
        <f t="shared" si="61"/>
        <v>0</v>
      </c>
      <c r="AC43" s="55">
        <v>0</v>
      </c>
      <c r="AD43" s="55">
        <v>-14.9</v>
      </c>
      <c r="AE43" s="55">
        <v>0</v>
      </c>
      <c r="AF43" s="55">
        <v>2.9727626459143899</v>
      </c>
    </row>
    <row r="44" spans="1:32" s="57" customFormat="1" ht="15.75" customHeight="1">
      <c r="A44" s="2" t="s">
        <v>108</v>
      </c>
      <c r="B44" s="2"/>
      <c r="C44" s="51">
        <f t="shared" si="50"/>
        <v>35.99</v>
      </c>
      <c r="D44" s="51">
        <v>1</v>
      </c>
      <c r="E44" s="51">
        <v>0</v>
      </c>
      <c r="F44" s="51">
        <v>35.99</v>
      </c>
      <c r="G44" s="51">
        <v>0</v>
      </c>
      <c r="H44" s="51">
        <f t="shared" si="51"/>
        <v>0</v>
      </c>
      <c r="I44" s="51">
        <f t="shared" si="52"/>
        <v>0.43599611003056399</v>
      </c>
      <c r="J44" s="51">
        <f t="shared" si="53"/>
        <v>15.6915</v>
      </c>
      <c r="K44" s="51">
        <f t="shared" si="54"/>
        <v>15.6915</v>
      </c>
      <c r="L44" s="51">
        <v>6</v>
      </c>
      <c r="M44" s="51">
        <f t="shared" si="55"/>
        <v>0.16666666666666666</v>
      </c>
      <c r="N44" s="51">
        <v>1</v>
      </c>
      <c r="O44" s="51">
        <f t="shared" ref="O44:P44" si="64">D44/7</f>
        <v>0.14285714285714285</v>
      </c>
      <c r="P44" s="51">
        <f t="shared" si="64"/>
        <v>0</v>
      </c>
      <c r="Q44" s="51">
        <f t="shared" si="57"/>
        <v>7</v>
      </c>
      <c r="R44" s="55">
        <v>198</v>
      </c>
      <c r="S44" s="53">
        <v>198</v>
      </c>
      <c r="T44" s="54">
        <v>44117</v>
      </c>
      <c r="U44" s="55">
        <v>0</v>
      </c>
      <c r="V44" s="55">
        <f t="shared" si="58"/>
        <v>0</v>
      </c>
      <c r="W44" s="55">
        <f t="shared" si="59"/>
        <v>0</v>
      </c>
      <c r="X44" s="55">
        <v>0</v>
      </c>
      <c r="Y44" s="55" t="e">
        <v>#N/A</v>
      </c>
      <c r="Z44" s="56" t="e">
        <f t="shared" ref="Z44:Z56" si="65">IF(OR(Y44="UsLargeStandardSize",Y44="UsSmallStandardSize"),-2.4,-1.2)</f>
        <v>#N/A</v>
      </c>
      <c r="AA44" s="55" t="e">
        <v>#N/A</v>
      </c>
      <c r="AB44" s="55">
        <f t="shared" si="61"/>
        <v>0</v>
      </c>
      <c r="AC44" s="55">
        <v>0</v>
      </c>
      <c r="AD44" s="55">
        <v>-14.9</v>
      </c>
      <c r="AE44" s="55">
        <v>0</v>
      </c>
      <c r="AF44" s="55" t="e">
        <v>#N/A</v>
      </c>
    </row>
    <row r="45" spans="1:32" s="57" customFormat="1" ht="15.75" customHeight="1">
      <c r="A45" s="2" t="s">
        <v>109</v>
      </c>
      <c r="B45" s="2" t="s">
        <v>1193</v>
      </c>
      <c r="C45" s="51" t="str">
        <f t="shared" si="50"/>
        <v xml:space="preserve"> - </v>
      </c>
      <c r="D45" s="51">
        <v>0</v>
      </c>
      <c r="E45" s="51">
        <v>0</v>
      </c>
      <c r="F45" s="51">
        <v>0</v>
      </c>
      <c r="G45" s="51">
        <v>0</v>
      </c>
      <c r="H45" s="51" t="e">
        <f t="shared" si="51"/>
        <v>#DIV/0!</v>
      </c>
      <c r="I45" s="51" t="e">
        <f t="shared" si="52"/>
        <v>#DIV/0!</v>
      </c>
      <c r="J45" s="51">
        <f t="shared" si="53"/>
        <v>0</v>
      </c>
      <c r="K45" s="51" t="e">
        <f t="shared" si="54"/>
        <v>#DIV/0!</v>
      </c>
      <c r="L45" s="51">
        <v>0</v>
      </c>
      <c r="M45" s="51" t="str">
        <f t="shared" si="55"/>
        <v>-</v>
      </c>
      <c r="N45" s="51">
        <v>48</v>
      </c>
      <c r="O45" s="51">
        <f t="shared" ref="O45:P45" si="66">D45/7</f>
        <v>0</v>
      </c>
      <c r="P45" s="51">
        <f t="shared" si="66"/>
        <v>0</v>
      </c>
      <c r="Q45" s="51" t="e">
        <f t="shared" si="57"/>
        <v>#DIV/0!</v>
      </c>
      <c r="R45" s="55">
        <v>198</v>
      </c>
      <c r="S45" s="53">
        <v>198</v>
      </c>
      <c r="T45" s="54">
        <v>44117</v>
      </c>
      <c r="U45" s="55">
        <v>0</v>
      </c>
      <c r="V45" s="55">
        <f t="shared" si="58"/>
        <v>0</v>
      </c>
      <c r="W45" s="55">
        <f t="shared" si="59"/>
        <v>0</v>
      </c>
      <c r="X45" s="55">
        <v>0</v>
      </c>
      <c r="Y45" s="55" t="s">
        <v>35</v>
      </c>
      <c r="Z45" s="56">
        <f t="shared" si="65"/>
        <v>-2.4</v>
      </c>
      <c r="AA45" s="55">
        <v>0.37182291666666667</v>
      </c>
      <c r="AB45" s="55">
        <f t="shared" si="61"/>
        <v>0</v>
      </c>
      <c r="AC45" s="55">
        <v>-6.18</v>
      </c>
      <c r="AD45" s="55">
        <v>-14.9</v>
      </c>
      <c r="AE45" s="55">
        <v>0</v>
      </c>
      <c r="AF45" s="55">
        <v>2.6666666666666599</v>
      </c>
    </row>
    <row r="46" spans="1:32" s="57" customFormat="1" ht="15.75" customHeight="1">
      <c r="A46" s="2" t="s">
        <v>111</v>
      </c>
      <c r="B46" s="2" t="s">
        <v>1194</v>
      </c>
      <c r="C46" s="51">
        <f t="shared" si="50"/>
        <v>35.99</v>
      </c>
      <c r="D46" s="51">
        <v>3</v>
      </c>
      <c r="E46" s="51">
        <v>0</v>
      </c>
      <c r="F46" s="51">
        <v>107.97</v>
      </c>
      <c r="G46" s="51">
        <v>-9.5500000000000007</v>
      </c>
      <c r="H46" s="51">
        <f t="shared" si="51"/>
        <v>8.8450495508011498E-2</v>
      </c>
      <c r="I46" s="51">
        <f t="shared" si="52"/>
        <v>0.10144600351949619</v>
      </c>
      <c r="J46" s="51">
        <f t="shared" si="53"/>
        <v>10.953125000000004</v>
      </c>
      <c r="K46" s="51">
        <f t="shared" si="54"/>
        <v>3.6510416666666679</v>
      </c>
      <c r="L46" s="51">
        <v>15</v>
      </c>
      <c r="M46" s="51">
        <f t="shared" si="55"/>
        <v>0.2</v>
      </c>
      <c r="N46" s="51">
        <v>61</v>
      </c>
      <c r="O46" s="51">
        <f t="shared" ref="O46:P46" si="67">D46/7</f>
        <v>0.42857142857142855</v>
      </c>
      <c r="P46" s="51">
        <f t="shared" si="67"/>
        <v>0</v>
      </c>
      <c r="Q46" s="51">
        <f t="shared" si="57"/>
        <v>142</v>
      </c>
      <c r="R46" s="55">
        <v>0</v>
      </c>
      <c r="S46" s="53" t="s">
        <v>34</v>
      </c>
      <c r="T46" s="54" t="s">
        <v>34</v>
      </c>
      <c r="U46" s="55">
        <v>0</v>
      </c>
      <c r="V46" s="55">
        <f t="shared" si="58"/>
        <v>0</v>
      </c>
      <c r="W46" s="55">
        <f t="shared" si="59"/>
        <v>9.5500000000000007</v>
      </c>
      <c r="X46" s="55">
        <v>1</v>
      </c>
      <c r="Y46" s="55" t="s">
        <v>35</v>
      </c>
      <c r="Z46" s="56">
        <f t="shared" si="65"/>
        <v>-2.4</v>
      </c>
      <c r="AA46" s="55">
        <v>0.37182291666666667</v>
      </c>
      <c r="AB46" s="55">
        <f t="shared" si="61"/>
        <v>-8.0313750000000006</v>
      </c>
      <c r="AC46" s="55">
        <v>-6.18</v>
      </c>
      <c r="AD46" s="55">
        <v>-14.9</v>
      </c>
      <c r="AE46" s="55">
        <v>0</v>
      </c>
      <c r="AF46" s="55">
        <v>2.3571428571428501</v>
      </c>
    </row>
    <row r="47" spans="1:32" s="57" customFormat="1" ht="15.75" customHeight="1">
      <c r="A47" s="2" t="s">
        <v>113</v>
      </c>
      <c r="B47" s="2" t="s">
        <v>1195</v>
      </c>
      <c r="C47" s="51">
        <f t="shared" si="50"/>
        <v>34.230000000000004</v>
      </c>
      <c r="D47" s="51">
        <v>10</v>
      </c>
      <c r="E47" s="51">
        <v>0</v>
      </c>
      <c r="F47" s="51">
        <v>342.30000000000007</v>
      </c>
      <c r="G47" s="51">
        <v>-29.4</v>
      </c>
      <c r="H47" s="51">
        <f t="shared" si="51"/>
        <v>8.5889570552147215E-2</v>
      </c>
      <c r="I47" s="51">
        <f t="shared" si="52"/>
        <v>7.0066462167689331E-2</v>
      </c>
      <c r="J47" s="51">
        <f t="shared" si="53"/>
        <v>23.983750000000065</v>
      </c>
      <c r="K47" s="51">
        <f t="shared" si="54"/>
        <v>2.3983750000000064</v>
      </c>
      <c r="L47" s="51">
        <v>36</v>
      </c>
      <c r="M47" s="51">
        <f t="shared" si="55"/>
        <v>0.27777777777777779</v>
      </c>
      <c r="N47" s="51">
        <v>170</v>
      </c>
      <c r="O47" s="51">
        <f t="shared" ref="O47:P47" si="68">D47/7</f>
        <v>1.4285714285714286</v>
      </c>
      <c r="P47" s="51">
        <f t="shared" si="68"/>
        <v>0</v>
      </c>
      <c r="Q47" s="51">
        <f t="shared" si="57"/>
        <v>119</v>
      </c>
      <c r="R47" s="55">
        <v>0</v>
      </c>
      <c r="S47" s="53" t="s">
        <v>34</v>
      </c>
      <c r="T47" s="54" t="s">
        <v>34</v>
      </c>
      <c r="U47" s="55">
        <v>1</v>
      </c>
      <c r="V47" s="55">
        <f t="shared" si="58"/>
        <v>0.1</v>
      </c>
      <c r="W47" s="55">
        <f t="shared" si="59"/>
        <v>9.7999999999999989</v>
      </c>
      <c r="X47" s="55">
        <v>2</v>
      </c>
      <c r="Y47" s="55" t="s">
        <v>35</v>
      </c>
      <c r="Z47" s="56">
        <f t="shared" si="65"/>
        <v>-2.4</v>
      </c>
      <c r="AA47" s="55">
        <v>0.37182291666666667</v>
      </c>
      <c r="AB47" s="55">
        <f t="shared" si="61"/>
        <v>-26.771250000000002</v>
      </c>
      <c r="AC47" s="55">
        <v>-6.18</v>
      </c>
      <c r="AD47" s="55">
        <v>-14.9</v>
      </c>
      <c r="AE47" s="55">
        <v>0</v>
      </c>
      <c r="AF47" s="55">
        <v>1.3984962406015</v>
      </c>
    </row>
    <row r="48" spans="1:32" s="57" customFormat="1" ht="15.75" customHeight="1">
      <c r="A48" s="2" t="s">
        <v>115</v>
      </c>
      <c r="B48" s="2" t="s">
        <v>1196</v>
      </c>
      <c r="C48" s="51">
        <f t="shared" si="50"/>
        <v>31.472800000000007</v>
      </c>
      <c r="D48" s="51">
        <v>25</v>
      </c>
      <c r="E48" s="51">
        <v>0</v>
      </c>
      <c r="F48" s="51">
        <v>786.82000000000016</v>
      </c>
      <c r="G48" s="51">
        <v>-28.240000000000002</v>
      </c>
      <c r="H48" s="51">
        <f t="shared" si="51"/>
        <v>3.5891309321064532E-2</v>
      </c>
      <c r="I48" s="51">
        <f t="shared" si="52"/>
        <v>5.9262442490023291E-2</v>
      </c>
      <c r="J48" s="51">
        <f t="shared" si="53"/>
        <v>46.628875000000136</v>
      </c>
      <c r="K48" s="51">
        <f t="shared" si="54"/>
        <v>1.8651550000000054</v>
      </c>
      <c r="L48" s="51">
        <v>39</v>
      </c>
      <c r="M48" s="51">
        <f t="shared" si="55"/>
        <v>0.64102564102564108</v>
      </c>
      <c r="N48" s="51">
        <v>160</v>
      </c>
      <c r="O48" s="51">
        <f t="shared" ref="O48:P48" si="69">D48/7</f>
        <v>3.5714285714285716</v>
      </c>
      <c r="P48" s="51">
        <f t="shared" si="69"/>
        <v>0</v>
      </c>
      <c r="Q48" s="51">
        <f t="shared" si="57"/>
        <v>44</v>
      </c>
      <c r="R48" s="55">
        <f ca="1">IFERROR(__xludf.DUMMYFUNCTION("IFERROR(VLOOKUP($B$2,IMPORTRANGE(""https://docs.google.com/spreadsheets/d/1iVgg6Mw12RULLujzHmfOFIY8Q_KaAD8anoZzgtVAQ74/edit#gid=1503384807"",""Second Star - Summary!A1:AD2000""),9,FALSE),"""")"),1368)</f>
        <v>1368</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7</v>
      </c>
      <c r="V48" s="55">
        <f t="shared" si="58"/>
        <v>0.28000000000000003</v>
      </c>
      <c r="W48" s="55">
        <f t="shared" si="59"/>
        <v>4.0342857142857147</v>
      </c>
      <c r="X48" s="55">
        <v>0</v>
      </c>
      <c r="Y48" s="55" t="s">
        <v>35</v>
      </c>
      <c r="Z48" s="56">
        <f t="shared" si="65"/>
        <v>-2.4</v>
      </c>
      <c r="AA48" s="55">
        <v>0.37182291666666667</v>
      </c>
      <c r="AB48" s="55">
        <f t="shared" si="61"/>
        <v>-66.928124999999994</v>
      </c>
      <c r="AC48" s="55">
        <v>-6.18</v>
      </c>
      <c r="AD48" s="55">
        <v>-14.9</v>
      </c>
      <c r="AE48" s="55">
        <v>0</v>
      </c>
      <c r="AF48" s="55">
        <v>1.6</v>
      </c>
    </row>
    <row r="49" spans="1:32" s="57" customFormat="1" ht="15.75" customHeight="1">
      <c r="A49" s="2" t="s">
        <v>117</v>
      </c>
      <c r="B49" s="2" t="s">
        <v>1197</v>
      </c>
      <c r="C49" s="51">
        <f t="shared" si="50"/>
        <v>31.888148148148147</v>
      </c>
      <c r="D49" s="51">
        <v>27</v>
      </c>
      <c r="E49" s="51">
        <v>0</v>
      </c>
      <c r="F49" s="51">
        <v>860.98</v>
      </c>
      <c r="G49" s="51">
        <v>-29.110000000000003</v>
      </c>
      <c r="H49" s="51">
        <f t="shared" si="51"/>
        <v>3.3810309182559409E-2</v>
      </c>
      <c r="I49" s="51">
        <f t="shared" si="52"/>
        <v>7.1175433807986202E-2</v>
      </c>
      <c r="J49" s="51">
        <f t="shared" ref="J49:J56" si="70">F49*0.85+G49+AD49*D49+D49*AC49+AE49+AB49</f>
        <v>61.280624999999958</v>
      </c>
      <c r="K49" s="51">
        <f t="shared" si="54"/>
        <v>2.2696527777777762</v>
      </c>
      <c r="L49" s="51">
        <v>52</v>
      </c>
      <c r="M49" s="51">
        <f t="shared" si="55"/>
        <v>0.51923076923076927</v>
      </c>
      <c r="N49" s="51">
        <v>135</v>
      </c>
      <c r="O49" s="51">
        <f t="shared" ref="O49:P49" si="71">D49/7</f>
        <v>3.8571428571428572</v>
      </c>
      <c r="P49" s="51">
        <f t="shared" si="71"/>
        <v>0</v>
      </c>
      <c r="Q49" s="51">
        <f t="shared" si="57"/>
        <v>35</v>
      </c>
      <c r="R49" s="55">
        <f ca="1">IFERROR(__xludf.DUMMYFUNCTION("IFERROR(VLOOKUP($B$2,IMPORTRANGE(""https://docs.google.com/spreadsheets/d/1iVgg6Mw12RULLujzHmfOFIY8Q_KaAD8anoZzgtVAQ74/edit#gid=1503384807"",""Second Star - Summary!A1:AD2000""),9,FALSE),"""")"),1368)</f>
        <v>1368</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7</v>
      </c>
      <c r="V49" s="55">
        <f t="shared" si="58"/>
        <v>0.25925925925925924</v>
      </c>
      <c r="W49" s="55">
        <f t="shared" si="59"/>
        <v>3.6387500000000004</v>
      </c>
      <c r="X49" s="55">
        <v>1</v>
      </c>
      <c r="Y49" s="55" t="s">
        <v>35</v>
      </c>
      <c r="Z49" s="56">
        <f t="shared" si="65"/>
        <v>-2.4</v>
      </c>
      <c r="AA49" s="55">
        <v>0.37182291666666667</v>
      </c>
      <c r="AB49" s="55">
        <f t="shared" si="61"/>
        <v>-72.282375000000002</v>
      </c>
      <c r="AC49" s="55">
        <v>-6.18</v>
      </c>
      <c r="AD49" s="55">
        <v>-14.9</v>
      </c>
      <c r="AE49" s="55">
        <v>0</v>
      </c>
      <c r="AF49" s="55">
        <v>2.0558659217876998</v>
      </c>
    </row>
    <row r="50" spans="1:32" s="57" customFormat="1" ht="15.75" customHeight="1">
      <c r="A50" s="2" t="s">
        <v>119</v>
      </c>
      <c r="B50" s="2" t="s">
        <v>264</v>
      </c>
      <c r="C50" s="51">
        <f t="shared" si="50"/>
        <v>33.607142857142861</v>
      </c>
      <c r="D50" s="51">
        <v>21</v>
      </c>
      <c r="E50" s="51">
        <v>0</v>
      </c>
      <c r="F50" s="51">
        <v>705.75000000000011</v>
      </c>
      <c r="G50" s="51">
        <v>-34.449999999999996</v>
      </c>
      <c r="H50" s="51">
        <f t="shared" si="51"/>
        <v>4.8813319164009904E-2</v>
      </c>
      <c r="I50" s="51">
        <f t="shared" si="52"/>
        <v>9.4279667020899682E-2</v>
      </c>
      <c r="J50" s="51">
        <f t="shared" si="70"/>
        <v>66.537874999999957</v>
      </c>
      <c r="K50" s="51">
        <f t="shared" si="54"/>
        <v>3.1684702380952361</v>
      </c>
      <c r="L50" s="51">
        <v>54</v>
      </c>
      <c r="M50" s="51">
        <f t="shared" si="55"/>
        <v>0.3888888888888889</v>
      </c>
      <c r="N50" s="51">
        <v>107</v>
      </c>
      <c r="O50" s="51">
        <f t="shared" ref="O50:P50" si="72">D50/7</f>
        <v>3</v>
      </c>
      <c r="P50" s="51">
        <f t="shared" si="72"/>
        <v>0</v>
      </c>
      <c r="Q50" s="51">
        <f t="shared" si="57"/>
        <v>35</v>
      </c>
      <c r="R50" s="55">
        <f ca="1">IFERROR(__xludf.DUMMYFUNCTION("IFERROR(VLOOKUP($B$2,IMPORTRANGE(""https://docs.google.com/spreadsheets/d/1iVgg6Mw12RULLujzHmfOFIY8Q_KaAD8anoZzgtVAQ74/edit#gid=1503384807"",""Second Star - Summary!A1:AD2000""),9,FALSE),"""")"),1368)</f>
        <v>1368</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5</v>
      </c>
      <c r="V50" s="55">
        <f t="shared" si="58"/>
        <v>0.23809523809523808</v>
      </c>
      <c r="W50" s="55">
        <f t="shared" si="59"/>
        <v>4.9214285714285708</v>
      </c>
      <c r="X50" s="55">
        <v>2</v>
      </c>
      <c r="Y50" s="55" t="s">
        <v>35</v>
      </c>
      <c r="Z50" s="56">
        <f t="shared" si="65"/>
        <v>-2.4</v>
      </c>
      <c r="AA50" s="55">
        <v>0.37182291666666667</v>
      </c>
      <c r="AB50" s="55">
        <f t="shared" si="61"/>
        <v>-56.219625000000008</v>
      </c>
      <c r="AC50" s="55">
        <v>-6.18</v>
      </c>
      <c r="AD50" s="55">
        <v>-14.9</v>
      </c>
      <c r="AE50" s="55">
        <v>0</v>
      </c>
      <c r="AF50" s="55">
        <v>1.9481865284974</v>
      </c>
    </row>
    <row r="51" spans="1:32" s="57" customFormat="1" ht="15.75" customHeight="1">
      <c r="A51" s="2" t="s">
        <v>121</v>
      </c>
      <c r="B51" s="2" t="s">
        <v>45</v>
      </c>
      <c r="C51" s="51">
        <f t="shared" si="50"/>
        <v>35.02600000000001</v>
      </c>
      <c r="D51" s="51">
        <v>25</v>
      </c>
      <c r="E51" s="51">
        <v>0</v>
      </c>
      <c r="F51" s="51">
        <v>875.6500000000002</v>
      </c>
      <c r="G51" s="51">
        <v>0</v>
      </c>
      <c r="H51" s="51">
        <f t="shared" si="51"/>
        <v>0</v>
      </c>
      <c r="I51" s="51">
        <f t="shared" si="52"/>
        <v>0.17172885856221104</v>
      </c>
      <c r="J51" s="51">
        <f t="shared" si="70"/>
        <v>150.37437500000013</v>
      </c>
      <c r="K51" s="51">
        <f t="shared" si="54"/>
        <v>6.0149750000000051</v>
      </c>
      <c r="L51" s="51">
        <v>71</v>
      </c>
      <c r="M51" s="51">
        <f t="shared" si="55"/>
        <v>0.352112676056338</v>
      </c>
      <c r="N51" s="51">
        <v>83</v>
      </c>
      <c r="O51" s="51">
        <f t="shared" ref="O51:P51" si="73">D51/7</f>
        <v>3.5714285714285716</v>
      </c>
      <c r="P51" s="51">
        <f t="shared" si="73"/>
        <v>0</v>
      </c>
      <c r="Q51" s="51">
        <f t="shared" si="57"/>
        <v>23</v>
      </c>
      <c r="R51" s="55">
        <f ca="1">IFERROR(__xludf.DUMMYFUNCTION("IFERROR(VLOOKUP($B$2,IMPORTRANGE(""https://docs.google.com/spreadsheets/d/1iVgg6Mw12RULLujzHmfOFIY8Q_KaAD8anoZzgtVAQ74/edit#gid=1503384807"",""Second Star - Summary!A1:AD2000""),9,FALSE),"""")"),1368)</f>
        <v>1368</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4</v>
      </c>
      <c r="V51" s="55">
        <f t="shared" si="58"/>
        <v>0.16</v>
      </c>
      <c r="W51" s="55">
        <f t="shared" si="59"/>
        <v>0</v>
      </c>
      <c r="X51" s="55">
        <v>1</v>
      </c>
      <c r="Y51" s="55" t="s">
        <v>35</v>
      </c>
      <c r="Z51" s="56">
        <f t="shared" si="65"/>
        <v>-2.4</v>
      </c>
      <c r="AA51" s="55">
        <v>0.37182291666666667</v>
      </c>
      <c r="AB51" s="55">
        <f t="shared" si="61"/>
        <v>-66.928124999999994</v>
      </c>
      <c r="AC51" s="55">
        <v>-6.18</v>
      </c>
      <c r="AD51" s="55">
        <v>-14.9</v>
      </c>
      <c r="AE51" s="55">
        <v>0</v>
      </c>
      <c r="AF51" s="55">
        <v>2.6904761904761898</v>
      </c>
    </row>
    <row r="52" spans="1:32" s="57" customFormat="1" ht="15.75" customHeight="1">
      <c r="A52" s="2" t="s">
        <v>123</v>
      </c>
      <c r="B52" s="2" t="s">
        <v>264</v>
      </c>
      <c r="C52" s="51">
        <f t="shared" si="50"/>
        <v>34.99</v>
      </c>
      <c r="D52" s="51">
        <v>17</v>
      </c>
      <c r="E52" s="51">
        <v>0</v>
      </c>
      <c r="F52" s="51">
        <v>594.83000000000004</v>
      </c>
      <c r="G52" s="51">
        <v>-38.410000000000004</v>
      </c>
      <c r="H52" s="51">
        <f t="shared" si="51"/>
        <v>6.4573071297681695E-2</v>
      </c>
      <c r="I52" s="51">
        <f t="shared" si="52"/>
        <v>0.10645793756199244</v>
      </c>
      <c r="J52" s="51">
        <f t="shared" si="70"/>
        <v>63.324374999999968</v>
      </c>
      <c r="K52" s="51">
        <f t="shared" si="54"/>
        <v>3.7249632352941155</v>
      </c>
      <c r="L52" s="51">
        <v>44</v>
      </c>
      <c r="M52" s="51">
        <f t="shared" si="55"/>
        <v>0.38636363636363635</v>
      </c>
      <c r="N52" s="51">
        <v>92</v>
      </c>
      <c r="O52" s="51">
        <f t="shared" ref="O52:P52" si="74">D52/7</f>
        <v>2.4285714285714284</v>
      </c>
      <c r="P52" s="51">
        <f t="shared" si="74"/>
        <v>0</v>
      </c>
      <c r="Q52" s="51">
        <f t="shared" si="57"/>
        <v>37</v>
      </c>
      <c r="R52" s="55">
        <f ca="1">IFERROR(__xludf.DUMMYFUNCTION("IFERROR(VLOOKUP($B$2,IMPORTRANGE(""https://docs.google.com/spreadsheets/d/1iVgg6Mw12RULLujzHmfOFIY8Q_KaAD8anoZzgtVAQ74/edit#gid=1503384807"",""Second Star - Summary!A1:AD2000""),9,FALSE),"""")"),1368)</f>
        <v>1368</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58"/>
        <v>0</v>
      </c>
      <c r="W52" s="55">
        <f t="shared" si="59"/>
        <v>19.205000000000002</v>
      </c>
      <c r="X52" s="55">
        <v>2</v>
      </c>
      <c r="Y52" s="55" t="s">
        <v>35</v>
      </c>
      <c r="Z52" s="56">
        <f t="shared" si="65"/>
        <v>-2.4</v>
      </c>
      <c r="AA52" s="55">
        <v>0.37182291666666667</v>
      </c>
      <c r="AB52" s="55">
        <f t="shared" si="61"/>
        <v>-45.511125</v>
      </c>
      <c r="AC52" s="55">
        <v>-6.18</v>
      </c>
      <c r="AD52" s="55">
        <v>-14.9</v>
      </c>
      <c r="AE52" s="55">
        <v>0</v>
      </c>
      <c r="AF52" s="55">
        <v>1.5741935483870899</v>
      </c>
    </row>
    <row r="53" spans="1:32" s="57" customFormat="1">
      <c r="A53" s="2" t="s">
        <v>38</v>
      </c>
      <c r="B53" s="2" t="s">
        <v>1198</v>
      </c>
      <c r="C53" s="51">
        <f t="shared" si="50"/>
        <v>35.032500000000006</v>
      </c>
      <c r="D53" s="51">
        <v>16</v>
      </c>
      <c r="E53" s="51">
        <v>0</v>
      </c>
      <c r="F53" s="51">
        <v>560.5200000000001</v>
      </c>
      <c r="G53" s="51">
        <v>-40.22</v>
      </c>
      <c r="H53" s="51">
        <f t="shared" si="51"/>
        <v>7.175479911510739E-2</v>
      </c>
      <c r="I53" s="51">
        <f t="shared" si="52"/>
        <v>0.10009990722900178</v>
      </c>
      <c r="J53" s="51">
        <f t="shared" si="70"/>
        <v>56.108000000000089</v>
      </c>
      <c r="K53" s="51">
        <f t="shared" si="54"/>
        <v>3.5067500000000056</v>
      </c>
      <c r="L53" s="51">
        <v>49</v>
      </c>
      <c r="M53" s="51">
        <f t="shared" si="55"/>
        <v>0.32653061224489793</v>
      </c>
      <c r="N53" s="51">
        <v>72</v>
      </c>
      <c r="O53" s="51">
        <f t="shared" ref="O53:P53" si="75">D53/7</f>
        <v>2.2857142857142856</v>
      </c>
      <c r="P53" s="51">
        <f t="shared" si="75"/>
        <v>0</v>
      </c>
      <c r="Q53" s="51">
        <f t="shared" si="57"/>
        <v>31</v>
      </c>
      <c r="R53" s="55">
        <f ca="1">IFERROR(__xludf.DUMMYFUNCTION("IFERROR(VLOOKUP($B$2,IMPORTRANGE(""https://docs.google.com/spreadsheets/d/1iVgg6Mw12RULLujzHmfOFIY8Q_KaAD8anoZzgtVAQ74/edit#gid=1503384807"",""Second Star - Summary!A1:AD2000""),9,FALSE),"""")"),1368)</f>
        <v>1368</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4</v>
      </c>
      <c r="V53" s="55">
        <f t="shared" si="58"/>
        <v>0.25</v>
      </c>
      <c r="W53" s="55">
        <f t="shared" si="59"/>
        <v>10.055</v>
      </c>
      <c r="X53" s="55">
        <v>0</v>
      </c>
      <c r="Y53" s="55" t="s">
        <v>35</v>
      </c>
      <c r="Z53" s="56">
        <f t="shared" si="65"/>
        <v>-2.4</v>
      </c>
      <c r="AA53" s="55">
        <v>0.37182291666666667</v>
      </c>
      <c r="AB53" s="55">
        <f t="shared" si="61"/>
        <v>-42.834000000000003</v>
      </c>
      <c r="AC53" s="55">
        <v>-6.18</v>
      </c>
      <c r="AD53" s="55">
        <v>-14.9</v>
      </c>
      <c r="AE53" s="55">
        <v>0</v>
      </c>
      <c r="AF53" s="55">
        <v>2.3266932270916301</v>
      </c>
    </row>
    <row r="54" spans="1:32" s="57" customFormat="1">
      <c r="A54" s="2" t="s">
        <v>40</v>
      </c>
      <c r="B54" s="2"/>
      <c r="C54" s="51">
        <f t="shared" si="50"/>
        <v>36.898333333333348</v>
      </c>
      <c r="D54" s="51">
        <v>18</v>
      </c>
      <c r="E54" s="51">
        <v>0</v>
      </c>
      <c r="F54" s="51">
        <v>664.1700000000003</v>
      </c>
      <c r="G54" s="51">
        <v>-35.080000000000005</v>
      </c>
      <c r="H54" s="51">
        <f t="shared" si="51"/>
        <v>5.2817802671002889E-2</v>
      </c>
      <c r="I54" s="51">
        <f t="shared" si="52"/>
        <v>0.14492712709095576</v>
      </c>
      <c r="J54" s="51">
        <f t="shared" si="70"/>
        <v>96.256250000000136</v>
      </c>
      <c r="K54" s="51">
        <f t="shared" si="54"/>
        <v>5.3475694444444519</v>
      </c>
      <c r="L54" s="51">
        <v>51</v>
      </c>
      <c r="M54" s="51">
        <f t="shared" si="55"/>
        <v>0.35294117647058826</v>
      </c>
      <c r="N54" s="51">
        <v>45</v>
      </c>
      <c r="O54" s="51">
        <f t="shared" ref="O54:P54" si="76">D54/7</f>
        <v>2.5714285714285716</v>
      </c>
      <c r="P54" s="51">
        <f t="shared" si="76"/>
        <v>0</v>
      </c>
      <c r="Q54" s="51">
        <f t="shared" si="57"/>
        <v>17</v>
      </c>
      <c r="R54" s="55">
        <f ca="1">IFERROR(__xludf.DUMMYFUNCTION("IFERROR(VLOOKUP($B$2,IMPORTRANGE(""https://docs.google.com/spreadsheets/d/1iVgg6Mw12RULLujzHmfOFIY8Q_KaAD8anoZzgtVAQ74/edit#gid=1503384807"",""Second Star - Summary!A1:AD2000""),9,FALSE),"""")"),1368)</f>
        <v>1368</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4</v>
      </c>
      <c r="V54" s="55">
        <f t="shared" si="58"/>
        <v>0.22222222222222221</v>
      </c>
      <c r="W54" s="55">
        <f t="shared" si="59"/>
        <v>8.7700000000000014</v>
      </c>
      <c r="X54" s="55">
        <v>0</v>
      </c>
      <c r="Y54" s="55" t="s">
        <v>35</v>
      </c>
      <c r="Z54" s="56">
        <f t="shared" si="65"/>
        <v>-2.4</v>
      </c>
      <c r="AA54" s="55">
        <v>0.37182291666666667</v>
      </c>
      <c r="AB54" s="55">
        <f t="shared" si="61"/>
        <v>-48.188250000000004</v>
      </c>
      <c r="AC54" s="55">
        <v>-6.18</v>
      </c>
      <c r="AD54" s="55">
        <v>-14.9</v>
      </c>
      <c r="AE54" s="55">
        <v>-5.58</v>
      </c>
      <c r="AF54" s="55">
        <v>3.2422907488986699</v>
      </c>
    </row>
    <row r="55" spans="1:32" s="57" customFormat="1" ht="15.75" customHeight="1">
      <c r="A55" s="2" t="s">
        <v>32</v>
      </c>
      <c r="B55" s="2"/>
      <c r="C55" s="51">
        <f t="shared" si="50"/>
        <v>37.213333333333331</v>
      </c>
      <c r="D55" s="51">
        <v>21</v>
      </c>
      <c r="E55" s="51">
        <v>0</v>
      </c>
      <c r="F55" s="51">
        <v>781.48</v>
      </c>
      <c r="G55" s="51">
        <v>-37.359999999999992</v>
      </c>
      <c r="H55" s="51">
        <f t="shared" si="51"/>
        <v>4.7806725699953923E-2</v>
      </c>
      <c r="I55" s="51">
        <f t="shared" si="52"/>
        <v>0.16378970031222806</v>
      </c>
      <c r="J55" s="51">
        <f t="shared" si="70"/>
        <v>127.99837499999998</v>
      </c>
      <c r="K55" s="51">
        <f t="shared" si="54"/>
        <v>6.0951607142857132</v>
      </c>
      <c r="L55" s="51">
        <v>41</v>
      </c>
      <c r="M55" s="51">
        <f t="shared" si="55"/>
        <v>0.51219512195121952</v>
      </c>
      <c r="N55" s="51">
        <v>30</v>
      </c>
      <c r="O55" s="51">
        <f t="shared" ref="O55:P55" si="77">D55/7</f>
        <v>3</v>
      </c>
      <c r="P55" s="51">
        <f t="shared" si="77"/>
        <v>0</v>
      </c>
      <c r="Q55" s="51">
        <f t="shared" si="57"/>
        <v>10</v>
      </c>
      <c r="R55" s="55">
        <v>102</v>
      </c>
      <c r="S55" s="53">
        <v>102</v>
      </c>
      <c r="T55" s="54">
        <v>44211</v>
      </c>
      <c r="U55" s="55">
        <v>4</v>
      </c>
      <c r="V55" s="55">
        <f t="shared" si="58"/>
        <v>0.19047619047619047</v>
      </c>
      <c r="W55" s="55">
        <f t="shared" si="59"/>
        <v>9.3399999999999981</v>
      </c>
      <c r="X55" s="55">
        <v>0</v>
      </c>
      <c r="Y55" s="55" t="s">
        <v>35</v>
      </c>
      <c r="Z55" s="56">
        <f t="shared" si="65"/>
        <v>-2.4</v>
      </c>
      <c r="AA55" s="55">
        <v>0.37182291666666667</v>
      </c>
      <c r="AB55" s="55">
        <f t="shared" si="61"/>
        <v>-56.219625000000008</v>
      </c>
      <c r="AC55" s="55">
        <v>-6.18</v>
      </c>
      <c r="AD55" s="55">
        <v>-14.9</v>
      </c>
      <c r="AE55" s="55">
        <v>0</v>
      </c>
      <c r="AF55" s="55">
        <v>2.21750663129973</v>
      </c>
    </row>
    <row r="56" spans="1:32" s="57" customFormat="1" ht="15.75" customHeight="1">
      <c r="A56" s="2" t="s">
        <v>36</v>
      </c>
      <c r="B56" s="2"/>
      <c r="C56" s="51">
        <f t="shared" si="50"/>
        <v>36.99</v>
      </c>
      <c r="D56" s="51">
        <v>14</v>
      </c>
      <c r="E56" s="51">
        <v>0</v>
      </c>
      <c r="F56" s="51">
        <v>517.86</v>
      </c>
      <c r="G56" s="51">
        <v>-36.790000000000006</v>
      </c>
      <c r="H56" s="51">
        <f t="shared" si="51"/>
        <v>7.1042366662804626E-2</v>
      </c>
      <c r="I56" s="51">
        <f t="shared" si="52"/>
        <v>0.13669959062294823</v>
      </c>
      <c r="J56" s="51">
        <f t="shared" si="70"/>
        <v>70.791249999999977</v>
      </c>
      <c r="K56" s="51">
        <f t="shared" si="54"/>
        <v>5.0565178571428557</v>
      </c>
      <c r="L56" s="51">
        <v>40</v>
      </c>
      <c r="M56" s="51">
        <f t="shared" si="55"/>
        <v>0.35</v>
      </c>
      <c r="N56" s="51">
        <v>67</v>
      </c>
      <c r="O56" s="51">
        <f t="shared" ref="O56:P56" si="78">D56/7</f>
        <v>2</v>
      </c>
      <c r="P56" s="51">
        <f t="shared" si="78"/>
        <v>0</v>
      </c>
      <c r="Q56" s="51">
        <f t="shared" si="57"/>
        <v>33</v>
      </c>
      <c r="R56" s="55">
        <f ca="1">IFERROR(__xludf.DUMMYFUNCTION("IFERROR(VLOOKUP($B$2,IMPORTRANGE(""https://docs.google.com/spreadsheets/d/1iVgg6Mw12RULLujzHmfOFIY8Q_KaAD8anoZzgtVAQ74/edit#gid=1503384807"",""Second Star - Summary!A1:AD2000""),9,FALSE),"""")"),1368)</f>
        <v>1368</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2</v>
      </c>
      <c r="V56" s="55">
        <f t="shared" si="58"/>
        <v>0.14285714285714285</v>
      </c>
      <c r="W56" s="55">
        <f t="shared" si="59"/>
        <v>9.1975000000000016</v>
      </c>
      <c r="X56" s="55">
        <v>2</v>
      </c>
      <c r="Y56" s="55" t="s">
        <v>35</v>
      </c>
      <c r="Z56" s="56">
        <f t="shared" si="65"/>
        <v>-2.4</v>
      </c>
      <c r="AA56" s="55">
        <v>0.37182291666666667</v>
      </c>
      <c r="AB56" s="55">
        <f t="shared" si="61"/>
        <v>-37.479749999999996</v>
      </c>
      <c r="AC56" s="55">
        <v>-6.18</v>
      </c>
      <c r="AD56" s="55">
        <v>-14.9</v>
      </c>
      <c r="AE56" s="55">
        <v>0</v>
      </c>
      <c r="AF56" s="55">
        <v>2.66279069767441</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E201" s="2"/>
      <c r="P201" s="2"/>
      <c r="AF201" s="23"/>
    </row>
    <row r="202" spans="1:32" ht="15.75" customHeight="1">
      <c r="E202" s="2"/>
      <c r="P202" s="2"/>
      <c r="AF202" s="23"/>
    </row>
    <row r="203" spans="1:32" ht="15.75" customHeight="1">
      <c r="E203" s="2"/>
      <c r="P203" s="2"/>
      <c r="AF203" s="23"/>
    </row>
    <row r="204" spans="1:32" ht="15.75" customHeight="1">
      <c r="E204" s="2"/>
      <c r="P204" s="2"/>
      <c r="AF204" s="23"/>
    </row>
    <row r="205" spans="1:32" ht="15.75" customHeight="1">
      <c r="E205" s="2"/>
      <c r="P205" s="2"/>
      <c r="AF205" s="23"/>
    </row>
    <row r="206" spans="1:32" ht="15.75" customHeight="1">
      <c r="E206" s="2"/>
      <c r="P206" s="2"/>
      <c r="AF206" s="23"/>
    </row>
    <row r="207" spans="1:32" ht="15.75" customHeight="1">
      <c r="E207" s="2"/>
      <c r="P207" s="2"/>
      <c r="AF207" s="23"/>
    </row>
    <row r="208" spans="1: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55" priority="1" operator="lessThan">
      <formula>100</formula>
    </cfRule>
  </conditionalFormatting>
  <conditionalFormatting sqref="Q1:Q3 Q57:Q1000">
    <cfRule type="cellIs" dxfId="54" priority="2" operator="lessThan">
      <formula>100</formula>
    </cfRule>
  </conditionalFormatting>
  <conditionalFormatting sqref="I1:I3 I57:I1000">
    <cfRule type="cellIs" dxfId="53" priority="3" operator="lessThan">
      <formula>0.05</formula>
    </cfRule>
  </conditionalFormatting>
  <conditionalFormatting sqref="I4:I17">
    <cfRule type="cellIs" dxfId="52" priority="4" operator="lessThan">
      <formula>0.05</formula>
    </cfRule>
  </conditionalFormatting>
  <conditionalFormatting sqref="I18:I56">
    <cfRule type="cellIs" dxfId="51" priority="5" operator="lessThan">
      <formula>0.05</formula>
    </cfRule>
  </conditionalFormatting>
  <conditionalFormatting sqref="Q4:Q56">
    <cfRule type="cellIs" dxfId="50" priority="6" operator="lessThan">
      <formula>100</formula>
    </cfRule>
  </conditionalFormatting>
  <conditionalFormatting sqref="Q4:Q56">
    <cfRule type="cellIs" dxfId="49" priority="7" operator="lessThan">
      <formula>100</formula>
    </cfRule>
  </conditionalFormatting>
  <pageMargins left="0.7" right="0.7" top="0.75" bottom="0.75" header="0" footer="0"/>
  <pageSetup orientation="portrait"/>
  <legacy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20.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12" customWidth="1"/>
  </cols>
  <sheetData>
    <row r="1" spans="1:32" ht="18.75" customHeight="1">
      <c r="A1" s="1" t="str">
        <f ca="1">IFERROR(__xludf.DUMMYFUNCTION("IFERROR(VLOOKUP(B2,IMPORTRANGE(""https://docs.google.com/spreadsheets/d/1x0DhHglkXKoEBOD2MBsuK_EyIr1ouxD2ftIpqOYFa-k/edit?usp=sharing"",""SecondStar-SKU-Specific Info!B1:BJ5000""),4,FALSE),"""")"),"Pack of 2 Washable Waterproof Mattress Sheet Protector Bed Extra Large Underpad - 36in x 70in with Tuck-in Tails")</f>
        <v>Pack of 2 Washable Waterproof Mattress Sheet Protector Bed Extra Large Underpad - 36in x 70in with Tuck-in Tails</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Info!B1:BJ5000""),3,FALSE),"""")"),"B07YYJSP4F")</f>
        <v>B07YYJSP4F</v>
      </c>
      <c r="B2" s="4" t="s">
        <v>1199</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38"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26.44235294117647</v>
      </c>
      <c r="D3" s="8">
        <f>SUM(D4:D99819)</f>
        <v>1211</v>
      </c>
      <c r="E3" s="8"/>
      <c r="F3" s="9">
        <f t="shared" ref="F3:G3" si="0">SUM(F4:F99819)</f>
        <v>42044.53</v>
      </c>
      <c r="G3" s="9">
        <f t="shared" si="0"/>
        <v>-749.32999999999981</v>
      </c>
      <c r="H3" s="10">
        <f t="shared" ref="H3:H39" si="1">G3/F3*-1</f>
        <v>1.7822294600510456E-2</v>
      </c>
      <c r="I3" s="11">
        <f t="shared" ref="I3:I39" si="2">J3/F3</f>
        <v>0.11790844669722225</v>
      </c>
      <c r="J3" s="9">
        <f>SUM(J4:J99819)</f>
        <v>4957.4052244147615</v>
      </c>
      <c r="K3" s="9">
        <f t="shared" ref="K3:K39" si="3">J3/D3</f>
        <v>4.0936459326298609</v>
      </c>
      <c r="L3" s="8"/>
      <c r="M3" s="12"/>
      <c r="N3" s="13"/>
      <c r="O3" s="8" t="str">
        <f ca="1">IFERROR(__xludf.DUMMYFUNCTION("IFERROR(VLOOKUP(B2,IMPORTRANGE(""https://docs.google.com/spreadsheets/d/1owCo6kL_VFQ5nPTdNogErmCBLjNiktT1m3SzTrxu3R0/edit#gid=2146806407"",""Second Star - Compiled!b1:g5000""),2,FALSE),"""")"),"7 - March
7 - April
7 - May
7 - Jun
7 - Jul
7 - Aug
7 - Sept
7 - Oct
7 - Nov
7 - Dec
7 - Jan
7 - Feb")</f>
        <v>7 - March
7 - April
7 - May
7 - Jun
7 - Jul
7 - Aug
7 - Sept
7 - Oct
7 - Nov
7 - Dec
7 - Jan
7 - Feb</v>
      </c>
      <c r="P3" s="8"/>
      <c r="Q3" s="14"/>
      <c r="R3" s="13"/>
      <c r="S3" s="13"/>
      <c r="T3" s="13"/>
      <c r="U3" s="8">
        <f>SUM(U4:U99819)</f>
        <v>72</v>
      </c>
      <c r="V3" s="10">
        <f>AVERAGE(V4:V99819)</f>
        <v>4.1523622064669821E-2</v>
      </c>
      <c r="W3" s="9">
        <f>ROUND(AVERAGE(W4:W99819),2)</f>
        <v>2.4500000000000002</v>
      </c>
      <c r="X3" s="8"/>
      <c r="Y3" s="8"/>
      <c r="Z3" s="8"/>
      <c r="AA3" s="8"/>
      <c r="AB3" s="8"/>
      <c r="AC3" s="15"/>
      <c r="AD3" s="9"/>
      <c r="AE3" s="9">
        <f>SUM(AE4:AE99819)</f>
        <v>-9.9</v>
      </c>
      <c r="AF3" s="16"/>
    </row>
    <row r="4" spans="1:32" s="57" customFormat="1">
      <c r="A4" s="17" t="s">
        <v>48</v>
      </c>
      <c r="B4" s="17"/>
      <c r="C4" s="50">
        <v>53.99</v>
      </c>
      <c r="D4" s="51">
        <v>4</v>
      </c>
      <c r="E4" s="51">
        <v>0</v>
      </c>
      <c r="F4" s="51">
        <v>225.96</v>
      </c>
      <c r="G4" s="51">
        <v>0</v>
      </c>
      <c r="H4" s="51">
        <f t="shared" si="1"/>
        <v>0</v>
      </c>
      <c r="I4" s="51">
        <f t="shared" si="2"/>
        <v>0.43281187919160646</v>
      </c>
      <c r="J4" s="51">
        <f t="shared" ref="J4:J38" si="4">F4*0.85+G4+AD4*D4+D4*AC4+AE4+AB4</f>
        <v>97.798172222135406</v>
      </c>
      <c r="K4" s="51">
        <f t="shared" si="3"/>
        <v>24.449543055533852</v>
      </c>
      <c r="L4" s="51">
        <v>15</v>
      </c>
      <c r="M4" s="51">
        <f t="shared" ref="M4:M39" si="5">IFERROR(D4/L4,"-")</f>
        <v>0.26666666666666666</v>
      </c>
      <c r="N4" s="51">
        <v>6</v>
      </c>
      <c r="O4" s="51">
        <f t="shared" ref="O4:P4" si="6">D4/7</f>
        <v>0.5714285714285714</v>
      </c>
      <c r="P4" s="51">
        <f t="shared" si="6"/>
        <v>0</v>
      </c>
      <c r="Q4" s="51">
        <f t="shared" ref="Q4:Q39" si="7">ROUNDDOWN(N4/(O4+P4),0)</f>
        <v>10</v>
      </c>
      <c r="R4" s="52">
        <v>256</v>
      </c>
      <c r="S4" s="53" t="s">
        <v>34</v>
      </c>
      <c r="T4" s="54" t="s">
        <v>34</v>
      </c>
      <c r="U4" s="52">
        <v>0</v>
      </c>
      <c r="V4" s="55">
        <f t="shared" ref="V4:V39" si="8">IFERROR(U4/D4,0)</f>
        <v>0</v>
      </c>
      <c r="W4" s="55">
        <f t="shared" ref="W4:W39" si="9">IFERROR(G4/(U4+X4)*-1,0)</f>
        <v>0</v>
      </c>
      <c r="X4" s="52">
        <v>0</v>
      </c>
      <c r="Y4" s="56" t="s">
        <v>35</v>
      </c>
      <c r="Z4" s="56">
        <f t="shared" ref="Z4:Z10" si="10">IF(OR(Y4="UsLargeStandardSize",Y4="UsSmallStandardSize"),-0.69,-0.48)</f>
        <v>-0.69</v>
      </c>
      <c r="AA4" s="55">
        <v>0.49799785300925919</v>
      </c>
      <c r="AB4" s="55">
        <f t="shared" ref="AB4:AB17" si="11">IFERROR((Z4*AA4*N4)/4,0)</f>
        <v>-0.51542777786458327</v>
      </c>
      <c r="AC4" s="55">
        <v>-6.78</v>
      </c>
      <c r="AD4" s="55">
        <v>-16.658100000000001</v>
      </c>
      <c r="AE4" s="55">
        <v>0</v>
      </c>
      <c r="AF4" s="55"/>
    </row>
    <row r="5" spans="1:32" s="57" customFormat="1" ht="15.75" customHeight="1">
      <c r="A5" s="2" t="s">
        <v>49</v>
      </c>
      <c r="B5" s="26" t="s">
        <v>1200</v>
      </c>
      <c r="C5" s="51">
        <v>53.99</v>
      </c>
      <c r="D5" s="51">
        <v>1</v>
      </c>
      <c r="E5" s="51">
        <v>0</v>
      </c>
      <c r="F5" s="51">
        <v>53.99</v>
      </c>
      <c r="G5" s="51">
        <v>0</v>
      </c>
      <c r="H5" s="51">
        <f t="shared" si="1"/>
        <v>0</v>
      </c>
      <c r="I5" s="51">
        <f t="shared" si="2"/>
        <v>0.40792511301684592</v>
      </c>
      <c r="J5" s="51">
        <f t="shared" si="4"/>
        <v>22.023876851779512</v>
      </c>
      <c r="K5" s="51">
        <f t="shared" si="3"/>
        <v>22.023876851779512</v>
      </c>
      <c r="L5" s="51">
        <v>20</v>
      </c>
      <c r="M5" s="51">
        <f t="shared" si="5"/>
        <v>0.05</v>
      </c>
      <c r="N5" s="51">
        <v>5</v>
      </c>
      <c r="O5" s="51">
        <f t="shared" ref="O5:P5" si="12">D5/7</f>
        <v>0.14285714285714285</v>
      </c>
      <c r="P5" s="51">
        <f t="shared" si="12"/>
        <v>0</v>
      </c>
      <c r="Q5" s="51">
        <f t="shared" si="7"/>
        <v>35</v>
      </c>
      <c r="R5" s="55">
        <v>256</v>
      </c>
      <c r="S5" s="53" t="s">
        <v>34</v>
      </c>
      <c r="T5" s="54" t="s">
        <v>34</v>
      </c>
      <c r="U5" s="55">
        <v>0</v>
      </c>
      <c r="V5" s="55">
        <f t="shared" si="8"/>
        <v>0</v>
      </c>
      <c r="W5" s="55">
        <f t="shared" si="9"/>
        <v>0</v>
      </c>
      <c r="X5" s="55">
        <v>0</v>
      </c>
      <c r="Y5" s="55" t="s">
        <v>35</v>
      </c>
      <c r="Z5" s="56">
        <f t="shared" si="10"/>
        <v>-0.69</v>
      </c>
      <c r="AA5" s="55">
        <v>0.49799785300925919</v>
      </c>
      <c r="AB5" s="55">
        <f t="shared" si="11"/>
        <v>-0.42952314822048598</v>
      </c>
      <c r="AC5" s="55">
        <v>-6.78</v>
      </c>
      <c r="AD5" s="55">
        <v>-16.658100000000001</v>
      </c>
      <c r="AE5" s="55">
        <v>0</v>
      </c>
      <c r="AF5" s="55"/>
    </row>
    <row r="6" spans="1:32" s="57" customFormat="1" ht="15.75" customHeight="1">
      <c r="A6" s="2" t="s">
        <v>51</v>
      </c>
      <c r="B6" s="2" t="s">
        <v>1201</v>
      </c>
      <c r="C6" s="51">
        <v>56.99</v>
      </c>
      <c r="D6" s="51">
        <v>3</v>
      </c>
      <c r="E6" s="51">
        <v>0</v>
      </c>
      <c r="F6" s="51">
        <v>110.98</v>
      </c>
      <c r="G6" s="51">
        <v>0</v>
      </c>
      <c r="H6" s="51">
        <f t="shared" si="1"/>
        <v>0</v>
      </c>
      <c r="I6" s="51">
        <f t="shared" si="2"/>
        <v>0.10186353228215544</v>
      </c>
      <c r="J6" s="51">
        <f t="shared" si="4"/>
        <v>11.304814812673612</v>
      </c>
      <c r="K6" s="51">
        <f t="shared" si="3"/>
        <v>3.7682716042245374</v>
      </c>
      <c r="L6" s="51">
        <v>5</v>
      </c>
      <c r="M6" s="51">
        <f t="shared" si="5"/>
        <v>0.6</v>
      </c>
      <c r="N6" s="51">
        <v>148</v>
      </c>
      <c r="O6" s="51">
        <f t="shared" ref="O6:P6" si="13">D6/7</f>
        <v>0.42857142857142855</v>
      </c>
      <c r="P6" s="51">
        <f t="shared" si="13"/>
        <v>0</v>
      </c>
      <c r="Q6" s="51">
        <f t="shared" si="7"/>
        <v>345</v>
      </c>
      <c r="R6" s="55">
        <v>0</v>
      </c>
      <c r="S6" s="53" t="s">
        <v>34</v>
      </c>
      <c r="T6" s="54" t="s">
        <v>34</v>
      </c>
      <c r="U6" s="55">
        <v>0</v>
      </c>
      <c r="V6" s="55">
        <f t="shared" si="8"/>
        <v>0</v>
      </c>
      <c r="W6" s="55">
        <f t="shared" si="9"/>
        <v>0</v>
      </c>
      <c r="X6" s="55">
        <v>0</v>
      </c>
      <c r="Y6" s="55" t="s">
        <v>35</v>
      </c>
      <c r="Z6" s="56">
        <f t="shared" si="10"/>
        <v>-0.69</v>
      </c>
      <c r="AA6" s="55">
        <v>0.49799785300925919</v>
      </c>
      <c r="AB6" s="55">
        <f t="shared" si="11"/>
        <v>-12.713885187326387</v>
      </c>
      <c r="AC6" s="55">
        <v>-6.78</v>
      </c>
      <c r="AD6" s="55">
        <v>-16.658100000000001</v>
      </c>
      <c r="AE6" s="55">
        <v>0</v>
      </c>
      <c r="AF6" s="55"/>
    </row>
    <row r="7" spans="1:32" s="57" customFormat="1" ht="15.75" customHeight="1">
      <c r="A7" s="2" t="s">
        <v>53</v>
      </c>
      <c r="B7" s="2"/>
      <c r="C7" s="51">
        <v>48.99</v>
      </c>
      <c r="D7" s="51">
        <v>3</v>
      </c>
      <c r="E7" s="51">
        <v>0</v>
      </c>
      <c r="F7" s="51">
        <v>165.97</v>
      </c>
      <c r="G7" s="51">
        <v>0</v>
      </c>
      <c r="H7" s="51">
        <f t="shared" si="1"/>
        <v>0</v>
      </c>
      <c r="I7" s="51">
        <f t="shared" si="2"/>
        <v>0.345884915601119</v>
      </c>
      <c r="J7" s="51">
        <f t="shared" si="4"/>
        <v>57.406519442317716</v>
      </c>
      <c r="K7" s="51">
        <f t="shared" si="3"/>
        <v>19.135506480772573</v>
      </c>
      <c r="L7" s="51">
        <v>23</v>
      </c>
      <c r="M7" s="51">
        <f t="shared" si="5"/>
        <v>0.13043478260869565</v>
      </c>
      <c r="N7" s="51">
        <v>147</v>
      </c>
      <c r="O7" s="51">
        <f t="shared" ref="O7:P7" si="14">D7/7</f>
        <v>0.42857142857142855</v>
      </c>
      <c r="P7" s="51">
        <f t="shared" si="14"/>
        <v>0</v>
      </c>
      <c r="Q7" s="51">
        <f t="shared" si="7"/>
        <v>343</v>
      </c>
      <c r="R7" s="55">
        <v>315</v>
      </c>
      <c r="S7" s="53" t="s">
        <v>34</v>
      </c>
      <c r="T7" s="54" t="s">
        <v>34</v>
      </c>
      <c r="U7" s="55">
        <v>0</v>
      </c>
      <c r="V7" s="55">
        <f t="shared" si="8"/>
        <v>0</v>
      </c>
      <c r="W7" s="55">
        <f t="shared" si="9"/>
        <v>0</v>
      </c>
      <c r="X7" s="55">
        <v>0</v>
      </c>
      <c r="Y7" s="55" t="s">
        <v>35</v>
      </c>
      <c r="Z7" s="56">
        <f t="shared" si="10"/>
        <v>-0.69</v>
      </c>
      <c r="AA7" s="55">
        <v>0.49799785300925919</v>
      </c>
      <c r="AB7" s="55">
        <f t="shared" si="11"/>
        <v>-12.627980557682289</v>
      </c>
      <c r="AC7" s="55">
        <v>-6.78</v>
      </c>
      <c r="AD7" s="55">
        <v>-16.899999999999999</v>
      </c>
      <c r="AE7" s="55">
        <v>0</v>
      </c>
      <c r="AF7" s="55"/>
    </row>
    <row r="8" spans="1:32" s="57" customFormat="1" ht="15.75" customHeight="1">
      <c r="A8" s="2" t="s">
        <v>54</v>
      </c>
      <c r="B8" s="2" t="s">
        <v>1202</v>
      </c>
      <c r="C8" s="51">
        <v>49.99</v>
      </c>
      <c r="D8" s="51">
        <v>16</v>
      </c>
      <c r="E8" s="51">
        <v>0</v>
      </c>
      <c r="F8" s="51">
        <v>764.84</v>
      </c>
      <c r="G8" s="51">
        <v>0</v>
      </c>
      <c r="H8" s="51">
        <f t="shared" si="1"/>
        <v>0</v>
      </c>
      <c r="I8" s="51">
        <f t="shared" si="2"/>
        <v>0.34013950993137321</v>
      </c>
      <c r="J8" s="51">
        <f t="shared" si="4"/>
        <v>260.15230277591149</v>
      </c>
      <c r="K8" s="51">
        <f t="shared" si="3"/>
        <v>16.259518923494468</v>
      </c>
      <c r="L8" s="51">
        <v>96</v>
      </c>
      <c r="M8" s="51">
        <f t="shared" si="5"/>
        <v>0.16666666666666666</v>
      </c>
      <c r="N8" s="51">
        <v>129</v>
      </c>
      <c r="O8" s="51">
        <f t="shared" ref="O8:P8" si="15">D8/7</f>
        <v>2.2857142857142856</v>
      </c>
      <c r="P8" s="51">
        <f t="shared" si="15"/>
        <v>0</v>
      </c>
      <c r="Q8" s="51">
        <f t="shared" si="7"/>
        <v>56</v>
      </c>
      <c r="R8" s="55">
        <v>315</v>
      </c>
      <c r="S8" s="53" t="s">
        <v>34</v>
      </c>
      <c r="T8" s="54" t="s">
        <v>34</v>
      </c>
      <c r="U8" s="55">
        <v>0</v>
      </c>
      <c r="V8" s="55">
        <f t="shared" si="8"/>
        <v>0</v>
      </c>
      <c r="W8" s="55">
        <f t="shared" si="9"/>
        <v>0</v>
      </c>
      <c r="X8" s="55">
        <v>0</v>
      </c>
      <c r="Y8" s="55" t="s">
        <v>35</v>
      </c>
      <c r="Z8" s="56">
        <f t="shared" si="10"/>
        <v>-0.69</v>
      </c>
      <c r="AA8" s="55">
        <v>0.49799785300925919</v>
      </c>
      <c r="AB8" s="55">
        <f t="shared" si="11"/>
        <v>-11.08169722408854</v>
      </c>
      <c r="AC8" s="55">
        <v>-6.78</v>
      </c>
      <c r="AD8" s="55">
        <v>-16.899999999999999</v>
      </c>
      <c r="AE8" s="55">
        <v>0</v>
      </c>
      <c r="AF8" s="55"/>
    </row>
    <row r="9" spans="1:32" s="57" customFormat="1" ht="15.75" customHeight="1">
      <c r="A9" s="2" t="s">
        <v>56</v>
      </c>
      <c r="B9" s="2" t="s">
        <v>1203</v>
      </c>
      <c r="C9" s="51">
        <v>46.99</v>
      </c>
      <c r="D9" s="51">
        <v>4</v>
      </c>
      <c r="E9" s="51">
        <v>0</v>
      </c>
      <c r="F9" s="51">
        <v>190.96</v>
      </c>
      <c r="G9" s="51">
        <v>0</v>
      </c>
      <c r="H9" s="51">
        <f t="shared" si="1"/>
        <v>0</v>
      </c>
      <c r="I9" s="51">
        <f t="shared" si="2"/>
        <v>0.20237819339096796</v>
      </c>
      <c r="J9" s="51">
        <f t="shared" si="4"/>
        <v>38.646139809939243</v>
      </c>
      <c r="K9" s="51">
        <f t="shared" si="3"/>
        <v>9.6615349524848106</v>
      </c>
      <c r="L9" s="51">
        <v>19</v>
      </c>
      <c r="M9" s="51">
        <f t="shared" si="5"/>
        <v>0.21052631578947367</v>
      </c>
      <c r="N9" s="51">
        <v>337</v>
      </c>
      <c r="O9" s="51">
        <f t="shared" ref="O9:P9" si="16">D9/7</f>
        <v>0.5714285714285714</v>
      </c>
      <c r="P9" s="51">
        <f t="shared" si="16"/>
        <v>0</v>
      </c>
      <c r="Q9" s="51">
        <f t="shared" si="7"/>
        <v>589</v>
      </c>
      <c r="R9" s="55">
        <v>448</v>
      </c>
      <c r="S9" s="53">
        <v>280</v>
      </c>
      <c r="T9" s="54">
        <v>43881</v>
      </c>
      <c r="U9" s="55">
        <v>0</v>
      </c>
      <c r="V9" s="55">
        <f t="shared" si="8"/>
        <v>0</v>
      </c>
      <c r="W9" s="55">
        <f t="shared" si="9"/>
        <v>0</v>
      </c>
      <c r="X9" s="55">
        <v>0</v>
      </c>
      <c r="Y9" s="55" t="s">
        <v>35</v>
      </c>
      <c r="Z9" s="56">
        <f t="shared" si="10"/>
        <v>-0.69</v>
      </c>
      <c r="AA9" s="55">
        <v>0.49799785300925919</v>
      </c>
      <c r="AB9" s="55">
        <f t="shared" si="11"/>
        <v>-28.949860190060758</v>
      </c>
      <c r="AC9" s="55">
        <v>-6.78</v>
      </c>
      <c r="AD9" s="55">
        <v>-16.899999999999999</v>
      </c>
      <c r="AE9" s="55">
        <v>0</v>
      </c>
      <c r="AF9" s="55"/>
    </row>
    <row r="10" spans="1:32" s="57" customFormat="1" ht="15.75" customHeight="1">
      <c r="A10" s="2" t="s">
        <v>58</v>
      </c>
      <c r="B10" s="2" t="s">
        <v>1204</v>
      </c>
      <c r="C10" s="51">
        <v>44.99</v>
      </c>
      <c r="D10" s="51">
        <v>5</v>
      </c>
      <c r="E10" s="51">
        <v>0</v>
      </c>
      <c r="F10" s="51">
        <v>231.95000000000002</v>
      </c>
      <c r="G10" s="51">
        <v>0</v>
      </c>
      <c r="H10" s="51">
        <f t="shared" si="1"/>
        <v>0</v>
      </c>
      <c r="I10" s="51">
        <f t="shared" si="2"/>
        <v>0.23700136074585038</v>
      </c>
      <c r="J10" s="51">
        <f t="shared" si="4"/>
        <v>54.972465624999998</v>
      </c>
      <c r="K10" s="51">
        <f t="shared" si="3"/>
        <v>10.994493125</v>
      </c>
      <c r="L10" s="51">
        <v>17</v>
      </c>
      <c r="M10" s="51">
        <f t="shared" si="5"/>
        <v>0.29411764705882354</v>
      </c>
      <c r="N10" s="51">
        <v>357</v>
      </c>
      <c r="O10" s="51">
        <f t="shared" ref="O10:P10" si="17">D10/7</f>
        <v>0.7142857142857143</v>
      </c>
      <c r="P10" s="51">
        <f t="shared" si="17"/>
        <v>0</v>
      </c>
      <c r="Q10" s="51">
        <f t="shared" si="7"/>
        <v>499</v>
      </c>
      <c r="R10" s="55">
        <v>448</v>
      </c>
      <c r="S10" s="53">
        <v>280</v>
      </c>
      <c r="T10" s="54">
        <v>43881</v>
      </c>
      <c r="U10" s="55">
        <v>0</v>
      </c>
      <c r="V10" s="55">
        <f t="shared" si="8"/>
        <v>0</v>
      </c>
      <c r="W10" s="55">
        <f t="shared" si="9"/>
        <v>0</v>
      </c>
      <c r="X10" s="55">
        <v>0</v>
      </c>
      <c r="Y10" s="55" t="s">
        <v>35</v>
      </c>
      <c r="Z10" s="56">
        <f t="shared" si="10"/>
        <v>-0.69</v>
      </c>
      <c r="AA10" s="55">
        <v>0.41708333333333336</v>
      </c>
      <c r="AB10" s="55">
        <f t="shared" si="11"/>
        <v>-25.685034374999997</v>
      </c>
      <c r="AC10" s="55">
        <v>-6.4</v>
      </c>
      <c r="AD10" s="55">
        <v>-16.899999999999999</v>
      </c>
      <c r="AE10" s="55">
        <v>0</v>
      </c>
      <c r="AF10" s="55"/>
    </row>
    <row r="11" spans="1:32" s="57" customFormat="1" ht="15.75" customHeight="1">
      <c r="A11" s="2" t="s">
        <v>60</v>
      </c>
      <c r="B11" s="2" t="s">
        <v>1205</v>
      </c>
      <c r="C11" s="51">
        <v>44.99</v>
      </c>
      <c r="D11" s="51">
        <v>21</v>
      </c>
      <c r="E11" s="51">
        <v>0</v>
      </c>
      <c r="F11" s="51">
        <v>933.79000000000008</v>
      </c>
      <c r="G11" s="51">
        <v>-0.7</v>
      </c>
      <c r="H11" s="51">
        <f t="shared" si="1"/>
        <v>7.4963321517685982E-4</v>
      </c>
      <c r="I11" s="51">
        <f t="shared" si="2"/>
        <v>0.29268167227106734</v>
      </c>
      <c r="J11" s="51">
        <f t="shared" si="4"/>
        <v>273.30321874999998</v>
      </c>
      <c r="K11" s="51">
        <f t="shared" si="3"/>
        <v>13.014438988095238</v>
      </c>
      <c r="L11" s="51">
        <v>70</v>
      </c>
      <c r="M11" s="51">
        <f t="shared" si="5"/>
        <v>0.3</v>
      </c>
      <c r="N11" s="51">
        <v>346</v>
      </c>
      <c r="O11" s="51">
        <f t="shared" ref="O11:P11" si="18">D11/7</f>
        <v>3</v>
      </c>
      <c r="P11" s="51">
        <f t="shared" si="18"/>
        <v>0</v>
      </c>
      <c r="Q11" s="51">
        <f t="shared" si="7"/>
        <v>115</v>
      </c>
      <c r="R11" s="55">
        <v>168</v>
      </c>
      <c r="S11" s="53" t="s">
        <v>34</v>
      </c>
      <c r="T11" s="54" t="s">
        <v>34</v>
      </c>
      <c r="U11" s="55">
        <v>0</v>
      </c>
      <c r="V11" s="55">
        <f t="shared" si="8"/>
        <v>0</v>
      </c>
      <c r="W11" s="55">
        <f t="shared" si="9"/>
        <v>0</v>
      </c>
      <c r="X11" s="55">
        <v>0</v>
      </c>
      <c r="Y11" s="55" t="s">
        <v>35</v>
      </c>
      <c r="Z11" s="56">
        <f t="shared" ref="Z11:Z39" si="19">IF(OR(Y11="UsLargeStandardSize",Y11="UsSmallStandardSize"),-0.75,-0.48)</f>
        <v>-0.75</v>
      </c>
      <c r="AA11" s="55">
        <v>0.41708333333333336</v>
      </c>
      <c r="AB11" s="55">
        <f t="shared" si="11"/>
        <v>-27.058281250000004</v>
      </c>
      <c r="AC11" s="55">
        <v>-6.56</v>
      </c>
      <c r="AD11" s="55">
        <v>-16.899999999999999</v>
      </c>
      <c r="AE11" s="55">
        <v>0</v>
      </c>
      <c r="AF11" s="55"/>
    </row>
    <row r="12" spans="1:32" s="57" customFormat="1" ht="15.75" customHeight="1">
      <c r="A12" s="2" t="s">
        <v>62</v>
      </c>
      <c r="B12" s="2" t="s">
        <v>1206</v>
      </c>
      <c r="C12" s="51">
        <v>43.99</v>
      </c>
      <c r="D12" s="51">
        <v>24</v>
      </c>
      <c r="E12" s="51">
        <v>0</v>
      </c>
      <c r="F12" s="51">
        <v>918.7600000000001</v>
      </c>
      <c r="G12" s="51">
        <v>-3.34</v>
      </c>
      <c r="H12" s="51">
        <f t="shared" si="1"/>
        <v>3.6353345813923106E-3</v>
      </c>
      <c r="I12" s="51">
        <f t="shared" si="2"/>
        <v>0.18280828235883148</v>
      </c>
      <c r="J12" s="51">
        <f t="shared" si="4"/>
        <v>167.95693750000004</v>
      </c>
      <c r="K12" s="51">
        <f t="shared" si="3"/>
        <v>6.9982057291666679</v>
      </c>
      <c r="L12" s="51">
        <v>107</v>
      </c>
      <c r="M12" s="51">
        <f t="shared" si="5"/>
        <v>0.22429906542056074</v>
      </c>
      <c r="N12" s="51">
        <v>596</v>
      </c>
      <c r="O12" s="51">
        <f t="shared" ref="O12:P12" si="20">D12/7</f>
        <v>3.4285714285714284</v>
      </c>
      <c r="P12" s="51">
        <f t="shared" si="20"/>
        <v>0</v>
      </c>
      <c r="Q12" s="51">
        <f t="shared" si="7"/>
        <v>173</v>
      </c>
      <c r="R12" s="55">
        <v>168</v>
      </c>
      <c r="S12" s="53">
        <v>168</v>
      </c>
      <c r="T12" s="54">
        <v>43899</v>
      </c>
      <c r="U12" s="55">
        <v>0</v>
      </c>
      <c r="V12" s="55">
        <f t="shared" si="8"/>
        <v>0</v>
      </c>
      <c r="W12" s="55">
        <f t="shared" si="9"/>
        <v>0</v>
      </c>
      <c r="X12" s="55">
        <v>0</v>
      </c>
      <c r="Y12" s="55" t="s">
        <v>35</v>
      </c>
      <c r="Z12" s="56">
        <f t="shared" si="19"/>
        <v>-0.75</v>
      </c>
      <c r="AA12" s="55">
        <v>0.41708333333333336</v>
      </c>
      <c r="AB12" s="55">
        <f t="shared" si="11"/>
        <v>-46.609062500000007</v>
      </c>
      <c r="AC12" s="55">
        <v>-6.56</v>
      </c>
      <c r="AD12" s="55">
        <v>-16.899999999999999</v>
      </c>
      <c r="AE12" s="55">
        <v>0</v>
      </c>
      <c r="AF12" s="55"/>
    </row>
    <row r="13" spans="1:32" s="57" customFormat="1" ht="15.75" customHeight="1">
      <c r="A13" s="2" t="s">
        <v>63</v>
      </c>
      <c r="B13" s="2" t="s">
        <v>1207</v>
      </c>
      <c r="C13" s="51">
        <v>38.99</v>
      </c>
      <c r="D13" s="51">
        <v>21</v>
      </c>
      <c r="E13" s="51">
        <v>0</v>
      </c>
      <c r="F13" s="51">
        <v>844.79000000000008</v>
      </c>
      <c r="G13" s="51">
        <v>-0.75</v>
      </c>
      <c r="H13" s="51">
        <f t="shared" si="1"/>
        <v>8.8779459984138058E-4</v>
      </c>
      <c r="I13" s="51">
        <f t="shared" si="2"/>
        <v>0.2124316028243706</v>
      </c>
      <c r="J13" s="51">
        <f t="shared" si="4"/>
        <v>179.46009375000006</v>
      </c>
      <c r="K13" s="51">
        <f t="shared" si="3"/>
        <v>8.5457187500000025</v>
      </c>
      <c r="L13" s="51">
        <v>102</v>
      </c>
      <c r="M13" s="51">
        <f t="shared" si="5"/>
        <v>0.20588235294117646</v>
      </c>
      <c r="N13" s="51">
        <v>578</v>
      </c>
      <c r="O13" s="51">
        <f t="shared" ref="O13:P13" si="21">D13/7</f>
        <v>3</v>
      </c>
      <c r="P13" s="51">
        <f t="shared" si="21"/>
        <v>0</v>
      </c>
      <c r="Q13" s="51">
        <f t="shared" si="7"/>
        <v>192</v>
      </c>
      <c r="R13" s="55">
        <v>168</v>
      </c>
      <c r="S13" s="53">
        <v>168</v>
      </c>
      <c r="T13" s="54">
        <v>43899</v>
      </c>
      <c r="U13" s="55">
        <v>0</v>
      </c>
      <c r="V13" s="55">
        <f t="shared" si="8"/>
        <v>0</v>
      </c>
      <c r="W13" s="55">
        <f t="shared" si="9"/>
        <v>0</v>
      </c>
      <c r="X13" s="55">
        <v>0</v>
      </c>
      <c r="Y13" s="55" t="s">
        <v>35</v>
      </c>
      <c r="Z13" s="56">
        <f t="shared" si="19"/>
        <v>-0.75</v>
      </c>
      <c r="AA13" s="55">
        <v>0.41708333333333336</v>
      </c>
      <c r="AB13" s="55">
        <f t="shared" si="11"/>
        <v>-45.201406250000005</v>
      </c>
      <c r="AC13" s="55">
        <v>-6.56</v>
      </c>
      <c r="AD13" s="55">
        <v>-16.899999999999999</v>
      </c>
      <c r="AE13" s="55">
        <v>0</v>
      </c>
      <c r="AF13" s="55"/>
    </row>
    <row r="14" spans="1:32" s="57" customFormat="1" ht="15.75" customHeight="1">
      <c r="A14" s="2" t="s">
        <v>64</v>
      </c>
      <c r="B14" s="2"/>
      <c r="C14" s="51">
        <v>37.99</v>
      </c>
      <c r="D14" s="51">
        <v>27</v>
      </c>
      <c r="E14" s="51">
        <v>0</v>
      </c>
      <c r="F14" s="51">
        <v>1042.73</v>
      </c>
      <c r="G14" s="51">
        <v>-3.5699999999999994</v>
      </c>
      <c r="H14" s="51">
        <f t="shared" si="1"/>
        <v>3.4237050818524445E-3</v>
      </c>
      <c r="I14" s="51">
        <f t="shared" si="2"/>
        <v>0.1987640316764647</v>
      </c>
      <c r="J14" s="51">
        <f t="shared" si="4"/>
        <v>207.25721875000005</v>
      </c>
      <c r="K14" s="51">
        <f t="shared" si="3"/>
        <v>7.6761932870370391</v>
      </c>
      <c r="L14" s="51">
        <v>103</v>
      </c>
      <c r="M14" s="51">
        <f t="shared" si="5"/>
        <v>0.26213592233009708</v>
      </c>
      <c r="N14" s="51">
        <v>538</v>
      </c>
      <c r="O14" s="51">
        <f t="shared" ref="O14:P14" si="22">D14/7</f>
        <v>3.8571428571428572</v>
      </c>
      <c r="P14" s="51">
        <f t="shared" si="22"/>
        <v>0</v>
      </c>
      <c r="Q14" s="51">
        <f t="shared" si="7"/>
        <v>139</v>
      </c>
      <c r="R14" s="55">
        <v>168</v>
      </c>
      <c r="S14" s="53">
        <v>168</v>
      </c>
      <c r="T14" s="54">
        <v>43899</v>
      </c>
      <c r="U14" s="55">
        <v>1</v>
      </c>
      <c r="V14" s="55">
        <f t="shared" si="8"/>
        <v>3.7037037037037035E-2</v>
      </c>
      <c r="W14" s="55">
        <f t="shared" si="9"/>
        <v>3.5699999999999994</v>
      </c>
      <c r="X14" s="55">
        <v>0</v>
      </c>
      <c r="Y14" s="55" t="s">
        <v>35</v>
      </c>
      <c r="Z14" s="56">
        <f t="shared" si="19"/>
        <v>-0.75</v>
      </c>
      <c r="AA14" s="55">
        <v>0.41708333333333336</v>
      </c>
      <c r="AB14" s="55">
        <f t="shared" si="11"/>
        <v>-42.073281250000008</v>
      </c>
      <c r="AC14" s="55">
        <v>-6.56</v>
      </c>
      <c r="AD14" s="55">
        <v>-16.899999999999999</v>
      </c>
      <c r="AE14" s="55">
        <v>0</v>
      </c>
      <c r="AF14" s="55"/>
    </row>
    <row r="15" spans="1:32" s="57" customFormat="1" ht="15.75" customHeight="1">
      <c r="A15" s="2" t="s">
        <v>65</v>
      </c>
      <c r="B15" s="2" t="s">
        <v>1208</v>
      </c>
      <c r="C15" s="51">
        <v>39.99</v>
      </c>
      <c r="D15" s="51">
        <v>18</v>
      </c>
      <c r="E15" s="51">
        <v>0</v>
      </c>
      <c r="F15" s="51">
        <v>661.83</v>
      </c>
      <c r="G15" s="51">
        <v>-3.5300000000000002</v>
      </c>
      <c r="H15" s="51">
        <f t="shared" si="1"/>
        <v>5.3336959642204191E-3</v>
      </c>
      <c r="I15" s="51">
        <f t="shared" si="2"/>
        <v>0.14375509949684981</v>
      </c>
      <c r="J15" s="51">
        <f t="shared" si="4"/>
        <v>95.141437500000109</v>
      </c>
      <c r="K15" s="51">
        <f t="shared" si="3"/>
        <v>5.2856354166666728</v>
      </c>
      <c r="L15" s="51">
        <v>82</v>
      </c>
      <c r="M15" s="51">
        <f t="shared" si="5"/>
        <v>0.21951219512195122</v>
      </c>
      <c r="N15" s="51">
        <v>532</v>
      </c>
      <c r="O15" s="51">
        <f t="shared" ref="O15:P15" si="23">D15/7</f>
        <v>2.5714285714285716</v>
      </c>
      <c r="P15" s="51">
        <f t="shared" si="23"/>
        <v>0</v>
      </c>
      <c r="Q15" s="51">
        <f t="shared" si="7"/>
        <v>206</v>
      </c>
      <c r="R15" s="55">
        <v>0</v>
      </c>
      <c r="S15" s="53" t="s">
        <v>34</v>
      </c>
      <c r="T15" s="54" t="s">
        <v>34</v>
      </c>
      <c r="U15" s="55">
        <v>0</v>
      </c>
      <c r="V15" s="55">
        <f t="shared" si="8"/>
        <v>0</v>
      </c>
      <c r="W15" s="55">
        <f t="shared" si="9"/>
        <v>0</v>
      </c>
      <c r="X15" s="55">
        <v>0</v>
      </c>
      <c r="Y15" s="55" t="s">
        <v>35</v>
      </c>
      <c r="Z15" s="56">
        <f t="shared" si="19"/>
        <v>-0.75</v>
      </c>
      <c r="AA15" s="55">
        <v>0.41708333333333336</v>
      </c>
      <c r="AB15" s="55">
        <f t="shared" si="11"/>
        <v>-41.604062500000005</v>
      </c>
      <c r="AC15" s="55">
        <v>-6.56</v>
      </c>
      <c r="AD15" s="55">
        <v>-16.899999999999999</v>
      </c>
      <c r="AE15" s="55">
        <v>0</v>
      </c>
      <c r="AF15" s="55"/>
    </row>
    <row r="16" spans="1:32" s="57" customFormat="1" ht="15.75" customHeight="1">
      <c r="A16" s="2" t="s">
        <v>66</v>
      </c>
      <c r="B16" s="2" t="s">
        <v>1209</v>
      </c>
      <c r="C16" s="51">
        <v>38.99</v>
      </c>
      <c r="D16" s="51">
        <v>24</v>
      </c>
      <c r="E16" s="51">
        <v>0</v>
      </c>
      <c r="F16" s="51">
        <v>883.7700000000001</v>
      </c>
      <c r="G16" s="51">
        <v>-10.93</v>
      </c>
      <c r="H16" s="51">
        <f t="shared" si="1"/>
        <v>1.236747117462688E-2</v>
      </c>
      <c r="I16" s="51">
        <f t="shared" si="2"/>
        <v>0.1409027164873215</v>
      </c>
      <c r="J16" s="51">
        <f t="shared" si="4"/>
        <v>124.52559375000013</v>
      </c>
      <c r="K16" s="51">
        <f t="shared" si="3"/>
        <v>5.188566406250005</v>
      </c>
      <c r="L16" s="51">
        <v>90</v>
      </c>
      <c r="M16" s="51">
        <f t="shared" si="5"/>
        <v>0.26666666666666666</v>
      </c>
      <c r="N16" s="51">
        <v>674</v>
      </c>
      <c r="O16" s="51">
        <f t="shared" ref="O16:P16" si="24">D16/7</f>
        <v>3.4285714285714284</v>
      </c>
      <c r="P16" s="51">
        <f t="shared" si="24"/>
        <v>0</v>
      </c>
      <c r="Q16" s="51">
        <f t="shared" si="7"/>
        <v>196</v>
      </c>
      <c r="R16" s="55">
        <v>0</v>
      </c>
      <c r="S16" s="53" t="s">
        <v>34</v>
      </c>
      <c r="T16" s="54" t="s">
        <v>34</v>
      </c>
      <c r="U16" s="55">
        <v>1</v>
      </c>
      <c r="V16" s="55">
        <f t="shared" si="8"/>
        <v>4.1666666666666664E-2</v>
      </c>
      <c r="W16" s="55">
        <f t="shared" si="9"/>
        <v>10.93</v>
      </c>
      <c r="X16" s="55">
        <v>0</v>
      </c>
      <c r="Y16" s="55" t="s">
        <v>35</v>
      </c>
      <c r="Z16" s="56">
        <f t="shared" si="19"/>
        <v>-0.75</v>
      </c>
      <c r="AA16" s="55">
        <v>0.41708333333333336</v>
      </c>
      <c r="AB16" s="55">
        <f t="shared" si="11"/>
        <v>-52.708906250000005</v>
      </c>
      <c r="AC16" s="55">
        <v>-6.56</v>
      </c>
      <c r="AD16" s="55">
        <v>-16.899999999999999</v>
      </c>
      <c r="AE16" s="55">
        <v>0</v>
      </c>
      <c r="AF16" s="55"/>
    </row>
    <row r="17" spans="1:32" s="57" customFormat="1" ht="15.75" customHeight="1">
      <c r="A17" s="2" t="s">
        <v>67</v>
      </c>
      <c r="B17" s="2" t="s">
        <v>1210</v>
      </c>
      <c r="C17" s="51">
        <v>38.99</v>
      </c>
      <c r="D17" s="51">
        <v>25</v>
      </c>
      <c r="E17" s="51">
        <v>0</v>
      </c>
      <c r="F17" s="51">
        <v>923.75000000000011</v>
      </c>
      <c r="G17" s="51">
        <v>-19.32</v>
      </c>
      <c r="H17" s="51">
        <f t="shared" si="1"/>
        <v>2.0914749661705003E-2</v>
      </c>
      <c r="I17" s="51">
        <f t="shared" si="2"/>
        <v>0.13855268944519633</v>
      </c>
      <c r="J17" s="51">
        <f t="shared" si="4"/>
        <v>127.98804687500012</v>
      </c>
      <c r="K17" s="51">
        <f t="shared" si="3"/>
        <v>5.1195218750000047</v>
      </c>
      <c r="L17" s="51">
        <v>117</v>
      </c>
      <c r="M17" s="51">
        <f t="shared" si="5"/>
        <v>0.21367521367521367</v>
      </c>
      <c r="N17" s="51">
        <v>657</v>
      </c>
      <c r="O17" s="51">
        <f t="shared" ref="O17:P17" si="25">D17/7</f>
        <v>3.5714285714285716</v>
      </c>
      <c r="P17" s="51">
        <f t="shared" si="25"/>
        <v>0</v>
      </c>
      <c r="Q17" s="51">
        <f t="shared" si="7"/>
        <v>183</v>
      </c>
      <c r="R17" s="55">
        <v>0</v>
      </c>
      <c r="S17" s="53" t="s">
        <v>34</v>
      </c>
      <c r="T17" s="54" t="s">
        <v>34</v>
      </c>
      <c r="U17" s="55">
        <v>0</v>
      </c>
      <c r="V17" s="55">
        <f t="shared" si="8"/>
        <v>0</v>
      </c>
      <c r="W17" s="55">
        <f t="shared" si="9"/>
        <v>6.44</v>
      </c>
      <c r="X17" s="55">
        <v>3</v>
      </c>
      <c r="Y17" s="55" t="s">
        <v>35</v>
      </c>
      <c r="Z17" s="56">
        <f t="shared" si="19"/>
        <v>-0.75</v>
      </c>
      <c r="AA17" s="55">
        <v>0.41708333333333336</v>
      </c>
      <c r="AB17" s="55">
        <f t="shared" si="11"/>
        <v>-51.379453125000005</v>
      </c>
      <c r="AC17" s="55">
        <v>-6.56</v>
      </c>
      <c r="AD17" s="55">
        <v>-16.899999999999999</v>
      </c>
      <c r="AE17" s="55">
        <v>0</v>
      </c>
      <c r="AF17" s="55"/>
    </row>
    <row r="18" spans="1:32" s="57" customFormat="1" ht="15.75" customHeight="1">
      <c r="A18" s="2" t="s">
        <v>69</v>
      </c>
      <c r="B18" s="2" t="s">
        <v>1211</v>
      </c>
      <c r="C18" s="51">
        <v>36.99</v>
      </c>
      <c r="D18" s="51">
        <v>27</v>
      </c>
      <c r="E18" s="51">
        <v>0</v>
      </c>
      <c r="F18" s="51">
        <v>980.73000000000013</v>
      </c>
      <c r="G18" s="51">
        <v>-10.950000000000001</v>
      </c>
      <c r="H18" s="51">
        <f t="shared" si="1"/>
        <v>1.1165152488452479E-2</v>
      </c>
      <c r="I18" s="51">
        <f t="shared" si="2"/>
        <v>0.16713334709858993</v>
      </c>
      <c r="J18" s="51">
        <f t="shared" si="4"/>
        <v>163.91268750000012</v>
      </c>
      <c r="K18" s="51">
        <f t="shared" si="3"/>
        <v>6.0708402777777826</v>
      </c>
      <c r="L18" s="51">
        <v>100</v>
      </c>
      <c r="M18" s="51">
        <f t="shared" si="5"/>
        <v>0.27</v>
      </c>
      <c r="N18" s="51">
        <v>617</v>
      </c>
      <c r="O18" s="51">
        <f t="shared" ref="O18:P18" si="26">D18/7</f>
        <v>3.8571428571428572</v>
      </c>
      <c r="P18" s="51">
        <f t="shared" si="26"/>
        <v>0</v>
      </c>
      <c r="Q18" s="51">
        <f t="shared" si="7"/>
        <v>159</v>
      </c>
      <c r="R18" s="55">
        <v>0</v>
      </c>
      <c r="S18" s="53" t="s">
        <v>34</v>
      </c>
      <c r="T18" s="54" t="s">
        <v>34</v>
      </c>
      <c r="U18" s="55">
        <v>1</v>
      </c>
      <c r="V18" s="55">
        <f t="shared" si="8"/>
        <v>3.7037037037037035E-2</v>
      </c>
      <c r="W18" s="55">
        <f t="shared" si="9"/>
        <v>3.6500000000000004</v>
      </c>
      <c r="X18" s="55">
        <v>2</v>
      </c>
      <c r="Y18" s="55" t="s">
        <v>35</v>
      </c>
      <c r="Z18" s="56">
        <f t="shared" si="19"/>
        <v>-0.75</v>
      </c>
      <c r="AA18" s="55">
        <v>0.41708333333333336</v>
      </c>
      <c r="AB18" s="58">
        <f t="shared" ref="AB18:AB39" si="27">IFERROR(Z18*AA18*D18*3,0)</f>
        <v>-25.337812500000005</v>
      </c>
      <c r="AC18" s="55">
        <v>-6.56</v>
      </c>
      <c r="AD18" s="55">
        <v>-16.899999999999999</v>
      </c>
      <c r="AE18" s="55">
        <v>0</v>
      </c>
      <c r="AF18" s="55"/>
    </row>
    <row r="19" spans="1:32" s="57" customFormat="1" ht="15.75" customHeight="1">
      <c r="A19" s="2" t="s">
        <v>71</v>
      </c>
      <c r="B19" s="2" t="s">
        <v>1212</v>
      </c>
      <c r="C19" s="51">
        <v>33.99</v>
      </c>
      <c r="D19" s="51">
        <v>30</v>
      </c>
      <c r="E19" s="51">
        <v>0</v>
      </c>
      <c r="F19" s="51">
        <v>1049.6500000000001</v>
      </c>
      <c r="G19" s="51">
        <v>-22.17</v>
      </c>
      <c r="H19" s="51">
        <f t="shared" si="1"/>
        <v>2.1121326156337827E-2</v>
      </c>
      <c r="I19" s="51">
        <f t="shared" si="2"/>
        <v>0.13154801600533528</v>
      </c>
      <c r="J19" s="51">
        <f t="shared" si="4"/>
        <v>138.0793750000002</v>
      </c>
      <c r="K19" s="51">
        <f t="shared" si="3"/>
        <v>4.60264583333334</v>
      </c>
      <c r="L19" s="51">
        <v>122</v>
      </c>
      <c r="M19" s="51">
        <f t="shared" si="5"/>
        <v>0.24590163934426229</v>
      </c>
      <c r="N19" s="51">
        <v>594</v>
      </c>
      <c r="O19" s="51">
        <f t="shared" ref="O19:P19" si="28">D19/7</f>
        <v>4.2857142857142856</v>
      </c>
      <c r="P19" s="51">
        <f t="shared" si="28"/>
        <v>0</v>
      </c>
      <c r="Q19" s="51">
        <f t="shared" si="7"/>
        <v>138</v>
      </c>
      <c r="R19" s="55">
        <v>0</v>
      </c>
      <c r="S19" s="53" t="s">
        <v>34</v>
      </c>
      <c r="T19" s="54" t="s">
        <v>34</v>
      </c>
      <c r="U19" s="55">
        <v>3</v>
      </c>
      <c r="V19" s="55">
        <f t="shared" si="8"/>
        <v>0.1</v>
      </c>
      <c r="W19" s="55">
        <f t="shared" si="9"/>
        <v>2.4633333333333334</v>
      </c>
      <c r="X19" s="55">
        <v>6</v>
      </c>
      <c r="Y19" s="55" t="s">
        <v>35</v>
      </c>
      <c r="Z19" s="56">
        <f t="shared" si="19"/>
        <v>-0.75</v>
      </c>
      <c r="AA19" s="55">
        <v>0.41708333333333336</v>
      </c>
      <c r="AB19" s="55">
        <f t="shared" si="27"/>
        <v>-28.153125000000006</v>
      </c>
      <c r="AC19" s="55">
        <v>-6.56</v>
      </c>
      <c r="AD19" s="55">
        <v>-16.899999999999999</v>
      </c>
      <c r="AE19" s="55">
        <v>0</v>
      </c>
      <c r="AF19" s="55"/>
    </row>
    <row r="20" spans="1:32" s="57" customFormat="1" ht="15.75" customHeight="1">
      <c r="A20" s="2" t="s">
        <v>73</v>
      </c>
      <c r="B20" s="2" t="s">
        <v>1213</v>
      </c>
      <c r="C20" s="51">
        <v>35.99</v>
      </c>
      <c r="D20" s="51">
        <v>35</v>
      </c>
      <c r="E20" s="51">
        <v>0</v>
      </c>
      <c r="F20" s="51">
        <v>1239.73</v>
      </c>
      <c r="G20" s="51">
        <v>-37.669999999999995</v>
      </c>
      <c r="H20" s="51">
        <f t="shared" si="1"/>
        <v>3.0385648487977215E-2</v>
      </c>
      <c r="I20" s="51">
        <f t="shared" si="2"/>
        <v>0.13079879288232124</v>
      </c>
      <c r="J20" s="51">
        <f t="shared" si="4"/>
        <v>162.15518750000012</v>
      </c>
      <c r="K20" s="51">
        <f t="shared" si="3"/>
        <v>4.6330053571428609</v>
      </c>
      <c r="L20" s="51">
        <v>127</v>
      </c>
      <c r="M20" s="51">
        <f t="shared" si="5"/>
        <v>0.27559055118110237</v>
      </c>
      <c r="N20" s="51">
        <v>548</v>
      </c>
      <c r="O20" s="51">
        <f t="shared" ref="O20:P20" si="29">D20/7</f>
        <v>5</v>
      </c>
      <c r="P20" s="51">
        <f t="shared" si="29"/>
        <v>0</v>
      </c>
      <c r="Q20" s="51">
        <f t="shared" si="7"/>
        <v>109</v>
      </c>
      <c r="R20" s="55">
        <v>225</v>
      </c>
      <c r="S20" s="53" t="s">
        <v>34</v>
      </c>
      <c r="T20" s="54" t="s">
        <v>34</v>
      </c>
      <c r="U20" s="55">
        <v>2</v>
      </c>
      <c r="V20" s="55">
        <f t="shared" si="8"/>
        <v>5.7142857142857141E-2</v>
      </c>
      <c r="W20" s="55">
        <f t="shared" si="9"/>
        <v>9.4174999999999986</v>
      </c>
      <c r="X20" s="55">
        <v>2</v>
      </c>
      <c r="Y20" s="55" t="s">
        <v>35</v>
      </c>
      <c r="Z20" s="56">
        <f t="shared" si="19"/>
        <v>-0.75</v>
      </c>
      <c r="AA20" s="55">
        <v>0.41708333333333336</v>
      </c>
      <c r="AB20" s="55">
        <f t="shared" si="27"/>
        <v>-32.845312500000006</v>
      </c>
      <c r="AC20" s="55">
        <v>-6.56</v>
      </c>
      <c r="AD20" s="55">
        <v>-16.899999999999999</v>
      </c>
      <c r="AE20" s="55">
        <v>0</v>
      </c>
      <c r="AF20" s="55"/>
    </row>
    <row r="21" spans="1:32" s="57" customFormat="1" ht="15.75" customHeight="1">
      <c r="A21" s="2" t="s">
        <v>75</v>
      </c>
      <c r="B21" s="2" t="s">
        <v>1214</v>
      </c>
      <c r="C21" s="51">
        <v>33.99</v>
      </c>
      <c r="D21" s="51">
        <v>29</v>
      </c>
      <c r="E21" s="51">
        <v>0</v>
      </c>
      <c r="F21" s="51">
        <v>1016.8799999999998</v>
      </c>
      <c r="G21" s="51">
        <v>-42.320000000000007</v>
      </c>
      <c r="H21" s="51">
        <f t="shared" si="1"/>
        <v>4.1617496656439323E-2</v>
      </c>
      <c r="I21" s="51">
        <f t="shared" si="2"/>
        <v>0.11257307892770019</v>
      </c>
      <c r="J21" s="51">
        <f t="shared" si="4"/>
        <v>114.47331249999974</v>
      </c>
      <c r="K21" s="51">
        <f t="shared" si="3"/>
        <v>3.9473556034482669</v>
      </c>
      <c r="L21" s="51">
        <v>167</v>
      </c>
      <c r="M21" s="51">
        <f t="shared" si="5"/>
        <v>0.17365269461077845</v>
      </c>
      <c r="N21" s="51">
        <v>534</v>
      </c>
      <c r="O21" s="51">
        <f t="shared" ref="O21:P21" si="30">D21/7</f>
        <v>4.1428571428571432</v>
      </c>
      <c r="P21" s="51">
        <f t="shared" si="30"/>
        <v>0</v>
      </c>
      <c r="Q21" s="51">
        <f t="shared" si="7"/>
        <v>128</v>
      </c>
      <c r="R21" s="55">
        <v>225</v>
      </c>
      <c r="S21" s="53" t="s">
        <v>34</v>
      </c>
      <c r="T21" s="54" t="s">
        <v>34</v>
      </c>
      <c r="U21" s="55">
        <v>2</v>
      </c>
      <c r="V21" s="55">
        <f t="shared" si="8"/>
        <v>6.8965517241379309E-2</v>
      </c>
      <c r="W21" s="55">
        <f t="shared" si="9"/>
        <v>4.7022222222222227</v>
      </c>
      <c r="X21" s="55">
        <v>7</v>
      </c>
      <c r="Y21" s="55" t="s">
        <v>35</v>
      </c>
      <c r="Z21" s="56">
        <f t="shared" si="19"/>
        <v>-0.75</v>
      </c>
      <c r="AA21" s="55">
        <v>0.41708333333333336</v>
      </c>
      <c r="AB21" s="55">
        <f t="shared" si="27"/>
        <v>-27.214687500000004</v>
      </c>
      <c r="AC21" s="55">
        <v>-6.56</v>
      </c>
      <c r="AD21" s="55">
        <v>-16.899999999999999</v>
      </c>
      <c r="AE21" s="55">
        <v>0</v>
      </c>
      <c r="AF21" s="55"/>
    </row>
    <row r="22" spans="1:32" s="57" customFormat="1" ht="15.75" customHeight="1">
      <c r="A22" s="2" t="s">
        <v>77</v>
      </c>
      <c r="B22" s="2" t="s">
        <v>1215</v>
      </c>
      <c r="C22" s="51">
        <v>35.99</v>
      </c>
      <c r="D22" s="51">
        <v>38</v>
      </c>
      <c r="E22" s="51">
        <v>0</v>
      </c>
      <c r="F22" s="51">
        <v>1297.1199999999999</v>
      </c>
      <c r="G22" s="51">
        <v>-23.96</v>
      </c>
      <c r="H22" s="51">
        <f t="shared" si="1"/>
        <v>1.8471691131121255E-2</v>
      </c>
      <c r="I22" s="51">
        <f t="shared" si="2"/>
        <v>0.11675972539163683</v>
      </c>
      <c r="J22" s="51">
        <f t="shared" si="4"/>
        <v>151.45137499999996</v>
      </c>
      <c r="K22" s="51">
        <f t="shared" si="3"/>
        <v>3.985562499999999</v>
      </c>
      <c r="L22" s="51">
        <v>157</v>
      </c>
      <c r="M22" s="51">
        <f t="shared" si="5"/>
        <v>0.24203821656050956</v>
      </c>
      <c r="N22" s="51">
        <v>492</v>
      </c>
      <c r="O22" s="51">
        <f t="shared" ref="O22:P22" si="31">D22/7</f>
        <v>5.4285714285714288</v>
      </c>
      <c r="P22" s="51">
        <f t="shared" si="31"/>
        <v>0</v>
      </c>
      <c r="Q22" s="51">
        <f t="shared" si="7"/>
        <v>90</v>
      </c>
      <c r="R22" s="55">
        <v>225</v>
      </c>
      <c r="S22" s="53" t="s">
        <v>34</v>
      </c>
      <c r="T22" s="54" t="s">
        <v>34</v>
      </c>
      <c r="U22" s="55">
        <v>3</v>
      </c>
      <c r="V22" s="55">
        <f t="shared" si="8"/>
        <v>7.8947368421052627E-2</v>
      </c>
      <c r="W22" s="55">
        <f t="shared" si="9"/>
        <v>7.9866666666666672</v>
      </c>
      <c r="X22" s="55">
        <v>0</v>
      </c>
      <c r="Y22" s="55" t="s">
        <v>35</v>
      </c>
      <c r="Z22" s="56">
        <f t="shared" si="19"/>
        <v>-0.75</v>
      </c>
      <c r="AA22" s="55">
        <v>0.41708333333333336</v>
      </c>
      <c r="AB22" s="55">
        <f t="shared" si="27"/>
        <v>-35.660625000000003</v>
      </c>
      <c r="AC22" s="55">
        <v>-6.56</v>
      </c>
      <c r="AD22" s="55">
        <v>-16.899999999999999</v>
      </c>
      <c r="AE22" s="55">
        <v>0</v>
      </c>
      <c r="AF22" s="55"/>
    </row>
    <row r="23" spans="1:32" s="57" customFormat="1" ht="15.75" customHeight="1">
      <c r="A23" s="2" t="s">
        <v>79</v>
      </c>
      <c r="B23" s="2" t="s">
        <v>1216</v>
      </c>
      <c r="C23" s="51">
        <v>36.840000000000003</v>
      </c>
      <c r="D23" s="51">
        <v>19</v>
      </c>
      <c r="E23" s="51">
        <v>0</v>
      </c>
      <c r="F23" s="51">
        <v>676.2</v>
      </c>
      <c r="G23" s="51">
        <v>-13.34</v>
      </c>
      <c r="H23" s="51">
        <f t="shared" si="1"/>
        <v>1.9727891156462583E-2</v>
      </c>
      <c r="I23" s="51">
        <f t="shared" si="2"/>
        <v>0.14472003475303163</v>
      </c>
      <c r="J23" s="51">
        <f t="shared" si="4"/>
        <v>97.859687499999993</v>
      </c>
      <c r="K23" s="51">
        <f t="shared" si="3"/>
        <v>5.150509868421052</v>
      </c>
      <c r="L23" s="51">
        <v>122</v>
      </c>
      <c r="M23" s="51">
        <f t="shared" si="5"/>
        <v>0.15573770491803279</v>
      </c>
      <c r="N23" s="51">
        <v>480</v>
      </c>
      <c r="O23" s="51">
        <f t="shared" ref="O23:P23" si="32">D23/7</f>
        <v>2.7142857142857144</v>
      </c>
      <c r="P23" s="51">
        <f t="shared" si="32"/>
        <v>0</v>
      </c>
      <c r="Q23" s="51">
        <f t="shared" si="7"/>
        <v>176</v>
      </c>
      <c r="R23" s="55">
        <v>225</v>
      </c>
      <c r="S23" s="53" t="s">
        <v>34</v>
      </c>
      <c r="T23" s="54" t="s">
        <v>34</v>
      </c>
      <c r="U23" s="55">
        <v>1</v>
      </c>
      <c r="V23" s="55">
        <f t="shared" si="8"/>
        <v>5.2631578947368418E-2</v>
      </c>
      <c r="W23" s="55">
        <f t="shared" si="9"/>
        <v>13.34</v>
      </c>
      <c r="X23" s="55">
        <v>0</v>
      </c>
      <c r="Y23" s="55" t="s">
        <v>35</v>
      </c>
      <c r="Z23" s="56">
        <f t="shared" si="19"/>
        <v>-0.75</v>
      </c>
      <c r="AA23" s="55">
        <v>0.41708333333333336</v>
      </c>
      <c r="AB23" s="55">
        <f t="shared" si="27"/>
        <v>-17.830312500000002</v>
      </c>
      <c r="AC23" s="55">
        <v>-6.56</v>
      </c>
      <c r="AD23" s="55">
        <v>-16.899999999999999</v>
      </c>
      <c r="AE23" s="55">
        <v>0</v>
      </c>
      <c r="AF23" s="55"/>
    </row>
    <row r="24" spans="1:32" s="57" customFormat="1" ht="15.75" customHeight="1">
      <c r="A24" s="2" t="s">
        <v>80</v>
      </c>
      <c r="B24" s="2" t="s">
        <v>1217</v>
      </c>
      <c r="C24" s="51">
        <v>32.92</v>
      </c>
      <c r="D24" s="51">
        <v>27</v>
      </c>
      <c r="E24" s="51">
        <v>0</v>
      </c>
      <c r="F24" s="51">
        <v>922.98000000000025</v>
      </c>
      <c r="G24" s="51">
        <v>-16.14</v>
      </c>
      <c r="H24" s="51">
        <f t="shared" si="1"/>
        <v>1.7486836117792365E-2</v>
      </c>
      <c r="I24" s="51">
        <f t="shared" si="2"/>
        <v>0.11878392543717121</v>
      </c>
      <c r="J24" s="51">
        <f t="shared" si="4"/>
        <v>109.63518750000031</v>
      </c>
      <c r="K24" s="51">
        <f t="shared" si="3"/>
        <v>4.0605625000000112</v>
      </c>
      <c r="L24" s="51">
        <v>123</v>
      </c>
      <c r="M24" s="51">
        <f t="shared" si="5"/>
        <v>0.21951219512195122</v>
      </c>
      <c r="N24" s="51">
        <v>429</v>
      </c>
      <c r="O24" s="51">
        <f t="shared" ref="O24:P24" si="33">D24/7</f>
        <v>3.8571428571428572</v>
      </c>
      <c r="P24" s="51">
        <f t="shared" si="33"/>
        <v>0</v>
      </c>
      <c r="Q24" s="51">
        <f t="shared" si="7"/>
        <v>111</v>
      </c>
      <c r="R24" s="55">
        <v>225</v>
      </c>
      <c r="S24" s="53">
        <v>225</v>
      </c>
      <c r="T24" s="54">
        <v>43983</v>
      </c>
      <c r="U24" s="55">
        <v>5</v>
      </c>
      <c r="V24" s="55">
        <f t="shared" si="8"/>
        <v>0.18518518518518517</v>
      </c>
      <c r="W24" s="55">
        <f t="shared" si="9"/>
        <v>2.3057142857142856</v>
      </c>
      <c r="X24" s="55">
        <v>2</v>
      </c>
      <c r="Y24" s="55" t="s">
        <v>35</v>
      </c>
      <c r="Z24" s="56">
        <f t="shared" si="19"/>
        <v>-0.75</v>
      </c>
      <c r="AA24" s="55">
        <v>0.41708333333333336</v>
      </c>
      <c r="AB24" s="55">
        <f t="shared" si="27"/>
        <v>-25.337812500000005</v>
      </c>
      <c r="AC24" s="55">
        <v>-6.56</v>
      </c>
      <c r="AD24" s="55">
        <v>-16.899999999999999</v>
      </c>
      <c r="AE24" s="55">
        <v>0</v>
      </c>
      <c r="AF24" s="55"/>
    </row>
    <row r="25" spans="1:32" s="57" customFormat="1" ht="15.75" customHeight="1">
      <c r="A25" s="2" t="s">
        <v>81</v>
      </c>
      <c r="B25" s="2" t="s">
        <v>1218</v>
      </c>
      <c r="C25" s="51"/>
      <c r="D25" s="51">
        <v>37</v>
      </c>
      <c r="E25" s="51">
        <v>0</v>
      </c>
      <c r="F25" s="51">
        <v>1230.4200000000003</v>
      </c>
      <c r="G25" s="51">
        <v>-25.64</v>
      </c>
      <c r="H25" s="51">
        <f t="shared" si="1"/>
        <v>2.0838412899660274E-2</v>
      </c>
      <c r="I25" s="51">
        <f t="shared" si="2"/>
        <v>0.11049162836673676</v>
      </c>
      <c r="J25" s="51">
        <f t="shared" si="4"/>
        <v>135.95110937500027</v>
      </c>
      <c r="K25" s="51">
        <f t="shared" si="3"/>
        <v>3.6743543074324396</v>
      </c>
      <c r="L25" s="51">
        <v>87</v>
      </c>
      <c r="M25" s="51">
        <f t="shared" si="5"/>
        <v>0.42528735632183906</v>
      </c>
      <c r="N25" s="51">
        <v>414</v>
      </c>
      <c r="O25" s="51">
        <f t="shared" ref="O25:P25" si="34">D25/7</f>
        <v>5.2857142857142856</v>
      </c>
      <c r="P25" s="51">
        <f t="shared" si="34"/>
        <v>0</v>
      </c>
      <c r="Q25" s="51">
        <f t="shared" si="7"/>
        <v>78</v>
      </c>
      <c r="R25" s="55">
        <v>225</v>
      </c>
      <c r="S25" s="53">
        <v>225</v>
      </c>
      <c r="T25" s="54">
        <v>43983</v>
      </c>
      <c r="U25" s="55">
        <v>2</v>
      </c>
      <c r="V25" s="55">
        <f t="shared" si="8"/>
        <v>5.4054054054054057E-2</v>
      </c>
      <c r="W25" s="55">
        <f t="shared" si="9"/>
        <v>8.5466666666666669</v>
      </c>
      <c r="X25" s="55">
        <v>1</v>
      </c>
      <c r="Y25" s="55" t="s">
        <v>35</v>
      </c>
      <c r="Z25" s="56">
        <f t="shared" si="19"/>
        <v>-0.75</v>
      </c>
      <c r="AA25" s="55">
        <v>0.36403472222222227</v>
      </c>
      <c r="AB25" s="55">
        <f t="shared" si="27"/>
        <v>-30.305890625000004</v>
      </c>
      <c r="AC25" s="55">
        <v>-6.18</v>
      </c>
      <c r="AD25" s="55">
        <v>-16.899999999999999</v>
      </c>
      <c r="AE25" s="55">
        <v>0</v>
      </c>
      <c r="AF25" s="55"/>
    </row>
    <row r="26" spans="1:32" s="57" customFormat="1" ht="15.75" customHeight="1">
      <c r="A26" s="2" t="s">
        <v>83</v>
      </c>
      <c r="B26" s="2" t="s">
        <v>1219</v>
      </c>
      <c r="C26" s="51">
        <f t="shared" ref="C26:C39" si="35">IFERROR(F26/D26," - ")</f>
        <v>34.617037037037036</v>
      </c>
      <c r="D26" s="51">
        <v>27</v>
      </c>
      <c r="E26" s="51">
        <v>0</v>
      </c>
      <c r="F26" s="51">
        <v>934.66</v>
      </c>
      <c r="G26" s="51">
        <v>-26.300000000000004</v>
      </c>
      <c r="H26" s="51">
        <f t="shared" si="1"/>
        <v>2.8138574454881996E-2</v>
      </c>
      <c r="I26" s="51">
        <f t="shared" si="2"/>
        <v>0.13147656968844287</v>
      </c>
      <c r="J26" s="51">
        <f t="shared" si="4"/>
        <v>122.885890625</v>
      </c>
      <c r="K26" s="51">
        <f t="shared" si="3"/>
        <v>4.5513292824074076</v>
      </c>
      <c r="L26" s="51">
        <v>115</v>
      </c>
      <c r="M26" s="51">
        <f t="shared" si="5"/>
        <v>0.23478260869565218</v>
      </c>
      <c r="N26" s="51">
        <v>603</v>
      </c>
      <c r="O26" s="51">
        <f t="shared" ref="O26:P26" si="36">D26/7</f>
        <v>3.8571428571428572</v>
      </c>
      <c r="P26" s="51">
        <f t="shared" si="36"/>
        <v>0</v>
      </c>
      <c r="Q26" s="51">
        <f t="shared" si="7"/>
        <v>156</v>
      </c>
      <c r="R26" s="55">
        <v>0</v>
      </c>
      <c r="S26" s="53" t="s">
        <v>34</v>
      </c>
      <c r="T26" s="54" t="s">
        <v>34</v>
      </c>
      <c r="U26" s="55">
        <v>3</v>
      </c>
      <c r="V26" s="55">
        <f t="shared" si="8"/>
        <v>0.1111111111111111</v>
      </c>
      <c r="W26" s="55">
        <f t="shared" si="9"/>
        <v>6.5750000000000011</v>
      </c>
      <c r="X26" s="55">
        <v>1</v>
      </c>
      <c r="Y26" s="55" t="s">
        <v>35</v>
      </c>
      <c r="Z26" s="56">
        <f t="shared" si="19"/>
        <v>-0.75</v>
      </c>
      <c r="AA26" s="55">
        <v>0.36403472222222227</v>
      </c>
      <c r="AB26" s="55">
        <f t="shared" si="27"/>
        <v>-22.115109375000003</v>
      </c>
      <c r="AC26" s="55">
        <v>-6.18</v>
      </c>
      <c r="AD26" s="55">
        <v>-16.899999999999999</v>
      </c>
      <c r="AE26" s="55">
        <v>0</v>
      </c>
      <c r="AF26" s="55"/>
    </row>
    <row r="27" spans="1:32" s="57" customFormat="1" ht="15.75" customHeight="1">
      <c r="A27" s="2" t="s">
        <v>84</v>
      </c>
      <c r="B27" s="2" t="s">
        <v>1218</v>
      </c>
      <c r="C27" s="51">
        <f t="shared" si="35"/>
        <v>34.424615384615393</v>
      </c>
      <c r="D27" s="51">
        <v>26</v>
      </c>
      <c r="E27" s="51">
        <v>0</v>
      </c>
      <c r="F27" s="51">
        <v>895.0400000000003</v>
      </c>
      <c r="G27" s="51">
        <v>-31.13</v>
      </c>
      <c r="H27" s="51">
        <f t="shared" si="1"/>
        <v>3.4780568466213788E-2</v>
      </c>
      <c r="I27" s="51">
        <f t="shared" si="2"/>
        <v>0.12097556394127659</v>
      </c>
      <c r="J27" s="51">
        <f t="shared" si="4"/>
        <v>108.27796875000024</v>
      </c>
      <c r="K27" s="51">
        <f t="shared" si="3"/>
        <v>4.1645372596153942</v>
      </c>
      <c r="L27" s="51">
        <v>105</v>
      </c>
      <c r="M27" s="51">
        <f t="shared" si="5"/>
        <v>0.24761904761904763</v>
      </c>
      <c r="N27" s="51">
        <v>587</v>
      </c>
      <c r="O27" s="51">
        <f t="shared" ref="O27:P27" si="37">D27/7</f>
        <v>3.7142857142857144</v>
      </c>
      <c r="P27" s="51">
        <f t="shared" si="37"/>
        <v>0</v>
      </c>
      <c r="Q27" s="51">
        <f t="shared" si="7"/>
        <v>158</v>
      </c>
      <c r="R27" s="55">
        <v>0</v>
      </c>
      <c r="S27" s="53" t="s">
        <v>34</v>
      </c>
      <c r="T27" s="54" t="s">
        <v>34</v>
      </c>
      <c r="U27" s="55">
        <v>1</v>
      </c>
      <c r="V27" s="55">
        <f t="shared" si="8"/>
        <v>3.8461538461538464E-2</v>
      </c>
      <c r="W27" s="55">
        <f t="shared" si="9"/>
        <v>6.226</v>
      </c>
      <c r="X27" s="55">
        <v>4</v>
      </c>
      <c r="Y27" s="55" t="s">
        <v>35</v>
      </c>
      <c r="Z27" s="56">
        <f t="shared" si="19"/>
        <v>-0.75</v>
      </c>
      <c r="AA27" s="55">
        <v>0.36403472222222227</v>
      </c>
      <c r="AB27" s="55">
        <f t="shared" si="27"/>
        <v>-21.296031250000002</v>
      </c>
      <c r="AC27" s="55">
        <v>-6.18</v>
      </c>
      <c r="AD27" s="55">
        <v>-16.899999999999999</v>
      </c>
      <c r="AE27" s="55">
        <v>0</v>
      </c>
      <c r="AF27" s="55"/>
    </row>
    <row r="28" spans="1:32" s="57" customFormat="1" ht="15.75" customHeight="1">
      <c r="A28" s="2" t="s">
        <v>86</v>
      </c>
      <c r="B28" s="2" t="s">
        <v>1220</v>
      </c>
      <c r="C28" s="51">
        <f t="shared" si="35"/>
        <v>33.198275862068975</v>
      </c>
      <c r="D28" s="51">
        <v>29</v>
      </c>
      <c r="E28" s="51">
        <v>0</v>
      </c>
      <c r="F28" s="51">
        <v>962.75000000000023</v>
      </c>
      <c r="G28" s="51">
        <v>-51.91</v>
      </c>
      <c r="H28" s="51">
        <f t="shared" si="1"/>
        <v>5.3918462736951424E-2</v>
      </c>
      <c r="I28" s="51">
        <f t="shared" si="2"/>
        <v>7.6192401324331596E-2</v>
      </c>
      <c r="J28" s="51">
        <f t="shared" si="4"/>
        <v>73.35423437500026</v>
      </c>
      <c r="K28" s="51">
        <f t="shared" si="3"/>
        <v>2.5294563577586295</v>
      </c>
      <c r="L28" s="51">
        <v>140</v>
      </c>
      <c r="M28" s="51">
        <f t="shared" si="5"/>
        <v>0.20714285714285716</v>
      </c>
      <c r="N28" s="51">
        <v>544</v>
      </c>
      <c r="O28" s="51">
        <f t="shared" ref="O28:P28" si="38">D28/7</f>
        <v>4.1428571428571432</v>
      </c>
      <c r="P28" s="51">
        <f t="shared" si="38"/>
        <v>0</v>
      </c>
      <c r="Q28" s="51">
        <f t="shared" si="7"/>
        <v>131</v>
      </c>
      <c r="R28" s="55">
        <v>0</v>
      </c>
      <c r="S28" s="53" t="s">
        <v>34</v>
      </c>
      <c r="T28" s="54" t="s">
        <v>34</v>
      </c>
      <c r="U28" s="55">
        <v>6</v>
      </c>
      <c r="V28" s="55">
        <f t="shared" si="8"/>
        <v>0.20689655172413793</v>
      </c>
      <c r="W28" s="55">
        <f t="shared" si="9"/>
        <v>4.3258333333333328</v>
      </c>
      <c r="X28" s="55">
        <v>6</v>
      </c>
      <c r="Y28" s="55" t="s">
        <v>35</v>
      </c>
      <c r="Z28" s="56">
        <f t="shared" si="19"/>
        <v>-0.75</v>
      </c>
      <c r="AA28" s="55">
        <v>0.36403472222222227</v>
      </c>
      <c r="AB28" s="55">
        <f t="shared" si="27"/>
        <v>-23.753265625000004</v>
      </c>
      <c r="AC28" s="55">
        <v>-6.18</v>
      </c>
      <c r="AD28" s="55">
        <v>-16.899999999999999</v>
      </c>
      <c r="AE28" s="55">
        <v>0</v>
      </c>
      <c r="AF28" s="55"/>
    </row>
    <row r="29" spans="1:32" s="57" customFormat="1" ht="15.75" customHeight="1">
      <c r="A29" s="2" t="s">
        <v>87</v>
      </c>
      <c r="B29" s="2" t="s">
        <v>1221</v>
      </c>
      <c r="C29" s="51">
        <f t="shared" si="35"/>
        <v>33.745333333333335</v>
      </c>
      <c r="D29" s="51">
        <v>30</v>
      </c>
      <c r="E29" s="51">
        <v>0</v>
      </c>
      <c r="F29" s="51">
        <v>1012.3600000000001</v>
      </c>
      <c r="G29" s="51">
        <v>-47.649999999999991</v>
      </c>
      <c r="H29" s="51">
        <f t="shared" si="1"/>
        <v>4.706823659567741E-2</v>
      </c>
      <c r="I29" s="51">
        <f t="shared" si="2"/>
        <v>9.471300352641368E-2</v>
      </c>
      <c r="J29" s="51">
        <f t="shared" si="4"/>
        <v>95.883656250000172</v>
      </c>
      <c r="K29" s="51">
        <f t="shared" si="3"/>
        <v>3.1961218750000056</v>
      </c>
      <c r="L29" s="51">
        <v>132</v>
      </c>
      <c r="M29" s="51">
        <f t="shared" si="5"/>
        <v>0.22727272727272727</v>
      </c>
      <c r="N29" s="51">
        <v>528</v>
      </c>
      <c r="O29" s="51">
        <f t="shared" ref="O29:P29" si="39">D29/7</f>
        <v>4.2857142857142856</v>
      </c>
      <c r="P29" s="51">
        <f t="shared" si="39"/>
        <v>0</v>
      </c>
      <c r="Q29" s="51">
        <f t="shared" si="7"/>
        <v>123</v>
      </c>
      <c r="R29" s="55">
        <v>0</v>
      </c>
      <c r="S29" s="53" t="s">
        <v>34</v>
      </c>
      <c r="T29" s="54" t="s">
        <v>34</v>
      </c>
      <c r="U29" s="55">
        <v>7</v>
      </c>
      <c r="V29" s="55">
        <f t="shared" si="8"/>
        <v>0.23333333333333334</v>
      </c>
      <c r="W29" s="55">
        <f t="shared" si="9"/>
        <v>4.3318181818181811</v>
      </c>
      <c r="X29" s="55">
        <v>4</v>
      </c>
      <c r="Y29" s="55" t="s">
        <v>35</v>
      </c>
      <c r="Z29" s="56">
        <f t="shared" si="19"/>
        <v>-0.75</v>
      </c>
      <c r="AA29" s="55">
        <v>0.36403472222222227</v>
      </c>
      <c r="AB29" s="55">
        <f t="shared" si="27"/>
        <v>-24.572343750000009</v>
      </c>
      <c r="AC29" s="55">
        <v>-6.18</v>
      </c>
      <c r="AD29" s="55">
        <v>-16.899999999999999</v>
      </c>
      <c r="AE29" s="55">
        <v>0</v>
      </c>
      <c r="AF29" s="55"/>
    </row>
    <row r="30" spans="1:32" s="57" customFormat="1" ht="15.75" customHeight="1">
      <c r="A30" s="2" t="s">
        <v>89</v>
      </c>
      <c r="B30" s="2" t="s">
        <v>1222</v>
      </c>
      <c r="C30" s="51">
        <f t="shared" si="35"/>
        <v>33.952500000000008</v>
      </c>
      <c r="D30" s="51">
        <v>28</v>
      </c>
      <c r="E30" s="51">
        <v>0</v>
      </c>
      <c r="F30" s="51">
        <v>950.6700000000003</v>
      </c>
      <c r="G30" s="51">
        <v>-40.459999999999994</v>
      </c>
      <c r="H30" s="51">
        <f t="shared" si="1"/>
        <v>4.2559458066416297E-2</v>
      </c>
      <c r="I30" s="51">
        <f t="shared" si="2"/>
        <v>0.10354309329209956</v>
      </c>
      <c r="J30" s="51">
        <f t="shared" si="4"/>
        <v>98.435312500000322</v>
      </c>
      <c r="K30" s="51">
        <f t="shared" si="3"/>
        <v>3.5155468750000116</v>
      </c>
      <c r="L30" s="51">
        <v>150</v>
      </c>
      <c r="M30" s="51">
        <f t="shared" si="5"/>
        <v>0.18666666666666668</v>
      </c>
      <c r="N30" s="51">
        <v>488</v>
      </c>
      <c r="O30" s="51">
        <f t="shared" ref="O30:P30" si="40">D30/7</f>
        <v>4</v>
      </c>
      <c r="P30" s="51">
        <f t="shared" si="40"/>
        <v>0</v>
      </c>
      <c r="Q30" s="51">
        <f t="shared" si="7"/>
        <v>122</v>
      </c>
      <c r="R30" s="55">
        <v>0</v>
      </c>
      <c r="S30" s="53" t="s">
        <v>34</v>
      </c>
      <c r="T30" s="54" t="s">
        <v>34</v>
      </c>
      <c r="U30" s="55">
        <v>2</v>
      </c>
      <c r="V30" s="55">
        <f t="shared" si="8"/>
        <v>7.1428571428571425E-2</v>
      </c>
      <c r="W30" s="55">
        <f t="shared" si="9"/>
        <v>6.7433333333333323</v>
      </c>
      <c r="X30" s="55">
        <v>4</v>
      </c>
      <c r="Y30" s="55" t="s">
        <v>35</v>
      </c>
      <c r="Z30" s="56">
        <f t="shared" si="19"/>
        <v>-0.75</v>
      </c>
      <c r="AA30" s="55">
        <v>0.36403472222222227</v>
      </c>
      <c r="AB30" s="55">
        <f t="shared" si="27"/>
        <v>-22.934187500000004</v>
      </c>
      <c r="AC30" s="55">
        <v>-6.18</v>
      </c>
      <c r="AD30" s="55">
        <v>-16.899999999999999</v>
      </c>
      <c r="AE30" s="55">
        <v>0</v>
      </c>
      <c r="AF30" s="55"/>
    </row>
    <row r="31" spans="1:32" s="57" customFormat="1" ht="15.75" customHeight="1">
      <c r="A31" s="2" t="s">
        <v>90</v>
      </c>
      <c r="B31" s="2" t="s">
        <v>1221</v>
      </c>
      <c r="C31" s="51">
        <f t="shared" si="35"/>
        <v>32.476216216216223</v>
      </c>
      <c r="D31" s="51">
        <v>37</v>
      </c>
      <c r="E31" s="51">
        <v>0</v>
      </c>
      <c r="F31" s="51">
        <v>1201.6200000000001</v>
      </c>
      <c r="G31" s="51">
        <v>-69.5</v>
      </c>
      <c r="H31" s="51">
        <f t="shared" si="1"/>
        <v>5.7838584577487057E-2</v>
      </c>
      <c r="I31" s="51">
        <f t="shared" si="2"/>
        <v>5.6266631193721897E-2</v>
      </c>
      <c r="J31" s="51">
        <f t="shared" si="4"/>
        <v>67.611109375000112</v>
      </c>
      <c r="K31" s="51">
        <f t="shared" si="3"/>
        <v>1.8273272804054084</v>
      </c>
      <c r="L31" s="51">
        <v>133</v>
      </c>
      <c r="M31" s="51">
        <f t="shared" si="5"/>
        <v>0.2781954887218045</v>
      </c>
      <c r="N31" s="51">
        <v>470</v>
      </c>
      <c r="O31" s="51">
        <f t="shared" ref="O31:P31" si="41">D31/7</f>
        <v>5.2857142857142856</v>
      </c>
      <c r="P31" s="51">
        <f t="shared" si="41"/>
        <v>0</v>
      </c>
      <c r="Q31" s="51">
        <f t="shared" si="7"/>
        <v>88</v>
      </c>
      <c r="R31" s="55">
        <v>0</v>
      </c>
      <c r="S31" s="53" t="s">
        <v>34</v>
      </c>
      <c r="T31" s="54" t="s">
        <v>34</v>
      </c>
      <c r="U31" s="55">
        <v>5</v>
      </c>
      <c r="V31" s="55">
        <f t="shared" si="8"/>
        <v>0.13513513513513514</v>
      </c>
      <c r="W31" s="55">
        <f t="shared" si="9"/>
        <v>6.95</v>
      </c>
      <c r="X31" s="55">
        <v>5</v>
      </c>
      <c r="Y31" s="55" t="s">
        <v>35</v>
      </c>
      <c r="Z31" s="56">
        <f t="shared" si="19"/>
        <v>-0.75</v>
      </c>
      <c r="AA31" s="55">
        <v>0.36403472222222227</v>
      </c>
      <c r="AB31" s="55">
        <f t="shared" si="27"/>
        <v>-30.305890625000004</v>
      </c>
      <c r="AC31" s="55">
        <v>-6.18</v>
      </c>
      <c r="AD31" s="55">
        <v>-16.899999999999999</v>
      </c>
      <c r="AE31" s="55">
        <v>0</v>
      </c>
      <c r="AF31" s="55"/>
    </row>
    <row r="32" spans="1:32" s="57" customFormat="1" ht="15.75" customHeight="1">
      <c r="A32" s="2" t="s">
        <v>92</v>
      </c>
      <c r="B32" s="2" t="s">
        <v>1223</v>
      </c>
      <c r="C32" s="51">
        <f t="shared" si="35"/>
        <v>30.420666666666669</v>
      </c>
      <c r="D32" s="51">
        <v>45</v>
      </c>
      <c r="E32" s="51">
        <v>0</v>
      </c>
      <c r="F32" s="51">
        <v>1368.93</v>
      </c>
      <c r="G32" s="51">
        <v>-89.44</v>
      </c>
      <c r="H32" s="51">
        <f t="shared" si="1"/>
        <v>6.5335700145369005E-2</v>
      </c>
      <c r="I32" s="51">
        <f t="shared" si="2"/>
        <v>-9.5550219879752532E-4</v>
      </c>
      <c r="J32" s="51">
        <f t="shared" si="4"/>
        <v>-1.3080156249998964</v>
      </c>
      <c r="K32" s="51">
        <f t="shared" si="3"/>
        <v>-2.9067013888886589E-2</v>
      </c>
      <c r="L32" s="51">
        <v>155</v>
      </c>
      <c r="M32" s="51">
        <f t="shared" si="5"/>
        <v>0.29032258064516131</v>
      </c>
      <c r="N32" s="51">
        <v>410</v>
      </c>
      <c r="O32" s="51">
        <f t="shared" ref="O32:P32" si="42">D32/7</f>
        <v>6.4285714285714288</v>
      </c>
      <c r="P32" s="51">
        <f t="shared" si="42"/>
        <v>0</v>
      </c>
      <c r="Q32" s="51">
        <f t="shared" si="7"/>
        <v>63</v>
      </c>
      <c r="R32" s="55">
        <v>0</v>
      </c>
      <c r="S32" s="53" t="s">
        <v>34</v>
      </c>
      <c r="T32" s="54" t="s">
        <v>34</v>
      </c>
      <c r="U32" s="55">
        <v>10</v>
      </c>
      <c r="V32" s="55">
        <f t="shared" si="8"/>
        <v>0.22222222222222221</v>
      </c>
      <c r="W32" s="55">
        <f t="shared" si="9"/>
        <v>5.9626666666666663</v>
      </c>
      <c r="X32" s="55">
        <v>5</v>
      </c>
      <c r="Y32" s="55" t="s">
        <v>35</v>
      </c>
      <c r="Z32" s="56">
        <f t="shared" si="19"/>
        <v>-0.75</v>
      </c>
      <c r="AA32" s="55">
        <v>0.36403472222222227</v>
      </c>
      <c r="AB32" s="55">
        <f t="shared" si="27"/>
        <v>-36.85851562500001</v>
      </c>
      <c r="AC32" s="55">
        <v>-6.18</v>
      </c>
      <c r="AD32" s="55">
        <v>-16.899999999999999</v>
      </c>
      <c r="AE32" s="55">
        <v>0</v>
      </c>
      <c r="AF32" s="52">
        <v>0.75691134413727301</v>
      </c>
    </row>
    <row r="33" spans="1:32" s="57" customFormat="1" ht="15.75" customHeight="1">
      <c r="A33" s="2" t="s">
        <v>94</v>
      </c>
      <c r="B33" s="2" t="s">
        <v>1224</v>
      </c>
      <c r="C33" s="51">
        <f t="shared" si="35"/>
        <v>30.759444444444441</v>
      </c>
      <c r="D33" s="51">
        <v>36</v>
      </c>
      <c r="E33" s="51">
        <v>0</v>
      </c>
      <c r="F33" s="51">
        <v>1107.3399999999999</v>
      </c>
      <c r="G33" s="51">
        <v>-75.88</v>
      </c>
      <c r="H33" s="51">
        <f t="shared" si="1"/>
        <v>6.8524572398721256E-2</v>
      </c>
      <c r="I33" s="51">
        <f t="shared" si="2"/>
        <v>4.5082698177614381E-3</v>
      </c>
      <c r="J33" s="51">
        <f t="shared" si="4"/>
        <v>4.9921874999999503</v>
      </c>
      <c r="K33" s="51">
        <f t="shared" si="3"/>
        <v>0.13867187499999861</v>
      </c>
      <c r="L33" s="51">
        <v>160</v>
      </c>
      <c r="M33" s="51">
        <f t="shared" si="5"/>
        <v>0.22500000000000001</v>
      </c>
      <c r="N33" s="51">
        <v>386</v>
      </c>
      <c r="O33" s="51">
        <f t="shared" ref="O33:P33" si="43">D33/7</f>
        <v>5.1428571428571432</v>
      </c>
      <c r="P33" s="51">
        <f t="shared" si="43"/>
        <v>0</v>
      </c>
      <c r="Q33" s="51">
        <f t="shared" si="7"/>
        <v>75</v>
      </c>
      <c r="R33" s="55">
        <v>0</v>
      </c>
      <c r="S33" s="53" t="s">
        <v>34</v>
      </c>
      <c r="T33" s="54" t="s">
        <v>34</v>
      </c>
      <c r="U33" s="55">
        <v>8</v>
      </c>
      <c r="V33" s="55">
        <f t="shared" si="8"/>
        <v>0.22222222222222221</v>
      </c>
      <c r="W33" s="55">
        <f t="shared" si="9"/>
        <v>4.4635294117647053</v>
      </c>
      <c r="X33" s="55">
        <v>9</v>
      </c>
      <c r="Y33" s="55" t="s">
        <v>35</v>
      </c>
      <c r="Z33" s="56">
        <f t="shared" si="19"/>
        <v>-0.75</v>
      </c>
      <c r="AA33" s="55">
        <v>0.36403472222222227</v>
      </c>
      <c r="AB33" s="55">
        <f t="shared" si="27"/>
        <v>-29.486812500000006</v>
      </c>
      <c r="AC33" s="55">
        <v>-6.18</v>
      </c>
      <c r="AD33" s="55">
        <v>-16.899999999999999</v>
      </c>
      <c r="AE33" s="55">
        <v>0</v>
      </c>
      <c r="AF33" s="55">
        <v>0.798798798798798</v>
      </c>
    </row>
    <row r="34" spans="1:32" s="57" customFormat="1" ht="15.75" customHeight="1">
      <c r="A34" s="2" t="s">
        <v>95</v>
      </c>
      <c r="B34" s="2" t="s">
        <v>1225</v>
      </c>
      <c r="C34" s="51">
        <f t="shared" si="35"/>
        <v>32.685869565217402</v>
      </c>
      <c r="D34" s="51">
        <v>46</v>
      </c>
      <c r="E34" s="51">
        <v>0</v>
      </c>
      <c r="F34" s="51">
        <v>1503.5500000000004</v>
      </c>
      <c r="G34" s="51">
        <v>-33.97</v>
      </c>
      <c r="H34" s="51">
        <f t="shared" si="1"/>
        <v>2.2593196102557275E-2</v>
      </c>
      <c r="I34" s="51">
        <f t="shared" si="2"/>
        <v>8.3184931079778091E-2</v>
      </c>
      <c r="J34" s="51">
        <f t="shared" si="4"/>
        <v>125.07270312500037</v>
      </c>
      <c r="K34" s="51">
        <f t="shared" si="3"/>
        <v>2.7189718070652256</v>
      </c>
      <c r="L34" s="51">
        <v>122</v>
      </c>
      <c r="M34" s="51">
        <f t="shared" si="5"/>
        <v>0.37704918032786883</v>
      </c>
      <c r="N34" s="51">
        <v>325</v>
      </c>
      <c r="O34" s="51">
        <f t="shared" ref="O34:P34" si="44">D34/7</f>
        <v>6.5714285714285712</v>
      </c>
      <c r="P34" s="51">
        <f t="shared" si="44"/>
        <v>0</v>
      </c>
      <c r="Q34" s="51">
        <f t="shared" si="7"/>
        <v>49</v>
      </c>
      <c r="R34" s="55">
        <v>0</v>
      </c>
      <c r="S34" s="53" t="s">
        <v>34</v>
      </c>
      <c r="T34" s="54" t="s">
        <v>34</v>
      </c>
      <c r="U34" s="55">
        <v>4</v>
      </c>
      <c r="V34" s="55">
        <f t="shared" si="8"/>
        <v>8.6956521739130432E-2</v>
      </c>
      <c r="W34" s="55">
        <f t="shared" si="9"/>
        <v>3.0881818181818179</v>
      </c>
      <c r="X34" s="55">
        <v>7</v>
      </c>
      <c r="Y34" s="55" t="s">
        <v>35</v>
      </c>
      <c r="Z34" s="56">
        <f t="shared" si="19"/>
        <v>-0.75</v>
      </c>
      <c r="AA34" s="55">
        <v>0.38468402777777788</v>
      </c>
      <c r="AB34" s="55">
        <f t="shared" si="27"/>
        <v>-39.814796875000013</v>
      </c>
      <c r="AC34" s="55">
        <v>-6.56</v>
      </c>
      <c r="AD34" s="55">
        <v>-16.899999999999999</v>
      </c>
      <c r="AE34" s="55">
        <v>0</v>
      </c>
      <c r="AF34" s="55">
        <v>0.92462311557788901</v>
      </c>
    </row>
    <row r="35" spans="1:32" s="57" customFormat="1" ht="15.75" customHeight="1">
      <c r="A35" s="2" t="s">
        <v>96</v>
      </c>
      <c r="B35" s="2"/>
      <c r="C35" s="51">
        <f t="shared" si="35"/>
        <v>30.370444444444455</v>
      </c>
      <c r="D35" s="51">
        <v>45</v>
      </c>
      <c r="E35" s="51">
        <v>0</v>
      </c>
      <c r="F35" s="51">
        <v>1366.6700000000005</v>
      </c>
      <c r="G35" s="51">
        <v>-31.870000000000005</v>
      </c>
      <c r="H35" s="51">
        <f t="shared" si="1"/>
        <v>2.3319455318401655E-2</v>
      </c>
      <c r="I35" s="51">
        <f t="shared" si="2"/>
        <v>2.5719626674691503E-2</v>
      </c>
      <c r="J35" s="51">
        <f t="shared" si="4"/>
        <v>35.150242187500652</v>
      </c>
      <c r="K35" s="51">
        <f t="shared" si="3"/>
        <v>0.78111649305557007</v>
      </c>
      <c r="L35" s="51">
        <v>116</v>
      </c>
      <c r="M35" s="51">
        <f t="shared" si="5"/>
        <v>0.38793103448275862</v>
      </c>
      <c r="N35" s="51">
        <v>303</v>
      </c>
      <c r="O35" s="51">
        <f t="shared" ref="O35:P35" si="45">D35/7</f>
        <v>6.4285714285714288</v>
      </c>
      <c r="P35" s="51">
        <f t="shared" si="45"/>
        <v>0</v>
      </c>
      <c r="Q35" s="51">
        <f t="shared" si="7"/>
        <v>47</v>
      </c>
      <c r="R35" s="55">
        <v>0</v>
      </c>
      <c r="S35" s="53" t="s">
        <v>34</v>
      </c>
      <c r="T35" s="54" t="s">
        <v>34</v>
      </c>
      <c r="U35" s="55">
        <v>4</v>
      </c>
      <c r="V35" s="55">
        <f t="shared" si="8"/>
        <v>8.8888888888888892E-2</v>
      </c>
      <c r="W35" s="55">
        <f t="shared" si="9"/>
        <v>7.9675000000000011</v>
      </c>
      <c r="X35" s="55">
        <v>0</v>
      </c>
      <c r="Y35" s="55" t="s">
        <v>35</v>
      </c>
      <c r="Z35" s="56">
        <f t="shared" si="19"/>
        <v>-0.75</v>
      </c>
      <c r="AA35" s="55">
        <v>0.38468402777777788</v>
      </c>
      <c r="AB35" s="55">
        <f t="shared" si="27"/>
        <v>-38.949257812500008</v>
      </c>
      <c r="AC35" s="55">
        <v>-6.56</v>
      </c>
      <c r="AD35" s="55">
        <v>-16.899999999999999</v>
      </c>
      <c r="AE35" s="55">
        <v>0</v>
      </c>
      <c r="AF35" s="55">
        <v>0.85036119711042302</v>
      </c>
    </row>
    <row r="36" spans="1:32" s="57" customFormat="1" ht="15.75" customHeight="1">
      <c r="A36" s="2" t="s">
        <v>98</v>
      </c>
      <c r="B36" s="2" t="s">
        <v>1226</v>
      </c>
      <c r="C36" s="51">
        <f t="shared" si="35"/>
        <v>30.456000000000007</v>
      </c>
      <c r="D36" s="51">
        <v>35</v>
      </c>
      <c r="E36" s="51">
        <v>0</v>
      </c>
      <c r="F36" s="51">
        <v>1065.9600000000003</v>
      </c>
      <c r="G36" s="51">
        <v>-16.79</v>
      </c>
      <c r="H36" s="51">
        <f t="shared" si="1"/>
        <v>1.5751060077301208E-2</v>
      </c>
      <c r="I36" s="51">
        <f t="shared" si="2"/>
        <v>3.5538043465514813E-2</v>
      </c>
      <c r="J36" s="51">
        <f t="shared" si="4"/>
        <v>37.882132812500181</v>
      </c>
      <c r="K36" s="51">
        <f t="shared" si="3"/>
        <v>1.0823466517857194</v>
      </c>
      <c r="L36" s="51">
        <v>87</v>
      </c>
      <c r="M36" s="51">
        <f t="shared" si="5"/>
        <v>0.40229885057471265</v>
      </c>
      <c r="N36" s="51">
        <v>261</v>
      </c>
      <c r="O36" s="51">
        <f t="shared" ref="O36:P36" si="46">D36/7</f>
        <v>5</v>
      </c>
      <c r="P36" s="51">
        <f t="shared" si="46"/>
        <v>0</v>
      </c>
      <c r="Q36" s="51">
        <f t="shared" si="7"/>
        <v>52</v>
      </c>
      <c r="R36" s="55">
        <v>0</v>
      </c>
      <c r="S36" s="53"/>
      <c r="T36" s="54" t="s">
        <v>34</v>
      </c>
      <c r="U36" s="55"/>
      <c r="V36" s="55">
        <f t="shared" si="8"/>
        <v>0</v>
      </c>
      <c r="W36" s="55">
        <f t="shared" si="9"/>
        <v>0</v>
      </c>
      <c r="X36" s="55"/>
      <c r="Y36" s="55" t="s">
        <v>35</v>
      </c>
      <c r="Z36" s="56">
        <f t="shared" si="19"/>
        <v>-0.75</v>
      </c>
      <c r="AA36" s="55">
        <v>0.38468402777777788</v>
      </c>
      <c r="AB36" s="55">
        <f t="shared" si="27"/>
        <v>-30.293867187500005</v>
      </c>
      <c r="AC36" s="55">
        <v>-6.56</v>
      </c>
      <c r="AD36" s="55">
        <v>-16.899999999999999</v>
      </c>
      <c r="AE36" s="55">
        <v>0</v>
      </c>
      <c r="AF36" s="55">
        <v>1.0073905628197799</v>
      </c>
    </row>
    <row r="37" spans="1:32" s="57" customFormat="1" ht="15.75" customHeight="1">
      <c r="A37" s="2" t="s">
        <v>99</v>
      </c>
      <c r="B37" s="2" t="s">
        <v>1227</v>
      </c>
      <c r="C37" s="51">
        <f t="shared" si="35"/>
        <v>32.028888888888893</v>
      </c>
      <c r="D37" s="51">
        <v>36</v>
      </c>
      <c r="E37" s="51">
        <v>0</v>
      </c>
      <c r="F37" s="51">
        <v>1153.0400000000002</v>
      </c>
      <c r="G37" s="51">
        <v>0</v>
      </c>
      <c r="H37" s="51">
        <f t="shared" si="1"/>
        <v>0</v>
      </c>
      <c r="I37" s="51">
        <f t="shared" si="2"/>
        <v>9.0512552686810674E-2</v>
      </c>
      <c r="J37" s="51">
        <f t="shared" si="4"/>
        <v>104.3645937500002</v>
      </c>
      <c r="K37" s="51">
        <f t="shared" si="3"/>
        <v>2.8990164930555609</v>
      </c>
      <c r="L37" s="51">
        <v>107</v>
      </c>
      <c r="M37" s="51">
        <f t="shared" si="5"/>
        <v>0.3364485981308411</v>
      </c>
      <c r="N37" s="51">
        <v>231</v>
      </c>
      <c r="O37" s="51">
        <f t="shared" ref="O37:P37" si="47">D37/7</f>
        <v>5.1428571428571432</v>
      </c>
      <c r="P37" s="51">
        <f t="shared" si="47"/>
        <v>0</v>
      </c>
      <c r="Q37" s="51">
        <f t="shared" si="7"/>
        <v>44</v>
      </c>
      <c r="R37" s="55">
        <v>0</v>
      </c>
      <c r="S37" s="53" t="s">
        <v>34</v>
      </c>
      <c r="T37" s="54" t="s">
        <v>34</v>
      </c>
      <c r="U37" s="55">
        <v>0</v>
      </c>
      <c r="V37" s="55">
        <f t="shared" si="8"/>
        <v>0</v>
      </c>
      <c r="W37" s="55">
        <f t="shared" si="9"/>
        <v>0</v>
      </c>
      <c r="X37" s="55">
        <v>0</v>
      </c>
      <c r="Y37" s="55" t="s">
        <v>35</v>
      </c>
      <c r="Z37" s="56">
        <f t="shared" si="19"/>
        <v>-0.75</v>
      </c>
      <c r="AA37" s="55">
        <v>0.38468402777777788</v>
      </c>
      <c r="AB37" s="55">
        <f t="shared" si="27"/>
        <v>-31.159406250000007</v>
      </c>
      <c r="AC37" s="55">
        <v>-6.56</v>
      </c>
      <c r="AD37" s="55">
        <v>-16.899999999999999</v>
      </c>
      <c r="AE37" s="55">
        <v>0</v>
      </c>
      <c r="AF37" s="55">
        <v>1.0808202653799699</v>
      </c>
    </row>
    <row r="38" spans="1:32" s="57" customFormat="1" ht="15.75" customHeight="1">
      <c r="A38" s="2" t="s">
        <v>100</v>
      </c>
      <c r="B38" s="2" t="s">
        <v>1228</v>
      </c>
      <c r="C38" s="51">
        <f t="shared" si="35"/>
        <v>32.515517241379314</v>
      </c>
      <c r="D38" s="51">
        <v>29</v>
      </c>
      <c r="E38" s="51">
        <v>1</v>
      </c>
      <c r="F38" s="51">
        <v>942.95000000000016</v>
      </c>
      <c r="G38" s="51">
        <v>0</v>
      </c>
      <c r="H38" s="51">
        <f t="shared" si="1"/>
        <v>0</v>
      </c>
      <c r="I38" s="51">
        <f t="shared" si="2"/>
        <v>0.10187906801792268</v>
      </c>
      <c r="J38" s="51">
        <f t="shared" si="4"/>
        <v>96.066867187500208</v>
      </c>
      <c r="K38" s="51">
        <f t="shared" si="3"/>
        <v>3.312650592672421</v>
      </c>
      <c r="L38" s="51">
        <v>100</v>
      </c>
      <c r="M38" s="51">
        <f t="shared" si="5"/>
        <v>0.28999999999999998</v>
      </c>
      <c r="N38" s="51">
        <v>186</v>
      </c>
      <c r="O38" s="51">
        <f t="shared" ref="O38:P38" si="48">D38/7</f>
        <v>4.1428571428571432</v>
      </c>
      <c r="P38" s="51">
        <f t="shared" si="48"/>
        <v>0.14285714285714285</v>
      </c>
      <c r="Q38" s="51">
        <f t="shared" si="7"/>
        <v>43</v>
      </c>
      <c r="R38" s="55">
        <v>0</v>
      </c>
      <c r="S38" s="53"/>
      <c r="T38" s="54"/>
      <c r="U38" s="55">
        <v>0</v>
      </c>
      <c r="V38" s="55">
        <f t="shared" si="8"/>
        <v>0</v>
      </c>
      <c r="W38" s="55">
        <f t="shared" si="9"/>
        <v>0</v>
      </c>
      <c r="X38" s="55">
        <v>0</v>
      </c>
      <c r="Y38" s="55" t="s">
        <v>35</v>
      </c>
      <c r="Z38" s="56">
        <f t="shared" si="19"/>
        <v>-0.75</v>
      </c>
      <c r="AA38" s="55">
        <v>0.38468402777777788</v>
      </c>
      <c r="AB38" s="55">
        <f t="shared" si="27"/>
        <v>-25.10063281250001</v>
      </c>
      <c r="AC38" s="55">
        <v>-6.56</v>
      </c>
      <c r="AD38" s="55">
        <v>-16.899999999999999</v>
      </c>
      <c r="AE38" s="55">
        <v>0</v>
      </c>
      <c r="AF38" s="55">
        <v>1.21727395411605</v>
      </c>
    </row>
    <row r="39" spans="1:32" s="57" customFormat="1" ht="15.75" customHeight="1">
      <c r="A39" s="2" t="s">
        <v>101</v>
      </c>
      <c r="B39" s="2" t="s">
        <v>45</v>
      </c>
      <c r="C39" s="51">
        <f t="shared" si="35"/>
        <v>37.307073170731712</v>
      </c>
      <c r="D39" s="51">
        <v>41</v>
      </c>
      <c r="E39" s="51">
        <v>2</v>
      </c>
      <c r="F39" s="51">
        <v>1529.5900000000001</v>
      </c>
      <c r="G39" s="51">
        <v>0</v>
      </c>
      <c r="H39" s="51">
        <f t="shared" si="1"/>
        <v>0</v>
      </c>
      <c r="I39" s="51">
        <f t="shared" si="2"/>
        <v>0.19796442081701643</v>
      </c>
      <c r="J39" s="51">
        <f>F39*0.85+G39+AD39*D39+D39*AC39+AE40+AB39</f>
        <v>302.8043984375002</v>
      </c>
      <c r="K39" s="51">
        <f t="shared" si="3"/>
        <v>7.3854731326219563</v>
      </c>
      <c r="L39" s="51">
        <v>83</v>
      </c>
      <c r="M39" s="51">
        <f t="shared" si="5"/>
        <v>0.49397590361445781</v>
      </c>
      <c r="N39" s="51">
        <v>173</v>
      </c>
      <c r="O39" s="51">
        <f t="shared" ref="O39:P39" si="49">D39/7</f>
        <v>5.8571428571428568</v>
      </c>
      <c r="P39" s="51">
        <f t="shared" si="49"/>
        <v>0.2857142857142857</v>
      </c>
      <c r="Q39" s="51">
        <f t="shared" si="7"/>
        <v>28</v>
      </c>
      <c r="R39" s="55">
        <v>0</v>
      </c>
      <c r="S39" s="53" t="s">
        <v>34</v>
      </c>
      <c r="T39" s="54" t="s">
        <v>34</v>
      </c>
      <c r="U39" s="55">
        <v>0</v>
      </c>
      <c r="V39" s="55">
        <f t="shared" si="8"/>
        <v>0</v>
      </c>
      <c r="W39" s="55">
        <f t="shared" si="9"/>
        <v>0</v>
      </c>
      <c r="X39" s="55">
        <v>0</v>
      </c>
      <c r="Y39" s="55" t="s">
        <v>35</v>
      </c>
      <c r="Z39" s="56">
        <f t="shared" si="19"/>
        <v>-0.75</v>
      </c>
      <c r="AA39" s="55">
        <v>0.38468402777777788</v>
      </c>
      <c r="AB39" s="55">
        <f t="shared" si="27"/>
        <v>-35.487101562500015</v>
      </c>
      <c r="AC39" s="55">
        <v>-6.56</v>
      </c>
      <c r="AD39" s="55">
        <v>-16.899999999999999</v>
      </c>
      <c r="AE39" s="55">
        <v>0</v>
      </c>
      <c r="AF39" s="55">
        <v>1.1772315653298799</v>
      </c>
    </row>
    <row r="40" spans="1:32" s="57" customFormat="1" ht="15.75" customHeight="1">
      <c r="A40" s="2" t="s">
        <v>102</v>
      </c>
      <c r="B40" s="2" t="s">
        <v>1229</v>
      </c>
      <c r="C40" s="51">
        <v>38.098888888888887</v>
      </c>
      <c r="D40" s="51">
        <v>18</v>
      </c>
      <c r="E40" s="51">
        <v>0</v>
      </c>
      <c r="F40" s="51">
        <v>685.78</v>
      </c>
      <c r="G40" s="51">
        <v>0</v>
      </c>
      <c r="H40" s="51">
        <v>0</v>
      </c>
      <c r="I40" s="51">
        <v>0.20960238706290654</v>
      </c>
      <c r="J40" s="51">
        <v>143.74112500000004</v>
      </c>
      <c r="K40" s="51">
        <v>7.985618055555558</v>
      </c>
      <c r="L40" s="51">
        <v>86</v>
      </c>
      <c r="M40" s="51">
        <v>0.20930232558139536</v>
      </c>
      <c r="N40" s="51">
        <v>136</v>
      </c>
      <c r="O40" s="51">
        <v>2.5714285714285716</v>
      </c>
      <c r="P40" s="51">
        <v>0</v>
      </c>
      <c r="Q40" s="51">
        <v>52</v>
      </c>
      <c r="R40" s="55">
        <v>0</v>
      </c>
      <c r="S40" s="53" t="s">
        <v>34</v>
      </c>
      <c r="T40" s="54" t="s">
        <v>34</v>
      </c>
      <c r="U40" s="55">
        <v>0</v>
      </c>
      <c r="V40" s="55">
        <v>0</v>
      </c>
      <c r="W40" s="55">
        <v>0</v>
      </c>
      <c r="X40" s="55">
        <v>0</v>
      </c>
      <c r="Y40" s="55" t="s">
        <v>35</v>
      </c>
      <c r="Z40" s="56">
        <v>-0.75</v>
      </c>
      <c r="AA40" s="55">
        <v>0.41708333333333336</v>
      </c>
      <c r="AB40" s="55">
        <v>-16.891875000000002</v>
      </c>
      <c r="AC40" s="55">
        <v>-6.56</v>
      </c>
      <c r="AD40" s="55">
        <v>-16.899999999999999</v>
      </c>
      <c r="AE40" s="55">
        <v>0</v>
      </c>
      <c r="AF40" s="55">
        <v>1.22305084745762</v>
      </c>
    </row>
    <row r="41" spans="1:32" s="57" customFormat="1" ht="15.75" customHeight="1">
      <c r="A41" s="2" t="s">
        <v>105</v>
      </c>
      <c r="B41" s="2" t="s">
        <v>1229</v>
      </c>
      <c r="C41" s="51">
        <f t="shared" ref="C41:C56" si="50">IFERROR(F41/D41," - ")</f>
        <v>37.99</v>
      </c>
      <c r="D41" s="51">
        <v>25</v>
      </c>
      <c r="E41" s="51">
        <v>0</v>
      </c>
      <c r="F41" s="51">
        <v>949.75000000000011</v>
      </c>
      <c r="G41" s="51">
        <v>0</v>
      </c>
      <c r="H41" s="51">
        <f t="shared" ref="H41:H56" si="51">G41/F41*-1</f>
        <v>0</v>
      </c>
      <c r="I41" s="51">
        <f t="shared" ref="I41:I56" si="52">J41/F41</f>
        <v>0.20776684653856284</v>
      </c>
      <c r="J41" s="51">
        <f t="shared" ref="J41:J48" si="53">F41*0.85+G41+AD41*D41+D41*AC41+AE42+AB41</f>
        <v>197.32656250000008</v>
      </c>
      <c r="K41" s="51">
        <f t="shared" ref="K41:K56" si="54">J41/D41</f>
        <v>7.8930625000000028</v>
      </c>
      <c r="L41" s="51">
        <v>52</v>
      </c>
      <c r="M41" s="51">
        <f t="shared" ref="M41:M56" si="55">IFERROR(D41/L41,"-")</f>
        <v>0.48076923076923078</v>
      </c>
      <c r="N41" s="51">
        <v>117</v>
      </c>
      <c r="O41" s="51">
        <f t="shared" ref="O41:P41" si="56">D41/7</f>
        <v>3.5714285714285716</v>
      </c>
      <c r="P41" s="51">
        <f t="shared" si="56"/>
        <v>0</v>
      </c>
      <c r="Q41" s="51">
        <f t="shared" ref="Q41:Q56" si="57">ROUNDDOWN(N41/(O41+P41),0)</f>
        <v>32</v>
      </c>
      <c r="R41" s="55">
        <v>0</v>
      </c>
      <c r="S41" s="53" t="s">
        <v>34</v>
      </c>
      <c r="T41" s="54" t="s">
        <v>34</v>
      </c>
      <c r="U41" s="55">
        <v>0</v>
      </c>
      <c r="V41" s="55">
        <f t="shared" ref="V41:V56" si="58">IFERROR(U41/D41,0)</f>
        <v>0</v>
      </c>
      <c r="W41" s="55">
        <f t="shared" ref="W41:W56" si="59">IFERROR(G41/(U41+X41)*-1,0)</f>
        <v>0</v>
      </c>
      <c r="X41" s="55">
        <v>0</v>
      </c>
      <c r="Y41" s="52" t="s">
        <v>35</v>
      </c>
      <c r="Z41" s="56">
        <f t="shared" ref="Z41:Z43" si="60">IF(OR(Y41="UsLargeStandardSize",Y41="UsSmallStandardSize"),-0.75,-0.48)</f>
        <v>-0.75</v>
      </c>
      <c r="AA41" s="55">
        <v>0.41708333333333336</v>
      </c>
      <c r="AB41" s="55">
        <f t="shared" ref="AB41:AB56" si="61">IFERROR(Z41*AA41*D41*3,0)</f>
        <v>-23.460937500000004</v>
      </c>
      <c r="AC41" s="55">
        <v>-6.56</v>
      </c>
      <c r="AD41" s="55">
        <v>-16.899999999999999</v>
      </c>
      <c r="AE41" s="55">
        <v>0</v>
      </c>
      <c r="AF41" s="55">
        <v>1.34039334341906</v>
      </c>
    </row>
    <row r="42" spans="1:32" s="57" customFormat="1" ht="15.75" customHeight="1">
      <c r="A42" s="2" t="s">
        <v>106</v>
      </c>
      <c r="B42" s="2" t="s">
        <v>1229</v>
      </c>
      <c r="C42" s="51">
        <f t="shared" si="50"/>
        <v>38.656666666666666</v>
      </c>
      <c r="D42" s="51">
        <v>15</v>
      </c>
      <c r="E42" s="51">
        <v>0</v>
      </c>
      <c r="F42" s="51">
        <v>579.85</v>
      </c>
      <c r="G42" s="51">
        <v>0</v>
      </c>
      <c r="H42" s="51">
        <f t="shared" si="51"/>
        <v>0</v>
      </c>
      <c r="I42" s="51">
        <f t="shared" si="52"/>
        <v>0.21884269638699666</v>
      </c>
      <c r="J42" s="51">
        <f t="shared" si="53"/>
        <v>126.89593750000002</v>
      </c>
      <c r="K42" s="51">
        <f t="shared" si="54"/>
        <v>8.4597291666666674</v>
      </c>
      <c r="L42" s="51">
        <v>36</v>
      </c>
      <c r="M42" s="51">
        <f t="shared" si="55"/>
        <v>0.41666666666666669</v>
      </c>
      <c r="N42" s="51">
        <v>102</v>
      </c>
      <c r="O42" s="51">
        <f t="shared" ref="O42:P42" si="62">D42/7</f>
        <v>2.1428571428571428</v>
      </c>
      <c r="P42" s="51">
        <f t="shared" si="62"/>
        <v>0</v>
      </c>
      <c r="Q42" s="51">
        <f t="shared" si="57"/>
        <v>47</v>
      </c>
      <c r="R42" s="55">
        <v>66</v>
      </c>
      <c r="S42" s="53" t="s">
        <v>34</v>
      </c>
      <c r="T42" s="54" t="s">
        <v>34</v>
      </c>
      <c r="U42" s="55">
        <v>0</v>
      </c>
      <c r="V42" s="55">
        <f t="shared" si="58"/>
        <v>0</v>
      </c>
      <c r="W42" s="55">
        <f t="shared" si="59"/>
        <v>0</v>
      </c>
      <c r="X42" s="55">
        <v>0</v>
      </c>
      <c r="Y42" s="55" t="s">
        <v>35</v>
      </c>
      <c r="Z42" s="56">
        <f t="shared" si="60"/>
        <v>-0.75</v>
      </c>
      <c r="AA42" s="55">
        <v>0.41708333333333336</v>
      </c>
      <c r="AB42" s="55">
        <f t="shared" si="61"/>
        <v>-14.076562500000003</v>
      </c>
      <c r="AC42" s="55">
        <v>-6.56</v>
      </c>
      <c r="AD42" s="55">
        <v>-16.899999999999999</v>
      </c>
      <c r="AE42" s="55">
        <v>0</v>
      </c>
      <c r="AF42" s="55">
        <v>1.43676222596964</v>
      </c>
    </row>
    <row r="43" spans="1:32" s="57" customFormat="1" ht="15.75" customHeight="1">
      <c r="A43" s="2" t="s">
        <v>107</v>
      </c>
      <c r="B43" s="2" t="s">
        <v>1229</v>
      </c>
      <c r="C43" s="51">
        <f t="shared" si="50"/>
        <v>39.99</v>
      </c>
      <c r="D43" s="51">
        <v>11</v>
      </c>
      <c r="E43" s="51">
        <v>0</v>
      </c>
      <c r="F43" s="51">
        <v>439.89000000000004</v>
      </c>
      <c r="G43" s="51">
        <v>0</v>
      </c>
      <c r="H43" s="51">
        <f t="shared" si="51"/>
        <v>0</v>
      </c>
      <c r="I43" s="51">
        <f t="shared" si="52"/>
        <v>0.23988653413353353</v>
      </c>
      <c r="J43" s="51">
        <f t="shared" si="53"/>
        <v>105.52368750000008</v>
      </c>
      <c r="K43" s="51">
        <f t="shared" si="54"/>
        <v>9.5930625000000074</v>
      </c>
      <c r="L43" s="51">
        <v>32</v>
      </c>
      <c r="M43" s="51">
        <f t="shared" si="55"/>
        <v>0.34375</v>
      </c>
      <c r="N43" s="51">
        <v>94</v>
      </c>
      <c r="O43" s="51">
        <f t="shared" ref="O43:P43" si="63">D43/7</f>
        <v>1.5714285714285714</v>
      </c>
      <c r="P43" s="51">
        <f t="shared" si="63"/>
        <v>0</v>
      </c>
      <c r="Q43" s="51">
        <f t="shared" si="57"/>
        <v>59</v>
      </c>
      <c r="R43" s="55">
        <v>294</v>
      </c>
      <c r="S43" s="53">
        <v>66</v>
      </c>
      <c r="T43" s="54">
        <v>44118</v>
      </c>
      <c r="U43" s="55">
        <v>0</v>
      </c>
      <c r="V43" s="55">
        <f t="shared" si="58"/>
        <v>0</v>
      </c>
      <c r="W43" s="55">
        <f t="shared" si="59"/>
        <v>0</v>
      </c>
      <c r="X43" s="55">
        <v>0</v>
      </c>
      <c r="Y43" s="55" t="s">
        <v>35</v>
      </c>
      <c r="Z43" s="56">
        <f t="shared" si="60"/>
        <v>-0.75</v>
      </c>
      <c r="AA43" s="55">
        <v>0.41708333333333336</v>
      </c>
      <c r="AB43" s="55">
        <f t="shared" si="61"/>
        <v>-10.322812500000001</v>
      </c>
      <c r="AC43" s="55">
        <v>-6.56</v>
      </c>
      <c r="AD43" s="55">
        <v>-16.899999999999999</v>
      </c>
      <c r="AE43" s="55">
        <v>0</v>
      </c>
      <c r="AF43" s="55">
        <v>1.5106186518928899</v>
      </c>
    </row>
    <row r="44" spans="1:32" s="57" customFormat="1" ht="15.75" customHeight="1">
      <c r="A44" s="2" t="s">
        <v>108</v>
      </c>
      <c r="B44" s="2" t="s">
        <v>1229</v>
      </c>
      <c r="C44" s="51">
        <f t="shared" si="50"/>
        <v>39.99</v>
      </c>
      <c r="D44" s="51">
        <v>7</v>
      </c>
      <c r="E44" s="51">
        <v>0</v>
      </c>
      <c r="F44" s="51">
        <v>279.93</v>
      </c>
      <c r="G44" s="51">
        <v>0</v>
      </c>
      <c r="H44" s="51">
        <f t="shared" si="51"/>
        <v>0</v>
      </c>
      <c r="I44" s="51">
        <f t="shared" si="52"/>
        <v>0.18825956489122286</v>
      </c>
      <c r="J44" s="51">
        <f t="shared" si="53"/>
        <v>52.699500000000015</v>
      </c>
      <c r="K44" s="51">
        <f t="shared" si="54"/>
        <v>7.528500000000002</v>
      </c>
      <c r="L44" s="51">
        <v>35</v>
      </c>
      <c r="M44" s="51">
        <f t="shared" si="55"/>
        <v>0.2</v>
      </c>
      <c r="N44" s="51">
        <v>86</v>
      </c>
      <c r="O44" s="51">
        <f t="shared" ref="O44:P44" si="64">D44/7</f>
        <v>1</v>
      </c>
      <c r="P44" s="51">
        <f t="shared" si="64"/>
        <v>0</v>
      </c>
      <c r="Q44" s="51">
        <f t="shared" si="57"/>
        <v>86</v>
      </c>
      <c r="R44" s="55">
        <v>216</v>
      </c>
      <c r="S44" s="53">
        <v>66</v>
      </c>
      <c r="T44" s="54">
        <v>44117</v>
      </c>
      <c r="U44" s="55">
        <v>0</v>
      </c>
      <c r="V44" s="55">
        <f t="shared" si="58"/>
        <v>0</v>
      </c>
      <c r="W44" s="55">
        <f t="shared" si="59"/>
        <v>0</v>
      </c>
      <c r="X44" s="55">
        <v>0</v>
      </c>
      <c r="Y44" s="55" t="s">
        <v>35</v>
      </c>
      <c r="Z44" s="56">
        <f t="shared" ref="Z44:Z56" si="65">IF(OR(Y44="UsLargeStandardSize",Y44="UsSmallStandardSize"),-2.4,-1.2)</f>
        <v>-2.4</v>
      </c>
      <c r="AA44" s="55">
        <v>0.41708333333333336</v>
      </c>
      <c r="AB44" s="55">
        <f t="shared" si="61"/>
        <v>-21.021000000000001</v>
      </c>
      <c r="AC44" s="55">
        <v>-6.56</v>
      </c>
      <c r="AD44" s="55">
        <v>-16.899999999999999</v>
      </c>
      <c r="AE44" s="55">
        <v>0</v>
      </c>
      <c r="AF44" s="55">
        <v>1.5514403292181</v>
      </c>
    </row>
    <row r="45" spans="1:32" s="57" customFormat="1" ht="15.75" customHeight="1">
      <c r="A45" s="2" t="s">
        <v>109</v>
      </c>
      <c r="B45" s="2" t="s">
        <v>1230</v>
      </c>
      <c r="C45" s="51">
        <f t="shared" si="50"/>
        <v>39.99</v>
      </c>
      <c r="D45" s="51">
        <v>8</v>
      </c>
      <c r="E45" s="51">
        <v>0</v>
      </c>
      <c r="F45" s="51">
        <v>319.92</v>
      </c>
      <c r="G45" s="51">
        <v>0</v>
      </c>
      <c r="H45" s="51">
        <f t="shared" si="51"/>
        <v>0</v>
      </c>
      <c r="I45" s="51">
        <f t="shared" si="52"/>
        <v>0.18825956489122292</v>
      </c>
      <c r="J45" s="51">
        <f t="shared" si="53"/>
        <v>60.228000000000037</v>
      </c>
      <c r="K45" s="51">
        <f t="shared" si="54"/>
        <v>7.5285000000000046</v>
      </c>
      <c r="L45" s="51">
        <v>37</v>
      </c>
      <c r="M45" s="51">
        <f t="shared" si="55"/>
        <v>0.21621621621621623</v>
      </c>
      <c r="N45" s="51">
        <v>91</v>
      </c>
      <c r="O45" s="51">
        <f t="shared" ref="O45:P45" si="66">D45/7</f>
        <v>1.1428571428571428</v>
      </c>
      <c r="P45" s="51">
        <f t="shared" si="66"/>
        <v>0</v>
      </c>
      <c r="Q45" s="51">
        <f t="shared" si="57"/>
        <v>79</v>
      </c>
      <c r="R45" s="55">
        <v>216</v>
      </c>
      <c r="S45" s="53">
        <v>66</v>
      </c>
      <c r="T45" s="54">
        <v>44117</v>
      </c>
      <c r="U45" s="55">
        <v>0</v>
      </c>
      <c r="V45" s="55">
        <f t="shared" si="58"/>
        <v>0</v>
      </c>
      <c r="W45" s="55">
        <f t="shared" si="59"/>
        <v>0</v>
      </c>
      <c r="X45" s="55">
        <v>0</v>
      </c>
      <c r="Y45" s="55" t="s">
        <v>35</v>
      </c>
      <c r="Z45" s="56">
        <f t="shared" si="65"/>
        <v>-2.4</v>
      </c>
      <c r="AA45" s="55">
        <v>0.41708333333333336</v>
      </c>
      <c r="AB45" s="55">
        <f t="shared" si="61"/>
        <v>-24.024000000000001</v>
      </c>
      <c r="AC45" s="55">
        <v>-6.56</v>
      </c>
      <c r="AD45" s="55">
        <v>-16.899999999999999</v>
      </c>
      <c r="AE45" s="55">
        <v>0</v>
      </c>
      <c r="AF45" s="55">
        <v>1.52380952380952</v>
      </c>
    </row>
    <row r="46" spans="1:32" s="57" customFormat="1" ht="15.75" customHeight="1">
      <c r="A46" s="2" t="s">
        <v>111</v>
      </c>
      <c r="B46" s="2" t="s">
        <v>1231</v>
      </c>
      <c r="C46" s="51">
        <f t="shared" si="50"/>
        <v>39.46</v>
      </c>
      <c r="D46" s="51">
        <v>13</v>
      </c>
      <c r="E46" s="51">
        <v>0</v>
      </c>
      <c r="F46" s="51">
        <v>512.98</v>
      </c>
      <c r="G46" s="51">
        <v>0</v>
      </c>
      <c r="H46" s="51">
        <f t="shared" si="51"/>
        <v>0</v>
      </c>
      <c r="I46" s="51">
        <f t="shared" si="52"/>
        <v>0.1793715154586924</v>
      </c>
      <c r="J46" s="51">
        <f t="shared" si="53"/>
        <v>92.014000000000024</v>
      </c>
      <c r="K46" s="51">
        <f t="shared" si="54"/>
        <v>7.0780000000000021</v>
      </c>
      <c r="L46" s="51">
        <v>22</v>
      </c>
      <c r="M46" s="51">
        <f t="shared" si="55"/>
        <v>0.59090909090909094</v>
      </c>
      <c r="N46" s="51">
        <v>81</v>
      </c>
      <c r="O46" s="51">
        <f t="shared" ref="O46:P46" si="67">D46/7</f>
        <v>1.8571428571428572</v>
      </c>
      <c r="P46" s="51">
        <f t="shared" si="67"/>
        <v>0</v>
      </c>
      <c r="Q46" s="51">
        <f t="shared" si="57"/>
        <v>43</v>
      </c>
      <c r="R46" s="55">
        <v>0</v>
      </c>
      <c r="S46" s="53" t="s">
        <v>34</v>
      </c>
      <c r="T46" s="54" t="s">
        <v>34</v>
      </c>
      <c r="U46" s="55">
        <v>0</v>
      </c>
      <c r="V46" s="55">
        <f t="shared" si="58"/>
        <v>0</v>
      </c>
      <c r="W46" s="55">
        <f t="shared" si="59"/>
        <v>0</v>
      </c>
      <c r="X46" s="55">
        <v>0</v>
      </c>
      <c r="Y46" s="55" t="s">
        <v>35</v>
      </c>
      <c r="Z46" s="56">
        <f t="shared" si="65"/>
        <v>-2.4</v>
      </c>
      <c r="AA46" s="55">
        <v>0.41708333333333336</v>
      </c>
      <c r="AB46" s="55">
        <f t="shared" si="61"/>
        <v>-39.039000000000001</v>
      </c>
      <c r="AC46" s="55">
        <v>-6.56</v>
      </c>
      <c r="AD46" s="55">
        <v>-16.899999999999999</v>
      </c>
      <c r="AE46" s="55">
        <v>0</v>
      </c>
      <c r="AF46" s="55">
        <v>1.57560355781448</v>
      </c>
    </row>
    <row r="47" spans="1:32" s="57" customFormat="1" ht="15.75" customHeight="1">
      <c r="A47" s="2" t="s">
        <v>113</v>
      </c>
      <c r="B47" s="2" t="s">
        <v>1230</v>
      </c>
      <c r="C47" s="51">
        <f t="shared" si="50"/>
        <v>32.805</v>
      </c>
      <c r="D47" s="51">
        <v>12</v>
      </c>
      <c r="E47" s="51">
        <v>0</v>
      </c>
      <c r="F47" s="51">
        <v>393.66</v>
      </c>
      <c r="G47" s="51">
        <v>0</v>
      </c>
      <c r="H47" s="51">
        <f t="shared" si="51"/>
        <v>0</v>
      </c>
      <c r="I47" s="51">
        <f t="shared" si="52"/>
        <v>4.3324188385916798E-2</v>
      </c>
      <c r="J47" s="51">
        <f t="shared" si="53"/>
        <v>17.055000000000007</v>
      </c>
      <c r="K47" s="51">
        <f t="shared" si="54"/>
        <v>1.4212500000000006</v>
      </c>
      <c r="L47" s="51">
        <v>28</v>
      </c>
      <c r="M47" s="51">
        <f t="shared" si="55"/>
        <v>0.42857142857142855</v>
      </c>
      <c r="N47" s="51">
        <v>269</v>
      </c>
      <c r="O47" s="51">
        <f t="shared" ref="O47:P47" si="68">D47/7</f>
        <v>1.7142857142857142</v>
      </c>
      <c r="P47" s="51">
        <f t="shared" si="68"/>
        <v>0</v>
      </c>
      <c r="Q47" s="51">
        <f t="shared" si="57"/>
        <v>156</v>
      </c>
      <c r="R47" s="55">
        <v>0</v>
      </c>
      <c r="S47" s="53" t="s">
        <v>34</v>
      </c>
      <c r="T47" s="54" t="s">
        <v>34</v>
      </c>
      <c r="U47" s="55">
        <v>0</v>
      </c>
      <c r="V47" s="55">
        <f t="shared" si="58"/>
        <v>0</v>
      </c>
      <c r="W47" s="55">
        <f t="shared" si="59"/>
        <v>0</v>
      </c>
      <c r="X47" s="55">
        <v>0</v>
      </c>
      <c r="Y47" s="55" t="s">
        <v>35</v>
      </c>
      <c r="Z47" s="56">
        <f t="shared" si="65"/>
        <v>-2.4</v>
      </c>
      <c r="AA47" s="55">
        <v>0.41708333333333336</v>
      </c>
      <c r="AB47" s="55">
        <f t="shared" si="61"/>
        <v>-36.036000000000001</v>
      </c>
      <c r="AC47" s="55">
        <v>-6.56</v>
      </c>
      <c r="AD47" s="55">
        <v>-16.899999999999999</v>
      </c>
      <c r="AE47" s="55">
        <v>0</v>
      </c>
      <c r="AF47" s="55">
        <v>1.28652321630804</v>
      </c>
    </row>
    <row r="48" spans="1:32" s="57" customFormat="1" ht="15.75" customHeight="1">
      <c r="A48" s="2" t="s">
        <v>115</v>
      </c>
      <c r="B48" s="2"/>
      <c r="C48" s="51">
        <f t="shared" si="50"/>
        <v>30.990000000000006</v>
      </c>
      <c r="D48" s="51">
        <v>16</v>
      </c>
      <c r="E48" s="51">
        <v>0</v>
      </c>
      <c r="F48" s="51">
        <v>495.84000000000009</v>
      </c>
      <c r="G48" s="51">
        <v>0</v>
      </c>
      <c r="H48" s="51">
        <f t="shared" si="51"/>
        <v>0</v>
      </c>
      <c r="I48" s="51">
        <f t="shared" si="52"/>
        <v>-3.9206195546948952E-3</v>
      </c>
      <c r="J48" s="51">
        <f t="shared" si="53"/>
        <v>-1.9439999999999173</v>
      </c>
      <c r="K48" s="51">
        <f t="shared" si="54"/>
        <v>-0.12149999999999483</v>
      </c>
      <c r="L48" s="51">
        <v>58</v>
      </c>
      <c r="M48" s="51">
        <f t="shared" si="55"/>
        <v>0.27586206896551724</v>
      </c>
      <c r="N48" s="51">
        <v>255</v>
      </c>
      <c r="O48" s="51">
        <f t="shared" ref="O48:P48" si="69">D48/7</f>
        <v>2.2857142857142856</v>
      </c>
      <c r="P48" s="51">
        <f t="shared" si="69"/>
        <v>0</v>
      </c>
      <c r="Q48" s="51">
        <f t="shared" si="57"/>
        <v>111</v>
      </c>
      <c r="R48" s="55">
        <f ca="1">IFERROR(__xludf.DUMMYFUNCTION("IFERROR(VLOOKUP($B$2,IMPORTRANGE(""https://docs.google.com/spreadsheets/d/1iVgg6Mw12RULLujzHmfOFIY8Q_KaAD8anoZzgtVAQ74/edit#gid=1503384807"",""Second Star - Summary!A1:AD2000""),9,FALSE),"""")"),1500)</f>
        <v>1500</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si="58"/>
        <v>0</v>
      </c>
      <c r="W48" s="55">
        <f t="shared" si="59"/>
        <v>0</v>
      </c>
      <c r="X48" s="55">
        <v>0</v>
      </c>
      <c r="Y48" s="55" t="s">
        <v>35</v>
      </c>
      <c r="Z48" s="56">
        <f t="shared" si="65"/>
        <v>-2.4</v>
      </c>
      <c r="AA48" s="55">
        <v>0.41708333333333336</v>
      </c>
      <c r="AB48" s="55">
        <f t="shared" si="61"/>
        <v>-48.048000000000002</v>
      </c>
      <c r="AC48" s="55">
        <v>-6.56</v>
      </c>
      <c r="AD48" s="55">
        <v>-16.899999999999999</v>
      </c>
      <c r="AE48" s="55">
        <v>0</v>
      </c>
      <c r="AF48" s="55">
        <v>1.3090909090909</v>
      </c>
    </row>
    <row r="49" spans="1:32" s="57" customFormat="1" ht="15.75" customHeight="1">
      <c r="A49" s="2" t="s">
        <v>117</v>
      </c>
      <c r="B49" s="2" t="s">
        <v>1232</v>
      </c>
      <c r="C49" s="51">
        <f t="shared" si="50"/>
        <v>29.940344827586213</v>
      </c>
      <c r="D49" s="51">
        <v>29</v>
      </c>
      <c r="E49" s="51">
        <v>0</v>
      </c>
      <c r="F49" s="51">
        <v>868.27000000000021</v>
      </c>
      <c r="G49" s="51">
        <v>0</v>
      </c>
      <c r="H49" s="51">
        <f t="shared" si="51"/>
        <v>0</v>
      </c>
      <c r="I49" s="51">
        <f t="shared" si="52"/>
        <v>-3.385755582940761E-2</v>
      </c>
      <c r="J49" s="51">
        <f t="shared" ref="J49:J56" si="70">F49*0.85+G49+AD49*D49+D49*AC49+AE49+AB49</f>
        <v>-29.397499999999752</v>
      </c>
      <c r="K49" s="51">
        <f t="shared" si="54"/>
        <v>-1.0137068965517155</v>
      </c>
      <c r="L49" s="51">
        <v>54</v>
      </c>
      <c r="M49" s="51">
        <f t="shared" si="55"/>
        <v>0.53703703703703709</v>
      </c>
      <c r="N49" s="51">
        <v>228</v>
      </c>
      <c r="O49" s="51">
        <f t="shared" ref="O49:P49" si="71">D49/7</f>
        <v>4.1428571428571432</v>
      </c>
      <c r="P49" s="51">
        <f t="shared" si="71"/>
        <v>0</v>
      </c>
      <c r="Q49" s="51">
        <f t="shared" si="57"/>
        <v>55</v>
      </c>
      <c r="R49" s="55">
        <f ca="1">IFERROR(__xludf.DUMMYFUNCTION("IFERROR(VLOOKUP($B$2,IMPORTRANGE(""https://docs.google.com/spreadsheets/d/1iVgg6Mw12RULLujzHmfOFIY8Q_KaAD8anoZzgtVAQ74/edit#gid=1503384807"",""Second Star - Summary!A1:AD2000""),9,FALSE),"""")"),1500)</f>
        <v>1500</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58"/>
        <v>0</v>
      </c>
      <c r="W49" s="55">
        <f t="shared" si="59"/>
        <v>0</v>
      </c>
      <c r="X49" s="55">
        <v>0</v>
      </c>
      <c r="Y49" s="55" t="s">
        <v>35</v>
      </c>
      <c r="Z49" s="56">
        <f t="shared" si="65"/>
        <v>-2.4</v>
      </c>
      <c r="AA49" s="55">
        <v>0.41708333333333336</v>
      </c>
      <c r="AB49" s="55">
        <f t="shared" si="61"/>
        <v>-87.087000000000018</v>
      </c>
      <c r="AC49" s="55">
        <v>-6.56</v>
      </c>
      <c r="AD49" s="55">
        <v>-16.899999999999999</v>
      </c>
      <c r="AE49" s="55">
        <v>0</v>
      </c>
      <c r="AF49" s="55">
        <v>1.39106901217861</v>
      </c>
    </row>
    <row r="50" spans="1:32" s="57" customFormat="1" ht="15.75" customHeight="1">
      <c r="A50" s="2" t="s">
        <v>119</v>
      </c>
      <c r="B50" s="2" t="s">
        <v>1233</v>
      </c>
      <c r="C50" s="51">
        <f t="shared" si="50"/>
        <v>30.414230769230773</v>
      </c>
      <c r="D50" s="51">
        <v>26</v>
      </c>
      <c r="E50" s="51">
        <v>1</v>
      </c>
      <c r="F50" s="51">
        <v>790.7700000000001</v>
      </c>
      <c r="G50" s="51">
        <v>-0.06</v>
      </c>
      <c r="H50" s="51">
        <f t="shared" si="51"/>
        <v>7.5875412572555846E-5</v>
      </c>
      <c r="I50" s="51">
        <f t="shared" si="52"/>
        <v>-1.4637659812587517E-2</v>
      </c>
      <c r="J50" s="51">
        <f t="shared" si="70"/>
        <v>-11.575022249999833</v>
      </c>
      <c r="K50" s="51">
        <f t="shared" si="54"/>
        <v>-0.44519316346153204</v>
      </c>
      <c r="L50" s="51">
        <v>46</v>
      </c>
      <c r="M50" s="51">
        <f t="shared" si="55"/>
        <v>0.56521739130434778</v>
      </c>
      <c r="N50" s="51">
        <v>200</v>
      </c>
      <c r="O50" s="51">
        <f t="shared" ref="O50:P50" si="72">D50/7</f>
        <v>3.7142857142857144</v>
      </c>
      <c r="P50" s="51">
        <f t="shared" si="72"/>
        <v>0.14285714285714285</v>
      </c>
      <c r="Q50" s="51">
        <f t="shared" si="57"/>
        <v>51</v>
      </c>
      <c r="R50" s="55">
        <f ca="1">IFERROR(__xludf.DUMMYFUNCTION("IFERROR(VLOOKUP($B$2,IMPORTRANGE(""https://docs.google.com/spreadsheets/d/1iVgg6Mw12RULLujzHmfOFIY8Q_KaAD8anoZzgtVAQ74/edit#gid=1503384807"",""Second Star - Summary!A1:AD2000""),9,FALSE),"""")"),1500)</f>
        <v>1500</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58"/>
        <v>0</v>
      </c>
      <c r="W50" s="55">
        <f t="shared" si="59"/>
        <v>0</v>
      </c>
      <c r="X50" s="55">
        <v>0</v>
      </c>
      <c r="Y50" s="55" t="s">
        <v>35</v>
      </c>
      <c r="Z50" s="56">
        <f t="shared" si="65"/>
        <v>-2.4</v>
      </c>
      <c r="AA50" s="55">
        <v>0.39374744791666666</v>
      </c>
      <c r="AB50" s="55">
        <f t="shared" si="61"/>
        <v>-73.709522250000006</v>
      </c>
      <c r="AC50" s="55">
        <v>-6.56</v>
      </c>
      <c r="AD50" s="55">
        <v>-16.899999999999999</v>
      </c>
      <c r="AE50" s="55">
        <v>0</v>
      </c>
      <c r="AF50" s="55">
        <v>1.48191027496382</v>
      </c>
    </row>
    <row r="51" spans="1:32" s="57" customFormat="1" ht="15.75" customHeight="1">
      <c r="A51" s="2" t="s">
        <v>121</v>
      </c>
      <c r="B51" s="2" t="s">
        <v>174</v>
      </c>
      <c r="C51" s="51">
        <f t="shared" si="50"/>
        <v>32.99</v>
      </c>
      <c r="D51" s="51">
        <v>18</v>
      </c>
      <c r="E51" s="51">
        <v>0</v>
      </c>
      <c r="F51" s="51">
        <v>593.82000000000005</v>
      </c>
      <c r="G51" s="51">
        <v>0</v>
      </c>
      <c r="H51" s="51">
        <f t="shared" si="51"/>
        <v>0</v>
      </c>
      <c r="I51" s="51">
        <f t="shared" si="52"/>
        <v>5.2940841921794525E-2</v>
      </c>
      <c r="J51" s="51">
        <f t="shared" si="70"/>
        <v>31.437330750000029</v>
      </c>
      <c r="K51" s="51">
        <f t="shared" si="54"/>
        <v>1.7465183750000017</v>
      </c>
      <c r="L51" s="51">
        <v>60</v>
      </c>
      <c r="M51" s="51">
        <f t="shared" si="55"/>
        <v>0.3</v>
      </c>
      <c r="N51" s="51">
        <v>181</v>
      </c>
      <c r="O51" s="51">
        <f t="shared" ref="O51:P51" si="73">D51/7</f>
        <v>2.5714285714285716</v>
      </c>
      <c r="P51" s="51">
        <f t="shared" si="73"/>
        <v>0</v>
      </c>
      <c r="Q51" s="51">
        <f t="shared" si="57"/>
        <v>70</v>
      </c>
      <c r="R51" s="55">
        <f ca="1">IFERROR(__xludf.DUMMYFUNCTION("IFERROR(VLOOKUP($B$2,IMPORTRANGE(""https://docs.google.com/spreadsheets/d/1iVgg6Mw12RULLujzHmfOFIY8Q_KaAD8anoZzgtVAQ74/edit#gid=1503384807"",""Second Star - Summary!A1:AD2000""),9,FALSE),"""")"),1500)</f>
        <v>1500</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58"/>
        <v>0</v>
      </c>
      <c r="W51" s="55">
        <f t="shared" si="59"/>
        <v>0</v>
      </c>
      <c r="X51" s="55">
        <v>0</v>
      </c>
      <c r="Y51" s="55" t="s">
        <v>35</v>
      </c>
      <c r="Z51" s="56">
        <f t="shared" si="65"/>
        <v>-2.4</v>
      </c>
      <c r="AA51" s="55">
        <v>0.39374744791666666</v>
      </c>
      <c r="AB51" s="55">
        <f t="shared" si="61"/>
        <v>-51.029669249999998</v>
      </c>
      <c r="AC51" s="55">
        <v>-6.56</v>
      </c>
      <c r="AD51" s="55">
        <v>-16.899999999999999</v>
      </c>
      <c r="AE51" s="55">
        <v>0</v>
      </c>
      <c r="AF51" s="55">
        <v>1.5686274509803899</v>
      </c>
    </row>
    <row r="52" spans="1:32" s="57" customFormat="1" ht="15.75" customHeight="1">
      <c r="A52" s="2" t="s">
        <v>123</v>
      </c>
      <c r="B52" s="2" t="s">
        <v>1234</v>
      </c>
      <c r="C52" s="51">
        <f t="shared" si="50"/>
        <v>32.99</v>
      </c>
      <c r="D52" s="51">
        <v>18</v>
      </c>
      <c r="E52" s="51">
        <v>0</v>
      </c>
      <c r="F52" s="51">
        <v>593.82000000000005</v>
      </c>
      <c r="G52" s="51">
        <v>0</v>
      </c>
      <c r="H52" s="51">
        <f t="shared" si="51"/>
        <v>0</v>
      </c>
      <c r="I52" s="51">
        <f t="shared" si="52"/>
        <v>5.2940841921794525E-2</v>
      </c>
      <c r="J52" s="51">
        <f t="shared" si="70"/>
        <v>31.437330750000029</v>
      </c>
      <c r="K52" s="51">
        <f t="shared" si="54"/>
        <v>1.7465183750000017</v>
      </c>
      <c r="L52" s="51">
        <v>53</v>
      </c>
      <c r="M52" s="51">
        <f t="shared" si="55"/>
        <v>0.33962264150943394</v>
      </c>
      <c r="N52" s="51">
        <v>162</v>
      </c>
      <c r="O52" s="51">
        <f t="shared" ref="O52:P52" si="74">D52/7</f>
        <v>2.5714285714285716</v>
      </c>
      <c r="P52" s="51">
        <f t="shared" si="74"/>
        <v>0</v>
      </c>
      <c r="Q52" s="51">
        <f t="shared" si="57"/>
        <v>63</v>
      </c>
      <c r="R52" s="55">
        <f ca="1">IFERROR(__xludf.DUMMYFUNCTION("IFERROR(VLOOKUP($B$2,IMPORTRANGE(""https://docs.google.com/spreadsheets/d/1iVgg6Mw12RULLujzHmfOFIY8Q_KaAD8anoZzgtVAQ74/edit#gid=1503384807"",""Second Star - Summary!A1:AD2000""),9,FALSE),"""")"),1500)</f>
        <v>1500</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58"/>
        <v>0</v>
      </c>
      <c r="W52" s="55">
        <f t="shared" si="59"/>
        <v>0</v>
      </c>
      <c r="X52" s="55">
        <v>0</v>
      </c>
      <c r="Y52" s="55" t="s">
        <v>35</v>
      </c>
      <c r="Z52" s="56">
        <f t="shared" si="65"/>
        <v>-2.4</v>
      </c>
      <c r="AA52" s="55">
        <v>0.39374744791666666</v>
      </c>
      <c r="AB52" s="55">
        <f t="shared" si="61"/>
        <v>-51.029669249999998</v>
      </c>
      <c r="AC52" s="55">
        <v>-6.56</v>
      </c>
      <c r="AD52" s="55">
        <v>-16.899999999999999</v>
      </c>
      <c r="AE52" s="55">
        <v>0</v>
      </c>
      <c r="AF52" s="55">
        <v>1.2266666666666599</v>
      </c>
    </row>
    <row r="53" spans="1:32" s="57" customFormat="1">
      <c r="A53" s="2" t="s">
        <v>38</v>
      </c>
      <c r="B53" s="2" t="s">
        <v>1235</v>
      </c>
      <c r="C53" s="51">
        <f t="shared" si="50"/>
        <v>32.99</v>
      </c>
      <c r="D53" s="51">
        <v>15</v>
      </c>
      <c r="E53" s="51">
        <v>0</v>
      </c>
      <c r="F53" s="51">
        <v>494.85</v>
      </c>
      <c r="G53" s="51">
        <v>0</v>
      </c>
      <c r="H53" s="51">
        <f t="shared" si="51"/>
        <v>0</v>
      </c>
      <c r="I53" s="51">
        <f t="shared" si="52"/>
        <v>5.2940841921794567E-2</v>
      </c>
      <c r="J53" s="51">
        <f t="shared" si="70"/>
        <v>26.197775625000041</v>
      </c>
      <c r="K53" s="51">
        <f t="shared" si="54"/>
        <v>1.7465183750000028</v>
      </c>
      <c r="L53" s="51">
        <v>40</v>
      </c>
      <c r="M53" s="51">
        <f t="shared" si="55"/>
        <v>0.375</v>
      </c>
      <c r="N53" s="51">
        <v>149</v>
      </c>
      <c r="O53" s="51">
        <f t="shared" ref="O53:P53" si="75">D53/7</f>
        <v>2.1428571428571428</v>
      </c>
      <c r="P53" s="51">
        <f t="shared" si="75"/>
        <v>0</v>
      </c>
      <c r="Q53" s="51">
        <f t="shared" si="57"/>
        <v>69</v>
      </c>
      <c r="R53" s="55">
        <f ca="1">IFERROR(__xludf.DUMMYFUNCTION("IFERROR(VLOOKUP($B$2,IMPORTRANGE(""https://docs.google.com/spreadsheets/d/1iVgg6Mw12RULLujzHmfOFIY8Q_KaAD8anoZzgtVAQ74/edit#gid=1503384807"",""Second Star - Summary!A1:AD2000""),9,FALSE),"""")"),1500)</f>
        <v>1500</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58"/>
        <v>0</v>
      </c>
      <c r="W53" s="55">
        <f t="shared" si="59"/>
        <v>0</v>
      </c>
      <c r="X53" s="55">
        <v>0</v>
      </c>
      <c r="Y53" s="55" t="s">
        <v>35</v>
      </c>
      <c r="Z53" s="56">
        <f t="shared" si="65"/>
        <v>-2.4</v>
      </c>
      <c r="AA53" s="55">
        <v>0.39374744791666666</v>
      </c>
      <c r="AB53" s="55">
        <f t="shared" si="61"/>
        <v>-42.524724374999998</v>
      </c>
      <c r="AC53" s="55">
        <v>-6.56</v>
      </c>
      <c r="AD53" s="55">
        <v>-16.899999999999999</v>
      </c>
      <c r="AE53" s="55">
        <v>0</v>
      </c>
      <c r="AF53" s="55">
        <v>1.3251908396946499</v>
      </c>
    </row>
    <row r="54" spans="1:32" s="57" customFormat="1">
      <c r="A54" s="2" t="s">
        <v>40</v>
      </c>
      <c r="B54" s="2"/>
      <c r="C54" s="51">
        <f t="shared" si="50"/>
        <v>31.340500000000002</v>
      </c>
      <c r="D54" s="51">
        <v>20</v>
      </c>
      <c r="E54" s="51">
        <v>0</v>
      </c>
      <c r="F54" s="51">
        <v>626.81000000000006</v>
      </c>
      <c r="G54" s="51">
        <v>0</v>
      </c>
      <c r="H54" s="51">
        <f t="shared" si="51"/>
        <v>0</v>
      </c>
      <c r="I54" s="51">
        <f t="shared" si="52"/>
        <v>-4.8038999058725622E-3</v>
      </c>
      <c r="J54" s="51">
        <f t="shared" si="70"/>
        <v>-3.0111324999999809</v>
      </c>
      <c r="K54" s="51">
        <f t="shared" si="54"/>
        <v>-0.15055662499999906</v>
      </c>
      <c r="L54" s="51">
        <v>51</v>
      </c>
      <c r="M54" s="51">
        <f t="shared" si="55"/>
        <v>0.39215686274509803</v>
      </c>
      <c r="N54" s="51">
        <v>117</v>
      </c>
      <c r="O54" s="51">
        <f t="shared" ref="O54:P54" si="76">D54/7</f>
        <v>2.8571428571428572</v>
      </c>
      <c r="P54" s="51">
        <f t="shared" si="76"/>
        <v>0</v>
      </c>
      <c r="Q54" s="51">
        <f t="shared" si="57"/>
        <v>40</v>
      </c>
      <c r="R54" s="55">
        <f ca="1">IFERROR(__xludf.DUMMYFUNCTION("IFERROR(VLOOKUP($B$2,IMPORTRANGE(""https://docs.google.com/spreadsheets/d/1iVgg6Mw12RULLujzHmfOFIY8Q_KaAD8anoZzgtVAQ74/edit#gid=1503384807"",""Second Star - Summary!A1:AD2000""),9,FALSE),"""")"),1500)</f>
        <v>1500</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58"/>
        <v>0</v>
      </c>
      <c r="W54" s="55">
        <f t="shared" si="59"/>
        <v>0</v>
      </c>
      <c r="X54" s="55">
        <v>0</v>
      </c>
      <c r="Y54" s="55" t="s">
        <v>35</v>
      </c>
      <c r="Z54" s="56">
        <f t="shared" si="65"/>
        <v>-2.4</v>
      </c>
      <c r="AA54" s="55">
        <v>0.39374744791666666</v>
      </c>
      <c r="AB54" s="55">
        <f t="shared" si="61"/>
        <v>-56.699632499999993</v>
      </c>
      <c r="AC54" s="55">
        <v>-6.56</v>
      </c>
      <c r="AD54" s="55">
        <v>-16.899999999999999</v>
      </c>
      <c r="AE54" s="55">
        <v>-9.9</v>
      </c>
      <c r="AF54" s="55">
        <v>1.49650349650349</v>
      </c>
    </row>
    <row r="55" spans="1:32" s="57" customFormat="1" ht="15.75" customHeight="1">
      <c r="A55" s="2" t="s">
        <v>32</v>
      </c>
      <c r="B55" s="2"/>
      <c r="C55" s="51">
        <f t="shared" si="50"/>
        <v>32.99</v>
      </c>
      <c r="D55" s="51">
        <v>14</v>
      </c>
      <c r="E55" s="51">
        <v>0</v>
      </c>
      <c r="F55" s="51">
        <v>461.86000000000007</v>
      </c>
      <c r="G55" s="51">
        <v>-0.04</v>
      </c>
      <c r="H55" s="51">
        <f t="shared" si="51"/>
        <v>8.6606330922790449E-5</v>
      </c>
      <c r="I55" s="51">
        <f t="shared" si="52"/>
        <v>5.2854235590871899E-2</v>
      </c>
      <c r="J55" s="51">
        <f t="shared" si="70"/>
        <v>24.411257250000098</v>
      </c>
      <c r="K55" s="51">
        <f t="shared" si="54"/>
        <v>1.7436612321428642</v>
      </c>
      <c r="L55" s="51">
        <v>28</v>
      </c>
      <c r="M55" s="51">
        <f t="shared" si="55"/>
        <v>0.5</v>
      </c>
      <c r="N55" s="51">
        <v>108</v>
      </c>
      <c r="O55" s="51">
        <f t="shared" ref="O55:P55" si="77">D55/7</f>
        <v>2</v>
      </c>
      <c r="P55" s="51">
        <f t="shared" si="77"/>
        <v>0</v>
      </c>
      <c r="Q55" s="51">
        <f t="shared" si="57"/>
        <v>54</v>
      </c>
      <c r="R55" s="55">
        <v>90</v>
      </c>
      <c r="S55" s="53">
        <v>90</v>
      </c>
      <c r="T55" s="54">
        <v>44211</v>
      </c>
      <c r="U55" s="55">
        <v>1</v>
      </c>
      <c r="V55" s="55">
        <f t="shared" si="58"/>
        <v>7.1428571428571425E-2</v>
      </c>
      <c r="W55" s="55">
        <f t="shared" si="59"/>
        <v>0.04</v>
      </c>
      <c r="X55" s="55">
        <v>0</v>
      </c>
      <c r="Y55" s="55" t="s">
        <v>35</v>
      </c>
      <c r="Z55" s="56">
        <f t="shared" si="65"/>
        <v>-2.4</v>
      </c>
      <c r="AA55" s="55">
        <v>0.39374744791666666</v>
      </c>
      <c r="AB55" s="55">
        <f t="shared" si="61"/>
        <v>-39.689742750000001</v>
      </c>
      <c r="AC55" s="55">
        <v>-6.56</v>
      </c>
      <c r="AD55" s="55">
        <v>-16.899999999999999</v>
      </c>
      <c r="AE55" s="55">
        <v>0</v>
      </c>
      <c r="AF55" s="55">
        <v>1.2005689900426699</v>
      </c>
    </row>
    <row r="56" spans="1:32" s="57" customFormat="1" ht="15.75" customHeight="1">
      <c r="A56" s="2" t="s">
        <v>36</v>
      </c>
      <c r="B56" s="2"/>
      <c r="C56" s="51">
        <f t="shared" si="50"/>
        <v>32.99</v>
      </c>
      <c r="D56" s="51">
        <v>18</v>
      </c>
      <c r="E56" s="51">
        <v>0</v>
      </c>
      <c r="F56" s="51">
        <v>593.82000000000005</v>
      </c>
      <c r="G56" s="51">
        <v>0</v>
      </c>
      <c r="H56" s="51">
        <f t="shared" si="51"/>
        <v>0</v>
      </c>
      <c r="I56" s="51">
        <f t="shared" si="52"/>
        <v>5.2940841921794525E-2</v>
      </c>
      <c r="J56" s="51">
        <f t="shared" si="70"/>
        <v>31.437330750000029</v>
      </c>
      <c r="K56" s="51">
        <f t="shared" si="54"/>
        <v>1.7465183750000017</v>
      </c>
      <c r="L56" s="51">
        <v>43</v>
      </c>
      <c r="M56" s="51">
        <f t="shared" si="55"/>
        <v>0.41860465116279072</v>
      </c>
      <c r="N56" s="51">
        <v>90</v>
      </c>
      <c r="O56" s="51">
        <f t="shared" ref="O56:P56" si="78">D56/7</f>
        <v>2.5714285714285716</v>
      </c>
      <c r="P56" s="51">
        <f t="shared" si="78"/>
        <v>0</v>
      </c>
      <c r="Q56" s="51">
        <f t="shared" si="57"/>
        <v>35</v>
      </c>
      <c r="R56" s="55">
        <f ca="1">IFERROR(__xludf.DUMMYFUNCTION("IFERROR(VLOOKUP($B$2,IMPORTRANGE(""https://docs.google.com/spreadsheets/d/1iVgg6Mw12RULLujzHmfOFIY8Q_KaAD8anoZzgtVAQ74/edit#gid=1503384807"",""Second Star - Summary!A1:AD2000""),9,FALSE),"""")"),1500)</f>
        <v>1500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58"/>
        <v>0</v>
      </c>
      <c r="W56" s="55">
        <f t="shared" si="59"/>
        <v>0</v>
      </c>
      <c r="X56" s="55">
        <v>0</v>
      </c>
      <c r="Y56" s="55" t="s">
        <v>35</v>
      </c>
      <c r="Z56" s="56">
        <f t="shared" si="65"/>
        <v>-2.4</v>
      </c>
      <c r="AA56" s="55">
        <v>0.39374744791666666</v>
      </c>
      <c r="AB56" s="55">
        <f t="shared" si="61"/>
        <v>-51.029669249999998</v>
      </c>
      <c r="AC56" s="55">
        <v>-6.56</v>
      </c>
      <c r="AD56" s="55">
        <v>-16.899999999999999</v>
      </c>
      <c r="AE56" s="55">
        <v>0</v>
      </c>
      <c r="AF56" s="55">
        <v>1.40095087163232</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E201" s="2"/>
      <c r="P201" s="2"/>
      <c r="AF201" s="23"/>
    </row>
    <row r="202" spans="1:32" ht="15.75" customHeight="1">
      <c r="E202" s="2"/>
      <c r="P202" s="2"/>
      <c r="AF202" s="23"/>
    </row>
    <row r="203" spans="1:32" ht="15.75" customHeight="1">
      <c r="E203" s="2"/>
      <c r="P203" s="2"/>
      <c r="AF203" s="23"/>
    </row>
    <row r="204" spans="1:32" ht="15.75" customHeight="1">
      <c r="E204" s="2"/>
      <c r="P204" s="2"/>
      <c r="AF204" s="23"/>
    </row>
    <row r="205" spans="1:32" ht="15.75" customHeight="1">
      <c r="E205" s="2"/>
      <c r="P205" s="2"/>
      <c r="AF205" s="23"/>
    </row>
    <row r="206" spans="1:32" ht="15.75" customHeight="1">
      <c r="E206" s="2"/>
      <c r="P206" s="2"/>
      <c r="AF206" s="23"/>
    </row>
    <row r="207" spans="1:32" ht="15.75" customHeight="1">
      <c r="E207" s="2"/>
      <c r="P207" s="2"/>
      <c r="AF207" s="23"/>
    </row>
    <row r="208" spans="1: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48" priority="1" operator="lessThan">
      <formula>100</formula>
    </cfRule>
  </conditionalFormatting>
  <conditionalFormatting sqref="Q1:Q3 Q57:Q1000">
    <cfRule type="cellIs" dxfId="47" priority="2" operator="lessThan">
      <formula>100</formula>
    </cfRule>
  </conditionalFormatting>
  <conditionalFormatting sqref="I1:I3 I57:I1000">
    <cfRule type="cellIs" dxfId="46" priority="3" operator="lessThan">
      <formula>0.05</formula>
    </cfRule>
  </conditionalFormatting>
  <conditionalFormatting sqref="I4:I17">
    <cfRule type="cellIs" dxfId="45" priority="4" operator="lessThan">
      <formula>0.05</formula>
    </cfRule>
  </conditionalFormatting>
  <conditionalFormatting sqref="I18:I56">
    <cfRule type="cellIs" dxfId="44" priority="5" operator="lessThan">
      <formula>0.05</formula>
    </cfRule>
  </conditionalFormatting>
  <conditionalFormatting sqref="Q4:Q56">
    <cfRule type="cellIs" dxfId="43" priority="6" operator="lessThan">
      <formula>100</formula>
    </cfRule>
  </conditionalFormatting>
  <conditionalFormatting sqref="Q4:Q56">
    <cfRule type="cellIs" dxfId="42" priority="7" operator="lessThan">
      <formula>100</formula>
    </cfRule>
  </conditionalFormatting>
  <pageMargins left="0.7" right="0.7" top="0.75" bottom="0.75" header="0" footer="0"/>
  <pageSetup orientation="portrait"/>
  <legacy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23.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Info!B1:BJ5000""),4,FALSE),"""")"),"15lb Weighted Blanket for Kids &amp; Adults - 48x72 Twin Size 15 Pound 100% Cotton Heavy Blanket with Fleece Duvet Cover &amp; Glass Beads")</f>
        <v>15lb Weighted Blanket for Kids &amp; Adults - 48x72 Twin Size 15 Pound 100% Cotton Heavy Blanket with Fleece Duvet Cover &amp; Glass Beads</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Info!B1:BJ5000""),3,FALSE),"""")"),"B07T6BK5CG")</f>
        <v>B07T6BK5CG</v>
      </c>
      <c r="B2" s="4" t="s">
        <v>1236</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45.916813501809877</v>
      </c>
      <c r="D3" s="8">
        <f>SUM(D4:D99819)</f>
        <v>32</v>
      </c>
      <c r="E3" s="8"/>
      <c r="F3" s="9">
        <f t="shared" ref="F3:G3" si="0">SUM(F4:F99819)</f>
        <v>1970.68</v>
      </c>
      <c r="G3" s="9">
        <f t="shared" si="0"/>
        <v>0</v>
      </c>
      <c r="H3" s="10">
        <f t="shared" ref="H3:H39" si="1">G3/F3*-1</f>
        <v>0</v>
      </c>
      <c r="I3" s="11">
        <f t="shared" ref="I3:I39" si="2">J3/F3</f>
        <v>-3.1270187086046834E-2</v>
      </c>
      <c r="J3" s="9">
        <f>SUM(J4:J99819)</f>
        <v>-61.623532286730772</v>
      </c>
      <c r="K3" s="9">
        <f t="shared" ref="K3:K39" si="3">J3/D3</f>
        <v>-1.9257353839603366</v>
      </c>
      <c r="L3" s="8"/>
      <c r="M3" s="12"/>
      <c r="N3" s="13"/>
      <c r="O3" s="8" t="str">
        <f ca="1">IFERROR(__xludf.DUMMYFUNCTION("IFERROR(VLOOKUP(B2,IMPORTRANGE(""https://docs.google.com/spreadsheets/d/1owCo6kL_VFQ5nPTdNogErmCBLjNiktT1m3SzTrxu3R0/edit#gid=2146806407"",""Second Star - Compiled!b1:g5000""),2,FALSE),"""")"),"")</f>
        <v/>
      </c>
      <c r="P3" s="8"/>
      <c r="Q3" s="14"/>
      <c r="R3" s="13"/>
      <c r="S3" s="13"/>
      <c r="T3" s="13"/>
      <c r="U3" s="8">
        <f>SUM(U4:U99819)</f>
        <v>0</v>
      </c>
      <c r="V3" s="10">
        <f>AVERAGE(V4:V99819)</f>
        <v>0</v>
      </c>
      <c r="W3" s="9">
        <f>ROUND(AVERAGE(W4:W99819),2)</f>
        <v>0</v>
      </c>
      <c r="X3" s="8"/>
      <c r="Y3" s="8"/>
      <c r="Z3" s="8"/>
      <c r="AA3" s="8"/>
      <c r="AB3" s="8"/>
      <c r="AC3" s="15"/>
      <c r="AD3" s="9"/>
      <c r="AE3" s="9">
        <f>SUM(AE4:AE99819)</f>
        <v>0</v>
      </c>
      <c r="AF3" s="16"/>
    </row>
    <row r="4" spans="1:32" s="57" customFormat="1">
      <c r="A4" s="17" t="s">
        <v>48</v>
      </c>
      <c r="B4" s="17"/>
      <c r="C4" s="50">
        <v>57.99</v>
      </c>
      <c r="D4" s="51">
        <v>1</v>
      </c>
      <c r="E4" s="51">
        <v>0</v>
      </c>
      <c r="F4" s="51">
        <v>57.99</v>
      </c>
      <c r="G4" s="51">
        <v>0</v>
      </c>
      <c r="H4" s="51">
        <f t="shared" si="1"/>
        <v>0</v>
      </c>
      <c r="I4" s="51">
        <f t="shared" si="2"/>
        <v>-6.376601959886985E-2</v>
      </c>
      <c r="J4" s="51">
        <f t="shared" ref="J4:J38" si="4">F4*0.85+G4+AD4*D4+D4*AC4+AE4+AB4</f>
        <v>-3.6977914765384625</v>
      </c>
      <c r="K4" s="51">
        <f t="shared" si="3"/>
        <v>-3.6977914765384625</v>
      </c>
      <c r="L4" s="51">
        <v>0</v>
      </c>
      <c r="M4" s="51" t="str">
        <f t="shared" ref="M4:M39" si="5">IFERROR(D4/L4,"-")</f>
        <v>-</v>
      </c>
      <c r="N4" s="51">
        <v>0</v>
      </c>
      <c r="O4" s="51">
        <f t="shared" ref="O4:P4" si="6">D4/7</f>
        <v>0.14285714285714285</v>
      </c>
      <c r="P4" s="51">
        <f t="shared" si="6"/>
        <v>0</v>
      </c>
      <c r="Q4" s="51">
        <f t="shared" ref="Q4:Q39" si="7">ROUNDDOWN(N4/(O4+P4),0)</f>
        <v>0</v>
      </c>
      <c r="R4" s="52">
        <v>0</v>
      </c>
      <c r="S4" s="53" t="s">
        <v>34</v>
      </c>
      <c r="T4" s="54" t="s">
        <v>34</v>
      </c>
      <c r="U4" s="52">
        <v>0</v>
      </c>
      <c r="V4" s="55">
        <f t="shared" ref="V4:V39" si="8">IFERROR(U4/D4,0)</f>
        <v>0</v>
      </c>
      <c r="W4" s="55">
        <f t="shared" ref="W4:W39" si="9">IFERROR(G4/(U4+X4)*-1,0)</f>
        <v>0</v>
      </c>
      <c r="X4" s="52">
        <v>0</v>
      </c>
      <c r="Y4" s="56" t="s">
        <v>35</v>
      </c>
      <c r="Z4" s="56">
        <f t="shared" ref="Z4:Z10" si="10">IF(OR(Y4="UsLargeStandardSize",Y4="UsSmallStandardSize"),-0.69,-0.48)</f>
        <v>-0.69</v>
      </c>
      <c r="AA4" s="55">
        <v>1.0789748958333332</v>
      </c>
      <c r="AB4" s="55">
        <f t="shared" ref="AB4:AB17" si="11">IFERROR((Z4*AA4*N4)/4,0)</f>
        <v>0</v>
      </c>
      <c r="AC4" s="55">
        <v>-13.96</v>
      </c>
      <c r="AD4" s="55">
        <v>-39.029291476538461</v>
      </c>
      <c r="AE4" s="55">
        <v>0</v>
      </c>
      <c r="AF4" s="55"/>
    </row>
    <row r="5" spans="1:32" s="57" customFormat="1" ht="15.75" customHeight="1">
      <c r="A5" s="2" t="s">
        <v>49</v>
      </c>
      <c r="B5" s="2" t="s">
        <v>1237</v>
      </c>
      <c r="C5" s="51" t="s">
        <v>397</v>
      </c>
      <c r="D5" s="51">
        <v>0</v>
      </c>
      <c r="E5" s="51">
        <v>0</v>
      </c>
      <c r="F5" s="51">
        <v>0</v>
      </c>
      <c r="G5" s="51">
        <v>0</v>
      </c>
      <c r="H5" s="51" t="e">
        <f t="shared" si="1"/>
        <v>#DIV/0!</v>
      </c>
      <c r="I5" s="51" t="e">
        <f t="shared" si="2"/>
        <v>#DIV/0!</v>
      </c>
      <c r="J5" s="51">
        <f t="shared" si="4"/>
        <v>0</v>
      </c>
      <c r="K5" s="51" t="e">
        <f t="shared" si="3"/>
        <v>#DIV/0!</v>
      </c>
      <c r="L5" s="51">
        <v>0</v>
      </c>
      <c r="M5" s="51" t="str">
        <f t="shared" si="5"/>
        <v>-</v>
      </c>
      <c r="N5" s="51">
        <v>0</v>
      </c>
      <c r="O5" s="51">
        <f t="shared" ref="O5:P5" si="12">D5/7</f>
        <v>0</v>
      </c>
      <c r="P5" s="51">
        <f t="shared" si="12"/>
        <v>0</v>
      </c>
      <c r="Q5" s="51" t="e">
        <f t="shared" si="7"/>
        <v>#DIV/0!</v>
      </c>
      <c r="R5" s="55">
        <v>0</v>
      </c>
      <c r="S5" s="53" t="s">
        <v>34</v>
      </c>
      <c r="T5" s="54" t="s">
        <v>34</v>
      </c>
      <c r="U5" s="55">
        <v>0</v>
      </c>
      <c r="V5" s="55">
        <f t="shared" si="8"/>
        <v>0</v>
      </c>
      <c r="W5" s="55">
        <f t="shared" si="9"/>
        <v>0</v>
      </c>
      <c r="X5" s="55">
        <v>0</v>
      </c>
      <c r="Y5" s="55" t="e">
        <v>#N/A</v>
      </c>
      <c r="Z5" s="56" t="e">
        <f t="shared" si="10"/>
        <v>#N/A</v>
      </c>
      <c r="AA5" s="55" t="e">
        <v>#N/A</v>
      </c>
      <c r="AB5" s="55">
        <f t="shared" si="11"/>
        <v>0</v>
      </c>
      <c r="AC5" s="55">
        <v>0</v>
      </c>
      <c r="AD5" s="55">
        <v>-39.029291476538461</v>
      </c>
      <c r="AE5" s="55">
        <v>0</v>
      </c>
      <c r="AF5" s="55"/>
    </row>
    <row r="6" spans="1:32" s="57" customFormat="1" ht="15.75" customHeight="1">
      <c r="A6" s="2" t="s">
        <v>51</v>
      </c>
      <c r="B6" s="2" t="s">
        <v>1238</v>
      </c>
      <c r="C6" s="51">
        <v>62.99</v>
      </c>
      <c r="D6" s="51">
        <v>0</v>
      </c>
      <c r="E6" s="51">
        <v>0</v>
      </c>
      <c r="F6" s="51">
        <v>0</v>
      </c>
      <c r="G6" s="51">
        <v>0</v>
      </c>
      <c r="H6" s="51" t="e">
        <f t="shared" si="1"/>
        <v>#DIV/0!</v>
      </c>
      <c r="I6" s="51" t="e">
        <f t="shared" si="2"/>
        <v>#DIV/0!</v>
      </c>
      <c r="J6" s="51">
        <f t="shared" si="4"/>
        <v>-3.6253556499999995</v>
      </c>
      <c r="K6" s="51" t="e">
        <f t="shared" si="3"/>
        <v>#DIV/0!</v>
      </c>
      <c r="L6" s="51">
        <v>0</v>
      </c>
      <c r="M6" s="51" t="str">
        <f t="shared" si="5"/>
        <v>-</v>
      </c>
      <c r="N6" s="51">
        <v>28</v>
      </c>
      <c r="O6" s="51">
        <f t="shared" ref="O6:P6" si="13">D6/7</f>
        <v>0</v>
      </c>
      <c r="P6" s="51">
        <f t="shared" si="13"/>
        <v>0</v>
      </c>
      <c r="Q6" s="51" t="e">
        <f t="shared" si="7"/>
        <v>#DIV/0!</v>
      </c>
      <c r="R6" s="55">
        <v>0</v>
      </c>
      <c r="S6" s="53" t="s">
        <v>34</v>
      </c>
      <c r="T6" s="54" t="s">
        <v>34</v>
      </c>
      <c r="U6" s="55">
        <v>0</v>
      </c>
      <c r="V6" s="55">
        <f t="shared" si="8"/>
        <v>0</v>
      </c>
      <c r="W6" s="55">
        <f t="shared" si="9"/>
        <v>0</v>
      </c>
      <c r="X6" s="55">
        <v>0</v>
      </c>
      <c r="Y6" s="55" t="s">
        <v>760</v>
      </c>
      <c r="Z6" s="56">
        <f t="shared" si="10"/>
        <v>-0.48</v>
      </c>
      <c r="AA6" s="55">
        <v>1.0789748958333332</v>
      </c>
      <c r="AB6" s="55">
        <f t="shared" si="11"/>
        <v>-3.6253556499999995</v>
      </c>
      <c r="AC6" s="55">
        <v>-13.96</v>
      </c>
      <c r="AD6" s="55">
        <v>-39.029291476538461</v>
      </c>
      <c r="AE6" s="55">
        <v>0</v>
      </c>
      <c r="AF6" s="55"/>
    </row>
    <row r="7" spans="1:32" s="57" customFormat="1" ht="15.75" customHeight="1">
      <c r="A7" s="2" t="s">
        <v>53</v>
      </c>
      <c r="B7" s="2"/>
      <c r="C7" s="51">
        <v>62.99</v>
      </c>
      <c r="D7" s="51">
        <v>4</v>
      </c>
      <c r="E7" s="51">
        <v>0</v>
      </c>
      <c r="F7" s="51">
        <v>251.96</v>
      </c>
      <c r="G7" s="51">
        <v>0</v>
      </c>
      <c r="H7" s="51">
        <f t="shared" si="1"/>
        <v>0</v>
      </c>
      <c r="I7" s="51">
        <f t="shared" si="2"/>
        <v>-4.5942513936888764E-3</v>
      </c>
      <c r="J7" s="51">
        <f t="shared" si="4"/>
        <v>-1.1575675811538493</v>
      </c>
      <c r="K7" s="51">
        <f t="shared" si="3"/>
        <v>-0.28939189528846232</v>
      </c>
      <c r="L7" s="51">
        <v>39</v>
      </c>
      <c r="M7" s="51">
        <f t="shared" si="5"/>
        <v>0.10256410256410256</v>
      </c>
      <c r="N7" s="51">
        <v>26</v>
      </c>
      <c r="O7" s="51">
        <f t="shared" ref="O7:P7" si="14">D7/7</f>
        <v>0.5714285714285714</v>
      </c>
      <c r="P7" s="51">
        <f t="shared" si="14"/>
        <v>0</v>
      </c>
      <c r="Q7" s="51">
        <f t="shared" si="7"/>
        <v>45</v>
      </c>
      <c r="R7" s="55">
        <v>0</v>
      </c>
      <c r="S7" s="53" t="s">
        <v>34</v>
      </c>
      <c r="T7" s="54" t="s">
        <v>34</v>
      </c>
      <c r="U7" s="55">
        <v>0</v>
      </c>
      <c r="V7" s="55">
        <f t="shared" si="8"/>
        <v>0</v>
      </c>
      <c r="W7" s="55">
        <f t="shared" si="9"/>
        <v>0</v>
      </c>
      <c r="X7" s="55">
        <v>0</v>
      </c>
      <c r="Y7" s="55" t="s">
        <v>760</v>
      </c>
      <c r="Z7" s="56">
        <f t="shared" si="10"/>
        <v>-0.48</v>
      </c>
      <c r="AA7" s="55">
        <v>1.0789748958333332</v>
      </c>
      <c r="AB7" s="55">
        <f t="shared" si="11"/>
        <v>-3.3664016749999992</v>
      </c>
      <c r="AC7" s="55">
        <v>-13.96</v>
      </c>
      <c r="AD7" s="55">
        <v>-39.029291476538461</v>
      </c>
      <c r="AE7" s="55">
        <v>0</v>
      </c>
      <c r="AF7" s="55"/>
    </row>
    <row r="8" spans="1:32" s="57" customFormat="1" ht="15.75" customHeight="1">
      <c r="A8" s="2" t="s">
        <v>54</v>
      </c>
      <c r="B8" s="2" t="s">
        <v>1239</v>
      </c>
      <c r="C8" s="51">
        <v>62.99</v>
      </c>
      <c r="D8" s="51">
        <v>3</v>
      </c>
      <c r="E8" s="51">
        <v>0</v>
      </c>
      <c r="F8" s="51">
        <v>188.97</v>
      </c>
      <c r="G8" s="51">
        <v>0</v>
      </c>
      <c r="H8" s="51">
        <f t="shared" si="1"/>
        <v>0</v>
      </c>
      <c r="I8" s="51">
        <f t="shared" si="2"/>
        <v>-4.9368374853966295E-3</v>
      </c>
      <c r="J8" s="51">
        <f t="shared" si="4"/>
        <v>-0.93291417961540102</v>
      </c>
      <c r="K8" s="51">
        <f t="shared" si="3"/>
        <v>-0.31097139320513367</v>
      </c>
      <c r="L8" s="51">
        <v>30</v>
      </c>
      <c r="M8" s="51">
        <f t="shared" si="5"/>
        <v>0.1</v>
      </c>
      <c r="N8" s="51">
        <v>20</v>
      </c>
      <c r="O8" s="51">
        <f t="shared" ref="O8:P8" si="15">D8/7</f>
        <v>0.42857142857142855</v>
      </c>
      <c r="P8" s="51">
        <f t="shared" si="15"/>
        <v>0</v>
      </c>
      <c r="Q8" s="51">
        <f t="shared" si="7"/>
        <v>46</v>
      </c>
      <c r="R8" s="55">
        <v>0</v>
      </c>
      <c r="S8" s="53" t="s">
        <v>34</v>
      </c>
      <c r="T8" s="54" t="s">
        <v>34</v>
      </c>
      <c r="U8" s="55">
        <v>0</v>
      </c>
      <c r="V8" s="55">
        <f t="shared" si="8"/>
        <v>0</v>
      </c>
      <c r="W8" s="55">
        <f t="shared" si="9"/>
        <v>0</v>
      </c>
      <c r="X8" s="55">
        <v>0</v>
      </c>
      <c r="Y8" s="55" t="s">
        <v>760</v>
      </c>
      <c r="Z8" s="56">
        <f t="shared" si="10"/>
        <v>-0.48</v>
      </c>
      <c r="AA8" s="55">
        <v>1.0789748958333332</v>
      </c>
      <c r="AB8" s="55">
        <f t="shared" si="11"/>
        <v>-2.5895397499999993</v>
      </c>
      <c r="AC8" s="55">
        <v>-13.96</v>
      </c>
      <c r="AD8" s="55">
        <v>-39.029291476538461</v>
      </c>
      <c r="AE8" s="55">
        <v>0</v>
      </c>
      <c r="AF8" s="55"/>
    </row>
    <row r="9" spans="1:32" s="57" customFormat="1" ht="15.75" customHeight="1">
      <c r="A9" s="2" t="s">
        <v>56</v>
      </c>
      <c r="B9" s="2" t="s">
        <v>45</v>
      </c>
      <c r="C9" s="51">
        <v>64.989999999999995</v>
      </c>
      <c r="D9" s="51">
        <v>4</v>
      </c>
      <c r="E9" s="51">
        <v>0</v>
      </c>
      <c r="F9" s="51">
        <v>253.96</v>
      </c>
      <c r="G9" s="51">
        <v>0</v>
      </c>
      <c r="H9" s="51">
        <f t="shared" si="1"/>
        <v>0</v>
      </c>
      <c r="I9" s="51">
        <f t="shared" si="2"/>
        <v>5.7047225206574561E-3</v>
      </c>
      <c r="J9" s="51">
        <f t="shared" si="4"/>
        <v>1.4487713313461676</v>
      </c>
      <c r="K9" s="51">
        <f t="shared" si="3"/>
        <v>0.36219283283654191</v>
      </c>
      <c r="L9" s="51">
        <v>32</v>
      </c>
      <c r="M9" s="51">
        <f t="shared" si="5"/>
        <v>0.125</v>
      </c>
      <c r="N9" s="51">
        <v>19</v>
      </c>
      <c r="O9" s="51">
        <f t="shared" ref="O9:P9" si="16">D9/7</f>
        <v>0.5714285714285714</v>
      </c>
      <c r="P9" s="51">
        <f t="shared" si="16"/>
        <v>0</v>
      </c>
      <c r="Q9" s="51">
        <f t="shared" si="7"/>
        <v>33</v>
      </c>
      <c r="R9" s="55">
        <v>0</v>
      </c>
      <c r="S9" s="53" t="s">
        <v>34</v>
      </c>
      <c r="T9" s="54" t="s">
        <v>34</v>
      </c>
      <c r="U9" s="55">
        <v>0</v>
      </c>
      <c r="V9" s="55">
        <f t="shared" si="8"/>
        <v>0</v>
      </c>
      <c r="W9" s="55">
        <f t="shared" si="9"/>
        <v>0</v>
      </c>
      <c r="X9" s="55">
        <v>0</v>
      </c>
      <c r="Y9" s="55" t="s">
        <v>760</v>
      </c>
      <c r="Z9" s="56">
        <f t="shared" si="10"/>
        <v>-0.48</v>
      </c>
      <c r="AA9" s="55">
        <v>1.0789748958333332</v>
      </c>
      <c r="AB9" s="55">
        <f t="shared" si="11"/>
        <v>-2.4600627624999993</v>
      </c>
      <c r="AC9" s="55">
        <v>-13.96</v>
      </c>
      <c r="AD9" s="55">
        <v>-39.029291476538461</v>
      </c>
      <c r="AE9" s="55">
        <v>0</v>
      </c>
      <c r="AF9" s="55"/>
    </row>
    <row r="10" spans="1:32" s="57" customFormat="1" ht="15.75" customHeight="1">
      <c r="A10" s="2" t="s">
        <v>58</v>
      </c>
      <c r="B10" s="2" t="s">
        <v>45</v>
      </c>
      <c r="C10" s="51">
        <v>64.989999999999995</v>
      </c>
      <c r="D10" s="51">
        <v>2</v>
      </c>
      <c r="E10" s="51">
        <v>0</v>
      </c>
      <c r="F10" s="51">
        <v>129.97999999999999</v>
      </c>
      <c r="G10" s="51">
        <v>0</v>
      </c>
      <c r="H10" s="51">
        <f t="shared" si="1"/>
        <v>0</v>
      </c>
      <c r="I10" s="51">
        <f t="shared" si="2"/>
        <v>1.7720482069726626E-2</v>
      </c>
      <c r="J10" s="51">
        <f t="shared" si="4"/>
        <v>2.3033082594230669</v>
      </c>
      <c r="K10" s="51">
        <f t="shared" si="3"/>
        <v>1.1516541297115335</v>
      </c>
      <c r="L10" s="51">
        <v>37</v>
      </c>
      <c r="M10" s="51">
        <f t="shared" si="5"/>
        <v>5.4054054054054057E-2</v>
      </c>
      <c r="N10" s="51">
        <v>17</v>
      </c>
      <c r="O10" s="51">
        <f t="shared" ref="O10:P10" si="17">D10/7</f>
        <v>0.2857142857142857</v>
      </c>
      <c r="P10" s="51">
        <f t="shared" si="17"/>
        <v>0</v>
      </c>
      <c r="Q10" s="51">
        <f t="shared" si="7"/>
        <v>59</v>
      </c>
      <c r="R10" s="55">
        <v>0</v>
      </c>
      <c r="S10" s="53" t="s">
        <v>34</v>
      </c>
      <c r="T10" s="54" t="s">
        <v>34</v>
      </c>
      <c r="U10" s="55">
        <v>0</v>
      </c>
      <c r="V10" s="55">
        <f t="shared" si="8"/>
        <v>0</v>
      </c>
      <c r="W10" s="55">
        <f t="shared" si="9"/>
        <v>0</v>
      </c>
      <c r="X10" s="55">
        <v>0</v>
      </c>
      <c r="Y10" s="55" t="s">
        <v>760</v>
      </c>
      <c r="Z10" s="56">
        <f t="shared" si="10"/>
        <v>-0.48</v>
      </c>
      <c r="AA10" s="55">
        <v>1.0789748958333332</v>
      </c>
      <c r="AB10" s="55">
        <f t="shared" si="11"/>
        <v>-2.2011087874999995</v>
      </c>
      <c r="AC10" s="55">
        <v>-13.96</v>
      </c>
      <c r="AD10" s="55">
        <v>-39.029291476538461</v>
      </c>
      <c r="AE10" s="55">
        <v>0</v>
      </c>
      <c r="AF10" s="55"/>
    </row>
    <row r="11" spans="1:32" s="57" customFormat="1" ht="15.75" customHeight="1">
      <c r="A11" s="2" t="s">
        <v>60</v>
      </c>
      <c r="B11" s="2" t="s">
        <v>1240</v>
      </c>
      <c r="C11" s="51">
        <v>64.989999999999995</v>
      </c>
      <c r="D11" s="51">
        <v>1</v>
      </c>
      <c r="E11" s="51">
        <v>0</v>
      </c>
      <c r="F11" s="51">
        <v>64.989999999999995</v>
      </c>
      <c r="G11" s="51">
        <v>0</v>
      </c>
      <c r="H11" s="51">
        <f t="shared" si="1"/>
        <v>0</v>
      </c>
      <c r="I11" s="51">
        <f t="shared" si="2"/>
        <v>2.7785309041626965E-3</v>
      </c>
      <c r="J11" s="51">
        <f t="shared" si="4"/>
        <v>0.18057672346153364</v>
      </c>
      <c r="K11" s="51">
        <f t="shared" si="3"/>
        <v>0.18057672346153364</v>
      </c>
      <c r="L11" s="51">
        <v>16</v>
      </c>
      <c r="M11" s="51">
        <f t="shared" si="5"/>
        <v>6.25E-2</v>
      </c>
      <c r="N11" s="51">
        <v>16</v>
      </c>
      <c r="O11" s="51">
        <f t="shared" ref="O11:P11" si="18">D11/7</f>
        <v>0.14285714285714285</v>
      </c>
      <c r="P11" s="51">
        <f t="shared" si="18"/>
        <v>0</v>
      </c>
      <c r="Q11" s="51">
        <f t="shared" si="7"/>
        <v>112</v>
      </c>
      <c r="R11" s="55">
        <v>0</v>
      </c>
      <c r="S11" s="53" t="s">
        <v>34</v>
      </c>
      <c r="T11" s="54" t="s">
        <v>34</v>
      </c>
      <c r="U11" s="55">
        <v>0</v>
      </c>
      <c r="V11" s="55">
        <f t="shared" si="8"/>
        <v>0</v>
      </c>
      <c r="W11" s="55">
        <f t="shared" si="9"/>
        <v>0</v>
      </c>
      <c r="X11" s="55">
        <v>0</v>
      </c>
      <c r="Y11" s="55" t="s">
        <v>760</v>
      </c>
      <c r="Z11" s="56">
        <f t="shared" ref="Z11:Z39" si="19">IF(OR(Y11="UsLargeStandardSize",Y11="UsSmallStandardSize"),-0.75,-0.48)</f>
        <v>-0.48</v>
      </c>
      <c r="AA11" s="55">
        <v>1.0789748958333332</v>
      </c>
      <c r="AB11" s="55">
        <f t="shared" si="11"/>
        <v>-2.0716317999999996</v>
      </c>
      <c r="AC11" s="55">
        <v>-13.96</v>
      </c>
      <c r="AD11" s="55">
        <v>-39.029291476538461</v>
      </c>
      <c r="AE11" s="55">
        <v>0</v>
      </c>
      <c r="AF11" s="55"/>
    </row>
    <row r="12" spans="1:32" s="57" customFormat="1" ht="15.75" customHeight="1">
      <c r="A12" s="2" t="s">
        <v>62</v>
      </c>
      <c r="B12" s="2"/>
      <c r="C12" s="51">
        <v>62.99</v>
      </c>
      <c r="D12" s="51">
        <v>0</v>
      </c>
      <c r="E12" s="51">
        <v>0</v>
      </c>
      <c r="F12" s="51">
        <v>0</v>
      </c>
      <c r="G12" s="51">
        <v>0</v>
      </c>
      <c r="H12" s="51" t="e">
        <f t="shared" si="1"/>
        <v>#DIV/0!</v>
      </c>
      <c r="I12" s="51" t="e">
        <f t="shared" si="2"/>
        <v>#DIV/0!</v>
      </c>
      <c r="J12" s="51">
        <f t="shared" si="4"/>
        <v>-1.9421548124999997</v>
      </c>
      <c r="K12" s="51" t="e">
        <f t="shared" si="3"/>
        <v>#DIV/0!</v>
      </c>
      <c r="L12" s="51">
        <v>0</v>
      </c>
      <c r="M12" s="51" t="str">
        <f t="shared" si="5"/>
        <v>-</v>
      </c>
      <c r="N12" s="51">
        <v>15</v>
      </c>
      <c r="O12" s="51">
        <f t="shared" ref="O12:P12" si="20">D12/7</f>
        <v>0</v>
      </c>
      <c r="P12" s="51">
        <f t="shared" si="20"/>
        <v>0</v>
      </c>
      <c r="Q12" s="51" t="e">
        <f t="shared" si="7"/>
        <v>#DIV/0!</v>
      </c>
      <c r="R12" s="55">
        <v>0</v>
      </c>
      <c r="S12" s="53" t="s">
        <v>34</v>
      </c>
      <c r="T12" s="54" t="s">
        <v>34</v>
      </c>
      <c r="U12" s="55">
        <v>0</v>
      </c>
      <c r="V12" s="55">
        <f t="shared" si="8"/>
        <v>0</v>
      </c>
      <c r="W12" s="55">
        <f t="shared" si="9"/>
        <v>0</v>
      </c>
      <c r="X12" s="55">
        <v>0</v>
      </c>
      <c r="Y12" s="55" t="s">
        <v>760</v>
      </c>
      <c r="Z12" s="56">
        <f t="shared" si="19"/>
        <v>-0.48</v>
      </c>
      <c r="AA12" s="55">
        <v>1.0789748958333332</v>
      </c>
      <c r="AB12" s="55">
        <f t="shared" si="11"/>
        <v>-1.9421548124999997</v>
      </c>
      <c r="AC12" s="55">
        <v>-13.96</v>
      </c>
      <c r="AD12" s="55">
        <v>-39.029291476538461</v>
      </c>
      <c r="AE12" s="55">
        <v>0</v>
      </c>
      <c r="AF12" s="55"/>
    </row>
    <row r="13" spans="1:32" s="57" customFormat="1" ht="15.75" customHeight="1">
      <c r="A13" s="2" t="s">
        <v>63</v>
      </c>
      <c r="B13" s="2" t="s">
        <v>174</v>
      </c>
      <c r="C13" s="51">
        <v>59.99</v>
      </c>
      <c r="D13" s="51">
        <v>2</v>
      </c>
      <c r="E13" s="51">
        <v>0</v>
      </c>
      <c r="F13" s="51">
        <v>122.98</v>
      </c>
      <c r="G13" s="51">
        <v>0</v>
      </c>
      <c r="H13" s="51">
        <f t="shared" si="1"/>
        <v>0</v>
      </c>
      <c r="I13" s="51">
        <f t="shared" si="2"/>
        <v>-2.6494233030386418E-2</v>
      </c>
      <c r="J13" s="51">
        <f t="shared" si="4"/>
        <v>-3.2582607780769219</v>
      </c>
      <c r="K13" s="51">
        <f t="shared" si="3"/>
        <v>-1.629130389038461</v>
      </c>
      <c r="L13" s="51">
        <v>11</v>
      </c>
      <c r="M13" s="51">
        <f t="shared" si="5"/>
        <v>0.18181818181818182</v>
      </c>
      <c r="N13" s="51">
        <v>14</v>
      </c>
      <c r="O13" s="51">
        <f t="shared" ref="O13:P13" si="21">D13/7</f>
        <v>0.2857142857142857</v>
      </c>
      <c r="P13" s="51">
        <f t="shared" si="21"/>
        <v>0</v>
      </c>
      <c r="Q13" s="51">
        <f t="shared" si="7"/>
        <v>49</v>
      </c>
      <c r="R13" s="55">
        <v>0</v>
      </c>
      <c r="S13" s="53" t="s">
        <v>34</v>
      </c>
      <c r="T13" s="54" t="s">
        <v>34</v>
      </c>
      <c r="U13" s="55">
        <v>0</v>
      </c>
      <c r="V13" s="55">
        <f t="shared" si="8"/>
        <v>0</v>
      </c>
      <c r="W13" s="55">
        <f t="shared" si="9"/>
        <v>0</v>
      </c>
      <c r="X13" s="55">
        <v>0</v>
      </c>
      <c r="Y13" s="55" t="s">
        <v>760</v>
      </c>
      <c r="Z13" s="56">
        <f t="shared" si="19"/>
        <v>-0.48</v>
      </c>
      <c r="AA13" s="55">
        <v>1.0789748958333332</v>
      </c>
      <c r="AB13" s="55">
        <f t="shared" si="11"/>
        <v>-1.8126778249999997</v>
      </c>
      <c r="AC13" s="55">
        <v>-13.96</v>
      </c>
      <c r="AD13" s="55">
        <v>-39.029291476538461</v>
      </c>
      <c r="AE13" s="55">
        <v>0</v>
      </c>
      <c r="AF13" s="55"/>
    </row>
    <row r="14" spans="1:32" s="57" customFormat="1" ht="15.75" customHeight="1">
      <c r="A14" s="2" t="s">
        <v>64</v>
      </c>
      <c r="B14" s="2"/>
      <c r="C14" s="51">
        <v>59.99</v>
      </c>
      <c r="D14" s="51">
        <v>2</v>
      </c>
      <c r="E14" s="51">
        <v>0</v>
      </c>
      <c r="F14" s="51">
        <v>119.98</v>
      </c>
      <c r="G14" s="51">
        <v>0</v>
      </c>
      <c r="H14" s="51">
        <f t="shared" si="1"/>
        <v>0</v>
      </c>
      <c r="I14" s="51">
        <f t="shared" si="2"/>
        <v>-4.5172777259350878E-2</v>
      </c>
      <c r="J14" s="51">
        <f t="shared" si="4"/>
        <v>-5.4198298155769189</v>
      </c>
      <c r="K14" s="51">
        <f t="shared" si="3"/>
        <v>-2.7099149077884594</v>
      </c>
      <c r="L14" s="51">
        <v>9</v>
      </c>
      <c r="M14" s="51">
        <f t="shared" si="5"/>
        <v>0.22222222222222221</v>
      </c>
      <c r="N14" s="51">
        <v>11</v>
      </c>
      <c r="O14" s="51">
        <f t="shared" ref="O14:P14" si="22">D14/7</f>
        <v>0.2857142857142857</v>
      </c>
      <c r="P14" s="51">
        <f t="shared" si="22"/>
        <v>0</v>
      </c>
      <c r="Q14" s="51">
        <f t="shared" si="7"/>
        <v>38</v>
      </c>
      <c r="R14" s="55">
        <v>0</v>
      </c>
      <c r="S14" s="53" t="s">
        <v>34</v>
      </c>
      <c r="T14" s="54" t="s">
        <v>34</v>
      </c>
      <c r="U14" s="55">
        <v>0</v>
      </c>
      <c r="V14" s="55">
        <f t="shared" si="8"/>
        <v>0</v>
      </c>
      <c r="W14" s="55">
        <f t="shared" si="9"/>
        <v>0</v>
      </c>
      <c r="X14" s="55">
        <v>0</v>
      </c>
      <c r="Y14" s="55" t="s">
        <v>760</v>
      </c>
      <c r="Z14" s="56">
        <f t="shared" si="19"/>
        <v>-0.48</v>
      </c>
      <c r="AA14" s="55">
        <v>1.0789748958333332</v>
      </c>
      <c r="AB14" s="55">
        <f t="shared" si="11"/>
        <v>-1.4242468624999998</v>
      </c>
      <c r="AC14" s="55">
        <v>-13.96</v>
      </c>
      <c r="AD14" s="55">
        <v>-39.029291476538461</v>
      </c>
      <c r="AE14" s="55">
        <v>0</v>
      </c>
      <c r="AF14" s="55"/>
    </row>
    <row r="15" spans="1:32" s="57" customFormat="1" ht="15.75" customHeight="1">
      <c r="A15" s="2" t="s">
        <v>65</v>
      </c>
      <c r="B15" s="2" t="s">
        <v>1241</v>
      </c>
      <c r="C15" s="51">
        <v>59.99</v>
      </c>
      <c r="D15" s="51">
        <v>1</v>
      </c>
      <c r="E15" s="51">
        <v>0</v>
      </c>
      <c r="F15" s="51">
        <v>59.99</v>
      </c>
      <c r="G15" s="51">
        <v>0</v>
      </c>
      <c r="H15" s="51">
        <f t="shared" si="1"/>
        <v>0</v>
      </c>
      <c r="I15" s="51">
        <f t="shared" si="2"/>
        <v>-5.7043479563901635E-2</v>
      </c>
      <c r="J15" s="51">
        <f t="shared" si="4"/>
        <v>-3.4220383390384592</v>
      </c>
      <c r="K15" s="51">
        <f t="shared" si="3"/>
        <v>-3.4220383390384592</v>
      </c>
      <c r="L15" s="51">
        <v>20</v>
      </c>
      <c r="M15" s="51">
        <f t="shared" si="5"/>
        <v>0.05</v>
      </c>
      <c r="N15" s="51">
        <v>11</v>
      </c>
      <c r="O15" s="51">
        <f t="shared" ref="O15:P15" si="23">D15/7</f>
        <v>0.14285714285714285</v>
      </c>
      <c r="P15" s="51">
        <f t="shared" si="23"/>
        <v>0</v>
      </c>
      <c r="Q15" s="51">
        <f t="shared" si="7"/>
        <v>77</v>
      </c>
      <c r="R15" s="55">
        <v>0</v>
      </c>
      <c r="S15" s="53" t="s">
        <v>34</v>
      </c>
      <c r="T15" s="54" t="s">
        <v>34</v>
      </c>
      <c r="U15" s="55">
        <v>0</v>
      </c>
      <c r="V15" s="55">
        <f t="shared" si="8"/>
        <v>0</v>
      </c>
      <c r="W15" s="55">
        <f t="shared" si="9"/>
        <v>0</v>
      </c>
      <c r="X15" s="55">
        <v>0</v>
      </c>
      <c r="Y15" s="55" t="s">
        <v>760</v>
      </c>
      <c r="Z15" s="56">
        <f t="shared" si="19"/>
        <v>-0.48</v>
      </c>
      <c r="AA15" s="55">
        <v>1.0789748958333332</v>
      </c>
      <c r="AB15" s="55">
        <f t="shared" si="11"/>
        <v>-1.4242468624999998</v>
      </c>
      <c r="AC15" s="55">
        <v>-13.96</v>
      </c>
      <c r="AD15" s="55">
        <v>-39.029291476538461</v>
      </c>
      <c r="AE15" s="55">
        <v>0</v>
      </c>
      <c r="AF15" s="55"/>
    </row>
    <row r="16" spans="1:32" s="57" customFormat="1" ht="15.75" customHeight="1">
      <c r="A16" s="2" t="s">
        <v>66</v>
      </c>
      <c r="B16" s="2" t="s">
        <v>1242</v>
      </c>
      <c r="C16" s="51">
        <v>59.99</v>
      </c>
      <c r="D16" s="51">
        <v>2</v>
      </c>
      <c r="E16" s="51">
        <v>0</v>
      </c>
      <c r="F16" s="51">
        <v>119.98</v>
      </c>
      <c r="G16" s="51">
        <v>0</v>
      </c>
      <c r="H16" s="51">
        <f t="shared" si="1"/>
        <v>0</v>
      </c>
      <c r="I16" s="51">
        <f t="shared" si="2"/>
        <v>-4.4093622504391729E-2</v>
      </c>
      <c r="J16" s="51">
        <f t="shared" si="4"/>
        <v>-5.2903528280769194</v>
      </c>
      <c r="K16" s="51">
        <f t="shared" si="3"/>
        <v>-2.6451764140384597</v>
      </c>
      <c r="L16" s="51">
        <v>25</v>
      </c>
      <c r="M16" s="51">
        <f t="shared" si="5"/>
        <v>0.08</v>
      </c>
      <c r="N16" s="51">
        <v>10</v>
      </c>
      <c r="O16" s="51">
        <f t="shared" ref="O16:P16" si="24">D16/7</f>
        <v>0.2857142857142857</v>
      </c>
      <c r="P16" s="51">
        <f t="shared" si="24"/>
        <v>0</v>
      </c>
      <c r="Q16" s="51">
        <f t="shared" si="7"/>
        <v>35</v>
      </c>
      <c r="R16" s="55">
        <v>0</v>
      </c>
      <c r="S16" s="53" t="s">
        <v>34</v>
      </c>
      <c r="T16" s="54" t="s">
        <v>34</v>
      </c>
      <c r="U16" s="55">
        <v>0</v>
      </c>
      <c r="V16" s="55">
        <f t="shared" si="8"/>
        <v>0</v>
      </c>
      <c r="W16" s="55">
        <f t="shared" si="9"/>
        <v>0</v>
      </c>
      <c r="X16" s="55">
        <v>0</v>
      </c>
      <c r="Y16" s="55" t="s">
        <v>760</v>
      </c>
      <c r="Z16" s="56">
        <f t="shared" si="19"/>
        <v>-0.48</v>
      </c>
      <c r="AA16" s="55">
        <v>1.0789748958333332</v>
      </c>
      <c r="AB16" s="55">
        <f t="shared" si="11"/>
        <v>-1.2947698749999996</v>
      </c>
      <c r="AC16" s="55">
        <v>-13.96</v>
      </c>
      <c r="AD16" s="55">
        <v>-39.029291476538461</v>
      </c>
      <c r="AE16" s="55">
        <v>0</v>
      </c>
      <c r="AF16" s="55"/>
    </row>
    <row r="17" spans="1:32" s="57" customFormat="1" ht="15.75" customHeight="1">
      <c r="A17" s="2" t="s">
        <v>67</v>
      </c>
      <c r="B17" s="2" t="s">
        <v>1243</v>
      </c>
      <c r="C17" s="51">
        <v>59.99</v>
      </c>
      <c r="D17" s="51">
        <v>0</v>
      </c>
      <c r="E17" s="51">
        <v>0</v>
      </c>
      <c r="F17" s="51">
        <v>0</v>
      </c>
      <c r="G17" s="51">
        <v>0</v>
      </c>
      <c r="H17" s="51" t="e">
        <f t="shared" si="1"/>
        <v>#DIV/0!</v>
      </c>
      <c r="I17" s="51" t="e">
        <f t="shared" si="2"/>
        <v>#DIV/0!</v>
      </c>
      <c r="J17" s="51">
        <f t="shared" si="4"/>
        <v>-1.2947698749999996</v>
      </c>
      <c r="K17" s="51" t="e">
        <f t="shared" si="3"/>
        <v>#DIV/0!</v>
      </c>
      <c r="L17" s="51">
        <v>20</v>
      </c>
      <c r="M17" s="51">
        <f t="shared" si="5"/>
        <v>0</v>
      </c>
      <c r="N17" s="51">
        <v>10</v>
      </c>
      <c r="O17" s="51">
        <f t="shared" ref="O17:P17" si="25">D17/7</f>
        <v>0</v>
      </c>
      <c r="P17" s="51">
        <f t="shared" si="25"/>
        <v>0</v>
      </c>
      <c r="Q17" s="51" t="e">
        <f t="shared" si="7"/>
        <v>#DIV/0!</v>
      </c>
      <c r="R17" s="55">
        <v>0</v>
      </c>
      <c r="S17" s="53" t="s">
        <v>34</v>
      </c>
      <c r="T17" s="54" t="s">
        <v>34</v>
      </c>
      <c r="U17" s="55">
        <v>0</v>
      </c>
      <c r="V17" s="55">
        <f t="shared" si="8"/>
        <v>0</v>
      </c>
      <c r="W17" s="55">
        <f t="shared" si="9"/>
        <v>0</v>
      </c>
      <c r="X17" s="55">
        <v>0</v>
      </c>
      <c r="Y17" s="55" t="s">
        <v>760</v>
      </c>
      <c r="Z17" s="56">
        <f t="shared" si="19"/>
        <v>-0.48</v>
      </c>
      <c r="AA17" s="55">
        <v>1.0789748958333332</v>
      </c>
      <c r="AB17" s="55">
        <f t="shared" si="11"/>
        <v>-1.2947698749999996</v>
      </c>
      <c r="AC17" s="55">
        <v>-13.96</v>
      </c>
      <c r="AD17" s="55">
        <v>-39.029291476538461</v>
      </c>
      <c r="AE17" s="55">
        <v>0</v>
      </c>
      <c r="AF17" s="55"/>
    </row>
    <row r="18" spans="1:32" s="57" customFormat="1" ht="15.75" customHeight="1">
      <c r="A18" s="2" t="s">
        <v>69</v>
      </c>
      <c r="B18" s="2"/>
      <c r="C18" s="51">
        <v>59.99</v>
      </c>
      <c r="D18" s="51">
        <v>5</v>
      </c>
      <c r="E18" s="51">
        <v>0</v>
      </c>
      <c r="F18" s="51">
        <v>299.95</v>
      </c>
      <c r="G18" s="51">
        <v>0</v>
      </c>
      <c r="H18" s="51">
        <f t="shared" si="1"/>
        <v>0</v>
      </c>
      <c r="I18" s="51">
        <f t="shared" si="2"/>
        <v>-5.9201789073820024E-2</v>
      </c>
      <c r="J18" s="51">
        <f t="shared" si="4"/>
        <v>-17.757576632692317</v>
      </c>
      <c r="K18" s="51">
        <f t="shared" si="3"/>
        <v>-3.5515153265384631</v>
      </c>
      <c r="L18" s="51">
        <v>27</v>
      </c>
      <c r="M18" s="51">
        <f t="shared" si="5"/>
        <v>0.18518518518518517</v>
      </c>
      <c r="N18" s="51">
        <v>4</v>
      </c>
      <c r="O18" s="51">
        <f t="shared" ref="O18:P18" si="26">D18/7</f>
        <v>0.7142857142857143</v>
      </c>
      <c r="P18" s="51">
        <f t="shared" si="26"/>
        <v>0</v>
      </c>
      <c r="Q18" s="51">
        <f t="shared" si="7"/>
        <v>5</v>
      </c>
      <c r="R18" s="55">
        <v>0</v>
      </c>
      <c r="S18" s="53" t="s">
        <v>34</v>
      </c>
      <c r="T18" s="54" t="s">
        <v>34</v>
      </c>
      <c r="U18" s="55">
        <v>0</v>
      </c>
      <c r="V18" s="55">
        <f t="shared" si="8"/>
        <v>0</v>
      </c>
      <c r="W18" s="55">
        <f t="shared" si="9"/>
        <v>0</v>
      </c>
      <c r="X18" s="55">
        <v>0</v>
      </c>
      <c r="Y18" s="55" t="s">
        <v>760</v>
      </c>
      <c r="Z18" s="56">
        <f t="shared" si="19"/>
        <v>-0.48</v>
      </c>
      <c r="AA18" s="55">
        <v>1.0789748958333332</v>
      </c>
      <c r="AB18" s="58">
        <f t="shared" ref="AB18:AB39" si="27">IFERROR(Z18*AA18*D18*3,0)</f>
        <v>-7.7686192499999978</v>
      </c>
      <c r="AC18" s="55">
        <v>-13.96</v>
      </c>
      <c r="AD18" s="55">
        <v>-39.029291476538461</v>
      </c>
      <c r="AE18" s="55">
        <v>0</v>
      </c>
      <c r="AF18" s="55"/>
    </row>
    <row r="19" spans="1:32" s="57" customFormat="1" ht="15.75" customHeight="1">
      <c r="A19" s="2" t="s">
        <v>71</v>
      </c>
      <c r="B19" s="2"/>
      <c r="C19" s="51">
        <v>59.99</v>
      </c>
      <c r="D19" s="51">
        <v>3</v>
      </c>
      <c r="E19" s="51">
        <v>0</v>
      </c>
      <c r="F19" s="51">
        <v>179.97</v>
      </c>
      <c r="G19" s="51">
        <v>0</v>
      </c>
      <c r="H19" s="51">
        <f t="shared" si="1"/>
        <v>0</v>
      </c>
      <c r="I19" s="51">
        <f t="shared" si="2"/>
        <v>-5.9201789073819962E-2</v>
      </c>
      <c r="J19" s="51">
        <f t="shared" si="4"/>
        <v>-10.654545979615378</v>
      </c>
      <c r="K19" s="51">
        <f t="shared" si="3"/>
        <v>-3.5515153265384591</v>
      </c>
      <c r="L19" s="51">
        <v>30</v>
      </c>
      <c r="M19" s="51">
        <f t="shared" si="5"/>
        <v>0.1</v>
      </c>
      <c r="N19" s="51">
        <v>2</v>
      </c>
      <c r="O19" s="51">
        <f t="shared" ref="O19:P19" si="28">D19/7</f>
        <v>0.42857142857142855</v>
      </c>
      <c r="P19" s="51">
        <f t="shared" si="28"/>
        <v>0</v>
      </c>
      <c r="Q19" s="51">
        <f t="shared" si="7"/>
        <v>4</v>
      </c>
      <c r="R19" s="55">
        <v>0</v>
      </c>
      <c r="S19" s="53" t="s">
        <v>34</v>
      </c>
      <c r="T19" s="54" t="s">
        <v>34</v>
      </c>
      <c r="U19" s="55">
        <v>0</v>
      </c>
      <c r="V19" s="55">
        <f t="shared" si="8"/>
        <v>0</v>
      </c>
      <c r="W19" s="55">
        <f t="shared" si="9"/>
        <v>0</v>
      </c>
      <c r="X19" s="55">
        <v>0</v>
      </c>
      <c r="Y19" s="55" t="s">
        <v>760</v>
      </c>
      <c r="Z19" s="56">
        <f t="shared" si="19"/>
        <v>-0.48</v>
      </c>
      <c r="AA19" s="55">
        <v>1.0789748958333332</v>
      </c>
      <c r="AB19" s="55">
        <f t="shared" si="27"/>
        <v>-4.6611715499999988</v>
      </c>
      <c r="AC19" s="55">
        <v>-13.96</v>
      </c>
      <c r="AD19" s="55">
        <v>-39.029291476538461</v>
      </c>
      <c r="AE19" s="55">
        <v>0</v>
      </c>
      <c r="AF19" s="55"/>
    </row>
    <row r="20" spans="1:32" s="57" customFormat="1" ht="15.75" customHeight="1">
      <c r="A20" s="2" t="s">
        <v>73</v>
      </c>
      <c r="B20" s="2"/>
      <c r="C20" s="51">
        <v>59.99</v>
      </c>
      <c r="D20" s="51">
        <v>1</v>
      </c>
      <c r="E20" s="51">
        <v>0</v>
      </c>
      <c r="F20" s="51">
        <v>59.99</v>
      </c>
      <c r="G20" s="51">
        <v>0</v>
      </c>
      <c r="H20" s="51">
        <f t="shared" si="1"/>
        <v>0</v>
      </c>
      <c r="I20" s="51">
        <f t="shared" si="2"/>
        <v>-5.9201789073819962E-2</v>
      </c>
      <c r="J20" s="51">
        <f t="shared" si="4"/>
        <v>-3.5515153265384596</v>
      </c>
      <c r="K20" s="51">
        <f t="shared" si="3"/>
        <v>-3.5515153265384596</v>
      </c>
      <c r="L20" s="51">
        <v>0</v>
      </c>
      <c r="M20" s="51" t="str">
        <f t="shared" si="5"/>
        <v>-</v>
      </c>
      <c r="N20" s="51">
        <v>2</v>
      </c>
      <c r="O20" s="51">
        <f t="shared" ref="O20:P20" si="29">D20/7</f>
        <v>0.14285714285714285</v>
      </c>
      <c r="P20" s="51">
        <f t="shared" si="29"/>
        <v>0</v>
      </c>
      <c r="Q20" s="51">
        <f t="shared" si="7"/>
        <v>14</v>
      </c>
      <c r="R20" s="55">
        <v>0</v>
      </c>
      <c r="S20" s="53" t="s">
        <v>34</v>
      </c>
      <c r="T20" s="54" t="s">
        <v>34</v>
      </c>
      <c r="U20" s="55">
        <v>0</v>
      </c>
      <c r="V20" s="55">
        <f t="shared" si="8"/>
        <v>0</v>
      </c>
      <c r="W20" s="55">
        <f t="shared" si="9"/>
        <v>0</v>
      </c>
      <c r="X20" s="55">
        <v>0</v>
      </c>
      <c r="Y20" s="55" t="s">
        <v>760</v>
      </c>
      <c r="Z20" s="56">
        <f t="shared" si="19"/>
        <v>-0.48</v>
      </c>
      <c r="AA20" s="55">
        <v>1.0789748958333332</v>
      </c>
      <c r="AB20" s="55">
        <f t="shared" si="27"/>
        <v>-1.5537238499999997</v>
      </c>
      <c r="AC20" s="55">
        <v>-13.96</v>
      </c>
      <c r="AD20" s="55">
        <v>-39.029291476538461</v>
      </c>
      <c r="AE20" s="55">
        <v>0</v>
      </c>
      <c r="AF20" s="55"/>
    </row>
    <row r="21" spans="1:32" s="57" customFormat="1" ht="15.75" customHeight="1">
      <c r="A21" s="2" t="s">
        <v>75</v>
      </c>
      <c r="B21" s="2"/>
      <c r="C21" s="51">
        <v>59.99</v>
      </c>
      <c r="D21" s="51">
        <v>1</v>
      </c>
      <c r="E21" s="51">
        <v>0</v>
      </c>
      <c r="F21" s="51">
        <v>59.99</v>
      </c>
      <c r="G21" s="51">
        <v>0</v>
      </c>
      <c r="H21" s="51">
        <f t="shared" si="1"/>
        <v>0</v>
      </c>
      <c r="I21" s="51">
        <f t="shared" si="2"/>
        <v>-5.9201789073819962E-2</v>
      </c>
      <c r="J21" s="51">
        <f t="shared" si="4"/>
        <v>-3.5515153265384596</v>
      </c>
      <c r="K21" s="51">
        <f t="shared" si="3"/>
        <v>-3.5515153265384596</v>
      </c>
      <c r="L21" s="51">
        <v>0</v>
      </c>
      <c r="M21" s="51" t="str">
        <f t="shared" si="5"/>
        <v>-</v>
      </c>
      <c r="N21" s="51">
        <v>1</v>
      </c>
      <c r="O21" s="51">
        <f t="shared" ref="O21:P21" si="30">D21/7</f>
        <v>0.14285714285714285</v>
      </c>
      <c r="P21" s="51">
        <f t="shared" si="30"/>
        <v>0</v>
      </c>
      <c r="Q21" s="51">
        <f t="shared" si="7"/>
        <v>7</v>
      </c>
      <c r="R21" s="55">
        <v>0</v>
      </c>
      <c r="S21" s="53" t="s">
        <v>34</v>
      </c>
      <c r="T21" s="54" t="s">
        <v>34</v>
      </c>
      <c r="U21" s="55">
        <v>0</v>
      </c>
      <c r="V21" s="55">
        <f t="shared" si="8"/>
        <v>0</v>
      </c>
      <c r="W21" s="55">
        <f t="shared" si="9"/>
        <v>0</v>
      </c>
      <c r="X21" s="55">
        <v>0</v>
      </c>
      <c r="Y21" s="55" t="s">
        <v>760</v>
      </c>
      <c r="Z21" s="56">
        <f t="shared" si="19"/>
        <v>-0.48</v>
      </c>
      <c r="AA21" s="55">
        <v>1.0789748958333332</v>
      </c>
      <c r="AB21" s="55">
        <f t="shared" si="27"/>
        <v>-1.5537238499999997</v>
      </c>
      <c r="AC21" s="55">
        <v>-13.96</v>
      </c>
      <c r="AD21" s="55">
        <v>-39.029291476538461</v>
      </c>
      <c r="AE21" s="55">
        <v>0</v>
      </c>
      <c r="AF21" s="55"/>
    </row>
    <row r="22" spans="1:32" s="57" customFormat="1" ht="15.75" customHeight="1">
      <c r="A22" s="2" t="s">
        <v>77</v>
      </c>
      <c r="B22" s="2"/>
      <c r="C22" s="51" t="s">
        <v>397</v>
      </c>
      <c r="D22" s="51">
        <v>0</v>
      </c>
      <c r="E22" s="51">
        <v>0</v>
      </c>
      <c r="F22" s="51">
        <v>0</v>
      </c>
      <c r="G22" s="51">
        <v>0</v>
      </c>
      <c r="H22" s="51" t="e">
        <f t="shared" si="1"/>
        <v>#DIV/0!</v>
      </c>
      <c r="I22" s="51" t="e">
        <f t="shared" si="2"/>
        <v>#DIV/0!</v>
      </c>
      <c r="J22" s="51">
        <f t="shared" si="4"/>
        <v>0</v>
      </c>
      <c r="K22" s="51" t="e">
        <f t="shared" si="3"/>
        <v>#DIV/0!</v>
      </c>
      <c r="L22" s="51">
        <v>0</v>
      </c>
      <c r="M22" s="51" t="str">
        <f t="shared" si="5"/>
        <v>-</v>
      </c>
      <c r="N22" s="51">
        <v>1</v>
      </c>
      <c r="O22" s="51">
        <f t="shared" ref="O22:P22" si="31">D22/7</f>
        <v>0</v>
      </c>
      <c r="P22" s="51">
        <f t="shared" si="31"/>
        <v>0</v>
      </c>
      <c r="Q22" s="51" t="e">
        <f t="shared" si="7"/>
        <v>#DIV/0!</v>
      </c>
      <c r="R22" s="55">
        <v>0</v>
      </c>
      <c r="S22" s="53" t="s">
        <v>34</v>
      </c>
      <c r="T22" s="54" t="s">
        <v>34</v>
      </c>
      <c r="U22" s="55">
        <v>0</v>
      </c>
      <c r="V22" s="55">
        <f t="shared" si="8"/>
        <v>0</v>
      </c>
      <c r="W22" s="55">
        <f t="shared" si="9"/>
        <v>0</v>
      </c>
      <c r="X22" s="55">
        <v>0</v>
      </c>
      <c r="Y22" s="55" t="e">
        <v>#N/A</v>
      </c>
      <c r="Z22" s="56" t="e">
        <f t="shared" si="19"/>
        <v>#N/A</v>
      </c>
      <c r="AA22" s="55" t="e">
        <v>#N/A</v>
      </c>
      <c r="AB22" s="55">
        <f t="shared" si="27"/>
        <v>0</v>
      </c>
      <c r="AC22" s="55">
        <v>0</v>
      </c>
      <c r="AD22" s="55">
        <v>-39.029291476538461</v>
      </c>
      <c r="AE22" s="55">
        <v>0</v>
      </c>
      <c r="AF22" s="55"/>
    </row>
    <row r="23" spans="1:32" s="57" customFormat="1" ht="15.75" customHeight="1">
      <c r="A23" s="2" t="s">
        <v>79</v>
      </c>
      <c r="B23" s="2"/>
      <c r="C23" s="51" t="s">
        <v>397</v>
      </c>
      <c r="D23" s="51">
        <v>0</v>
      </c>
      <c r="E23" s="51">
        <v>0</v>
      </c>
      <c r="F23" s="51">
        <v>0</v>
      </c>
      <c r="G23" s="51">
        <v>0</v>
      </c>
      <c r="H23" s="51" t="e">
        <f t="shared" si="1"/>
        <v>#DIV/0!</v>
      </c>
      <c r="I23" s="51" t="e">
        <f t="shared" si="2"/>
        <v>#DIV/0!</v>
      </c>
      <c r="J23" s="51">
        <f t="shared" si="4"/>
        <v>0</v>
      </c>
      <c r="K23" s="51" t="e">
        <f t="shared" si="3"/>
        <v>#DIV/0!</v>
      </c>
      <c r="L23" s="51">
        <v>0</v>
      </c>
      <c r="M23" s="51" t="str">
        <f t="shared" si="5"/>
        <v>-</v>
      </c>
      <c r="N23" s="51">
        <v>1</v>
      </c>
      <c r="O23" s="51">
        <f t="shared" ref="O23:P23" si="32">D23/7</f>
        <v>0</v>
      </c>
      <c r="P23" s="51">
        <f t="shared" si="32"/>
        <v>0</v>
      </c>
      <c r="Q23" s="51" t="e">
        <f t="shared" si="7"/>
        <v>#DIV/0!</v>
      </c>
      <c r="R23" s="55">
        <v>0</v>
      </c>
      <c r="S23" s="53" t="s">
        <v>34</v>
      </c>
      <c r="T23" s="54" t="s">
        <v>34</v>
      </c>
      <c r="U23" s="55">
        <v>0</v>
      </c>
      <c r="V23" s="55">
        <f t="shared" si="8"/>
        <v>0</v>
      </c>
      <c r="W23" s="55">
        <f t="shared" si="9"/>
        <v>0</v>
      </c>
      <c r="X23" s="55">
        <v>0</v>
      </c>
      <c r="Y23" s="55" t="e">
        <v>#N/A</v>
      </c>
      <c r="Z23" s="56" t="e">
        <f t="shared" si="19"/>
        <v>#N/A</v>
      </c>
      <c r="AA23" s="55" t="e">
        <v>#N/A</v>
      </c>
      <c r="AB23" s="55">
        <f t="shared" si="27"/>
        <v>0</v>
      </c>
      <c r="AC23" s="55">
        <v>0</v>
      </c>
      <c r="AD23" s="55">
        <v>-39.029291476538461</v>
      </c>
      <c r="AE23" s="55">
        <v>0</v>
      </c>
      <c r="AF23" s="55"/>
    </row>
    <row r="24" spans="1:32" s="57" customFormat="1" ht="15.75" customHeight="1">
      <c r="A24" s="2" t="s">
        <v>80</v>
      </c>
      <c r="B24" s="2"/>
      <c r="C24" s="51"/>
      <c r="D24" s="51">
        <v>0</v>
      </c>
      <c r="E24" s="51">
        <v>0</v>
      </c>
      <c r="F24" s="51">
        <v>0</v>
      </c>
      <c r="G24" s="51">
        <v>0</v>
      </c>
      <c r="H24" s="51" t="e">
        <f t="shared" si="1"/>
        <v>#DIV/0!</v>
      </c>
      <c r="I24" s="51" t="e">
        <f t="shared" si="2"/>
        <v>#DIV/0!</v>
      </c>
      <c r="J24" s="51">
        <f t="shared" si="4"/>
        <v>0</v>
      </c>
      <c r="K24" s="51" t="e">
        <f t="shared" si="3"/>
        <v>#DIV/0!</v>
      </c>
      <c r="L24" s="51">
        <v>0</v>
      </c>
      <c r="M24" s="51" t="str">
        <f t="shared" si="5"/>
        <v>-</v>
      </c>
      <c r="N24" s="51">
        <v>1</v>
      </c>
      <c r="O24" s="51">
        <f t="shared" ref="O24:P24" si="33">D24/7</f>
        <v>0</v>
      </c>
      <c r="P24" s="51">
        <f t="shared" si="33"/>
        <v>0</v>
      </c>
      <c r="Q24" s="51" t="e">
        <f t="shared" si="7"/>
        <v>#DIV/0!</v>
      </c>
      <c r="R24" s="55">
        <v>0</v>
      </c>
      <c r="S24" s="53" t="s">
        <v>34</v>
      </c>
      <c r="T24" s="54" t="s">
        <v>34</v>
      </c>
      <c r="U24" s="55">
        <v>0</v>
      </c>
      <c r="V24" s="55">
        <f t="shared" si="8"/>
        <v>0</v>
      </c>
      <c r="W24" s="55">
        <f t="shared" si="9"/>
        <v>0</v>
      </c>
      <c r="X24" s="55">
        <v>0</v>
      </c>
      <c r="Y24" s="55" t="e">
        <v>#N/A</v>
      </c>
      <c r="Z24" s="56" t="e">
        <f t="shared" si="19"/>
        <v>#N/A</v>
      </c>
      <c r="AA24" s="55" t="e">
        <v>#N/A</v>
      </c>
      <c r="AB24" s="55">
        <f t="shared" si="27"/>
        <v>0</v>
      </c>
      <c r="AC24" s="55">
        <v>0</v>
      </c>
      <c r="AD24" s="55">
        <v>-39.029291476538461</v>
      </c>
      <c r="AE24" s="55">
        <v>0</v>
      </c>
      <c r="AF24" s="55"/>
    </row>
    <row r="25" spans="1:32" s="57" customFormat="1" ht="15.75" customHeight="1">
      <c r="A25" s="2" t="s">
        <v>81</v>
      </c>
      <c r="B25" s="2"/>
      <c r="C25" s="51"/>
      <c r="D25" s="51">
        <v>0</v>
      </c>
      <c r="E25" s="51">
        <v>0</v>
      </c>
      <c r="F25" s="51">
        <v>0</v>
      </c>
      <c r="G25" s="51">
        <v>0</v>
      </c>
      <c r="H25" s="51" t="e">
        <f t="shared" si="1"/>
        <v>#DIV/0!</v>
      </c>
      <c r="I25" s="51" t="e">
        <f t="shared" si="2"/>
        <v>#DIV/0!</v>
      </c>
      <c r="J25" s="51">
        <f t="shared" si="4"/>
        <v>0</v>
      </c>
      <c r="K25" s="51" t="e">
        <f t="shared" si="3"/>
        <v>#DIV/0!</v>
      </c>
      <c r="L25" s="51">
        <v>0</v>
      </c>
      <c r="M25" s="51" t="str">
        <f t="shared" si="5"/>
        <v>-</v>
      </c>
      <c r="N25" s="51">
        <v>1</v>
      </c>
      <c r="O25" s="51">
        <f t="shared" ref="O25:P25" si="34">D25/7</f>
        <v>0</v>
      </c>
      <c r="P25" s="51">
        <f t="shared" si="34"/>
        <v>0</v>
      </c>
      <c r="Q25" s="51" t="e">
        <f t="shared" si="7"/>
        <v>#DIV/0!</v>
      </c>
      <c r="R25" s="55">
        <v>0</v>
      </c>
      <c r="S25" s="53" t="s">
        <v>34</v>
      </c>
      <c r="T25" s="54" t="s">
        <v>34</v>
      </c>
      <c r="U25" s="55">
        <v>0</v>
      </c>
      <c r="V25" s="55">
        <f t="shared" si="8"/>
        <v>0</v>
      </c>
      <c r="W25" s="55">
        <f t="shared" si="9"/>
        <v>0</v>
      </c>
      <c r="X25" s="55">
        <v>0</v>
      </c>
      <c r="Y25" s="55" t="e">
        <v>#N/A</v>
      </c>
      <c r="Z25" s="56" t="e">
        <f t="shared" si="19"/>
        <v>#N/A</v>
      </c>
      <c r="AA25" s="55" t="e">
        <v>#N/A</v>
      </c>
      <c r="AB25" s="55">
        <f t="shared" si="27"/>
        <v>0</v>
      </c>
      <c r="AC25" s="55">
        <v>0</v>
      </c>
      <c r="AD25" s="55">
        <v>-39.029291476538461</v>
      </c>
      <c r="AE25" s="55">
        <v>0</v>
      </c>
      <c r="AF25" s="55"/>
    </row>
    <row r="26" spans="1:32" s="57" customFormat="1" ht="15.75" customHeight="1">
      <c r="A26" s="2" t="s">
        <v>83</v>
      </c>
      <c r="B26" s="2"/>
      <c r="C26" s="51" t="str">
        <f t="shared" ref="C26:C39" si="35">IFERROR(F26/D26," - ")</f>
        <v xml:space="preserve"> - </v>
      </c>
      <c r="D26" s="51">
        <v>0</v>
      </c>
      <c r="E26" s="51">
        <v>0</v>
      </c>
      <c r="F26" s="51">
        <v>0</v>
      </c>
      <c r="G26" s="51">
        <v>0</v>
      </c>
      <c r="H26" s="51" t="e">
        <f t="shared" si="1"/>
        <v>#DIV/0!</v>
      </c>
      <c r="I26" s="51" t="e">
        <f t="shared" si="2"/>
        <v>#DIV/0!</v>
      </c>
      <c r="J26" s="51">
        <f t="shared" si="4"/>
        <v>0</v>
      </c>
      <c r="K26" s="51" t="e">
        <f t="shared" si="3"/>
        <v>#DIV/0!</v>
      </c>
      <c r="L26" s="51">
        <v>0</v>
      </c>
      <c r="M26" s="51" t="str">
        <f t="shared" si="5"/>
        <v>-</v>
      </c>
      <c r="N26" s="51">
        <v>1</v>
      </c>
      <c r="O26" s="51">
        <f t="shared" ref="O26:P26" si="36">D26/7</f>
        <v>0</v>
      </c>
      <c r="P26" s="51">
        <f t="shared" si="36"/>
        <v>0</v>
      </c>
      <c r="Q26" s="51" t="e">
        <f t="shared" si="7"/>
        <v>#DIV/0!</v>
      </c>
      <c r="R26" s="55" t="s">
        <v>34</v>
      </c>
      <c r="S26" s="53" t="s">
        <v>34</v>
      </c>
      <c r="T26" s="54" t="s">
        <v>34</v>
      </c>
      <c r="U26" s="55">
        <v>0</v>
      </c>
      <c r="V26" s="55">
        <f t="shared" si="8"/>
        <v>0</v>
      </c>
      <c r="W26" s="55">
        <f t="shared" si="9"/>
        <v>0</v>
      </c>
      <c r="X26" s="55">
        <v>0</v>
      </c>
      <c r="Y26" s="55" t="e">
        <v>#N/A</v>
      </c>
      <c r="Z26" s="56" t="e">
        <f t="shared" si="19"/>
        <v>#N/A</v>
      </c>
      <c r="AA26" s="55" t="e">
        <v>#N/A</v>
      </c>
      <c r="AB26" s="55">
        <f t="shared" si="27"/>
        <v>0</v>
      </c>
      <c r="AC26" s="55">
        <v>0</v>
      </c>
      <c r="AD26" s="55">
        <v>-39.029291476538461</v>
      </c>
      <c r="AE26" s="55">
        <v>0</v>
      </c>
      <c r="AF26" s="55"/>
    </row>
    <row r="27" spans="1:32" s="57" customFormat="1" ht="15.75" customHeight="1">
      <c r="A27" s="2" t="s">
        <v>84</v>
      </c>
      <c r="B27" s="2"/>
      <c r="C27" s="51" t="str">
        <f t="shared" si="35"/>
        <v xml:space="preserve"> - </v>
      </c>
      <c r="D27" s="51">
        <v>0</v>
      </c>
      <c r="E27" s="51">
        <v>0</v>
      </c>
      <c r="F27" s="51">
        <v>0</v>
      </c>
      <c r="G27" s="51">
        <v>0</v>
      </c>
      <c r="H27" s="51" t="e">
        <f t="shared" si="1"/>
        <v>#DIV/0!</v>
      </c>
      <c r="I27" s="51" t="e">
        <f t="shared" si="2"/>
        <v>#DIV/0!</v>
      </c>
      <c r="J27" s="51">
        <f t="shared" si="4"/>
        <v>0</v>
      </c>
      <c r="K27" s="51" t="e">
        <f t="shared" si="3"/>
        <v>#DIV/0!</v>
      </c>
      <c r="L27" s="51">
        <v>0</v>
      </c>
      <c r="M27" s="51" t="str">
        <f t="shared" si="5"/>
        <v>-</v>
      </c>
      <c r="N27" s="51">
        <v>1</v>
      </c>
      <c r="O27" s="51">
        <f t="shared" ref="O27:P27" si="37">D27/7</f>
        <v>0</v>
      </c>
      <c r="P27" s="51">
        <f t="shared" si="37"/>
        <v>0</v>
      </c>
      <c r="Q27" s="51" t="e">
        <f t="shared" si="7"/>
        <v>#DIV/0!</v>
      </c>
      <c r="R27" s="55" t="s">
        <v>34</v>
      </c>
      <c r="S27" s="53" t="s">
        <v>34</v>
      </c>
      <c r="T27" s="54" t="s">
        <v>34</v>
      </c>
      <c r="U27" s="55">
        <v>0</v>
      </c>
      <c r="V27" s="55">
        <f t="shared" si="8"/>
        <v>0</v>
      </c>
      <c r="W27" s="55">
        <f t="shared" si="9"/>
        <v>0</v>
      </c>
      <c r="X27" s="55">
        <v>0</v>
      </c>
      <c r="Y27" s="55" t="e">
        <v>#N/A</v>
      </c>
      <c r="Z27" s="56" t="e">
        <f t="shared" si="19"/>
        <v>#N/A</v>
      </c>
      <c r="AA27" s="55" t="e">
        <v>#N/A</v>
      </c>
      <c r="AB27" s="55">
        <f t="shared" si="27"/>
        <v>0</v>
      </c>
      <c r="AC27" s="55">
        <v>0</v>
      </c>
      <c r="AD27" s="55">
        <v>-39.029291476538461</v>
      </c>
      <c r="AE27" s="55">
        <v>0</v>
      </c>
      <c r="AF27" s="55"/>
    </row>
    <row r="28" spans="1:32" s="57" customFormat="1" ht="15.75" customHeight="1">
      <c r="A28" s="2" t="s">
        <v>86</v>
      </c>
      <c r="B28" s="2"/>
      <c r="C28" s="51" t="str">
        <f t="shared" si="35"/>
        <v xml:space="preserve"> - </v>
      </c>
      <c r="D28" s="51">
        <v>0</v>
      </c>
      <c r="E28" s="51">
        <v>0</v>
      </c>
      <c r="F28" s="51">
        <v>0</v>
      </c>
      <c r="G28" s="51">
        <v>0</v>
      </c>
      <c r="H28" s="51" t="e">
        <f t="shared" si="1"/>
        <v>#DIV/0!</v>
      </c>
      <c r="I28" s="51" t="e">
        <f t="shared" si="2"/>
        <v>#DIV/0!</v>
      </c>
      <c r="J28" s="51">
        <f t="shared" si="4"/>
        <v>0</v>
      </c>
      <c r="K28" s="51" t="e">
        <f t="shared" si="3"/>
        <v>#DIV/0!</v>
      </c>
      <c r="L28" s="51">
        <v>0</v>
      </c>
      <c r="M28" s="51" t="str">
        <f t="shared" si="5"/>
        <v>-</v>
      </c>
      <c r="N28" s="51">
        <v>1</v>
      </c>
      <c r="O28" s="51">
        <f t="shared" ref="O28:P28" si="38">D28/7</f>
        <v>0</v>
      </c>
      <c r="P28" s="51">
        <f t="shared" si="38"/>
        <v>0</v>
      </c>
      <c r="Q28" s="51" t="e">
        <f t="shared" si="7"/>
        <v>#DIV/0!</v>
      </c>
      <c r="R28" s="55" t="s">
        <v>34</v>
      </c>
      <c r="S28" s="53" t="s">
        <v>34</v>
      </c>
      <c r="T28" s="54" t="s">
        <v>34</v>
      </c>
      <c r="U28" s="55">
        <v>0</v>
      </c>
      <c r="V28" s="55">
        <f t="shared" si="8"/>
        <v>0</v>
      </c>
      <c r="W28" s="55">
        <f t="shared" si="9"/>
        <v>0</v>
      </c>
      <c r="X28" s="55">
        <v>0</v>
      </c>
      <c r="Y28" s="55" t="e">
        <v>#N/A</v>
      </c>
      <c r="Z28" s="56" t="e">
        <f t="shared" si="19"/>
        <v>#N/A</v>
      </c>
      <c r="AA28" s="55" t="e">
        <v>#N/A</v>
      </c>
      <c r="AB28" s="55">
        <f t="shared" si="27"/>
        <v>0</v>
      </c>
      <c r="AC28" s="55">
        <v>0</v>
      </c>
      <c r="AD28" s="55">
        <v>-39.029291476538461</v>
      </c>
      <c r="AE28" s="55">
        <v>0</v>
      </c>
      <c r="AF28" s="55"/>
    </row>
    <row r="29" spans="1:32" s="57" customFormat="1" ht="15.75" customHeight="1">
      <c r="A29" s="2" t="s">
        <v>87</v>
      </c>
      <c r="B29" s="2"/>
      <c r="C29" s="51" t="str">
        <f t="shared" si="35"/>
        <v xml:space="preserve"> - </v>
      </c>
      <c r="D29" s="51">
        <v>0</v>
      </c>
      <c r="E29" s="51">
        <v>0</v>
      </c>
      <c r="F29" s="51">
        <v>0</v>
      </c>
      <c r="G29" s="51">
        <v>0</v>
      </c>
      <c r="H29" s="51" t="e">
        <f t="shared" si="1"/>
        <v>#DIV/0!</v>
      </c>
      <c r="I29" s="51" t="e">
        <f t="shared" si="2"/>
        <v>#DIV/0!</v>
      </c>
      <c r="J29" s="51">
        <f t="shared" si="4"/>
        <v>0</v>
      </c>
      <c r="K29" s="51" t="e">
        <f t="shared" si="3"/>
        <v>#DIV/0!</v>
      </c>
      <c r="L29" s="51">
        <v>0</v>
      </c>
      <c r="M29" s="51" t="str">
        <f t="shared" si="5"/>
        <v>-</v>
      </c>
      <c r="N29" s="51">
        <v>1</v>
      </c>
      <c r="O29" s="51">
        <f t="shared" ref="O29:P29" si="39">D29/7</f>
        <v>0</v>
      </c>
      <c r="P29" s="51">
        <f t="shared" si="39"/>
        <v>0</v>
      </c>
      <c r="Q29" s="51" t="e">
        <f t="shared" si="7"/>
        <v>#DIV/0!</v>
      </c>
      <c r="R29" s="55" t="s">
        <v>34</v>
      </c>
      <c r="S29" s="53" t="s">
        <v>34</v>
      </c>
      <c r="T29" s="54" t="s">
        <v>34</v>
      </c>
      <c r="U29" s="55">
        <v>0</v>
      </c>
      <c r="V29" s="55">
        <f t="shared" si="8"/>
        <v>0</v>
      </c>
      <c r="W29" s="55">
        <f t="shared" si="9"/>
        <v>0</v>
      </c>
      <c r="X29" s="55">
        <v>0</v>
      </c>
      <c r="Y29" s="55" t="e">
        <v>#N/A</v>
      </c>
      <c r="Z29" s="56" t="e">
        <f t="shared" si="19"/>
        <v>#N/A</v>
      </c>
      <c r="AA29" s="55" t="e">
        <v>#N/A</v>
      </c>
      <c r="AB29" s="55">
        <f t="shared" si="27"/>
        <v>0</v>
      </c>
      <c r="AC29" s="55">
        <v>0</v>
      </c>
      <c r="AD29" s="55">
        <v>-39.029291476538461</v>
      </c>
      <c r="AE29" s="55">
        <v>0</v>
      </c>
      <c r="AF29" s="55"/>
    </row>
    <row r="30" spans="1:32" s="57" customFormat="1" ht="15.75" customHeight="1">
      <c r="A30" s="2" t="s">
        <v>89</v>
      </c>
      <c r="B30" s="2"/>
      <c r="C30" s="51" t="str">
        <f t="shared" si="35"/>
        <v xml:space="preserve"> - </v>
      </c>
      <c r="D30" s="51">
        <v>0</v>
      </c>
      <c r="E30" s="51">
        <v>0</v>
      </c>
      <c r="F30" s="51">
        <v>0</v>
      </c>
      <c r="G30" s="51">
        <v>0</v>
      </c>
      <c r="H30" s="51" t="e">
        <f t="shared" si="1"/>
        <v>#DIV/0!</v>
      </c>
      <c r="I30" s="51" t="e">
        <f t="shared" si="2"/>
        <v>#DIV/0!</v>
      </c>
      <c r="J30" s="51">
        <f t="shared" si="4"/>
        <v>0</v>
      </c>
      <c r="K30" s="51" t="e">
        <f t="shared" si="3"/>
        <v>#DIV/0!</v>
      </c>
      <c r="L30" s="51">
        <v>0</v>
      </c>
      <c r="M30" s="51" t="str">
        <f t="shared" si="5"/>
        <v>-</v>
      </c>
      <c r="N30" s="51">
        <v>1</v>
      </c>
      <c r="O30" s="51">
        <f t="shared" ref="O30:P30" si="40">D30/7</f>
        <v>0</v>
      </c>
      <c r="P30" s="51">
        <f t="shared" si="40"/>
        <v>0</v>
      </c>
      <c r="Q30" s="51" t="e">
        <f t="shared" si="7"/>
        <v>#DIV/0!</v>
      </c>
      <c r="R30" s="55" t="s">
        <v>34</v>
      </c>
      <c r="S30" s="53" t="s">
        <v>34</v>
      </c>
      <c r="T30" s="54" t="s">
        <v>34</v>
      </c>
      <c r="U30" s="55">
        <v>0</v>
      </c>
      <c r="V30" s="55">
        <f t="shared" si="8"/>
        <v>0</v>
      </c>
      <c r="W30" s="55">
        <f t="shared" si="9"/>
        <v>0</v>
      </c>
      <c r="X30" s="55">
        <v>0</v>
      </c>
      <c r="Y30" s="55" t="e">
        <v>#N/A</v>
      </c>
      <c r="Z30" s="56" t="e">
        <f t="shared" si="19"/>
        <v>#N/A</v>
      </c>
      <c r="AA30" s="55" t="e">
        <v>#N/A</v>
      </c>
      <c r="AB30" s="55">
        <f t="shared" si="27"/>
        <v>0</v>
      </c>
      <c r="AC30" s="55">
        <v>0</v>
      </c>
      <c r="AD30" s="55">
        <v>-39.029291476538461</v>
      </c>
      <c r="AE30" s="55">
        <v>0</v>
      </c>
      <c r="AF30" s="55"/>
    </row>
    <row r="31" spans="1:32" s="57" customFormat="1" ht="15.75" customHeight="1">
      <c r="A31" s="2" t="s">
        <v>90</v>
      </c>
      <c r="B31" s="2"/>
      <c r="C31" s="51" t="str">
        <f t="shared" si="35"/>
        <v xml:space="preserve"> - </v>
      </c>
      <c r="D31" s="51">
        <v>0</v>
      </c>
      <c r="E31" s="51">
        <v>0</v>
      </c>
      <c r="F31" s="51">
        <v>0</v>
      </c>
      <c r="G31" s="51">
        <v>0</v>
      </c>
      <c r="H31" s="51" t="e">
        <f t="shared" si="1"/>
        <v>#DIV/0!</v>
      </c>
      <c r="I31" s="51" t="e">
        <f t="shared" si="2"/>
        <v>#DIV/0!</v>
      </c>
      <c r="J31" s="51">
        <f t="shared" si="4"/>
        <v>0</v>
      </c>
      <c r="K31" s="51" t="e">
        <f t="shared" si="3"/>
        <v>#DIV/0!</v>
      </c>
      <c r="L31" s="51">
        <v>0</v>
      </c>
      <c r="M31" s="51" t="str">
        <f t="shared" si="5"/>
        <v>-</v>
      </c>
      <c r="N31" s="51">
        <v>1</v>
      </c>
      <c r="O31" s="51">
        <f t="shared" ref="O31:P31" si="41">D31/7</f>
        <v>0</v>
      </c>
      <c r="P31" s="51">
        <f t="shared" si="41"/>
        <v>0</v>
      </c>
      <c r="Q31" s="51" t="e">
        <f t="shared" si="7"/>
        <v>#DIV/0!</v>
      </c>
      <c r="R31" s="55" t="s">
        <v>34</v>
      </c>
      <c r="S31" s="53" t="s">
        <v>34</v>
      </c>
      <c r="T31" s="54" t="s">
        <v>34</v>
      </c>
      <c r="U31" s="55">
        <v>0</v>
      </c>
      <c r="V31" s="55">
        <f t="shared" si="8"/>
        <v>0</v>
      </c>
      <c r="W31" s="55">
        <f t="shared" si="9"/>
        <v>0</v>
      </c>
      <c r="X31" s="55">
        <v>0</v>
      </c>
      <c r="Y31" s="55" t="e">
        <v>#N/A</v>
      </c>
      <c r="Z31" s="56" t="e">
        <f t="shared" si="19"/>
        <v>#N/A</v>
      </c>
      <c r="AA31" s="55" t="e">
        <v>#N/A</v>
      </c>
      <c r="AB31" s="55">
        <f t="shared" si="27"/>
        <v>0</v>
      </c>
      <c r="AC31" s="55">
        <v>0</v>
      </c>
      <c r="AD31" s="55">
        <v>-39.029291476538461</v>
      </c>
      <c r="AE31" s="55">
        <v>0</v>
      </c>
      <c r="AF31" s="55"/>
    </row>
    <row r="32" spans="1:32" s="57" customFormat="1" ht="15.75" customHeight="1">
      <c r="A32" s="2" t="s">
        <v>92</v>
      </c>
      <c r="B32" s="2"/>
      <c r="C32" s="51" t="str">
        <f t="shared" si="35"/>
        <v xml:space="preserve"> - </v>
      </c>
      <c r="D32" s="51">
        <v>0</v>
      </c>
      <c r="E32" s="51">
        <v>0</v>
      </c>
      <c r="F32" s="51">
        <v>0</v>
      </c>
      <c r="G32" s="51">
        <v>0</v>
      </c>
      <c r="H32" s="51" t="e">
        <f t="shared" si="1"/>
        <v>#DIV/0!</v>
      </c>
      <c r="I32" s="51" t="e">
        <f t="shared" si="2"/>
        <v>#DIV/0!</v>
      </c>
      <c r="J32" s="51">
        <f t="shared" si="4"/>
        <v>0</v>
      </c>
      <c r="K32" s="51" t="e">
        <f t="shared" si="3"/>
        <v>#DIV/0!</v>
      </c>
      <c r="L32" s="51">
        <v>0</v>
      </c>
      <c r="M32" s="51" t="str">
        <f t="shared" si="5"/>
        <v>-</v>
      </c>
      <c r="N32" s="51">
        <v>1</v>
      </c>
      <c r="O32" s="51">
        <f t="shared" ref="O32:P32" si="42">D32/7</f>
        <v>0</v>
      </c>
      <c r="P32" s="51">
        <f t="shared" si="42"/>
        <v>0</v>
      </c>
      <c r="Q32" s="51" t="e">
        <f t="shared" si="7"/>
        <v>#DIV/0!</v>
      </c>
      <c r="R32" s="55" t="s">
        <v>34</v>
      </c>
      <c r="S32" s="53" t="s">
        <v>34</v>
      </c>
      <c r="T32" s="54" t="s">
        <v>34</v>
      </c>
      <c r="U32" s="55">
        <v>0</v>
      </c>
      <c r="V32" s="55">
        <f t="shared" si="8"/>
        <v>0</v>
      </c>
      <c r="W32" s="55">
        <f t="shared" si="9"/>
        <v>0</v>
      </c>
      <c r="X32" s="55">
        <v>0</v>
      </c>
      <c r="Y32" s="55" t="e">
        <v>#N/A</v>
      </c>
      <c r="Z32" s="56" t="e">
        <f t="shared" si="19"/>
        <v>#N/A</v>
      </c>
      <c r="AA32" s="55" t="e">
        <v>#N/A</v>
      </c>
      <c r="AB32" s="55">
        <f t="shared" si="27"/>
        <v>0</v>
      </c>
      <c r="AC32" s="55">
        <v>0</v>
      </c>
      <c r="AD32" s="55">
        <v>-39.029291476538461</v>
      </c>
      <c r="AE32" s="55">
        <v>0</v>
      </c>
      <c r="AF32" s="52" t="e">
        <v>#N/A</v>
      </c>
    </row>
    <row r="33" spans="1:32" s="57" customFormat="1" ht="15.75" customHeight="1">
      <c r="A33" s="2" t="s">
        <v>94</v>
      </c>
      <c r="B33" s="2"/>
      <c r="C33" s="51" t="str">
        <f t="shared" si="35"/>
        <v xml:space="preserve"> - </v>
      </c>
      <c r="D33" s="51">
        <v>0</v>
      </c>
      <c r="E33" s="51">
        <v>0</v>
      </c>
      <c r="F33" s="51">
        <v>0</v>
      </c>
      <c r="G33" s="51">
        <v>0</v>
      </c>
      <c r="H33" s="51" t="e">
        <f t="shared" si="1"/>
        <v>#DIV/0!</v>
      </c>
      <c r="I33" s="51" t="e">
        <f t="shared" si="2"/>
        <v>#DIV/0!</v>
      </c>
      <c r="J33" s="51">
        <f t="shared" si="4"/>
        <v>0</v>
      </c>
      <c r="K33" s="51" t="e">
        <f t="shared" si="3"/>
        <v>#DIV/0!</v>
      </c>
      <c r="L33" s="51">
        <v>0</v>
      </c>
      <c r="M33" s="51" t="str">
        <f t="shared" si="5"/>
        <v>-</v>
      </c>
      <c r="N33" s="51">
        <v>1</v>
      </c>
      <c r="O33" s="51">
        <f t="shared" ref="O33:P33" si="43">D33/7</f>
        <v>0</v>
      </c>
      <c r="P33" s="51">
        <f t="shared" si="43"/>
        <v>0</v>
      </c>
      <c r="Q33" s="51" t="e">
        <f t="shared" si="7"/>
        <v>#DIV/0!</v>
      </c>
      <c r="R33" s="55" t="s">
        <v>34</v>
      </c>
      <c r="S33" s="53" t="s">
        <v>34</v>
      </c>
      <c r="T33" s="54" t="s">
        <v>34</v>
      </c>
      <c r="U33" s="55">
        <v>0</v>
      </c>
      <c r="V33" s="55">
        <f t="shared" si="8"/>
        <v>0</v>
      </c>
      <c r="W33" s="55">
        <f t="shared" si="9"/>
        <v>0</v>
      </c>
      <c r="X33" s="55">
        <v>0</v>
      </c>
      <c r="Y33" s="55" t="e">
        <v>#N/A</v>
      </c>
      <c r="Z33" s="56" t="e">
        <f t="shared" si="19"/>
        <v>#N/A</v>
      </c>
      <c r="AA33" s="55" t="e">
        <v>#N/A</v>
      </c>
      <c r="AB33" s="55">
        <f t="shared" si="27"/>
        <v>0</v>
      </c>
      <c r="AC33" s="55">
        <v>0</v>
      </c>
      <c r="AD33" s="55">
        <v>-39.029291476538461</v>
      </c>
      <c r="AE33" s="55">
        <v>0</v>
      </c>
      <c r="AF33" s="55" t="e">
        <v>#N/A</v>
      </c>
    </row>
    <row r="34" spans="1:32" s="57" customFormat="1" ht="15.75" customHeight="1">
      <c r="A34" s="2" t="s">
        <v>95</v>
      </c>
      <c r="B34" s="2"/>
      <c r="C34" s="51" t="str">
        <f t="shared" si="35"/>
        <v xml:space="preserve"> - </v>
      </c>
      <c r="D34" s="51">
        <v>0</v>
      </c>
      <c r="E34" s="51">
        <v>0</v>
      </c>
      <c r="F34" s="51">
        <v>0</v>
      </c>
      <c r="G34" s="51">
        <v>0</v>
      </c>
      <c r="H34" s="51" t="e">
        <f t="shared" si="1"/>
        <v>#DIV/0!</v>
      </c>
      <c r="I34" s="51" t="e">
        <f t="shared" si="2"/>
        <v>#DIV/0!</v>
      </c>
      <c r="J34" s="51">
        <f t="shared" si="4"/>
        <v>0</v>
      </c>
      <c r="K34" s="51" t="e">
        <f t="shared" si="3"/>
        <v>#DIV/0!</v>
      </c>
      <c r="L34" s="51">
        <v>0</v>
      </c>
      <c r="M34" s="51" t="str">
        <f t="shared" si="5"/>
        <v>-</v>
      </c>
      <c r="N34" s="51">
        <v>1</v>
      </c>
      <c r="O34" s="51">
        <f t="shared" ref="O34:P34" si="44">D34/7</f>
        <v>0</v>
      </c>
      <c r="P34" s="51">
        <f t="shared" si="44"/>
        <v>0</v>
      </c>
      <c r="Q34" s="51" t="e">
        <f t="shared" si="7"/>
        <v>#DIV/0!</v>
      </c>
      <c r="R34" s="55" t="s">
        <v>34</v>
      </c>
      <c r="S34" s="53" t="s">
        <v>34</v>
      </c>
      <c r="T34" s="54" t="s">
        <v>34</v>
      </c>
      <c r="U34" s="55">
        <v>0</v>
      </c>
      <c r="V34" s="55">
        <f t="shared" si="8"/>
        <v>0</v>
      </c>
      <c r="W34" s="55">
        <f t="shared" si="9"/>
        <v>0</v>
      </c>
      <c r="X34" s="55">
        <v>0</v>
      </c>
      <c r="Y34" s="55" t="e">
        <v>#N/A</v>
      </c>
      <c r="Z34" s="56" t="e">
        <f t="shared" si="19"/>
        <v>#N/A</v>
      </c>
      <c r="AA34" s="55" t="e">
        <v>#N/A</v>
      </c>
      <c r="AB34" s="55">
        <f t="shared" si="27"/>
        <v>0</v>
      </c>
      <c r="AC34" s="55">
        <v>0</v>
      </c>
      <c r="AD34" s="55">
        <v>-39.029291476538461</v>
      </c>
      <c r="AE34" s="55">
        <v>0</v>
      </c>
      <c r="AF34" s="55" t="e">
        <v>#N/A</v>
      </c>
    </row>
    <row r="35" spans="1:32" s="57" customFormat="1" ht="15.75" customHeight="1">
      <c r="A35" s="2" t="s">
        <v>96</v>
      </c>
      <c r="B35" s="2"/>
      <c r="C35" s="51" t="str">
        <f t="shared" si="35"/>
        <v xml:space="preserve"> - </v>
      </c>
      <c r="D35" s="51">
        <v>0</v>
      </c>
      <c r="E35" s="51">
        <v>0</v>
      </c>
      <c r="F35" s="51">
        <v>0</v>
      </c>
      <c r="G35" s="51">
        <v>0</v>
      </c>
      <c r="H35" s="51" t="e">
        <f t="shared" si="1"/>
        <v>#DIV/0!</v>
      </c>
      <c r="I35" s="51" t="e">
        <f t="shared" si="2"/>
        <v>#DIV/0!</v>
      </c>
      <c r="J35" s="51">
        <f t="shared" si="4"/>
        <v>0</v>
      </c>
      <c r="K35" s="51" t="e">
        <f t="shared" si="3"/>
        <v>#DIV/0!</v>
      </c>
      <c r="L35" s="51">
        <v>0</v>
      </c>
      <c r="M35" s="51" t="str">
        <f t="shared" si="5"/>
        <v>-</v>
      </c>
      <c r="N35" s="51">
        <v>1</v>
      </c>
      <c r="O35" s="51">
        <f t="shared" ref="O35:P35" si="45">D35/7</f>
        <v>0</v>
      </c>
      <c r="P35" s="51">
        <f t="shared" si="45"/>
        <v>0</v>
      </c>
      <c r="Q35" s="51" t="e">
        <f t="shared" si="7"/>
        <v>#DIV/0!</v>
      </c>
      <c r="R35" s="55" t="s">
        <v>34</v>
      </c>
      <c r="S35" s="53" t="s">
        <v>34</v>
      </c>
      <c r="T35" s="54" t="s">
        <v>34</v>
      </c>
      <c r="U35" s="55">
        <v>0</v>
      </c>
      <c r="V35" s="55">
        <f t="shared" si="8"/>
        <v>0</v>
      </c>
      <c r="W35" s="55">
        <f t="shared" si="9"/>
        <v>0</v>
      </c>
      <c r="X35" s="55">
        <v>0</v>
      </c>
      <c r="Y35" s="55" t="e">
        <v>#N/A</v>
      </c>
      <c r="Z35" s="56" t="e">
        <f t="shared" si="19"/>
        <v>#N/A</v>
      </c>
      <c r="AA35" s="55" t="e">
        <v>#N/A</v>
      </c>
      <c r="AB35" s="55">
        <f t="shared" si="27"/>
        <v>0</v>
      </c>
      <c r="AC35" s="55">
        <v>0</v>
      </c>
      <c r="AD35" s="55">
        <v>-39.029291476538461</v>
      </c>
      <c r="AE35" s="55">
        <v>0</v>
      </c>
      <c r="AF35" s="55" t="e">
        <v>#N/A</v>
      </c>
    </row>
    <row r="36" spans="1:32" s="57" customFormat="1" ht="15.75" customHeight="1">
      <c r="A36" s="2" t="s">
        <v>98</v>
      </c>
      <c r="B36" s="2"/>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1</v>
      </c>
      <c r="O36" s="51">
        <f t="shared" ref="O36:P36" si="46">D36/7</f>
        <v>0</v>
      </c>
      <c r="P36" s="51">
        <f t="shared" si="46"/>
        <v>0</v>
      </c>
      <c r="Q36" s="51" t="e">
        <f t="shared" si="7"/>
        <v>#DIV/0!</v>
      </c>
      <c r="R36" s="55" t="s">
        <v>34</v>
      </c>
      <c r="S36" s="53"/>
      <c r="T36" s="54" t="s">
        <v>34</v>
      </c>
      <c r="U36" s="55"/>
      <c r="V36" s="55">
        <f t="shared" si="8"/>
        <v>0</v>
      </c>
      <c r="W36" s="55">
        <f t="shared" si="9"/>
        <v>0</v>
      </c>
      <c r="X36" s="55"/>
      <c r="Y36" s="55" t="e">
        <v>#N/A</v>
      </c>
      <c r="Z36" s="56" t="e">
        <f t="shared" si="19"/>
        <v>#N/A</v>
      </c>
      <c r="AA36" s="55" t="e">
        <v>#N/A</v>
      </c>
      <c r="AB36" s="55">
        <f t="shared" si="27"/>
        <v>0</v>
      </c>
      <c r="AC36" s="55">
        <v>0</v>
      </c>
      <c r="AD36" s="55">
        <v>-39.029291476538461</v>
      </c>
      <c r="AE36" s="55">
        <v>0</v>
      </c>
      <c r="AF36" s="55" t="e">
        <v>#N/A</v>
      </c>
    </row>
    <row r="37" spans="1:32" s="57" customFormat="1" ht="15.75" customHeight="1">
      <c r="A37" s="2" t="s">
        <v>99</v>
      </c>
      <c r="B37" s="2"/>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1</v>
      </c>
      <c r="O37" s="51">
        <f t="shared" ref="O37:P37" si="47">D37/7</f>
        <v>0</v>
      </c>
      <c r="P37" s="51">
        <f t="shared" si="47"/>
        <v>0</v>
      </c>
      <c r="Q37" s="51" t="e">
        <f t="shared" si="7"/>
        <v>#DIV/0!</v>
      </c>
      <c r="R37" s="55" t="s">
        <v>34</v>
      </c>
      <c r="S37" s="53" t="s">
        <v>34</v>
      </c>
      <c r="T37" s="54" t="s">
        <v>34</v>
      </c>
      <c r="U37" s="55">
        <v>0</v>
      </c>
      <c r="V37" s="55">
        <f t="shared" si="8"/>
        <v>0</v>
      </c>
      <c r="W37" s="55">
        <f t="shared" si="9"/>
        <v>0</v>
      </c>
      <c r="X37" s="55">
        <v>0</v>
      </c>
      <c r="Y37" s="55" t="e">
        <v>#N/A</v>
      </c>
      <c r="Z37" s="56" t="e">
        <f t="shared" si="19"/>
        <v>#N/A</v>
      </c>
      <c r="AA37" s="55" t="e">
        <v>#N/A</v>
      </c>
      <c r="AB37" s="55">
        <f t="shared" si="27"/>
        <v>0</v>
      </c>
      <c r="AC37" s="55">
        <v>0</v>
      </c>
      <c r="AD37" s="55">
        <v>-39.029291476538461</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1</v>
      </c>
      <c r="O38" s="51">
        <f t="shared" ref="O38:P38" si="48">D38/7</f>
        <v>0</v>
      </c>
      <c r="P38" s="51">
        <f t="shared" si="48"/>
        <v>0</v>
      </c>
      <c r="Q38" s="51" t="e">
        <f t="shared" si="7"/>
        <v>#DIV/0!</v>
      </c>
      <c r="R38" s="55" t="s">
        <v>34</v>
      </c>
      <c r="S38" s="53"/>
      <c r="T38" s="54" t="s">
        <v>34</v>
      </c>
      <c r="U38" s="55">
        <v>0</v>
      </c>
      <c r="V38" s="55">
        <f t="shared" si="8"/>
        <v>0</v>
      </c>
      <c r="W38" s="55">
        <f t="shared" si="9"/>
        <v>0</v>
      </c>
      <c r="X38" s="55">
        <v>0</v>
      </c>
      <c r="Y38" s="55" t="e">
        <v>#N/A</v>
      </c>
      <c r="Z38" s="56" t="e">
        <f t="shared" si="19"/>
        <v>#N/A</v>
      </c>
      <c r="AA38" s="55" t="e">
        <v>#N/A</v>
      </c>
      <c r="AB38" s="55">
        <f t="shared" si="27"/>
        <v>0</v>
      </c>
      <c r="AC38" s="55">
        <v>0</v>
      </c>
      <c r="AD38" s="55">
        <v>-39.029291476538461</v>
      </c>
      <c r="AE38" s="55">
        <v>0</v>
      </c>
      <c r="AF38" s="55" t="e">
        <v>#N/A</v>
      </c>
    </row>
    <row r="39" spans="1:32" s="57" customFormat="1" ht="15.75" customHeight="1">
      <c r="A39" s="2" t="s">
        <v>101</v>
      </c>
      <c r="B39" s="2"/>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0</v>
      </c>
      <c r="O39" s="51">
        <f t="shared" ref="O39:P39" si="49">D39/7</f>
        <v>0</v>
      </c>
      <c r="P39" s="51">
        <f t="shared" si="49"/>
        <v>0</v>
      </c>
      <c r="Q39" s="51" t="e">
        <f t="shared" si="7"/>
        <v>#DIV/0!</v>
      </c>
      <c r="R39" s="55" t="s">
        <v>34</v>
      </c>
      <c r="S39" s="53" t="s">
        <v>34</v>
      </c>
      <c r="T39" s="54" t="s">
        <v>34</v>
      </c>
      <c r="U39" s="55">
        <v>0</v>
      </c>
      <c r="V39" s="55">
        <f t="shared" si="8"/>
        <v>0</v>
      </c>
      <c r="W39" s="55">
        <f t="shared" si="9"/>
        <v>0</v>
      </c>
      <c r="X39" s="55">
        <v>0</v>
      </c>
      <c r="Y39" s="55" t="e">
        <v>#N/A</v>
      </c>
      <c r="Z39" s="56" t="e">
        <f t="shared" si="19"/>
        <v>#N/A</v>
      </c>
      <c r="AA39" s="55" t="e">
        <v>#N/A</v>
      </c>
      <c r="AB39" s="55">
        <f t="shared" si="27"/>
        <v>0</v>
      </c>
      <c r="AC39" s="55">
        <v>0</v>
      </c>
      <c r="AD39" s="55">
        <v>-39.029291476538397</v>
      </c>
      <c r="AE39" s="55">
        <v>0</v>
      </c>
      <c r="AF39" s="55" t="e">
        <v>#N/A</v>
      </c>
    </row>
    <row r="40" spans="1:32" s="57" customFormat="1" ht="15.75" customHeight="1">
      <c r="A40" s="2" t="s">
        <v>102</v>
      </c>
      <c r="B40" s="2"/>
      <c r="C40" s="51" t="s">
        <v>103</v>
      </c>
      <c r="D40" s="51">
        <v>0</v>
      </c>
      <c r="E40" s="51">
        <v>0</v>
      </c>
      <c r="F40" s="51">
        <v>0</v>
      </c>
      <c r="G40" s="51">
        <v>0</v>
      </c>
      <c r="H40" s="51" t="e">
        <v>#DIV/0!</v>
      </c>
      <c r="I40" s="51" t="e">
        <v>#DIV/0!</v>
      </c>
      <c r="J40" s="51">
        <v>0</v>
      </c>
      <c r="K40" s="51" t="e">
        <v>#DIV/0!</v>
      </c>
      <c r="L40" s="51">
        <v>0</v>
      </c>
      <c r="M40" s="51" t="s">
        <v>104</v>
      </c>
      <c r="N40" s="51">
        <v>1</v>
      </c>
      <c r="O40" s="51">
        <v>0</v>
      </c>
      <c r="P40" s="51">
        <v>0</v>
      </c>
      <c r="Q40" s="51" t="e">
        <v>#DIV/0!</v>
      </c>
      <c r="R40" s="55" t="s">
        <v>34</v>
      </c>
      <c r="S40" s="53" t="s">
        <v>34</v>
      </c>
      <c r="T40" s="54" t="s">
        <v>34</v>
      </c>
      <c r="U40" s="55">
        <v>0</v>
      </c>
      <c r="V40" s="55">
        <v>0</v>
      </c>
      <c r="W40" s="55">
        <v>0</v>
      </c>
      <c r="X40" s="55">
        <v>0</v>
      </c>
      <c r="Y40" s="55" t="e">
        <v>#N/A</v>
      </c>
      <c r="Z40" s="56" t="e">
        <v>#N/A</v>
      </c>
      <c r="AA40" s="55" t="e">
        <v>#N/A</v>
      </c>
      <c r="AB40" s="55">
        <v>0</v>
      </c>
      <c r="AC40" s="55">
        <v>0</v>
      </c>
      <c r="AD40" s="55">
        <v>-39.029291476538397</v>
      </c>
      <c r="AE40" s="55">
        <v>0</v>
      </c>
      <c r="AF40" s="55" t="e">
        <v>#N/A</v>
      </c>
    </row>
    <row r="41" spans="1:32" s="57" customFormat="1" ht="15.75" customHeight="1">
      <c r="A41" s="2" t="s">
        <v>105</v>
      </c>
      <c r="B41" s="2"/>
      <c r="C41" s="51" t="str">
        <f t="shared" ref="C41:C56" si="50">IFERROR(F41/D41," - ")</f>
        <v xml:space="preserve"> - </v>
      </c>
      <c r="D41" s="51">
        <v>0</v>
      </c>
      <c r="E41" s="51">
        <v>0</v>
      </c>
      <c r="F41" s="51">
        <v>0</v>
      </c>
      <c r="G41" s="51">
        <v>0</v>
      </c>
      <c r="H41" s="51" t="e">
        <f t="shared" ref="H41:H56" si="51">G41/F41*-1</f>
        <v>#DIV/0!</v>
      </c>
      <c r="I41" s="51" t="e">
        <f t="shared" ref="I41:I56" si="52">J41/F41</f>
        <v>#DIV/0!</v>
      </c>
      <c r="J41" s="51">
        <f t="shared" ref="J41:J48" si="53">F41*0.85+G41+AD41*D41+D41*AC41+AE42+AB41</f>
        <v>0</v>
      </c>
      <c r="K41" s="51" t="e">
        <f t="shared" ref="K41:K56" si="54">J41/D41</f>
        <v>#DIV/0!</v>
      </c>
      <c r="L41" s="51">
        <v>0</v>
      </c>
      <c r="M41" s="51" t="str">
        <f t="shared" ref="M41:M56" si="55">IFERROR(D41/L41,"-")</f>
        <v>-</v>
      </c>
      <c r="N41" s="51">
        <v>1</v>
      </c>
      <c r="O41" s="51">
        <f t="shared" ref="O41:P41" si="56">D41/7</f>
        <v>0</v>
      </c>
      <c r="P41" s="51">
        <f t="shared" si="56"/>
        <v>0</v>
      </c>
      <c r="Q41" s="51" t="e">
        <f t="shared" ref="Q41:Q56" si="57">ROUNDDOWN(N41/(O41+P41),0)</f>
        <v>#DIV/0!</v>
      </c>
      <c r="R41" s="55" t="s">
        <v>34</v>
      </c>
      <c r="S41" s="53" t="s">
        <v>34</v>
      </c>
      <c r="T41" s="54" t="s">
        <v>34</v>
      </c>
      <c r="U41" s="55">
        <v>0</v>
      </c>
      <c r="V41" s="55">
        <f t="shared" ref="V41:V56" si="58">IFERROR(U41/D41,0)</f>
        <v>0</v>
      </c>
      <c r="W41" s="55">
        <f t="shared" ref="W41:W56" si="59">IFERROR(G41/(U41+X41)*-1,0)</f>
        <v>0</v>
      </c>
      <c r="X41" s="55">
        <v>0</v>
      </c>
      <c r="Y41" s="52" t="e">
        <v>#N/A</v>
      </c>
      <c r="Z41" s="56" t="e">
        <f t="shared" ref="Z41:Z43" si="60">IF(OR(Y41="UsLargeStandardSize",Y41="UsSmallStandardSize"),-0.75,-0.48)</f>
        <v>#N/A</v>
      </c>
      <c r="AA41" s="55" t="e">
        <v>#N/A</v>
      </c>
      <c r="AB41" s="55">
        <f t="shared" ref="AB41:AB56" si="61">IFERROR(Z41*AA41*D41*3,0)</f>
        <v>0</v>
      </c>
      <c r="AC41" s="55">
        <v>0</v>
      </c>
      <c r="AD41" s="55">
        <v>-39.029291476538397</v>
      </c>
      <c r="AE41" s="55">
        <v>0</v>
      </c>
      <c r="AF41" s="55" t="e">
        <v>#N/A</v>
      </c>
    </row>
    <row r="42" spans="1:32" s="57" customFormat="1" ht="15.75" customHeight="1">
      <c r="A42" s="2" t="s">
        <v>106</v>
      </c>
      <c r="B42" s="2"/>
      <c r="C42" s="51" t="str">
        <f t="shared" si="50"/>
        <v xml:space="preserve"> - </v>
      </c>
      <c r="D42" s="51">
        <v>0</v>
      </c>
      <c r="E42" s="51">
        <v>0</v>
      </c>
      <c r="F42" s="51">
        <v>0</v>
      </c>
      <c r="G42" s="51">
        <v>0</v>
      </c>
      <c r="H42" s="51" t="e">
        <f t="shared" si="51"/>
        <v>#DIV/0!</v>
      </c>
      <c r="I42" s="51" t="e">
        <f t="shared" si="52"/>
        <v>#DIV/0!</v>
      </c>
      <c r="J42" s="51">
        <f t="shared" si="53"/>
        <v>0</v>
      </c>
      <c r="K42" s="51" t="e">
        <f t="shared" si="54"/>
        <v>#DIV/0!</v>
      </c>
      <c r="L42" s="51">
        <v>0</v>
      </c>
      <c r="M42" s="51" t="str">
        <f t="shared" si="55"/>
        <v>-</v>
      </c>
      <c r="N42" s="51">
        <v>1</v>
      </c>
      <c r="O42" s="51">
        <f t="shared" ref="O42:P42" si="62">D42/7</f>
        <v>0</v>
      </c>
      <c r="P42" s="51">
        <f t="shared" si="62"/>
        <v>0</v>
      </c>
      <c r="Q42" s="51" t="e">
        <f t="shared" si="57"/>
        <v>#DIV/0!</v>
      </c>
      <c r="R42" s="55" t="str">
        <f ca="1">IFERROR(__xludf.DUMMYFUNCTION("IFERROR(VLOOKUP($B$2,IMPORTRANGE(""https://docs.google.com/spreadsheets/d/1iVgg6Mw12RULLujzHmfOFIY8Q_KaAD8anoZzgtVAQ74/edit#gid=1503384807"",""Second Star - Summary!A1:AD2000""),9,FALSE),"""")"),"")</f>
        <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0</v>
      </c>
      <c r="V42" s="55">
        <f t="shared" si="58"/>
        <v>0</v>
      </c>
      <c r="W42" s="55">
        <f t="shared" si="59"/>
        <v>0</v>
      </c>
      <c r="X42" s="55">
        <v>0</v>
      </c>
      <c r="Y42" s="55" t="e">
        <v>#N/A</v>
      </c>
      <c r="Z42" s="56" t="e">
        <f t="shared" si="60"/>
        <v>#N/A</v>
      </c>
      <c r="AA42" s="55" t="e">
        <v>#N/A</v>
      </c>
      <c r="AB42" s="55">
        <f t="shared" si="61"/>
        <v>0</v>
      </c>
      <c r="AC42" s="55">
        <v>0</v>
      </c>
      <c r="AD42" s="55">
        <v>-39.029291476538397</v>
      </c>
      <c r="AE42" s="55">
        <v>0</v>
      </c>
      <c r="AF42" s="55" t="e">
        <v>#N/A</v>
      </c>
    </row>
    <row r="43" spans="1:32" s="57" customFormat="1" ht="15.75" customHeight="1">
      <c r="A43" s="2" t="s">
        <v>107</v>
      </c>
      <c r="B43" s="2"/>
      <c r="C43" s="51" t="str">
        <f t="shared" si="50"/>
        <v xml:space="preserve"> - </v>
      </c>
      <c r="D43" s="51">
        <v>0</v>
      </c>
      <c r="E43" s="51">
        <v>0</v>
      </c>
      <c r="F43" s="51">
        <v>0</v>
      </c>
      <c r="G43" s="51">
        <v>0</v>
      </c>
      <c r="H43" s="51" t="e">
        <f t="shared" si="51"/>
        <v>#DIV/0!</v>
      </c>
      <c r="I43" s="51" t="e">
        <f t="shared" si="52"/>
        <v>#DIV/0!</v>
      </c>
      <c r="J43" s="51">
        <f t="shared" si="53"/>
        <v>0</v>
      </c>
      <c r="K43" s="51" t="e">
        <f t="shared" si="54"/>
        <v>#DIV/0!</v>
      </c>
      <c r="L43" s="51">
        <v>0</v>
      </c>
      <c r="M43" s="51" t="str">
        <f t="shared" si="55"/>
        <v>-</v>
      </c>
      <c r="N43" s="51">
        <v>1</v>
      </c>
      <c r="O43" s="51">
        <f t="shared" ref="O43:P43" si="63">D43/7</f>
        <v>0</v>
      </c>
      <c r="P43" s="51">
        <f t="shared" si="63"/>
        <v>0</v>
      </c>
      <c r="Q43" s="51" t="e">
        <f t="shared" si="57"/>
        <v>#DIV/0!</v>
      </c>
      <c r="R43" s="55" t="s">
        <v>34</v>
      </c>
      <c r="S43" s="53" t="s">
        <v>34</v>
      </c>
      <c r="T43" s="54" t="s">
        <v>34</v>
      </c>
      <c r="U43" s="55">
        <v>0</v>
      </c>
      <c r="V43" s="55">
        <f t="shared" si="58"/>
        <v>0</v>
      </c>
      <c r="W43" s="55">
        <f t="shared" si="59"/>
        <v>0</v>
      </c>
      <c r="X43" s="55">
        <v>0</v>
      </c>
      <c r="Y43" s="55" t="e">
        <v>#N/A</v>
      </c>
      <c r="Z43" s="56" t="e">
        <f t="shared" si="60"/>
        <v>#N/A</v>
      </c>
      <c r="AA43" s="55" t="e">
        <v>#N/A</v>
      </c>
      <c r="AB43" s="55">
        <f t="shared" si="61"/>
        <v>0</v>
      </c>
      <c r="AC43" s="55">
        <v>0</v>
      </c>
      <c r="AD43" s="55">
        <v>-39.029291476538397</v>
      </c>
      <c r="AE43" s="55">
        <v>0</v>
      </c>
      <c r="AF43" s="55" t="e">
        <v>#N/A</v>
      </c>
    </row>
    <row r="44" spans="1:32" s="57" customFormat="1" ht="15.75" customHeight="1">
      <c r="A44" s="2" t="s">
        <v>108</v>
      </c>
      <c r="B44" s="2"/>
      <c r="C44" s="51" t="str">
        <f t="shared" si="50"/>
        <v xml:space="preserve"> - </v>
      </c>
      <c r="D44" s="51">
        <v>0</v>
      </c>
      <c r="E44" s="51">
        <v>0</v>
      </c>
      <c r="F44" s="51">
        <v>0</v>
      </c>
      <c r="G44" s="51">
        <v>0</v>
      </c>
      <c r="H44" s="51" t="e">
        <f t="shared" si="51"/>
        <v>#DIV/0!</v>
      </c>
      <c r="I44" s="51" t="e">
        <f t="shared" si="52"/>
        <v>#DIV/0!</v>
      </c>
      <c r="J44" s="51">
        <f t="shared" si="53"/>
        <v>0</v>
      </c>
      <c r="K44" s="51" t="e">
        <f t="shared" si="54"/>
        <v>#DIV/0!</v>
      </c>
      <c r="L44" s="51">
        <v>0</v>
      </c>
      <c r="M44" s="51" t="str">
        <f t="shared" si="55"/>
        <v>-</v>
      </c>
      <c r="N44" s="51">
        <v>1</v>
      </c>
      <c r="O44" s="51">
        <f t="shared" ref="O44:P44" si="64">D44/7</f>
        <v>0</v>
      </c>
      <c r="P44" s="51">
        <f t="shared" si="64"/>
        <v>0</v>
      </c>
      <c r="Q44" s="51" t="e">
        <f t="shared" si="57"/>
        <v>#DIV/0!</v>
      </c>
      <c r="R44" s="55" t="s">
        <v>34</v>
      </c>
      <c r="S44" s="53" t="s">
        <v>34</v>
      </c>
      <c r="T44" s="54" t="s">
        <v>34</v>
      </c>
      <c r="U44" s="55">
        <v>0</v>
      </c>
      <c r="V44" s="55">
        <f t="shared" si="58"/>
        <v>0</v>
      </c>
      <c r="W44" s="55">
        <f t="shared" si="59"/>
        <v>0</v>
      </c>
      <c r="X44" s="55">
        <v>0</v>
      </c>
      <c r="Y44" s="55" t="e">
        <v>#N/A</v>
      </c>
      <c r="Z44" s="56" t="e">
        <f t="shared" ref="Z44:Z56" si="65">IF(OR(Y44="UsLargeStandardSize",Y44="UsSmallStandardSize"),-2.4,-1.2)</f>
        <v>#N/A</v>
      </c>
      <c r="AA44" s="55" t="e">
        <v>#N/A</v>
      </c>
      <c r="AB44" s="55">
        <f t="shared" si="61"/>
        <v>0</v>
      </c>
      <c r="AC44" s="55">
        <v>0</v>
      </c>
      <c r="AD44" s="55">
        <v>-39.029291476538397</v>
      </c>
      <c r="AE44" s="55">
        <v>0</v>
      </c>
      <c r="AF44" s="55" t="e">
        <v>#N/A</v>
      </c>
    </row>
    <row r="45" spans="1:32" s="57" customFormat="1" ht="15.75" customHeight="1">
      <c r="A45" s="2" t="s">
        <v>109</v>
      </c>
      <c r="B45" s="2"/>
      <c r="C45" s="51" t="str">
        <f t="shared" si="50"/>
        <v xml:space="preserve"> - </v>
      </c>
      <c r="D45" s="51">
        <v>0</v>
      </c>
      <c r="E45" s="51">
        <v>0</v>
      </c>
      <c r="F45" s="51">
        <v>0</v>
      </c>
      <c r="G45" s="51">
        <v>0</v>
      </c>
      <c r="H45" s="51" t="e">
        <f t="shared" si="51"/>
        <v>#DIV/0!</v>
      </c>
      <c r="I45" s="51" t="e">
        <f t="shared" si="52"/>
        <v>#DIV/0!</v>
      </c>
      <c r="J45" s="51">
        <f t="shared" si="53"/>
        <v>0</v>
      </c>
      <c r="K45" s="51" t="e">
        <f t="shared" si="54"/>
        <v>#DIV/0!</v>
      </c>
      <c r="L45" s="51">
        <v>0</v>
      </c>
      <c r="M45" s="51" t="str">
        <f t="shared" si="55"/>
        <v>-</v>
      </c>
      <c r="N45" s="51">
        <v>1</v>
      </c>
      <c r="O45" s="51">
        <f t="shared" ref="O45:P45" si="66">D45/7</f>
        <v>0</v>
      </c>
      <c r="P45" s="51">
        <f t="shared" si="66"/>
        <v>0</v>
      </c>
      <c r="Q45" s="51" t="e">
        <f t="shared" si="57"/>
        <v>#DIV/0!</v>
      </c>
      <c r="R45" s="55" t="s">
        <v>34</v>
      </c>
      <c r="S45" s="53" t="s">
        <v>34</v>
      </c>
      <c r="T45" s="54" t="s">
        <v>34</v>
      </c>
      <c r="U45" s="55">
        <v>0</v>
      </c>
      <c r="V45" s="55">
        <f t="shared" si="58"/>
        <v>0</v>
      </c>
      <c r="W45" s="55">
        <f t="shared" si="59"/>
        <v>0</v>
      </c>
      <c r="X45" s="55">
        <v>0</v>
      </c>
      <c r="Y45" s="55" t="e">
        <v>#N/A</v>
      </c>
      <c r="Z45" s="56" t="e">
        <f t="shared" si="65"/>
        <v>#N/A</v>
      </c>
      <c r="AA45" s="55" t="e">
        <v>#N/A</v>
      </c>
      <c r="AB45" s="55">
        <f t="shared" si="61"/>
        <v>0</v>
      </c>
      <c r="AC45" s="55">
        <v>0</v>
      </c>
      <c r="AD45" s="55">
        <v>-39.029291476538397</v>
      </c>
      <c r="AE45" s="55">
        <v>0</v>
      </c>
      <c r="AF45" s="55" t="e">
        <v>#N/A</v>
      </c>
    </row>
    <row r="46" spans="1:32" s="57" customFormat="1" ht="15.75" customHeight="1">
      <c r="A46" s="2" t="s">
        <v>111</v>
      </c>
      <c r="B46" s="2"/>
      <c r="C46" s="51" t="str">
        <f t="shared" si="50"/>
        <v xml:space="preserve"> - </v>
      </c>
      <c r="D46" s="51">
        <v>0</v>
      </c>
      <c r="E46" s="51">
        <v>0</v>
      </c>
      <c r="F46" s="51">
        <v>0</v>
      </c>
      <c r="G46" s="51">
        <v>0</v>
      </c>
      <c r="H46" s="51" t="e">
        <f t="shared" si="51"/>
        <v>#DIV/0!</v>
      </c>
      <c r="I46" s="51" t="e">
        <f t="shared" si="52"/>
        <v>#DIV/0!</v>
      </c>
      <c r="J46" s="51">
        <f t="shared" si="53"/>
        <v>0</v>
      </c>
      <c r="K46" s="51" t="e">
        <f t="shared" si="54"/>
        <v>#DIV/0!</v>
      </c>
      <c r="L46" s="51">
        <v>0</v>
      </c>
      <c r="M46" s="51" t="str">
        <f t="shared" si="55"/>
        <v>-</v>
      </c>
      <c r="N46" s="51">
        <v>1</v>
      </c>
      <c r="O46" s="51">
        <f t="shared" ref="O46:P46" si="67">D46/7</f>
        <v>0</v>
      </c>
      <c r="P46" s="51">
        <f t="shared" si="67"/>
        <v>0</v>
      </c>
      <c r="Q46" s="51" t="e">
        <f t="shared" si="57"/>
        <v>#DIV/0!</v>
      </c>
      <c r="R46" s="55" t="s">
        <v>34</v>
      </c>
      <c r="S46" s="53" t="s">
        <v>34</v>
      </c>
      <c r="T46" s="54" t="s">
        <v>34</v>
      </c>
      <c r="U46" s="55">
        <v>0</v>
      </c>
      <c r="V46" s="55">
        <f t="shared" si="58"/>
        <v>0</v>
      </c>
      <c r="W46" s="55">
        <f t="shared" si="59"/>
        <v>0</v>
      </c>
      <c r="X46" s="55">
        <v>0</v>
      </c>
      <c r="Y46" s="55" t="e">
        <v>#N/A</v>
      </c>
      <c r="Z46" s="56" t="e">
        <f t="shared" si="65"/>
        <v>#N/A</v>
      </c>
      <c r="AA46" s="55" t="e">
        <v>#N/A</v>
      </c>
      <c r="AB46" s="55">
        <f t="shared" si="61"/>
        <v>0</v>
      </c>
      <c r="AC46" s="55">
        <v>0</v>
      </c>
      <c r="AD46" s="55">
        <v>-39.029291476538397</v>
      </c>
      <c r="AE46" s="55">
        <v>0</v>
      </c>
      <c r="AF46" s="55" t="e">
        <v>#N/A</v>
      </c>
    </row>
    <row r="47" spans="1:32" s="57" customFormat="1" ht="15.75" customHeight="1">
      <c r="A47" s="2" t="s">
        <v>113</v>
      </c>
      <c r="B47" s="2"/>
      <c r="C47" s="51" t="str">
        <f t="shared" si="50"/>
        <v xml:space="preserve"> - </v>
      </c>
      <c r="D47" s="51">
        <v>0</v>
      </c>
      <c r="E47" s="51">
        <v>0</v>
      </c>
      <c r="F47" s="51">
        <v>0</v>
      </c>
      <c r="G47" s="51">
        <v>0</v>
      </c>
      <c r="H47" s="51" t="e">
        <f t="shared" si="51"/>
        <v>#DIV/0!</v>
      </c>
      <c r="I47" s="51" t="e">
        <f t="shared" si="52"/>
        <v>#DIV/0!</v>
      </c>
      <c r="J47" s="51">
        <f t="shared" si="53"/>
        <v>0</v>
      </c>
      <c r="K47" s="51" t="e">
        <f t="shared" si="54"/>
        <v>#DIV/0!</v>
      </c>
      <c r="L47" s="51">
        <v>0</v>
      </c>
      <c r="M47" s="51" t="str">
        <f t="shared" si="55"/>
        <v>-</v>
      </c>
      <c r="N47" s="51">
        <v>1</v>
      </c>
      <c r="O47" s="51">
        <f t="shared" ref="O47:P47" si="68">D47/7</f>
        <v>0</v>
      </c>
      <c r="P47" s="51">
        <f t="shared" si="68"/>
        <v>0</v>
      </c>
      <c r="Q47" s="51" t="e">
        <f t="shared" si="57"/>
        <v>#DIV/0!</v>
      </c>
      <c r="R47" s="55" t="s">
        <v>34</v>
      </c>
      <c r="S47" s="53" t="s">
        <v>34</v>
      </c>
      <c r="T47" s="54" t="s">
        <v>34</v>
      </c>
      <c r="U47" s="55">
        <v>0</v>
      </c>
      <c r="V47" s="55">
        <f t="shared" si="58"/>
        <v>0</v>
      </c>
      <c r="W47" s="55">
        <f t="shared" si="59"/>
        <v>0</v>
      </c>
      <c r="X47" s="55">
        <v>0</v>
      </c>
      <c r="Y47" s="55" t="e">
        <v>#N/A</v>
      </c>
      <c r="Z47" s="56" t="e">
        <f t="shared" si="65"/>
        <v>#N/A</v>
      </c>
      <c r="AA47" s="55" t="e">
        <v>#N/A</v>
      </c>
      <c r="AB47" s="55">
        <f t="shared" si="61"/>
        <v>0</v>
      </c>
      <c r="AC47" s="55">
        <v>0</v>
      </c>
      <c r="AD47" s="55">
        <v>-39.029291476538397</v>
      </c>
      <c r="AE47" s="55">
        <v>0</v>
      </c>
      <c r="AF47" s="55" t="e">
        <v>#N/A</v>
      </c>
    </row>
    <row r="48" spans="1:32" s="57" customFormat="1" ht="15.75" customHeight="1">
      <c r="A48" s="2" t="s">
        <v>115</v>
      </c>
      <c r="B48" s="2"/>
      <c r="C48" s="51" t="str">
        <f t="shared" si="50"/>
        <v xml:space="preserve"> - </v>
      </c>
      <c r="D48" s="51">
        <v>0</v>
      </c>
      <c r="E48" s="51">
        <v>0</v>
      </c>
      <c r="F48" s="51">
        <v>0</v>
      </c>
      <c r="G48" s="51">
        <v>0</v>
      </c>
      <c r="H48" s="51" t="e">
        <f t="shared" si="51"/>
        <v>#DIV/0!</v>
      </c>
      <c r="I48" s="51" t="e">
        <f t="shared" si="52"/>
        <v>#DIV/0!</v>
      </c>
      <c r="J48" s="51">
        <f t="shared" si="53"/>
        <v>0</v>
      </c>
      <c r="K48" s="51" t="e">
        <f t="shared" si="54"/>
        <v>#DIV/0!</v>
      </c>
      <c r="L48" s="51">
        <v>0</v>
      </c>
      <c r="M48" s="51" t="str">
        <f t="shared" si="55"/>
        <v>-</v>
      </c>
      <c r="N48" s="51">
        <v>1</v>
      </c>
      <c r="O48" s="51">
        <f t="shared" ref="O48:P48" si="69">D48/7</f>
        <v>0</v>
      </c>
      <c r="P48" s="51">
        <f t="shared" si="69"/>
        <v>0</v>
      </c>
      <c r="Q48" s="51" t="e">
        <f t="shared" si="57"/>
        <v>#DIV/0!</v>
      </c>
      <c r="R48" s="55" t="str">
        <f ca="1">IFERROR(__xludf.DUMMYFUNCTION("IFERROR(VLOOKUP($B$2,IMPORTRANGE(""https://docs.google.com/spreadsheets/d/1iVgg6Mw12RULLujzHmfOFIY8Q_KaAD8anoZzgtVAQ74/edit#gid=1503384807"",""Second Star - Summary!A1:AD2000""),9,FALSE),"""")"),"")</f>
        <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si="58"/>
        <v>0</v>
      </c>
      <c r="W48" s="55">
        <f t="shared" si="59"/>
        <v>0</v>
      </c>
      <c r="X48" s="55">
        <v>0</v>
      </c>
      <c r="Y48" s="55" t="e">
        <v>#N/A</v>
      </c>
      <c r="Z48" s="56" t="e">
        <f t="shared" si="65"/>
        <v>#N/A</v>
      </c>
      <c r="AA48" s="55" t="e">
        <v>#N/A</v>
      </c>
      <c r="AB48" s="55">
        <f t="shared" si="61"/>
        <v>0</v>
      </c>
      <c r="AC48" s="55">
        <v>0</v>
      </c>
      <c r="AD48" s="55">
        <v>-39.029291476538397</v>
      </c>
      <c r="AE48" s="55">
        <v>0</v>
      </c>
      <c r="AF48" s="55" t="e">
        <v>#N/A</v>
      </c>
    </row>
    <row r="49" spans="1:32" s="57" customFormat="1" ht="15.75" customHeight="1">
      <c r="A49" s="2" t="s">
        <v>117</v>
      </c>
      <c r="B49" s="2"/>
      <c r="C49" s="51" t="str">
        <f t="shared" si="50"/>
        <v xml:space="preserve"> - </v>
      </c>
      <c r="D49" s="51">
        <v>0</v>
      </c>
      <c r="E49" s="51">
        <v>0</v>
      </c>
      <c r="F49" s="51">
        <v>0</v>
      </c>
      <c r="G49" s="51">
        <v>0</v>
      </c>
      <c r="H49" s="51" t="e">
        <f t="shared" si="51"/>
        <v>#DIV/0!</v>
      </c>
      <c r="I49" s="51" t="e">
        <f t="shared" si="52"/>
        <v>#DIV/0!</v>
      </c>
      <c r="J49" s="51">
        <f t="shared" ref="J49:J56" si="70">F49*0.85+G49+AD49*D49+D49*AC49+AE49+AB49</f>
        <v>0</v>
      </c>
      <c r="K49" s="51" t="e">
        <f t="shared" si="54"/>
        <v>#DIV/0!</v>
      </c>
      <c r="L49" s="51">
        <v>0</v>
      </c>
      <c r="M49" s="51" t="str">
        <f t="shared" si="55"/>
        <v>-</v>
      </c>
      <c r="N49" s="51">
        <v>1</v>
      </c>
      <c r="O49" s="51">
        <f t="shared" ref="O49:P49" si="71">D49/7</f>
        <v>0</v>
      </c>
      <c r="P49" s="51">
        <f t="shared" si="71"/>
        <v>0</v>
      </c>
      <c r="Q49" s="51" t="e">
        <f t="shared" si="57"/>
        <v>#DIV/0!</v>
      </c>
      <c r="R49" s="55" t="str">
        <f ca="1">IFERROR(__xludf.DUMMYFUNCTION("IFERROR(VLOOKUP($B$2,IMPORTRANGE(""https://docs.google.com/spreadsheets/d/1iVgg6Mw12RULLujzHmfOFIY8Q_KaAD8anoZzgtVAQ74/edit#gid=1503384807"",""Second Star - Summary!A1:AD2000""),9,FALSE),"""")"),"")</f>
        <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58"/>
        <v>0</v>
      </c>
      <c r="W49" s="55">
        <f t="shared" si="59"/>
        <v>0</v>
      </c>
      <c r="X49" s="55">
        <v>0</v>
      </c>
      <c r="Y49" s="55" t="e">
        <v>#N/A</v>
      </c>
      <c r="Z49" s="56" t="e">
        <f t="shared" si="65"/>
        <v>#N/A</v>
      </c>
      <c r="AA49" s="55" t="e">
        <v>#N/A</v>
      </c>
      <c r="AB49" s="55">
        <f t="shared" si="61"/>
        <v>0</v>
      </c>
      <c r="AC49" s="55">
        <v>0</v>
      </c>
      <c r="AD49" s="55">
        <v>-39.029291476538397</v>
      </c>
      <c r="AE49" s="55"/>
      <c r="AF49" s="55" t="e">
        <v>#N/A</v>
      </c>
    </row>
    <row r="50" spans="1:32" s="57" customFormat="1" ht="15.75" customHeight="1">
      <c r="A50" s="2" t="s">
        <v>119</v>
      </c>
      <c r="B50" s="2"/>
      <c r="C50" s="51" t="str">
        <f t="shared" si="50"/>
        <v xml:space="preserve"> - </v>
      </c>
      <c r="D50" s="51">
        <v>0</v>
      </c>
      <c r="E50" s="51">
        <v>0</v>
      </c>
      <c r="F50" s="51">
        <v>0</v>
      </c>
      <c r="G50" s="51">
        <v>0</v>
      </c>
      <c r="H50" s="51" t="e">
        <f t="shared" si="51"/>
        <v>#DIV/0!</v>
      </c>
      <c r="I50" s="51" t="e">
        <f t="shared" si="52"/>
        <v>#DIV/0!</v>
      </c>
      <c r="J50" s="51">
        <f t="shared" si="70"/>
        <v>0</v>
      </c>
      <c r="K50" s="51" t="e">
        <f t="shared" si="54"/>
        <v>#DIV/0!</v>
      </c>
      <c r="L50" s="51">
        <v>0</v>
      </c>
      <c r="M50" s="51" t="str">
        <f t="shared" si="55"/>
        <v>-</v>
      </c>
      <c r="N50" s="51">
        <v>1</v>
      </c>
      <c r="O50" s="51">
        <f t="shared" ref="O50:P50" si="72">D50/7</f>
        <v>0</v>
      </c>
      <c r="P50" s="51">
        <f t="shared" si="72"/>
        <v>0</v>
      </c>
      <c r="Q50" s="51" t="e">
        <f t="shared" si="57"/>
        <v>#DIV/0!</v>
      </c>
      <c r="R50" s="55" t="str">
        <f ca="1">IFERROR(__xludf.DUMMYFUNCTION("IFERROR(VLOOKUP($B$2,IMPORTRANGE(""https://docs.google.com/spreadsheets/d/1iVgg6Mw12RULLujzHmfOFIY8Q_KaAD8anoZzgtVAQ74/edit#gid=1503384807"",""Second Star - Summary!A1:AD2000""),9,FALSE),"""")"),"")</f>
        <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58"/>
        <v>0</v>
      </c>
      <c r="W50" s="55">
        <f t="shared" si="59"/>
        <v>0</v>
      </c>
      <c r="X50" s="55">
        <v>0</v>
      </c>
      <c r="Y50" s="55" t="e">
        <v>#N/A</v>
      </c>
      <c r="Z50" s="56" t="e">
        <f t="shared" si="65"/>
        <v>#N/A</v>
      </c>
      <c r="AA50" s="55" t="e">
        <v>#N/A</v>
      </c>
      <c r="AB50" s="55">
        <f t="shared" si="61"/>
        <v>0</v>
      </c>
      <c r="AC50" s="55">
        <v>0</v>
      </c>
      <c r="AD50" s="55">
        <v>-39.029291476538397</v>
      </c>
      <c r="AE50" s="55">
        <v>0</v>
      </c>
      <c r="AF50" s="55" t="e">
        <v>#N/A</v>
      </c>
    </row>
    <row r="51" spans="1:32" s="57" customFormat="1" ht="15.75" customHeight="1">
      <c r="A51" s="2" t="s">
        <v>121</v>
      </c>
      <c r="B51" s="2"/>
      <c r="C51" s="51" t="str">
        <f t="shared" si="50"/>
        <v xml:space="preserve"> - </v>
      </c>
      <c r="D51" s="51">
        <v>0</v>
      </c>
      <c r="E51" s="51">
        <v>0</v>
      </c>
      <c r="F51" s="51">
        <v>0</v>
      </c>
      <c r="G51" s="51">
        <v>0</v>
      </c>
      <c r="H51" s="51" t="e">
        <f t="shared" si="51"/>
        <v>#DIV/0!</v>
      </c>
      <c r="I51" s="51" t="e">
        <f t="shared" si="52"/>
        <v>#DIV/0!</v>
      </c>
      <c r="J51" s="51">
        <f t="shared" si="70"/>
        <v>0</v>
      </c>
      <c r="K51" s="51" t="e">
        <f t="shared" si="54"/>
        <v>#DIV/0!</v>
      </c>
      <c r="L51" s="51">
        <v>0</v>
      </c>
      <c r="M51" s="51" t="str">
        <f t="shared" si="55"/>
        <v>-</v>
      </c>
      <c r="N51" s="51">
        <v>1</v>
      </c>
      <c r="O51" s="51">
        <f t="shared" ref="O51:P51" si="73">D51/7</f>
        <v>0</v>
      </c>
      <c r="P51" s="51">
        <f t="shared" si="73"/>
        <v>0</v>
      </c>
      <c r="Q51" s="51" t="e">
        <f t="shared" si="57"/>
        <v>#DIV/0!</v>
      </c>
      <c r="R51" s="55" t="str">
        <f ca="1">IFERROR(__xludf.DUMMYFUNCTION("IFERROR(VLOOKUP($B$2,IMPORTRANGE(""https://docs.google.com/spreadsheets/d/1iVgg6Mw12RULLujzHmfOFIY8Q_KaAD8anoZzgtVAQ74/edit#gid=1503384807"",""Second Star - Summary!A1:AD2000""),9,FALSE),"""")"),"")</f>
        <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58"/>
        <v>0</v>
      </c>
      <c r="W51" s="55">
        <f t="shared" si="59"/>
        <v>0</v>
      </c>
      <c r="X51" s="55">
        <v>0</v>
      </c>
      <c r="Y51" s="55" t="e">
        <v>#N/A</v>
      </c>
      <c r="Z51" s="56" t="e">
        <f t="shared" si="65"/>
        <v>#N/A</v>
      </c>
      <c r="AA51" s="55" t="e">
        <v>#N/A</v>
      </c>
      <c r="AB51" s="55">
        <f t="shared" si="61"/>
        <v>0</v>
      </c>
      <c r="AC51" s="55">
        <v>0</v>
      </c>
      <c r="AD51" s="55">
        <v>-39.029291476538397</v>
      </c>
      <c r="AE51" s="55">
        <v>0</v>
      </c>
      <c r="AF51" s="55" t="e">
        <v>#N/A</v>
      </c>
    </row>
    <row r="52" spans="1:32" s="57" customFormat="1" ht="15.75" customHeight="1">
      <c r="A52" s="2" t="s">
        <v>123</v>
      </c>
      <c r="B52" s="2"/>
      <c r="C52" s="51" t="str">
        <f t="shared" si="50"/>
        <v xml:space="preserve"> - </v>
      </c>
      <c r="D52" s="51">
        <v>0</v>
      </c>
      <c r="E52" s="51">
        <v>0</v>
      </c>
      <c r="F52" s="51">
        <v>0</v>
      </c>
      <c r="G52" s="51">
        <v>0</v>
      </c>
      <c r="H52" s="51" t="e">
        <f t="shared" si="51"/>
        <v>#DIV/0!</v>
      </c>
      <c r="I52" s="51" t="e">
        <f t="shared" si="52"/>
        <v>#DIV/0!</v>
      </c>
      <c r="J52" s="51">
        <f t="shared" si="70"/>
        <v>0</v>
      </c>
      <c r="K52" s="51" t="e">
        <f t="shared" si="54"/>
        <v>#DIV/0!</v>
      </c>
      <c r="L52" s="51">
        <v>0</v>
      </c>
      <c r="M52" s="51" t="str">
        <f t="shared" si="55"/>
        <v>-</v>
      </c>
      <c r="N52" s="51">
        <v>1</v>
      </c>
      <c r="O52" s="51">
        <f t="shared" ref="O52:P52" si="74">D52/7</f>
        <v>0</v>
      </c>
      <c r="P52" s="51">
        <f t="shared" si="74"/>
        <v>0</v>
      </c>
      <c r="Q52" s="51" t="e">
        <f t="shared" si="57"/>
        <v>#DIV/0!</v>
      </c>
      <c r="R52" s="55" t="str">
        <f ca="1">IFERROR(__xludf.DUMMYFUNCTION("IFERROR(VLOOKUP($B$2,IMPORTRANGE(""https://docs.google.com/spreadsheets/d/1iVgg6Mw12RULLujzHmfOFIY8Q_KaAD8anoZzgtVAQ74/edit#gid=1503384807"",""Second Star - Summary!A1:AD2000""),9,FALSE),"""")"),"")</f>
        <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58"/>
        <v>0</v>
      </c>
      <c r="W52" s="55">
        <f t="shared" si="59"/>
        <v>0</v>
      </c>
      <c r="X52" s="55">
        <v>0</v>
      </c>
      <c r="Y52" s="55" t="e">
        <v>#N/A</v>
      </c>
      <c r="Z52" s="56" t="e">
        <f t="shared" si="65"/>
        <v>#N/A</v>
      </c>
      <c r="AA52" s="55" t="e">
        <v>#N/A</v>
      </c>
      <c r="AB52" s="55">
        <f t="shared" si="61"/>
        <v>0</v>
      </c>
      <c r="AC52" s="55">
        <v>0</v>
      </c>
      <c r="AD52" s="55">
        <v>-39.029291476538397</v>
      </c>
      <c r="AE52" s="55">
        <v>0</v>
      </c>
      <c r="AF52" s="55">
        <v>0</v>
      </c>
    </row>
    <row r="53" spans="1:32" s="57" customFormat="1">
      <c r="A53" s="2" t="s">
        <v>38</v>
      </c>
      <c r="B53" s="2"/>
      <c r="C53" s="51" t="str">
        <f t="shared" si="50"/>
        <v xml:space="preserve"> - </v>
      </c>
      <c r="D53" s="51">
        <v>0</v>
      </c>
      <c r="E53" s="51">
        <v>0</v>
      </c>
      <c r="F53" s="51">
        <v>0</v>
      </c>
      <c r="G53" s="51">
        <v>0</v>
      </c>
      <c r="H53" s="51" t="e">
        <f t="shared" si="51"/>
        <v>#DIV/0!</v>
      </c>
      <c r="I53" s="51" t="e">
        <f t="shared" si="52"/>
        <v>#DIV/0!</v>
      </c>
      <c r="J53" s="51">
        <f t="shared" si="70"/>
        <v>0</v>
      </c>
      <c r="K53" s="51" t="e">
        <f t="shared" si="54"/>
        <v>#DIV/0!</v>
      </c>
      <c r="L53" s="51">
        <v>0</v>
      </c>
      <c r="M53" s="51" t="str">
        <f t="shared" si="55"/>
        <v>-</v>
      </c>
      <c r="N53" s="51">
        <v>1</v>
      </c>
      <c r="O53" s="51">
        <f t="shared" ref="O53:P53" si="75">D53/7</f>
        <v>0</v>
      </c>
      <c r="P53" s="51">
        <f t="shared" si="75"/>
        <v>0</v>
      </c>
      <c r="Q53" s="51" t="e">
        <f t="shared" si="57"/>
        <v>#DIV/0!</v>
      </c>
      <c r="R53" s="55" t="str">
        <f ca="1">IFERROR(__xludf.DUMMYFUNCTION("IFERROR(VLOOKUP($B$2,IMPORTRANGE(""https://docs.google.com/spreadsheets/d/1iVgg6Mw12RULLujzHmfOFIY8Q_KaAD8anoZzgtVAQ74/edit#gid=1503384807"",""Second Star - Summary!A1:AD2000""),9,FALSE),"""")"),"")</f>
        <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58"/>
        <v>0</v>
      </c>
      <c r="W53" s="55">
        <f t="shared" si="59"/>
        <v>0</v>
      </c>
      <c r="X53" s="55">
        <v>0</v>
      </c>
      <c r="Y53" s="55" t="e">
        <v>#N/A</v>
      </c>
      <c r="Z53" s="56" t="e">
        <f t="shared" si="65"/>
        <v>#N/A</v>
      </c>
      <c r="AA53" s="55" t="e">
        <v>#N/A</v>
      </c>
      <c r="AB53" s="55">
        <f t="shared" si="61"/>
        <v>0</v>
      </c>
      <c r="AC53" s="55">
        <v>0</v>
      </c>
      <c r="AD53" s="55">
        <v>-39.029291476538397</v>
      </c>
      <c r="AE53" s="55">
        <v>0</v>
      </c>
      <c r="AF53" s="55">
        <v>0</v>
      </c>
    </row>
    <row r="54" spans="1:32" s="57" customFormat="1">
      <c r="A54" s="2" t="s">
        <v>40</v>
      </c>
      <c r="B54" s="2"/>
      <c r="C54" s="51" t="str">
        <f t="shared" si="50"/>
        <v xml:space="preserve"> - </v>
      </c>
      <c r="D54" s="51">
        <v>0</v>
      </c>
      <c r="E54" s="51">
        <v>0</v>
      </c>
      <c r="F54" s="51">
        <v>0</v>
      </c>
      <c r="G54" s="51">
        <v>0</v>
      </c>
      <c r="H54" s="51" t="e">
        <f t="shared" si="51"/>
        <v>#DIV/0!</v>
      </c>
      <c r="I54" s="51" t="e">
        <f t="shared" si="52"/>
        <v>#DIV/0!</v>
      </c>
      <c r="J54" s="51">
        <f t="shared" si="70"/>
        <v>0</v>
      </c>
      <c r="K54" s="51" t="e">
        <f t="shared" si="54"/>
        <v>#DIV/0!</v>
      </c>
      <c r="L54" s="51">
        <v>0</v>
      </c>
      <c r="M54" s="51" t="str">
        <f t="shared" si="55"/>
        <v>-</v>
      </c>
      <c r="N54" s="51">
        <v>1</v>
      </c>
      <c r="O54" s="51">
        <f t="shared" ref="O54:P54" si="76">D54/7</f>
        <v>0</v>
      </c>
      <c r="P54" s="51">
        <f t="shared" si="76"/>
        <v>0</v>
      </c>
      <c r="Q54" s="51" t="e">
        <f t="shared" si="57"/>
        <v>#DIV/0!</v>
      </c>
      <c r="R54" s="55" t="str">
        <f ca="1">IFERROR(__xludf.DUMMYFUNCTION("IFERROR(VLOOKUP($B$2,IMPORTRANGE(""https://docs.google.com/spreadsheets/d/1iVgg6Mw12RULLujzHmfOFIY8Q_KaAD8anoZzgtVAQ74/edit#gid=1503384807"",""Second Star - Summary!A1:AD2000""),9,FALSE),"""")"),"")</f>
        <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58"/>
        <v>0</v>
      </c>
      <c r="W54" s="55">
        <f t="shared" si="59"/>
        <v>0</v>
      </c>
      <c r="X54" s="55">
        <v>0</v>
      </c>
      <c r="Y54" s="55" t="e">
        <v>#N/A</v>
      </c>
      <c r="Z54" s="56" t="e">
        <f t="shared" si="65"/>
        <v>#N/A</v>
      </c>
      <c r="AA54" s="55" t="e">
        <v>#N/A</v>
      </c>
      <c r="AB54" s="55">
        <f t="shared" si="61"/>
        <v>0</v>
      </c>
      <c r="AC54" s="55">
        <v>0</v>
      </c>
      <c r="AD54" s="55">
        <v>-39.029291476538397</v>
      </c>
      <c r="AE54" s="55">
        <v>0</v>
      </c>
      <c r="AF54" s="55">
        <v>0</v>
      </c>
    </row>
    <row r="55" spans="1:32" s="57" customFormat="1" ht="15.75" customHeight="1">
      <c r="A55" s="2" t="s">
        <v>32</v>
      </c>
      <c r="B55" s="2"/>
      <c r="C55" s="51" t="str">
        <f t="shared" si="50"/>
        <v xml:space="preserve"> - </v>
      </c>
      <c r="D55" s="51">
        <v>0</v>
      </c>
      <c r="E55" s="51">
        <v>0</v>
      </c>
      <c r="F55" s="51">
        <v>0</v>
      </c>
      <c r="G55" s="51">
        <v>0</v>
      </c>
      <c r="H55" s="51" t="e">
        <f t="shared" si="51"/>
        <v>#DIV/0!</v>
      </c>
      <c r="I55" s="51" t="e">
        <f t="shared" si="52"/>
        <v>#DIV/0!</v>
      </c>
      <c r="J55" s="51">
        <f t="shared" si="70"/>
        <v>0</v>
      </c>
      <c r="K55" s="51" t="e">
        <f t="shared" si="54"/>
        <v>#DIV/0!</v>
      </c>
      <c r="L55" s="51">
        <v>0</v>
      </c>
      <c r="M55" s="51" t="str">
        <f t="shared" si="55"/>
        <v>-</v>
      </c>
      <c r="N55" s="51">
        <v>1</v>
      </c>
      <c r="O55" s="51">
        <f t="shared" ref="O55:P55" si="77">D55/7</f>
        <v>0</v>
      </c>
      <c r="P55" s="51">
        <f t="shared" si="77"/>
        <v>0</v>
      </c>
      <c r="Q55" s="51" t="e">
        <f t="shared" si="57"/>
        <v>#DIV/0!</v>
      </c>
      <c r="R55" s="55" t="s">
        <v>34</v>
      </c>
      <c r="S55" s="53" t="s">
        <v>34</v>
      </c>
      <c r="T55" s="54" t="s">
        <v>34</v>
      </c>
      <c r="U55" s="55">
        <v>0</v>
      </c>
      <c r="V55" s="55">
        <f t="shared" si="58"/>
        <v>0</v>
      </c>
      <c r="W55" s="55">
        <f t="shared" si="59"/>
        <v>0</v>
      </c>
      <c r="X55" s="55">
        <v>0</v>
      </c>
      <c r="Y55" s="55" t="e">
        <v>#N/A</v>
      </c>
      <c r="Z55" s="56" t="e">
        <f t="shared" si="65"/>
        <v>#N/A</v>
      </c>
      <c r="AA55" s="55" t="e">
        <v>#N/A</v>
      </c>
      <c r="AB55" s="55">
        <f t="shared" si="61"/>
        <v>0</v>
      </c>
      <c r="AC55" s="55">
        <v>0</v>
      </c>
      <c r="AD55" s="55">
        <v>-39.029291476538397</v>
      </c>
      <c r="AE55" s="55">
        <v>0</v>
      </c>
      <c r="AF55" s="55" t="e">
        <v>#N/A</v>
      </c>
    </row>
    <row r="56" spans="1:32" s="57" customFormat="1" ht="15.75" customHeight="1">
      <c r="A56" s="2" t="s">
        <v>36</v>
      </c>
      <c r="B56" s="2"/>
      <c r="C56" s="51" t="str">
        <f t="shared" si="50"/>
        <v xml:space="preserve"> - </v>
      </c>
      <c r="D56" s="51">
        <v>0</v>
      </c>
      <c r="E56" s="51">
        <v>0</v>
      </c>
      <c r="F56" s="51">
        <v>0</v>
      </c>
      <c r="G56" s="51">
        <v>0</v>
      </c>
      <c r="H56" s="51" t="e">
        <f t="shared" si="51"/>
        <v>#DIV/0!</v>
      </c>
      <c r="I56" s="51" t="e">
        <f t="shared" si="52"/>
        <v>#DIV/0!</v>
      </c>
      <c r="J56" s="51">
        <f t="shared" si="70"/>
        <v>0</v>
      </c>
      <c r="K56" s="51" t="e">
        <f t="shared" si="54"/>
        <v>#DIV/0!</v>
      </c>
      <c r="L56" s="51">
        <v>0</v>
      </c>
      <c r="M56" s="51" t="str">
        <f t="shared" si="55"/>
        <v>-</v>
      </c>
      <c r="N56" s="51">
        <v>1</v>
      </c>
      <c r="O56" s="51">
        <f t="shared" ref="O56:P56" si="78">D56/7</f>
        <v>0</v>
      </c>
      <c r="P56" s="51">
        <f t="shared" si="78"/>
        <v>0</v>
      </c>
      <c r="Q56" s="51" t="e">
        <f t="shared" si="57"/>
        <v>#DIV/0!</v>
      </c>
      <c r="R56" s="55" t="str">
        <f ca="1">IFERROR(__xludf.DUMMYFUNCTION("IFERROR(VLOOKUP($B$2,IMPORTRANGE(""https://docs.google.com/spreadsheets/d/1iVgg6Mw12RULLujzHmfOFIY8Q_KaAD8anoZzgtVAQ74/edit#gid=1503384807"",""Second Star - Summary!A1:AD2000""),9,FALSE),"""")"),"")</f>
        <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58"/>
        <v>0</v>
      </c>
      <c r="W56" s="55">
        <f t="shared" si="59"/>
        <v>0</v>
      </c>
      <c r="X56" s="55">
        <v>0</v>
      </c>
      <c r="Y56" s="55" t="e">
        <v>#N/A</v>
      </c>
      <c r="Z56" s="56" t="e">
        <f t="shared" si="65"/>
        <v>#N/A</v>
      </c>
      <c r="AA56" s="55" t="e">
        <v>#N/A</v>
      </c>
      <c r="AB56" s="55">
        <f t="shared" si="61"/>
        <v>0</v>
      </c>
      <c r="AC56" s="55">
        <v>0</v>
      </c>
      <c r="AD56" s="55">
        <v>-39.029291476538397</v>
      </c>
      <c r="AE56" s="55">
        <v>0</v>
      </c>
      <c r="AF56" s="55" t="e">
        <v>#N/A</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E200" s="2"/>
      <c r="P200" s="2"/>
      <c r="AF200" s="23"/>
    </row>
    <row r="201" spans="1:32" ht="15.75" customHeight="1">
      <c r="E201" s="2"/>
      <c r="P201" s="2"/>
      <c r="AF201" s="23"/>
    </row>
    <row r="202" spans="1:32" ht="15.75" customHeight="1">
      <c r="E202" s="2"/>
      <c r="P202" s="2"/>
      <c r="AF202" s="23"/>
    </row>
    <row r="203" spans="1:32" ht="15.75" customHeight="1">
      <c r="E203" s="2"/>
      <c r="P203" s="2"/>
      <c r="AF203" s="23"/>
    </row>
    <row r="204" spans="1:32" ht="15.75" customHeight="1">
      <c r="E204" s="2"/>
      <c r="P204" s="2"/>
      <c r="AF204" s="23"/>
    </row>
    <row r="205" spans="1:32" ht="15.75" customHeight="1">
      <c r="E205" s="2"/>
      <c r="P205" s="2"/>
      <c r="AF205" s="23"/>
    </row>
    <row r="206" spans="1:32" ht="15.75" customHeight="1">
      <c r="E206" s="2"/>
      <c r="P206" s="2"/>
      <c r="AF206" s="23"/>
    </row>
    <row r="207" spans="1:32" ht="15.75" customHeight="1">
      <c r="E207" s="2"/>
      <c r="P207" s="2"/>
      <c r="AF207" s="23"/>
    </row>
    <row r="208" spans="1: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41" priority="1" operator="lessThan">
      <formula>100</formula>
    </cfRule>
  </conditionalFormatting>
  <conditionalFormatting sqref="Q1:Q3 Q57:Q1000">
    <cfRule type="cellIs" dxfId="40" priority="2" operator="lessThan">
      <formula>100</formula>
    </cfRule>
  </conditionalFormatting>
  <conditionalFormatting sqref="I1:I3 I57:I1000">
    <cfRule type="cellIs" dxfId="39" priority="3" operator="lessThan">
      <formula>0.05</formula>
    </cfRule>
  </conditionalFormatting>
  <conditionalFormatting sqref="I4:I17">
    <cfRule type="cellIs" dxfId="38" priority="4" operator="lessThan">
      <formula>0.05</formula>
    </cfRule>
  </conditionalFormatting>
  <conditionalFormatting sqref="I18:I56">
    <cfRule type="cellIs" dxfId="37" priority="5" operator="lessThan">
      <formula>0.05</formula>
    </cfRule>
  </conditionalFormatting>
  <conditionalFormatting sqref="Q4:Q56">
    <cfRule type="cellIs" dxfId="36" priority="6" operator="lessThan">
      <formula>100</formula>
    </cfRule>
  </conditionalFormatting>
  <conditionalFormatting sqref="Q4:Q56">
    <cfRule type="cellIs" dxfId="35" priority="7" operator="lessThan">
      <formula>100</formula>
    </cfRule>
  </conditionalFormatting>
  <pageMargins left="0.7" right="0.7" top="0.75" bottom="0.75" header="0" footer="0"/>
  <pageSetup orientation="portrait"/>
  <legacy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23.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8.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Info!B1:BJ5000""),4,FALSE),"""")"),"15lb Weighted Blanket for Kids &amp; Adults - 60x80 Queen/King Size 15 Pound 100% Cotton Heavy Blanket with Fleece Duvet Cover &amp; Glass Beads")</f>
        <v>15lb Weighted Blanket for Kids &amp; Adults - 60x80 Queen/King Size 15 Pound 100% Cotton Heavy Blanket with Fleece Duvet Cover &amp; Glass Beads</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Info!B1:BJ5000""),3,FALSE),"""")"),"B07T6BKWNY")</f>
        <v>B07T6BKWNY</v>
      </c>
      <c r="B2" s="4" t="s">
        <v>1244</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50.436794871794824</v>
      </c>
      <c r="D3" s="8">
        <f>SUM(D4:D99819)</f>
        <v>2</v>
      </c>
      <c r="E3" s="8"/>
      <c r="F3" s="9">
        <f t="shared" ref="F3:G3" si="0">SUM(F4:F99819)</f>
        <v>129.97999999999999</v>
      </c>
      <c r="G3" s="9">
        <f t="shared" si="0"/>
        <v>0</v>
      </c>
      <c r="H3" s="10">
        <f t="shared" ref="H3:H39" si="1">G3/F3*-1</f>
        <v>0</v>
      </c>
      <c r="I3" s="11">
        <f t="shared" ref="I3:I39" si="2">J3/F3</f>
        <v>-2.4461850146570957E-2</v>
      </c>
      <c r="J3" s="9">
        <f>SUM(J4:J99819)</f>
        <v>-3.1795512820512926</v>
      </c>
      <c r="K3" s="9">
        <f t="shared" ref="K3:K39" si="3">J3/D3</f>
        <v>-1.5897756410256463</v>
      </c>
      <c r="L3" s="8"/>
      <c r="M3" s="12"/>
      <c r="N3" s="13"/>
      <c r="O3" s="8" t="str">
        <f ca="1">IFERROR(__xludf.DUMMYFUNCTION("IFERROR(VLOOKUP(B2,IMPORTRANGE(""https://docs.google.com/spreadsheets/d/1owCo6kL_VFQ5nPTdNogErmCBLjNiktT1m3SzTrxu3R0/edit#gid=2146806407"",""Second Star - Compiled!b1:g5000""),2,FALSE),"""")"),"")</f>
        <v/>
      </c>
      <c r="P3" s="8"/>
      <c r="Q3" s="14"/>
      <c r="R3" s="13"/>
      <c r="S3" s="13"/>
      <c r="T3" s="13"/>
      <c r="U3" s="8">
        <f>SUM(U4:U99819)</f>
        <v>0</v>
      </c>
      <c r="V3" s="10">
        <f>AVERAGE(V4:V99819)</f>
        <v>0</v>
      </c>
      <c r="W3" s="9">
        <f>ROUND(AVERAGE(W4:W99819),2)</f>
        <v>0</v>
      </c>
      <c r="X3" s="8"/>
      <c r="Y3" s="8"/>
      <c r="Z3" s="8"/>
      <c r="AA3" s="8"/>
      <c r="AB3" s="8"/>
      <c r="AC3" s="15"/>
      <c r="AD3" s="9"/>
      <c r="AE3" s="9">
        <f>SUM(AE4:AE99819)</f>
        <v>0</v>
      </c>
      <c r="AF3" s="16"/>
    </row>
    <row r="4" spans="1:32" s="57" customFormat="1" ht="16">
      <c r="A4" s="17" t="s">
        <v>48</v>
      </c>
      <c r="B4" s="17"/>
      <c r="C4" s="50" t="s">
        <v>397</v>
      </c>
      <c r="D4" s="51">
        <v>0</v>
      </c>
      <c r="E4" s="51">
        <v>0</v>
      </c>
      <c r="F4" s="51">
        <v>0</v>
      </c>
      <c r="G4" s="51">
        <v>0</v>
      </c>
      <c r="H4" s="51" t="e">
        <f t="shared" si="1"/>
        <v>#DIV/0!</v>
      </c>
      <c r="I4" s="51" t="e">
        <f t="shared" si="2"/>
        <v>#DIV/0!</v>
      </c>
      <c r="J4" s="51">
        <f t="shared" ref="J4:J38" si="4">F4*0.85+G4+AD4*D4+D4*AC4+AE4+AB4</f>
        <v>0</v>
      </c>
      <c r="K4" s="51" t="e">
        <f t="shared" si="3"/>
        <v>#DIV/0!</v>
      </c>
      <c r="L4" s="51">
        <v>0</v>
      </c>
      <c r="M4" s="51" t="str">
        <f t="shared" ref="M4:M39" si="5">IFERROR(D4/L4,"-")</f>
        <v>-</v>
      </c>
      <c r="N4" s="51">
        <v>0</v>
      </c>
      <c r="O4" s="51">
        <f t="shared" ref="O4:P4" si="6">D4/7</f>
        <v>0</v>
      </c>
      <c r="P4" s="51">
        <f t="shared" si="6"/>
        <v>0</v>
      </c>
      <c r="Q4" s="51" t="e">
        <f t="shared" ref="Q4:Q39" si="7">ROUNDDOWN(N4/(O4+P4),0)</f>
        <v>#DIV/0!</v>
      </c>
      <c r="R4" s="52">
        <v>0</v>
      </c>
      <c r="S4" s="53" t="s">
        <v>34</v>
      </c>
      <c r="T4" s="54" t="s">
        <v>34</v>
      </c>
      <c r="U4" s="52">
        <v>0</v>
      </c>
      <c r="V4" s="55">
        <f t="shared" ref="V4:V39" si="8">IFERROR(U4/D4,0)</f>
        <v>0</v>
      </c>
      <c r="W4" s="55">
        <f t="shared" ref="W4:W39" si="9">IFERROR(G4/(U4+X4)*-1,0)</f>
        <v>0</v>
      </c>
      <c r="X4" s="52">
        <v>0</v>
      </c>
      <c r="Y4" s="56" t="e">
        <v>#N/A</v>
      </c>
      <c r="Z4" s="56" t="e">
        <f t="shared" ref="Z4:Z10" si="10">IF(OR(Y4="UsLargeStandardSize",Y4="UsSmallStandardSize"),-0.69,-0.48)</f>
        <v>#N/A</v>
      </c>
      <c r="AA4" s="55" t="e">
        <v>#N/A</v>
      </c>
      <c r="AB4" s="55">
        <f t="shared" ref="AB4:AB17" si="11">IFERROR((Z4*AA4*N4)/4,0)</f>
        <v>0</v>
      </c>
      <c r="AC4" s="55">
        <v>0</v>
      </c>
      <c r="AD4" s="55">
        <v>-42.87127564102564</v>
      </c>
      <c r="AE4" s="55">
        <v>0</v>
      </c>
      <c r="AF4" s="55"/>
    </row>
    <row r="5" spans="1:32" s="57" customFormat="1" ht="15.75" customHeight="1">
      <c r="A5" s="2" t="s">
        <v>49</v>
      </c>
      <c r="B5" s="2" t="s">
        <v>1245</v>
      </c>
      <c r="C5" s="51" t="s">
        <v>397</v>
      </c>
      <c r="D5" s="51">
        <v>0</v>
      </c>
      <c r="E5" s="51">
        <v>0</v>
      </c>
      <c r="F5" s="51">
        <v>0</v>
      </c>
      <c r="G5" s="51">
        <v>0</v>
      </c>
      <c r="H5" s="51" t="e">
        <f t="shared" si="1"/>
        <v>#DIV/0!</v>
      </c>
      <c r="I5" s="51" t="e">
        <f t="shared" si="2"/>
        <v>#DIV/0!</v>
      </c>
      <c r="J5" s="51">
        <f t="shared" si="4"/>
        <v>0</v>
      </c>
      <c r="K5" s="51" t="e">
        <f t="shared" si="3"/>
        <v>#DIV/0!</v>
      </c>
      <c r="L5" s="51">
        <v>0</v>
      </c>
      <c r="M5" s="51" t="str">
        <f t="shared" si="5"/>
        <v>-</v>
      </c>
      <c r="N5" s="51">
        <v>0</v>
      </c>
      <c r="O5" s="51">
        <f t="shared" ref="O5:P5" si="12">D5/7</f>
        <v>0</v>
      </c>
      <c r="P5" s="51">
        <f t="shared" si="12"/>
        <v>0</v>
      </c>
      <c r="Q5" s="51" t="e">
        <f t="shared" si="7"/>
        <v>#DIV/0!</v>
      </c>
      <c r="R5" s="55">
        <v>0</v>
      </c>
      <c r="S5" s="53" t="s">
        <v>34</v>
      </c>
      <c r="T5" s="54" t="s">
        <v>34</v>
      </c>
      <c r="U5" s="55">
        <v>0</v>
      </c>
      <c r="V5" s="55">
        <f t="shared" si="8"/>
        <v>0</v>
      </c>
      <c r="W5" s="55">
        <f t="shared" si="9"/>
        <v>0</v>
      </c>
      <c r="X5" s="55">
        <v>0</v>
      </c>
      <c r="Y5" s="55" t="e">
        <v>#N/A</v>
      </c>
      <c r="Z5" s="56" t="e">
        <f t="shared" si="10"/>
        <v>#N/A</v>
      </c>
      <c r="AA5" s="55" t="e">
        <v>#N/A</v>
      </c>
      <c r="AB5" s="55">
        <f t="shared" si="11"/>
        <v>0</v>
      </c>
      <c r="AC5" s="55">
        <v>0</v>
      </c>
      <c r="AD5" s="55">
        <v>-42.87127564102564</v>
      </c>
      <c r="AE5" s="55">
        <v>0</v>
      </c>
      <c r="AF5" s="55"/>
    </row>
    <row r="6" spans="1:32" s="57" customFormat="1" ht="15.75" customHeight="1">
      <c r="A6" s="2" t="s">
        <v>51</v>
      </c>
      <c r="B6" s="2" t="s">
        <v>1246</v>
      </c>
      <c r="C6" s="51">
        <v>62.99</v>
      </c>
      <c r="D6" s="51">
        <v>1</v>
      </c>
      <c r="E6" s="51">
        <v>0</v>
      </c>
      <c r="F6" s="51">
        <v>62.99</v>
      </c>
      <c r="G6" s="51">
        <v>0</v>
      </c>
      <c r="H6" s="51">
        <f t="shared" si="1"/>
        <v>0</v>
      </c>
      <c r="I6" s="51">
        <f t="shared" si="2"/>
        <v>-5.2226950960876997E-2</v>
      </c>
      <c r="J6" s="51">
        <f t="shared" si="4"/>
        <v>-3.289775641025642</v>
      </c>
      <c r="K6" s="51">
        <f t="shared" si="3"/>
        <v>-3.289775641025642</v>
      </c>
      <c r="L6" s="51">
        <v>14</v>
      </c>
      <c r="M6" s="51">
        <f t="shared" si="5"/>
        <v>7.1428571428571425E-2</v>
      </c>
      <c r="N6" s="51">
        <v>0</v>
      </c>
      <c r="O6" s="51">
        <f t="shared" ref="O6:P6" si="13">D6/7</f>
        <v>0.14285714285714285</v>
      </c>
      <c r="P6" s="51">
        <f t="shared" si="13"/>
        <v>0</v>
      </c>
      <c r="Q6" s="51">
        <f t="shared" si="7"/>
        <v>0</v>
      </c>
      <c r="R6" s="55">
        <v>0</v>
      </c>
      <c r="S6" s="53" t="s">
        <v>34</v>
      </c>
      <c r="T6" s="54" t="s">
        <v>34</v>
      </c>
      <c r="U6" s="55">
        <v>0</v>
      </c>
      <c r="V6" s="55">
        <f t="shared" si="8"/>
        <v>0</v>
      </c>
      <c r="W6" s="55">
        <f t="shared" si="9"/>
        <v>0</v>
      </c>
      <c r="X6" s="55">
        <v>0</v>
      </c>
      <c r="Y6" s="55" t="s">
        <v>35</v>
      </c>
      <c r="Z6" s="56">
        <f t="shared" si="10"/>
        <v>-0.69</v>
      </c>
      <c r="AA6" s="55">
        <v>1.2713033402777776</v>
      </c>
      <c r="AB6" s="55">
        <f t="shared" si="11"/>
        <v>0</v>
      </c>
      <c r="AC6" s="55">
        <v>-13.96</v>
      </c>
      <c r="AD6" s="55">
        <v>-42.87127564102564</v>
      </c>
      <c r="AE6" s="55">
        <v>0</v>
      </c>
      <c r="AF6" s="55"/>
    </row>
    <row r="7" spans="1:32" s="57" customFormat="1" ht="15.75" customHeight="1">
      <c r="A7" s="2" t="s">
        <v>53</v>
      </c>
      <c r="B7" s="2"/>
      <c r="C7" s="51">
        <v>66.989999999999995</v>
      </c>
      <c r="D7" s="51">
        <v>1</v>
      </c>
      <c r="E7" s="51">
        <v>0</v>
      </c>
      <c r="F7" s="51">
        <v>66.989999999999995</v>
      </c>
      <c r="G7" s="51">
        <v>0</v>
      </c>
      <c r="H7" s="51">
        <f t="shared" si="1"/>
        <v>0</v>
      </c>
      <c r="I7" s="51">
        <f t="shared" si="2"/>
        <v>1.6453852660747793E-3</v>
      </c>
      <c r="J7" s="51">
        <f t="shared" si="4"/>
        <v>0.11022435897434946</v>
      </c>
      <c r="K7" s="51">
        <f t="shared" si="3"/>
        <v>0.11022435897434946</v>
      </c>
      <c r="L7" s="51">
        <v>1</v>
      </c>
      <c r="M7" s="51">
        <f t="shared" si="5"/>
        <v>1</v>
      </c>
      <c r="N7" s="51">
        <v>0</v>
      </c>
      <c r="O7" s="51">
        <f t="shared" ref="O7:P7" si="14">D7/7</f>
        <v>0.14285714285714285</v>
      </c>
      <c r="P7" s="51">
        <f t="shared" si="14"/>
        <v>0</v>
      </c>
      <c r="Q7" s="51">
        <f t="shared" si="7"/>
        <v>0</v>
      </c>
      <c r="R7" s="55">
        <v>0</v>
      </c>
      <c r="S7" s="53" t="s">
        <v>34</v>
      </c>
      <c r="T7" s="54" t="s">
        <v>34</v>
      </c>
      <c r="U7" s="55">
        <v>0</v>
      </c>
      <c r="V7" s="55">
        <f t="shared" si="8"/>
        <v>0</v>
      </c>
      <c r="W7" s="55">
        <f t="shared" si="9"/>
        <v>0</v>
      </c>
      <c r="X7" s="55">
        <v>0</v>
      </c>
      <c r="Y7" s="55" t="s">
        <v>35</v>
      </c>
      <c r="Z7" s="56">
        <f t="shared" si="10"/>
        <v>-0.69</v>
      </c>
      <c r="AA7" s="55">
        <v>1.2713033402777776</v>
      </c>
      <c r="AB7" s="55">
        <f t="shared" si="11"/>
        <v>0</v>
      </c>
      <c r="AC7" s="55">
        <v>-13.96</v>
      </c>
      <c r="AD7" s="55">
        <v>-42.87127564102564</v>
      </c>
      <c r="AE7" s="55">
        <v>0</v>
      </c>
      <c r="AF7" s="55"/>
    </row>
    <row r="8" spans="1:32" s="57" customFormat="1" ht="15.75" customHeight="1">
      <c r="A8" s="2" t="s">
        <v>54</v>
      </c>
      <c r="B8" s="2" t="s">
        <v>46</v>
      </c>
      <c r="C8" s="51" t="s">
        <v>397</v>
      </c>
      <c r="D8" s="51">
        <v>0</v>
      </c>
      <c r="E8" s="51">
        <v>0</v>
      </c>
      <c r="F8" s="51">
        <v>0</v>
      </c>
      <c r="G8" s="51">
        <v>0</v>
      </c>
      <c r="H8" s="51" t="e">
        <f t="shared" si="1"/>
        <v>#DIV/0!</v>
      </c>
      <c r="I8" s="51" t="e">
        <f t="shared" si="2"/>
        <v>#DIV/0!</v>
      </c>
      <c r="J8" s="51">
        <f t="shared" si="4"/>
        <v>0</v>
      </c>
      <c r="K8" s="51" t="e">
        <f t="shared" si="3"/>
        <v>#DIV/0!</v>
      </c>
      <c r="L8" s="51">
        <v>0</v>
      </c>
      <c r="M8" s="51" t="str">
        <f t="shared" si="5"/>
        <v>-</v>
      </c>
      <c r="N8" s="51">
        <v>0</v>
      </c>
      <c r="O8" s="51">
        <f t="shared" ref="O8:P8" si="15">D8/7</f>
        <v>0</v>
      </c>
      <c r="P8" s="51">
        <f t="shared" si="15"/>
        <v>0</v>
      </c>
      <c r="Q8" s="51" t="e">
        <f t="shared" si="7"/>
        <v>#DIV/0!</v>
      </c>
      <c r="R8" s="55">
        <v>0</v>
      </c>
      <c r="S8" s="53" t="s">
        <v>34</v>
      </c>
      <c r="T8" s="54" t="s">
        <v>34</v>
      </c>
      <c r="U8" s="55">
        <v>0</v>
      </c>
      <c r="V8" s="55">
        <f t="shared" si="8"/>
        <v>0</v>
      </c>
      <c r="W8" s="55">
        <f t="shared" si="9"/>
        <v>0</v>
      </c>
      <c r="X8" s="55">
        <v>0</v>
      </c>
      <c r="Y8" s="55" t="e">
        <v>#N/A</v>
      </c>
      <c r="Z8" s="56" t="e">
        <f t="shared" si="10"/>
        <v>#N/A</v>
      </c>
      <c r="AA8" s="55" t="e">
        <v>#N/A</v>
      </c>
      <c r="AB8" s="55">
        <f t="shared" si="11"/>
        <v>0</v>
      </c>
      <c r="AC8" s="55">
        <v>0</v>
      </c>
      <c r="AD8" s="55">
        <v>-42.87127564102564</v>
      </c>
      <c r="AE8" s="55">
        <v>0</v>
      </c>
      <c r="AF8" s="55"/>
    </row>
    <row r="9" spans="1:32" s="57" customFormat="1" ht="15.75" customHeight="1">
      <c r="A9" s="2" t="s">
        <v>56</v>
      </c>
      <c r="B9" s="2"/>
      <c r="C9" s="51" t="s">
        <v>397</v>
      </c>
      <c r="D9" s="51">
        <v>0</v>
      </c>
      <c r="E9" s="51">
        <v>0</v>
      </c>
      <c r="F9" s="51">
        <v>0</v>
      </c>
      <c r="G9" s="51">
        <v>0</v>
      </c>
      <c r="H9" s="51" t="e">
        <f t="shared" si="1"/>
        <v>#DIV/0!</v>
      </c>
      <c r="I9" s="51" t="e">
        <f t="shared" si="2"/>
        <v>#DIV/0!</v>
      </c>
      <c r="J9" s="51">
        <f t="shared" si="4"/>
        <v>0</v>
      </c>
      <c r="K9" s="51" t="e">
        <f t="shared" si="3"/>
        <v>#DIV/0!</v>
      </c>
      <c r="L9" s="51">
        <v>0</v>
      </c>
      <c r="M9" s="51" t="str">
        <f t="shared" si="5"/>
        <v>-</v>
      </c>
      <c r="N9" s="51">
        <v>0</v>
      </c>
      <c r="O9" s="51">
        <f t="shared" ref="O9:P9" si="16">D9/7</f>
        <v>0</v>
      </c>
      <c r="P9" s="51">
        <f t="shared" si="16"/>
        <v>0</v>
      </c>
      <c r="Q9" s="51" t="e">
        <f t="shared" si="7"/>
        <v>#DIV/0!</v>
      </c>
      <c r="R9" s="55">
        <v>0</v>
      </c>
      <c r="S9" s="53" t="s">
        <v>34</v>
      </c>
      <c r="T9" s="54" t="s">
        <v>34</v>
      </c>
      <c r="U9" s="55">
        <v>0</v>
      </c>
      <c r="V9" s="55">
        <f t="shared" si="8"/>
        <v>0</v>
      </c>
      <c r="W9" s="55">
        <f t="shared" si="9"/>
        <v>0</v>
      </c>
      <c r="X9" s="55">
        <v>0</v>
      </c>
      <c r="Y9" s="55" t="e">
        <v>#N/A</v>
      </c>
      <c r="Z9" s="56" t="e">
        <f t="shared" si="10"/>
        <v>#N/A</v>
      </c>
      <c r="AA9" s="55" t="e">
        <v>#N/A</v>
      </c>
      <c r="AB9" s="55">
        <f t="shared" si="11"/>
        <v>0</v>
      </c>
      <c r="AC9" s="55">
        <v>0</v>
      </c>
      <c r="AD9" s="55">
        <v>-42.87127564102564</v>
      </c>
      <c r="AE9" s="55">
        <v>0</v>
      </c>
      <c r="AF9" s="55"/>
    </row>
    <row r="10" spans="1:32" s="57" customFormat="1" ht="15.75" customHeight="1">
      <c r="A10" s="2" t="s">
        <v>58</v>
      </c>
      <c r="B10" s="2"/>
      <c r="C10" s="51" t="s">
        <v>397</v>
      </c>
      <c r="D10" s="51">
        <v>0</v>
      </c>
      <c r="E10" s="51">
        <v>0</v>
      </c>
      <c r="F10" s="51">
        <v>0</v>
      </c>
      <c r="G10" s="51">
        <v>0</v>
      </c>
      <c r="H10" s="51" t="e">
        <f t="shared" si="1"/>
        <v>#DIV/0!</v>
      </c>
      <c r="I10" s="51" t="e">
        <f t="shared" si="2"/>
        <v>#DIV/0!</v>
      </c>
      <c r="J10" s="51">
        <f t="shared" si="4"/>
        <v>0</v>
      </c>
      <c r="K10" s="51" t="e">
        <f t="shared" si="3"/>
        <v>#DIV/0!</v>
      </c>
      <c r="L10" s="51">
        <v>0</v>
      </c>
      <c r="M10" s="51" t="str">
        <f t="shared" si="5"/>
        <v>-</v>
      </c>
      <c r="N10" s="51">
        <v>0</v>
      </c>
      <c r="O10" s="51">
        <f t="shared" ref="O10:P10" si="17">D10/7</f>
        <v>0</v>
      </c>
      <c r="P10" s="51">
        <f t="shared" si="17"/>
        <v>0</v>
      </c>
      <c r="Q10" s="51" t="e">
        <f t="shared" si="7"/>
        <v>#DIV/0!</v>
      </c>
      <c r="R10" s="55">
        <v>0</v>
      </c>
      <c r="S10" s="53" t="s">
        <v>34</v>
      </c>
      <c r="T10" s="54" t="s">
        <v>34</v>
      </c>
      <c r="U10" s="55">
        <v>0</v>
      </c>
      <c r="V10" s="55">
        <f t="shared" si="8"/>
        <v>0</v>
      </c>
      <c r="W10" s="55">
        <f t="shared" si="9"/>
        <v>0</v>
      </c>
      <c r="X10" s="55">
        <v>0</v>
      </c>
      <c r="Y10" s="55" t="e">
        <v>#N/A</v>
      </c>
      <c r="Z10" s="56" t="e">
        <f t="shared" si="10"/>
        <v>#N/A</v>
      </c>
      <c r="AA10" s="55" t="e">
        <v>#N/A</v>
      </c>
      <c r="AB10" s="55">
        <f t="shared" si="11"/>
        <v>0</v>
      </c>
      <c r="AC10" s="55">
        <v>0</v>
      </c>
      <c r="AD10" s="55">
        <v>-42.87127564102564</v>
      </c>
      <c r="AE10" s="55">
        <v>0</v>
      </c>
      <c r="AF10" s="55"/>
    </row>
    <row r="11" spans="1:32" s="57" customFormat="1" ht="15.75" customHeight="1">
      <c r="A11" s="2" t="s">
        <v>60</v>
      </c>
      <c r="B11" s="2"/>
      <c r="C11" s="51" t="s">
        <v>397</v>
      </c>
      <c r="D11" s="51">
        <v>0</v>
      </c>
      <c r="E11" s="51">
        <v>0</v>
      </c>
      <c r="F11" s="51">
        <v>0</v>
      </c>
      <c r="G11" s="51">
        <v>0</v>
      </c>
      <c r="H11" s="51" t="e">
        <f t="shared" si="1"/>
        <v>#DIV/0!</v>
      </c>
      <c r="I11" s="51" t="e">
        <f t="shared" si="2"/>
        <v>#DIV/0!</v>
      </c>
      <c r="J11" s="51">
        <f t="shared" si="4"/>
        <v>0</v>
      </c>
      <c r="K11" s="51" t="e">
        <f t="shared" si="3"/>
        <v>#DIV/0!</v>
      </c>
      <c r="L11" s="51">
        <v>0</v>
      </c>
      <c r="M11" s="51" t="str">
        <f t="shared" si="5"/>
        <v>-</v>
      </c>
      <c r="N11" s="51">
        <v>0</v>
      </c>
      <c r="O11" s="51">
        <f t="shared" ref="O11:P11" si="18">D11/7</f>
        <v>0</v>
      </c>
      <c r="P11" s="51">
        <f t="shared" si="18"/>
        <v>0</v>
      </c>
      <c r="Q11" s="51" t="e">
        <f t="shared" si="7"/>
        <v>#DIV/0!</v>
      </c>
      <c r="R11" s="55">
        <v>0</v>
      </c>
      <c r="S11" s="53" t="s">
        <v>34</v>
      </c>
      <c r="T11" s="54" t="s">
        <v>34</v>
      </c>
      <c r="U11" s="55">
        <v>0</v>
      </c>
      <c r="V11" s="55">
        <f t="shared" si="8"/>
        <v>0</v>
      </c>
      <c r="W11" s="55">
        <f t="shared" si="9"/>
        <v>0</v>
      </c>
      <c r="X11" s="55">
        <v>0</v>
      </c>
      <c r="Y11" s="55" t="e">
        <v>#N/A</v>
      </c>
      <c r="Z11" s="56" t="e">
        <f t="shared" ref="Z11:Z39" si="19">IF(OR(Y11="UsLargeStandardSize",Y11="UsSmallStandardSize"),-0.75,-0.48)</f>
        <v>#N/A</v>
      </c>
      <c r="AA11" s="55" t="e">
        <v>#N/A</v>
      </c>
      <c r="AB11" s="55">
        <f t="shared" si="11"/>
        <v>0</v>
      </c>
      <c r="AC11" s="55">
        <v>0</v>
      </c>
      <c r="AD11" s="55">
        <v>-42.87127564102564</v>
      </c>
      <c r="AE11" s="55">
        <v>0</v>
      </c>
      <c r="AF11" s="55"/>
    </row>
    <row r="12" spans="1:32" s="57" customFormat="1" ht="15.75" customHeight="1">
      <c r="A12" s="2" t="s">
        <v>62</v>
      </c>
      <c r="B12" s="2"/>
      <c r="C12" s="51" t="s">
        <v>397</v>
      </c>
      <c r="D12" s="51">
        <v>0</v>
      </c>
      <c r="E12" s="51">
        <v>0</v>
      </c>
      <c r="F12" s="51">
        <v>0</v>
      </c>
      <c r="G12" s="51">
        <v>0</v>
      </c>
      <c r="H12" s="51" t="e">
        <f t="shared" si="1"/>
        <v>#DIV/0!</v>
      </c>
      <c r="I12" s="51" t="e">
        <f t="shared" si="2"/>
        <v>#DIV/0!</v>
      </c>
      <c r="J12" s="51">
        <f t="shared" si="4"/>
        <v>0</v>
      </c>
      <c r="K12" s="51" t="e">
        <f t="shared" si="3"/>
        <v>#DIV/0!</v>
      </c>
      <c r="L12" s="51">
        <v>0</v>
      </c>
      <c r="M12" s="51" t="str">
        <f t="shared" si="5"/>
        <v>-</v>
      </c>
      <c r="N12" s="51">
        <v>0</v>
      </c>
      <c r="O12" s="51">
        <f t="shared" ref="O12:P12" si="20">D12/7</f>
        <v>0</v>
      </c>
      <c r="P12" s="51">
        <f t="shared" si="20"/>
        <v>0</v>
      </c>
      <c r="Q12" s="51" t="e">
        <f t="shared" si="7"/>
        <v>#DIV/0!</v>
      </c>
      <c r="R12" s="55">
        <v>0</v>
      </c>
      <c r="S12" s="53" t="s">
        <v>34</v>
      </c>
      <c r="T12" s="54" t="s">
        <v>34</v>
      </c>
      <c r="U12" s="55">
        <v>0</v>
      </c>
      <c r="V12" s="55">
        <f t="shared" si="8"/>
        <v>0</v>
      </c>
      <c r="W12" s="55">
        <f t="shared" si="9"/>
        <v>0</v>
      </c>
      <c r="X12" s="55">
        <v>0</v>
      </c>
      <c r="Y12" s="55" t="e">
        <v>#N/A</v>
      </c>
      <c r="Z12" s="56" t="e">
        <f t="shared" si="19"/>
        <v>#N/A</v>
      </c>
      <c r="AA12" s="55" t="e">
        <v>#N/A</v>
      </c>
      <c r="AB12" s="55">
        <f t="shared" si="11"/>
        <v>0</v>
      </c>
      <c r="AC12" s="55">
        <v>0</v>
      </c>
      <c r="AD12" s="55">
        <v>-42.87127564102564</v>
      </c>
      <c r="AE12" s="55">
        <v>0</v>
      </c>
      <c r="AF12" s="55"/>
    </row>
    <row r="13" spans="1:32" s="57" customFormat="1" ht="15.75" customHeight="1">
      <c r="A13" s="2" t="s">
        <v>63</v>
      </c>
      <c r="B13" s="2"/>
      <c r="C13" s="51" t="s">
        <v>397</v>
      </c>
      <c r="D13" s="51">
        <v>0</v>
      </c>
      <c r="E13" s="51">
        <v>0</v>
      </c>
      <c r="F13" s="51">
        <v>0</v>
      </c>
      <c r="G13" s="51">
        <v>0</v>
      </c>
      <c r="H13" s="51" t="e">
        <f t="shared" si="1"/>
        <v>#DIV/0!</v>
      </c>
      <c r="I13" s="51" t="e">
        <f t="shared" si="2"/>
        <v>#DIV/0!</v>
      </c>
      <c r="J13" s="51">
        <f t="shared" si="4"/>
        <v>0</v>
      </c>
      <c r="K13" s="51" t="e">
        <f t="shared" si="3"/>
        <v>#DIV/0!</v>
      </c>
      <c r="L13" s="51">
        <v>0</v>
      </c>
      <c r="M13" s="51" t="str">
        <f t="shared" si="5"/>
        <v>-</v>
      </c>
      <c r="N13" s="51">
        <v>0</v>
      </c>
      <c r="O13" s="51">
        <f t="shared" ref="O13:P13" si="21">D13/7</f>
        <v>0</v>
      </c>
      <c r="P13" s="51">
        <f t="shared" si="21"/>
        <v>0</v>
      </c>
      <c r="Q13" s="51" t="e">
        <f t="shared" si="7"/>
        <v>#DIV/0!</v>
      </c>
      <c r="R13" s="55">
        <v>0</v>
      </c>
      <c r="S13" s="53" t="s">
        <v>34</v>
      </c>
      <c r="T13" s="54" t="s">
        <v>34</v>
      </c>
      <c r="U13" s="55">
        <v>0</v>
      </c>
      <c r="V13" s="55">
        <f t="shared" si="8"/>
        <v>0</v>
      </c>
      <c r="W13" s="55">
        <f t="shared" si="9"/>
        <v>0</v>
      </c>
      <c r="X13" s="55">
        <v>0</v>
      </c>
      <c r="Y13" s="55" t="e">
        <v>#N/A</v>
      </c>
      <c r="Z13" s="56" t="e">
        <f t="shared" si="19"/>
        <v>#N/A</v>
      </c>
      <c r="AA13" s="55" t="e">
        <v>#N/A</v>
      </c>
      <c r="AB13" s="55">
        <f t="shared" si="11"/>
        <v>0</v>
      </c>
      <c r="AC13" s="55">
        <v>0</v>
      </c>
      <c r="AD13" s="55">
        <v>-42.87127564102564</v>
      </c>
      <c r="AE13" s="55">
        <v>0</v>
      </c>
      <c r="AF13" s="55"/>
    </row>
    <row r="14" spans="1:32" s="57" customFormat="1" ht="15.75" customHeight="1">
      <c r="A14" s="2" t="s">
        <v>64</v>
      </c>
      <c r="B14" s="2"/>
      <c r="C14" s="51" t="s">
        <v>397</v>
      </c>
      <c r="D14" s="51">
        <v>0</v>
      </c>
      <c r="E14" s="51">
        <v>0</v>
      </c>
      <c r="F14" s="51">
        <v>0</v>
      </c>
      <c r="G14" s="51">
        <v>0</v>
      </c>
      <c r="H14" s="51" t="e">
        <f t="shared" si="1"/>
        <v>#DIV/0!</v>
      </c>
      <c r="I14" s="51" t="e">
        <f t="shared" si="2"/>
        <v>#DIV/0!</v>
      </c>
      <c r="J14" s="51">
        <f t="shared" si="4"/>
        <v>0</v>
      </c>
      <c r="K14" s="51" t="e">
        <f t="shared" si="3"/>
        <v>#DIV/0!</v>
      </c>
      <c r="L14" s="51">
        <v>0</v>
      </c>
      <c r="M14" s="51" t="str">
        <f t="shared" si="5"/>
        <v>-</v>
      </c>
      <c r="N14" s="51">
        <v>0</v>
      </c>
      <c r="O14" s="51">
        <f t="shared" ref="O14:P14" si="22">D14/7</f>
        <v>0</v>
      </c>
      <c r="P14" s="51">
        <f t="shared" si="22"/>
        <v>0</v>
      </c>
      <c r="Q14" s="51" t="e">
        <f t="shared" si="7"/>
        <v>#DIV/0!</v>
      </c>
      <c r="R14" s="55">
        <v>0</v>
      </c>
      <c r="S14" s="53" t="s">
        <v>34</v>
      </c>
      <c r="T14" s="54" t="s">
        <v>34</v>
      </c>
      <c r="U14" s="55">
        <v>0</v>
      </c>
      <c r="V14" s="55">
        <f t="shared" si="8"/>
        <v>0</v>
      </c>
      <c r="W14" s="55">
        <f t="shared" si="9"/>
        <v>0</v>
      </c>
      <c r="X14" s="55">
        <v>0</v>
      </c>
      <c r="Y14" s="55" t="e">
        <v>#N/A</v>
      </c>
      <c r="Z14" s="56" t="e">
        <f t="shared" si="19"/>
        <v>#N/A</v>
      </c>
      <c r="AA14" s="55" t="e">
        <v>#N/A</v>
      </c>
      <c r="AB14" s="55">
        <f t="shared" si="11"/>
        <v>0</v>
      </c>
      <c r="AC14" s="55">
        <v>0</v>
      </c>
      <c r="AD14" s="55">
        <v>-42.87127564102564</v>
      </c>
      <c r="AE14" s="55">
        <v>0</v>
      </c>
      <c r="AF14" s="55"/>
    </row>
    <row r="15" spans="1:32" s="57" customFormat="1" ht="15.75" customHeight="1">
      <c r="A15" s="2" t="s">
        <v>65</v>
      </c>
      <c r="B15" s="2"/>
      <c r="C15" s="51" t="s">
        <v>397</v>
      </c>
      <c r="D15" s="51">
        <v>0</v>
      </c>
      <c r="E15" s="51">
        <v>0</v>
      </c>
      <c r="F15" s="51">
        <v>0</v>
      </c>
      <c r="G15" s="51">
        <v>0</v>
      </c>
      <c r="H15" s="51" t="e">
        <f t="shared" si="1"/>
        <v>#DIV/0!</v>
      </c>
      <c r="I15" s="51" t="e">
        <f t="shared" si="2"/>
        <v>#DIV/0!</v>
      </c>
      <c r="J15" s="51">
        <f t="shared" si="4"/>
        <v>0</v>
      </c>
      <c r="K15" s="51" t="e">
        <f t="shared" si="3"/>
        <v>#DIV/0!</v>
      </c>
      <c r="L15" s="51">
        <v>0</v>
      </c>
      <c r="M15" s="51" t="str">
        <f t="shared" si="5"/>
        <v>-</v>
      </c>
      <c r="N15" s="51">
        <v>0</v>
      </c>
      <c r="O15" s="51">
        <f t="shared" ref="O15:P15" si="23">D15/7</f>
        <v>0</v>
      </c>
      <c r="P15" s="51">
        <f t="shared" si="23"/>
        <v>0</v>
      </c>
      <c r="Q15" s="51" t="e">
        <f t="shared" si="7"/>
        <v>#DIV/0!</v>
      </c>
      <c r="R15" s="55">
        <v>0</v>
      </c>
      <c r="S15" s="53" t="s">
        <v>34</v>
      </c>
      <c r="T15" s="54" t="s">
        <v>34</v>
      </c>
      <c r="U15" s="55">
        <v>0</v>
      </c>
      <c r="V15" s="55">
        <f t="shared" si="8"/>
        <v>0</v>
      </c>
      <c r="W15" s="55">
        <f t="shared" si="9"/>
        <v>0</v>
      </c>
      <c r="X15" s="55">
        <v>0</v>
      </c>
      <c r="Y15" s="55" t="e">
        <v>#N/A</v>
      </c>
      <c r="Z15" s="56" t="e">
        <f t="shared" si="19"/>
        <v>#N/A</v>
      </c>
      <c r="AA15" s="55" t="e">
        <v>#N/A</v>
      </c>
      <c r="AB15" s="55">
        <f t="shared" si="11"/>
        <v>0</v>
      </c>
      <c r="AC15" s="55">
        <v>0</v>
      </c>
      <c r="AD15" s="55">
        <v>-42.87127564102564</v>
      </c>
      <c r="AE15" s="55">
        <v>0</v>
      </c>
      <c r="AF15" s="55"/>
    </row>
    <row r="16" spans="1:32" s="57" customFormat="1" ht="15.75" customHeight="1">
      <c r="A16" s="2" t="s">
        <v>66</v>
      </c>
      <c r="B16" s="2"/>
      <c r="C16" s="51" t="s">
        <v>397</v>
      </c>
      <c r="D16" s="51">
        <v>0</v>
      </c>
      <c r="E16" s="51">
        <v>0</v>
      </c>
      <c r="F16" s="51">
        <v>0</v>
      </c>
      <c r="G16" s="51">
        <v>0</v>
      </c>
      <c r="H16" s="51" t="e">
        <f t="shared" si="1"/>
        <v>#DIV/0!</v>
      </c>
      <c r="I16" s="51" t="e">
        <f t="shared" si="2"/>
        <v>#DIV/0!</v>
      </c>
      <c r="J16" s="51">
        <f t="shared" si="4"/>
        <v>0</v>
      </c>
      <c r="K16" s="51" t="e">
        <f t="shared" si="3"/>
        <v>#DIV/0!</v>
      </c>
      <c r="L16" s="51">
        <v>0</v>
      </c>
      <c r="M16" s="51" t="str">
        <f t="shared" si="5"/>
        <v>-</v>
      </c>
      <c r="N16" s="51">
        <v>0</v>
      </c>
      <c r="O16" s="51">
        <f t="shared" ref="O16:P16" si="24">D16/7</f>
        <v>0</v>
      </c>
      <c r="P16" s="51">
        <f t="shared" si="24"/>
        <v>0</v>
      </c>
      <c r="Q16" s="51" t="e">
        <f t="shared" si="7"/>
        <v>#DIV/0!</v>
      </c>
      <c r="R16" s="55">
        <v>0</v>
      </c>
      <c r="S16" s="53" t="s">
        <v>34</v>
      </c>
      <c r="T16" s="54" t="s">
        <v>34</v>
      </c>
      <c r="U16" s="55">
        <v>0</v>
      </c>
      <c r="V16" s="55">
        <f t="shared" si="8"/>
        <v>0</v>
      </c>
      <c r="W16" s="55">
        <f t="shared" si="9"/>
        <v>0</v>
      </c>
      <c r="X16" s="55">
        <v>0</v>
      </c>
      <c r="Y16" s="55" t="e">
        <v>#N/A</v>
      </c>
      <c r="Z16" s="56" t="e">
        <f t="shared" si="19"/>
        <v>#N/A</v>
      </c>
      <c r="AA16" s="55" t="e">
        <v>#N/A</v>
      </c>
      <c r="AB16" s="55">
        <f t="shared" si="11"/>
        <v>0</v>
      </c>
      <c r="AC16" s="55">
        <v>0</v>
      </c>
      <c r="AD16" s="55">
        <v>-42.87127564102564</v>
      </c>
      <c r="AE16" s="55">
        <v>0</v>
      </c>
      <c r="AF16" s="55"/>
    </row>
    <row r="17" spans="1:32" s="57" customFormat="1" ht="15.75" customHeight="1">
      <c r="A17" s="2" t="s">
        <v>67</v>
      </c>
      <c r="B17" s="2"/>
      <c r="C17" s="51" t="s">
        <v>397</v>
      </c>
      <c r="D17" s="51">
        <v>0</v>
      </c>
      <c r="E17" s="51">
        <v>0</v>
      </c>
      <c r="F17" s="51">
        <v>0</v>
      </c>
      <c r="G17" s="51">
        <v>0</v>
      </c>
      <c r="H17" s="51" t="e">
        <f t="shared" si="1"/>
        <v>#DIV/0!</v>
      </c>
      <c r="I17" s="51" t="e">
        <f t="shared" si="2"/>
        <v>#DIV/0!</v>
      </c>
      <c r="J17" s="51">
        <f t="shared" si="4"/>
        <v>0</v>
      </c>
      <c r="K17" s="51" t="e">
        <f t="shared" si="3"/>
        <v>#DIV/0!</v>
      </c>
      <c r="L17" s="51">
        <v>0</v>
      </c>
      <c r="M17" s="51" t="str">
        <f t="shared" si="5"/>
        <v>-</v>
      </c>
      <c r="N17" s="51">
        <v>0</v>
      </c>
      <c r="O17" s="51">
        <f t="shared" ref="O17:P17" si="25">D17/7</f>
        <v>0</v>
      </c>
      <c r="P17" s="51">
        <f t="shared" si="25"/>
        <v>0</v>
      </c>
      <c r="Q17" s="51" t="e">
        <f t="shared" si="7"/>
        <v>#DIV/0!</v>
      </c>
      <c r="R17" s="55">
        <v>0</v>
      </c>
      <c r="S17" s="53" t="s">
        <v>34</v>
      </c>
      <c r="T17" s="54" t="s">
        <v>34</v>
      </c>
      <c r="U17" s="55">
        <v>0</v>
      </c>
      <c r="V17" s="55">
        <f t="shared" si="8"/>
        <v>0</v>
      </c>
      <c r="W17" s="55">
        <f t="shared" si="9"/>
        <v>0</v>
      </c>
      <c r="X17" s="55">
        <v>0</v>
      </c>
      <c r="Y17" s="55" t="e">
        <v>#N/A</v>
      </c>
      <c r="Z17" s="56" t="e">
        <f t="shared" si="19"/>
        <v>#N/A</v>
      </c>
      <c r="AA17" s="55" t="e">
        <v>#N/A</v>
      </c>
      <c r="AB17" s="55">
        <f t="shared" si="11"/>
        <v>0</v>
      </c>
      <c r="AC17" s="55">
        <v>0</v>
      </c>
      <c r="AD17" s="55">
        <v>-42.87127564102564</v>
      </c>
      <c r="AE17" s="55">
        <v>0</v>
      </c>
      <c r="AF17" s="55"/>
    </row>
    <row r="18" spans="1:32" s="57" customFormat="1" ht="15.75" customHeight="1">
      <c r="A18" s="2" t="s">
        <v>69</v>
      </c>
      <c r="B18" s="2"/>
      <c r="C18" s="51" t="s">
        <v>397</v>
      </c>
      <c r="D18" s="51">
        <v>0</v>
      </c>
      <c r="E18" s="51">
        <v>0</v>
      </c>
      <c r="F18" s="51">
        <v>0</v>
      </c>
      <c r="G18" s="51">
        <v>0</v>
      </c>
      <c r="H18" s="51" t="e">
        <f t="shared" si="1"/>
        <v>#DIV/0!</v>
      </c>
      <c r="I18" s="51" t="e">
        <f t="shared" si="2"/>
        <v>#DIV/0!</v>
      </c>
      <c r="J18" s="51">
        <f t="shared" si="4"/>
        <v>0</v>
      </c>
      <c r="K18" s="51" t="e">
        <f t="shared" si="3"/>
        <v>#DIV/0!</v>
      </c>
      <c r="L18" s="51">
        <v>0</v>
      </c>
      <c r="M18" s="51" t="str">
        <f t="shared" si="5"/>
        <v>-</v>
      </c>
      <c r="N18" s="51">
        <v>0</v>
      </c>
      <c r="O18" s="51">
        <f t="shared" ref="O18:P18" si="26">D18/7</f>
        <v>0</v>
      </c>
      <c r="P18" s="51">
        <f t="shared" si="26"/>
        <v>0</v>
      </c>
      <c r="Q18" s="51" t="e">
        <f t="shared" si="7"/>
        <v>#DIV/0!</v>
      </c>
      <c r="R18" s="55">
        <v>0</v>
      </c>
      <c r="S18" s="53" t="s">
        <v>34</v>
      </c>
      <c r="T18" s="54" t="s">
        <v>34</v>
      </c>
      <c r="U18" s="55">
        <v>0</v>
      </c>
      <c r="V18" s="55">
        <f t="shared" si="8"/>
        <v>0</v>
      </c>
      <c r="W18" s="55">
        <f t="shared" si="9"/>
        <v>0</v>
      </c>
      <c r="X18" s="55">
        <v>0</v>
      </c>
      <c r="Y18" s="55" t="e">
        <v>#N/A</v>
      </c>
      <c r="Z18" s="56" t="e">
        <f t="shared" si="19"/>
        <v>#N/A</v>
      </c>
      <c r="AA18" s="55" t="e">
        <v>#N/A</v>
      </c>
      <c r="AB18" s="58">
        <f t="shared" ref="AB18:AB39" si="27">IFERROR(Z18*AA18*D18*3,0)</f>
        <v>0</v>
      </c>
      <c r="AC18" s="55">
        <v>0</v>
      </c>
      <c r="AD18" s="55">
        <v>-42.87127564102564</v>
      </c>
      <c r="AE18" s="55">
        <v>0</v>
      </c>
      <c r="AF18" s="55"/>
    </row>
    <row r="19" spans="1:32" s="57" customFormat="1" ht="15.75" customHeight="1">
      <c r="A19" s="2" t="s">
        <v>71</v>
      </c>
      <c r="B19" s="2"/>
      <c r="C19" s="51" t="s">
        <v>397</v>
      </c>
      <c r="D19" s="51">
        <v>0</v>
      </c>
      <c r="E19" s="51">
        <v>0</v>
      </c>
      <c r="F19" s="51">
        <v>0</v>
      </c>
      <c r="G19" s="51">
        <v>0</v>
      </c>
      <c r="H19" s="51" t="e">
        <f t="shared" si="1"/>
        <v>#DIV/0!</v>
      </c>
      <c r="I19" s="51" t="e">
        <f t="shared" si="2"/>
        <v>#DIV/0!</v>
      </c>
      <c r="J19" s="51">
        <f t="shared" si="4"/>
        <v>0</v>
      </c>
      <c r="K19" s="51" t="e">
        <f t="shared" si="3"/>
        <v>#DIV/0!</v>
      </c>
      <c r="L19" s="51">
        <v>0</v>
      </c>
      <c r="M19" s="51" t="str">
        <f t="shared" si="5"/>
        <v>-</v>
      </c>
      <c r="N19" s="51">
        <v>0</v>
      </c>
      <c r="O19" s="51">
        <f t="shared" ref="O19:P19" si="28">D19/7</f>
        <v>0</v>
      </c>
      <c r="P19" s="51">
        <f t="shared" si="28"/>
        <v>0</v>
      </c>
      <c r="Q19" s="51" t="e">
        <f t="shared" si="7"/>
        <v>#DIV/0!</v>
      </c>
      <c r="R19" s="55">
        <v>0</v>
      </c>
      <c r="S19" s="53" t="s">
        <v>34</v>
      </c>
      <c r="T19" s="54" t="s">
        <v>34</v>
      </c>
      <c r="U19" s="55">
        <v>0</v>
      </c>
      <c r="V19" s="55">
        <f t="shared" si="8"/>
        <v>0</v>
      </c>
      <c r="W19" s="55">
        <f t="shared" si="9"/>
        <v>0</v>
      </c>
      <c r="X19" s="55">
        <v>0</v>
      </c>
      <c r="Y19" s="55" t="e">
        <v>#N/A</v>
      </c>
      <c r="Z19" s="56" t="e">
        <f t="shared" si="19"/>
        <v>#N/A</v>
      </c>
      <c r="AA19" s="55" t="e">
        <v>#N/A</v>
      </c>
      <c r="AB19" s="55">
        <f t="shared" si="27"/>
        <v>0</v>
      </c>
      <c r="AC19" s="55">
        <v>0</v>
      </c>
      <c r="AD19" s="55">
        <v>-42.87127564102564</v>
      </c>
      <c r="AE19" s="55">
        <v>0</v>
      </c>
      <c r="AF19" s="55"/>
    </row>
    <row r="20" spans="1:32" s="57" customFormat="1" ht="15.75" customHeight="1">
      <c r="A20" s="2" t="s">
        <v>73</v>
      </c>
      <c r="B20" s="2"/>
      <c r="C20" s="51" t="s">
        <v>397</v>
      </c>
      <c r="D20" s="51">
        <v>0</v>
      </c>
      <c r="E20" s="51">
        <v>0</v>
      </c>
      <c r="F20" s="51">
        <v>0</v>
      </c>
      <c r="G20" s="51">
        <v>0</v>
      </c>
      <c r="H20" s="51" t="e">
        <f t="shared" si="1"/>
        <v>#DIV/0!</v>
      </c>
      <c r="I20" s="51" t="e">
        <f t="shared" si="2"/>
        <v>#DIV/0!</v>
      </c>
      <c r="J20" s="51">
        <f t="shared" si="4"/>
        <v>0</v>
      </c>
      <c r="K20" s="51" t="e">
        <f t="shared" si="3"/>
        <v>#DIV/0!</v>
      </c>
      <c r="L20" s="51">
        <v>0</v>
      </c>
      <c r="M20" s="51" t="str">
        <f t="shared" si="5"/>
        <v>-</v>
      </c>
      <c r="N20" s="51">
        <v>0</v>
      </c>
      <c r="O20" s="51">
        <f t="shared" ref="O20:P20" si="29">D20/7</f>
        <v>0</v>
      </c>
      <c r="P20" s="51">
        <f t="shared" si="29"/>
        <v>0</v>
      </c>
      <c r="Q20" s="51" t="e">
        <f t="shared" si="7"/>
        <v>#DIV/0!</v>
      </c>
      <c r="R20" s="55">
        <v>0</v>
      </c>
      <c r="S20" s="53" t="s">
        <v>34</v>
      </c>
      <c r="T20" s="54" t="s">
        <v>34</v>
      </c>
      <c r="U20" s="55">
        <v>0</v>
      </c>
      <c r="V20" s="55">
        <f t="shared" si="8"/>
        <v>0</v>
      </c>
      <c r="W20" s="55">
        <f t="shared" si="9"/>
        <v>0</v>
      </c>
      <c r="X20" s="55">
        <v>0</v>
      </c>
      <c r="Y20" s="55" t="e">
        <v>#N/A</v>
      </c>
      <c r="Z20" s="56" t="e">
        <f t="shared" si="19"/>
        <v>#N/A</v>
      </c>
      <c r="AA20" s="55" t="e">
        <v>#N/A</v>
      </c>
      <c r="AB20" s="55">
        <f t="shared" si="27"/>
        <v>0</v>
      </c>
      <c r="AC20" s="55">
        <v>0</v>
      </c>
      <c r="AD20" s="55">
        <v>-42.87127564102564</v>
      </c>
      <c r="AE20" s="55">
        <v>0</v>
      </c>
      <c r="AF20" s="55"/>
    </row>
    <row r="21" spans="1:32" s="57" customFormat="1" ht="15.75" customHeight="1">
      <c r="A21" s="2" t="s">
        <v>75</v>
      </c>
      <c r="B21" s="2"/>
      <c r="C21" s="51" t="s">
        <v>397</v>
      </c>
      <c r="D21" s="51">
        <v>0</v>
      </c>
      <c r="E21" s="51">
        <v>0</v>
      </c>
      <c r="F21" s="51">
        <v>0</v>
      </c>
      <c r="G21" s="51">
        <v>0</v>
      </c>
      <c r="H21" s="51" t="e">
        <f t="shared" si="1"/>
        <v>#DIV/0!</v>
      </c>
      <c r="I21" s="51" t="e">
        <f t="shared" si="2"/>
        <v>#DIV/0!</v>
      </c>
      <c r="J21" s="51">
        <f t="shared" si="4"/>
        <v>0</v>
      </c>
      <c r="K21" s="51" t="e">
        <f t="shared" si="3"/>
        <v>#DIV/0!</v>
      </c>
      <c r="L21" s="51">
        <v>0</v>
      </c>
      <c r="M21" s="51" t="str">
        <f t="shared" si="5"/>
        <v>-</v>
      </c>
      <c r="N21" s="51">
        <v>0</v>
      </c>
      <c r="O21" s="51">
        <f t="shared" ref="O21:P21" si="30">D21/7</f>
        <v>0</v>
      </c>
      <c r="P21" s="51">
        <f t="shared" si="30"/>
        <v>0</v>
      </c>
      <c r="Q21" s="51" t="e">
        <f t="shared" si="7"/>
        <v>#DIV/0!</v>
      </c>
      <c r="R21" s="55">
        <v>0</v>
      </c>
      <c r="S21" s="53" t="s">
        <v>34</v>
      </c>
      <c r="T21" s="54" t="s">
        <v>34</v>
      </c>
      <c r="U21" s="55">
        <v>0</v>
      </c>
      <c r="V21" s="55">
        <f t="shared" si="8"/>
        <v>0</v>
      </c>
      <c r="W21" s="55">
        <f t="shared" si="9"/>
        <v>0</v>
      </c>
      <c r="X21" s="55">
        <v>0</v>
      </c>
      <c r="Y21" s="55" t="e">
        <v>#N/A</v>
      </c>
      <c r="Z21" s="56" t="e">
        <f t="shared" si="19"/>
        <v>#N/A</v>
      </c>
      <c r="AA21" s="55" t="e">
        <v>#N/A</v>
      </c>
      <c r="AB21" s="55">
        <f t="shared" si="27"/>
        <v>0</v>
      </c>
      <c r="AC21" s="55">
        <v>0</v>
      </c>
      <c r="AD21" s="55">
        <v>-42.87127564102564</v>
      </c>
      <c r="AE21" s="55">
        <v>0</v>
      </c>
      <c r="AF21" s="55"/>
    </row>
    <row r="22" spans="1:32" s="57" customFormat="1" ht="15.75" customHeight="1">
      <c r="A22" s="2" t="s">
        <v>77</v>
      </c>
      <c r="B22" s="2"/>
      <c r="C22" s="51" t="s">
        <v>397</v>
      </c>
      <c r="D22" s="51">
        <v>0</v>
      </c>
      <c r="E22" s="51">
        <v>0</v>
      </c>
      <c r="F22" s="51">
        <v>0</v>
      </c>
      <c r="G22" s="51">
        <v>0</v>
      </c>
      <c r="H22" s="51" t="e">
        <f t="shared" si="1"/>
        <v>#DIV/0!</v>
      </c>
      <c r="I22" s="51" t="e">
        <f t="shared" si="2"/>
        <v>#DIV/0!</v>
      </c>
      <c r="J22" s="51">
        <f t="shared" si="4"/>
        <v>0</v>
      </c>
      <c r="K22" s="51" t="e">
        <f t="shared" si="3"/>
        <v>#DIV/0!</v>
      </c>
      <c r="L22" s="51">
        <v>0</v>
      </c>
      <c r="M22" s="51" t="str">
        <f t="shared" si="5"/>
        <v>-</v>
      </c>
      <c r="N22" s="51">
        <v>0</v>
      </c>
      <c r="O22" s="51">
        <f t="shared" ref="O22:P22" si="31">D22/7</f>
        <v>0</v>
      </c>
      <c r="P22" s="51">
        <f t="shared" si="31"/>
        <v>0</v>
      </c>
      <c r="Q22" s="51" t="e">
        <f t="shared" si="7"/>
        <v>#DIV/0!</v>
      </c>
      <c r="R22" s="55">
        <v>0</v>
      </c>
      <c r="S22" s="53" t="s">
        <v>34</v>
      </c>
      <c r="T22" s="54" t="s">
        <v>34</v>
      </c>
      <c r="U22" s="55">
        <v>0</v>
      </c>
      <c r="V22" s="55">
        <f t="shared" si="8"/>
        <v>0</v>
      </c>
      <c r="W22" s="55">
        <f t="shared" si="9"/>
        <v>0</v>
      </c>
      <c r="X22" s="55">
        <v>0</v>
      </c>
      <c r="Y22" s="55" t="e">
        <v>#N/A</v>
      </c>
      <c r="Z22" s="56" t="e">
        <f t="shared" si="19"/>
        <v>#N/A</v>
      </c>
      <c r="AA22" s="55" t="e">
        <v>#N/A</v>
      </c>
      <c r="AB22" s="55">
        <f t="shared" si="27"/>
        <v>0</v>
      </c>
      <c r="AC22" s="55">
        <v>0</v>
      </c>
      <c r="AD22" s="55">
        <v>-42.87127564102564</v>
      </c>
      <c r="AE22" s="55">
        <v>0</v>
      </c>
      <c r="AF22" s="55"/>
    </row>
    <row r="23" spans="1:32" s="57" customFormat="1" ht="15.75" customHeight="1">
      <c r="A23" s="2" t="s">
        <v>79</v>
      </c>
      <c r="B23" s="2"/>
      <c r="C23" s="51" t="s">
        <v>397</v>
      </c>
      <c r="D23" s="51">
        <v>0</v>
      </c>
      <c r="E23" s="51">
        <v>0</v>
      </c>
      <c r="F23" s="51">
        <v>0</v>
      </c>
      <c r="G23" s="51">
        <v>0</v>
      </c>
      <c r="H23" s="51" t="e">
        <f t="shared" si="1"/>
        <v>#DIV/0!</v>
      </c>
      <c r="I23" s="51" t="e">
        <f t="shared" si="2"/>
        <v>#DIV/0!</v>
      </c>
      <c r="J23" s="51">
        <f t="shared" si="4"/>
        <v>0</v>
      </c>
      <c r="K23" s="51" t="e">
        <f t="shared" si="3"/>
        <v>#DIV/0!</v>
      </c>
      <c r="L23" s="51">
        <v>0</v>
      </c>
      <c r="M23" s="51" t="str">
        <f t="shared" si="5"/>
        <v>-</v>
      </c>
      <c r="N23" s="51">
        <v>0</v>
      </c>
      <c r="O23" s="51">
        <f t="shared" ref="O23:P23" si="32">D23/7</f>
        <v>0</v>
      </c>
      <c r="P23" s="51">
        <f t="shared" si="32"/>
        <v>0</v>
      </c>
      <c r="Q23" s="51" t="e">
        <f t="shared" si="7"/>
        <v>#DIV/0!</v>
      </c>
      <c r="R23" s="55">
        <v>0</v>
      </c>
      <c r="S23" s="53" t="s">
        <v>34</v>
      </c>
      <c r="T23" s="54" t="s">
        <v>34</v>
      </c>
      <c r="U23" s="55">
        <v>0</v>
      </c>
      <c r="V23" s="55">
        <f t="shared" si="8"/>
        <v>0</v>
      </c>
      <c r="W23" s="55">
        <f t="shared" si="9"/>
        <v>0</v>
      </c>
      <c r="X23" s="55">
        <v>0</v>
      </c>
      <c r="Y23" s="55" t="e">
        <v>#N/A</v>
      </c>
      <c r="Z23" s="56" t="e">
        <f t="shared" si="19"/>
        <v>#N/A</v>
      </c>
      <c r="AA23" s="55" t="e">
        <v>#N/A</v>
      </c>
      <c r="AB23" s="55">
        <f t="shared" si="27"/>
        <v>0</v>
      </c>
      <c r="AC23" s="55">
        <v>0</v>
      </c>
      <c r="AD23" s="55">
        <v>-42.87127564102564</v>
      </c>
      <c r="AE23" s="55">
        <v>0</v>
      </c>
      <c r="AF23" s="55"/>
    </row>
    <row r="24" spans="1:32" s="57" customFormat="1" ht="15.75" customHeight="1">
      <c r="A24" s="2" t="s">
        <v>80</v>
      </c>
      <c r="B24" s="2"/>
      <c r="C24" s="51"/>
      <c r="D24" s="51">
        <v>0</v>
      </c>
      <c r="E24" s="51">
        <v>0</v>
      </c>
      <c r="F24" s="51">
        <v>0</v>
      </c>
      <c r="G24" s="51">
        <v>0</v>
      </c>
      <c r="H24" s="51" t="e">
        <f t="shared" si="1"/>
        <v>#DIV/0!</v>
      </c>
      <c r="I24" s="51" t="e">
        <f t="shared" si="2"/>
        <v>#DIV/0!</v>
      </c>
      <c r="J24" s="51">
        <f t="shared" si="4"/>
        <v>0</v>
      </c>
      <c r="K24" s="51" t="e">
        <f t="shared" si="3"/>
        <v>#DIV/0!</v>
      </c>
      <c r="L24" s="51">
        <v>0</v>
      </c>
      <c r="M24" s="51" t="str">
        <f t="shared" si="5"/>
        <v>-</v>
      </c>
      <c r="N24" s="51">
        <v>0</v>
      </c>
      <c r="O24" s="51">
        <f t="shared" ref="O24:P24" si="33">D24/7</f>
        <v>0</v>
      </c>
      <c r="P24" s="51">
        <f t="shared" si="33"/>
        <v>0</v>
      </c>
      <c r="Q24" s="51" t="e">
        <f t="shared" si="7"/>
        <v>#DIV/0!</v>
      </c>
      <c r="R24" s="55">
        <v>0</v>
      </c>
      <c r="S24" s="53" t="s">
        <v>34</v>
      </c>
      <c r="T24" s="54" t="s">
        <v>34</v>
      </c>
      <c r="U24" s="55">
        <v>0</v>
      </c>
      <c r="V24" s="55">
        <f t="shared" si="8"/>
        <v>0</v>
      </c>
      <c r="W24" s="55">
        <f t="shared" si="9"/>
        <v>0</v>
      </c>
      <c r="X24" s="55">
        <v>0</v>
      </c>
      <c r="Y24" s="55" t="e">
        <v>#N/A</v>
      </c>
      <c r="Z24" s="56" t="e">
        <f t="shared" si="19"/>
        <v>#N/A</v>
      </c>
      <c r="AA24" s="55" t="e">
        <v>#N/A</v>
      </c>
      <c r="AB24" s="55">
        <f t="shared" si="27"/>
        <v>0</v>
      </c>
      <c r="AC24" s="55">
        <v>0</v>
      </c>
      <c r="AD24" s="55">
        <v>-42.87127564102564</v>
      </c>
      <c r="AE24" s="55">
        <v>0</v>
      </c>
      <c r="AF24" s="55"/>
    </row>
    <row r="25" spans="1:32" s="57" customFormat="1" ht="15.75" customHeight="1">
      <c r="A25" s="2" t="s">
        <v>81</v>
      </c>
      <c r="B25" s="2"/>
      <c r="C25" s="51"/>
      <c r="D25" s="51">
        <v>0</v>
      </c>
      <c r="E25" s="51">
        <v>0</v>
      </c>
      <c r="F25" s="51">
        <v>0</v>
      </c>
      <c r="G25" s="51">
        <v>0</v>
      </c>
      <c r="H25" s="51" t="e">
        <f t="shared" si="1"/>
        <v>#DIV/0!</v>
      </c>
      <c r="I25" s="51" t="e">
        <f t="shared" si="2"/>
        <v>#DIV/0!</v>
      </c>
      <c r="J25" s="51">
        <f t="shared" si="4"/>
        <v>0</v>
      </c>
      <c r="K25" s="51" t="e">
        <f t="shared" si="3"/>
        <v>#DIV/0!</v>
      </c>
      <c r="L25" s="51">
        <v>0</v>
      </c>
      <c r="M25" s="51" t="str">
        <f t="shared" si="5"/>
        <v>-</v>
      </c>
      <c r="N25" s="51">
        <v>0</v>
      </c>
      <c r="O25" s="51">
        <f t="shared" ref="O25:P25" si="34">D25/7</f>
        <v>0</v>
      </c>
      <c r="P25" s="51">
        <f t="shared" si="34"/>
        <v>0</v>
      </c>
      <c r="Q25" s="51" t="e">
        <f t="shared" si="7"/>
        <v>#DIV/0!</v>
      </c>
      <c r="R25" s="55">
        <v>0</v>
      </c>
      <c r="S25" s="53" t="s">
        <v>34</v>
      </c>
      <c r="T25" s="54" t="s">
        <v>34</v>
      </c>
      <c r="U25" s="55">
        <v>0</v>
      </c>
      <c r="V25" s="55">
        <f t="shared" si="8"/>
        <v>0</v>
      </c>
      <c r="W25" s="55">
        <f t="shared" si="9"/>
        <v>0</v>
      </c>
      <c r="X25" s="55">
        <v>0</v>
      </c>
      <c r="Y25" s="55" t="e">
        <v>#N/A</v>
      </c>
      <c r="Z25" s="56" t="e">
        <f t="shared" si="19"/>
        <v>#N/A</v>
      </c>
      <c r="AA25" s="55" t="e">
        <v>#N/A</v>
      </c>
      <c r="AB25" s="55">
        <f t="shared" si="27"/>
        <v>0</v>
      </c>
      <c r="AC25" s="55">
        <v>0</v>
      </c>
      <c r="AD25" s="55">
        <v>-42.87127564102564</v>
      </c>
      <c r="AE25" s="55">
        <v>0</v>
      </c>
      <c r="AF25" s="55"/>
    </row>
    <row r="26" spans="1:32" s="57" customFormat="1" ht="15.75" customHeight="1">
      <c r="A26" s="2" t="s">
        <v>83</v>
      </c>
      <c r="B26" s="2"/>
      <c r="C26" s="51" t="str">
        <f t="shared" ref="C26:C39" si="35">IFERROR(F26/D26," - ")</f>
        <v xml:space="preserve"> - </v>
      </c>
      <c r="D26" s="51">
        <v>0</v>
      </c>
      <c r="E26" s="51">
        <v>0</v>
      </c>
      <c r="F26" s="51">
        <v>0</v>
      </c>
      <c r="G26" s="51">
        <v>0</v>
      </c>
      <c r="H26" s="51" t="e">
        <f t="shared" si="1"/>
        <v>#DIV/0!</v>
      </c>
      <c r="I26" s="51" t="e">
        <f t="shared" si="2"/>
        <v>#DIV/0!</v>
      </c>
      <c r="J26" s="51">
        <f t="shared" si="4"/>
        <v>0</v>
      </c>
      <c r="K26" s="51" t="e">
        <f t="shared" si="3"/>
        <v>#DIV/0!</v>
      </c>
      <c r="L26" s="51">
        <v>0</v>
      </c>
      <c r="M26" s="51" t="str">
        <f t="shared" si="5"/>
        <v>-</v>
      </c>
      <c r="N26" s="51">
        <v>0</v>
      </c>
      <c r="O26" s="51">
        <f t="shared" ref="O26:P26" si="36">D26/7</f>
        <v>0</v>
      </c>
      <c r="P26" s="51">
        <f t="shared" si="36"/>
        <v>0</v>
      </c>
      <c r="Q26" s="51" t="e">
        <f t="shared" si="7"/>
        <v>#DIV/0!</v>
      </c>
      <c r="R26" s="55" t="s">
        <v>34</v>
      </c>
      <c r="S26" s="53" t="s">
        <v>34</v>
      </c>
      <c r="T26" s="54" t="s">
        <v>34</v>
      </c>
      <c r="U26" s="55">
        <v>0</v>
      </c>
      <c r="V26" s="55">
        <f t="shared" si="8"/>
        <v>0</v>
      </c>
      <c r="W26" s="55">
        <f t="shared" si="9"/>
        <v>0</v>
      </c>
      <c r="X26" s="55">
        <v>0</v>
      </c>
      <c r="Y26" s="55" t="e">
        <v>#N/A</v>
      </c>
      <c r="Z26" s="56" t="e">
        <f t="shared" si="19"/>
        <v>#N/A</v>
      </c>
      <c r="AA26" s="55" t="e">
        <v>#N/A</v>
      </c>
      <c r="AB26" s="55">
        <f t="shared" si="27"/>
        <v>0</v>
      </c>
      <c r="AC26" s="55">
        <v>0</v>
      </c>
      <c r="AD26" s="55">
        <v>-42.87127564102564</v>
      </c>
      <c r="AE26" s="55">
        <v>0</v>
      </c>
      <c r="AF26" s="55"/>
    </row>
    <row r="27" spans="1:32" s="57" customFormat="1" ht="15.75" customHeight="1">
      <c r="A27" s="2" t="s">
        <v>84</v>
      </c>
      <c r="B27" s="2"/>
      <c r="C27" s="51" t="str">
        <f t="shared" si="35"/>
        <v xml:space="preserve"> - </v>
      </c>
      <c r="D27" s="51">
        <v>0</v>
      </c>
      <c r="E27" s="51">
        <v>0</v>
      </c>
      <c r="F27" s="51">
        <v>0</v>
      </c>
      <c r="G27" s="51">
        <v>0</v>
      </c>
      <c r="H27" s="51" t="e">
        <f t="shared" si="1"/>
        <v>#DIV/0!</v>
      </c>
      <c r="I27" s="51" t="e">
        <f t="shared" si="2"/>
        <v>#DIV/0!</v>
      </c>
      <c r="J27" s="51">
        <f t="shared" si="4"/>
        <v>0</v>
      </c>
      <c r="K27" s="51" t="e">
        <f t="shared" si="3"/>
        <v>#DIV/0!</v>
      </c>
      <c r="L27" s="51">
        <v>0</v>
      </c>
      <c r="M27" s="51" t="str">
        <f t="shared" si="5"/>
        <v>-</v>
      </c>
      <c r="N27" s="51">
        <v>0</v>
      </c>
      <c r="O27" s="51">
        <f t="shared" ref="O27:P27" si="37">D27/7</f>
        <v>0</v>
      </c>
      <c r="P27" s="51">
        <f t="shared" si="37"/>
        <v>0</v>
      </c>
      <c r="Q27" s="51" t="e">
        <f t="shared" si="7"/>
        <v>#DIV/0!</v>
      </c>
      <c r="R27" s="55" t="s">
        <v>34</v>
      </c>
      <c r="S27" s="53" t="s">
        <v>34</v>
      </c>
      <c r="T27" s="54" t="s">
        <v>34</v>
      </c>
      <c r="U27" s="55">
        <v>0</v>
      </c>
      <c r="V27" s="55">
        <f t="shared" si="8"/>
        <v>0</v>
      </c>
      <c r="W27" s="55">
        <f t="shared" si="9"/>
        <v>0</v>
      </c>
      <c r="X27" s="55">
        <v>0</v>
      </c>
      <c r="Y27" s="55" t="e">
        <v>#N/A</v>
      </c>
      <c r="Z27" s="56" t="e">
        <f t="shared" si="19"/>
        <v>#N/A</v>
      </c>
      <c r="AA27" s="55" t="e">
        <v>#N/A</v>
      </c>
      <c r="AB27" s="55">
        <f t="shared" si="27"/>
        <v>0</v>
      </c>
      <c r="AC27" s="55">
        <v>0</v>
      </c>
      <c r="AD27" s="55">
        <v>-42.87127564102564</v>
      </c>
      <c r="AE27" s="55">
        <v>0</v>
      </c>
      <c r="AF27" s="55"/>
    </row>
    <row r="28" spans="1:32" s="57" customFormat="1" ht="15.75" customHeight="1">
      <c r="A28" s="2" t="s">
        <v>86</v>
      </c>
      <c r="B28" s="2"/>
      <c r="C28" s="51" t="str">
        <f t="shared" si="35"/>
        <v xml:space="preserve"> - </v>
      </c>
      <c r="D28" s="51">
        <v>0</v>
      </c>
      <c r="E28" s="51">
        <v>0</v>
      </c>
      <c r="F28" s="51">
        <v>0</v>
      </c>
      <c r="G28" s="51">
        <v>0</v>
      </c>
      <c r="H28" s="51" t="e">
        <f t="shared" si="1"/>
        <v>#DIV/0!</v>
      </c>
      <c r="I28" s="51" t="e">
        <f t="shared" si="2"/>
        <v>#DIV/0!</v>
      </c>
      <c r="J28" s="51">
        <f t="shared" si="4"/>
        <v>0</v>
      </c>
      <c r="K28" s="51" t="e">
        <f t="shared" si="3"/>
        <v>#DIV/0!</v>
      </c>
      <c r="L28" s="51">
        <v>0</v>
      </c>
      <c r="M28" s="51" t="str">
        <f t="shared" si="5"/>
        <v>-</v>
      </c>
      <c r="N28" s="51">
        <v>0</v>
      </c>
      <c r="O28" s="51">
        <f t="shared" ref="O28:P28" si="38">D28/7</f>
        <v>0</v>
      </c>
      <c r="P28" s="51">
        <f t="shared" si="38"/>
        <v>0</v>
      </c>
      <c r="Q28" s="51" t="e">
        <f t="shared" si="7"/>
        <v>#DIV/0!</v>
      </c>
      <c r="R28" s="55" t="s">
        <v>34</v>
      </c>
      <c r="S28" s="53" t="s">
        <v>34</v>
      </c>
      <c r="T28" s="54" t="s">
        <v>34</v>
      </c>
      <c r="U28" s="55">
        <v>0</v>
      </c>
      <c r="V28" s="55">
        <f t="shared" si="8"/>
        <v>0</v>
      </c>
      <c r="W28" s="55">
        <f t="shared" si="9"/>
        <v>0</v>
      </c>
      <c r="X28" s="55">
        <v>0</v>
      </c>
      <c r="Y28" s="55" t="e">
        <v>#N/A</v>
      </c>
      <c r="Z28" s="56" t="e">
        <f t="shared" si="19"/>
        <v>#N/A</v>
      </c>
      <c r="AA28" s="55" t="e">
        <v>#N/A</v>
      </c>
      <c r="AB28" s="55">
        <f t="shared" si="27"/>
        <v>0</v>
      </c>
      <c r="AC28" s="55">
        <v>0</v>
      </c>
      <c r="AD28" s="55">
        <v>-42.87127564102564</v>
      </c>
      <c r="AE28" s="55">
        <v>0</v>
      </c>
      <c r="AF28" s="55"/>
    </row>
    <row r="29" spans="1:32" s="57" customFormat="1" ht="15.75" customHeight="1">
      <c r="A29" s="2" t="s">
        <v>87</v>
      </c>
      <c r="B29" s="2"/>
      <c r="C29" s="51" t="str">
        <f t="shared" si="35"/>
        <v xml:space="preserve"> - </v>
      </c>
      <c r="D29" s="51">
        <v>0</v>
      </c>
      <c r="E29" s="51">
        <v>0</v>
      </c>
      <c r="F29" s="51">
        <v>0</v>
      </c>
      <c r="G29" s="51">
        <v>0</v>
      </c>
      <c r="H29" s="51" t="e">
        <f t="shared" si="1"/>
        <v>#DIV/0!</v>
      </c>
      <c r="I29" s="51" t="e">
        <f t="shared" si="2"/>
        <v>#DIV/0!</v>
      </c>
      <c r="J29" s="51">
        <f t="shared" si="4"/>
        <v>0</v>
      </c>
      <c r="K29" s="51" t="e">
        <f t="shared" si="3"/>
        <v>#DIV/0!</v>
      </c>
      <c r="L29" s="51">
        <v>0</v>
      </c>
      <c r="M29" s="51" t="str">
        <f t="shared" si="5"/>
        <v>-</v>
      </c>
      <c r="N29" s="51">
        <v>0</v>
      </c>
      <c r="O29" s="51">
        <f t="shared" ref="O29:P29" si="39">D29/7</f>
        <v>0</v>
      </c>
      <c r="P29" s="51">
        <f t="shared" si="39"/>
        <v>0</v>
      </c>
      <c r="Q29" s="51" t="e">
        <f t="shared" si="7"/>
        <v>#DIV/0!</v>
      </c>
      <c r="R29" s="55" t="s">
        <v>34</v>
      </c>
      <c r="S29" s="53" t="s">
        <v>34</v>
      </c>
      <c r="T29" s="54" t="s">
        <v>34</v>
      </c>
      <c r="U29" s="55">
        <v>0</v>
      </c>
      <c r="V29" s="55">
        <f t="shared" si="8"/>
        <v>0</v>
      </c>
      <c r="W29" s="55">
        <f t="shared" si="9"/>
        <v>0</v>
      </c>
      <c r="X29" s="55">
        <v>0</v>
      </c>
      <c r="Y29" s="55" t="e">
        <v>#N/A</v>
      </c>
      <c r="Z29" s="56" t="e">
        <f t="shared" si="19"/>
        <v>#N/A</v>
      </c>
      <c r="AA29" s="55" t="e">
        <v>#N/A</v>
      </c>
      <c r="AB29" s="55">
        <f t="shared" si="27"/>
        <v>0</v>
      </c>
      <c r="AC29" s="55">
        <v>0</v>
      </c>
      <c r="AD29" s="55">
        <v>-42.87127564102564</v>
      </c>
      <c r="AE29" s="55">
        <v>0</v>
      </c>
      <c r="AF29" s="55"/>
    </row>
    <row r="30" spans="1:32" s="57" customFormat="1" ht="15.75" customHeight="1">
      <c r="A30" s="2" t="s">
        <v>89</v>
      </c>
      <c r="B30" s="2"/>
      <c r="C30" s="51" t="str">
        <f t="shared" si="35"/>
        <v xml:space="preserve"> - </v>
      </c>
      <c r="D30" s="51">
        <v>0</v>
      </c>
      <c r="E30" s="51">
        <v>0</v>
      </c>
      <c r="F30" s="51">
        <v>0</v>
      </c>
      <c r="G30" s="51">
        <v>0</v>
      </c>
      <c r="H30" s="51" t="e">
        <f t="shared" si="1"/>
        <v>#DIV/0!</v>
      </c>
      <c r="I30" s="51" t="e">
        <f t="shared" si="2"/>
        <v>#DIV/0!</v>
      </c>
      <c r="J30" s="51">
        <f t="shared" si="4"/>
        <v>0</v>
      </c>
      <c r="K30" s="51" t="e">
        <f t="shared" si="3"/>
        <v>#DIV/0!</v>
      </c>
      <c r="L30" s="51">
        <v>0</v>
      </c>
      <c r="M30" s="51" t="str">
        <f t="shared" si="5"/>
        <v>-</v>
      </c>
      <c r="N30" s="51">
        <v>0</v>
      </c>
      <c r="O30" s="51">
        <f t="shared" ref="O30:P30" si="40">D30/7</f>
        <v>0</v>
      </c>
      <c r="P30" s="51">
        <f t="shared" si="40"/>
        <v>0</v>
      </c>
      <c r="Q30" s="51" t="e">
        <f t="shared" si="7"/>
        <v>#DIV/0!</v>
      </c>
      <c r="R30" s="55" t="s">
        <v>34</v>
      </c>
      <c r="S30" s="53" t="s">
        <v>34</v>
      </c>
      <c r="T30" s="54" t="s">
        <v>34</v>
      </c>
      <c r="U30" s="55">
        <v>0</v>
      </c>
      <c r="V30" s="55">
        <f t="shared" si="8"/>
        <v>0</v>
      </c>
      <c r="W30" s="55">
        <f t="shared" si="9"/>
        <v>0</v>
      </c>
      <c r="X30" s="55">
        <v>0</v>
      </c>
      <c r="Y30" s="55" t="e">
        <v>#N/A</v>
      </c>
      <c r="Z30" s="56" t="e">
        <f t="shared" si="19"/>
        <v>#N/A</v>
      </c>
      <c r="AA30" s="55" t="e">
        <v>#N/A</v>
      </c>
      <c r="AB30" s="55">
        <f t="shared" si="27"/>
        <v>0</v>
      </c>
      <c r="AC30" s="55">
        <v>0</v>
      </c>
      <c r="AD30" s="55">
        <v>-42.87127564102564</v>
      </c>
      <c r="AE30" s="55">
        <v>0</v>
      </c>
      <c r="AF30" s="55"/>
    </row>
    <row r="31" spans="1:32" s="57" customFormat="1" ht="15.75" customHeight="1">
      <c r="A31" s="2" t="s">
        <v>90</v>
      </c>
      <c r="B31" s="2"/>
      <c r="C31" s="51" t="str">
        <f t="shared" si="35"/>
        <v xml:space="preserve"> - </v>
      </c>
      <c r="D31" s="51">
        <v>0</v>
      </c>
      <c r="E31" s="51">
        <v>0</v>
      </c>
      <c r="F31" s="51">
        <v>0</v>
      </c>
      <c r="G31" s="51">
        <v>0</v>
      </c>
      <c r="H31" s="51" t="e">
        <f t="shared" si="1"/>
        <v>#DIV/0!</v>
      </c>
      <c r="I31" s="51" t="e">
        <f t="shared" si="2"/>
        <v>#DIV/0!</v>
      </c>
      <c r="J31" s="51">
        <f t="shared" si="4"/>
        <v>0</v>
      </c>
      <c r="K31" s="51" t="e">
        <f t="shared" si="3"/>
        <v>#DIV/0!</v>
      </c>
      <c r="L31" s="51">
        <v>0</v>
      </c>
      <c r="M31" s="51" t="str">
        <f t="shared" si="5"/>
        <v>-</v>
      </c>
      <c r="N31" s="51">
        <v>0</v>
      </c>
      <c r="O31" s="51">
        <f t="shared" ref="O31:P31" si="41">D31/7</f>
        <v>0</v>
      </c>
      <c r="P31" s="51">
        <f t="shared" si="41"/>
        <v>0</v>
      </c>
      <c r="Q31" s="51" t="e">
        <f t="shared" si="7"/>
        <v>#DIV/0!</v>
      </c>
      <c r="R31" s="55" t="s">
        <v>34</v>
      </c>
      <c r="S31" s="53" t="s">
        <v>34</v>
      </c>
      <c r="T31" s="54" t="s">
        <v>34</v>
      </c>
      <c r="U31" s="55">
        <v>0</v>
      </c>
      <c r="V31" s="55">
        <f t="shared" si="8"/>
        <v>0</v>
      </c>
      <c r="W31" s="55">
        <f t="shared" si="9"/>
        <v>0</v>
      </c>
      <c r="X31" s="55">
        <v>0</v>
      </c>
      <c r="Y31" s="55" t="e">
        <v>#N/A</v>
      </c>
      <c r="Z31" s="56" t="e">
        <f t="shared" si="19"/>
        <v>#N/A</v>
      </c>
      <c r="AA31" s="55" t="e">
        <v>#N/A</v>
      </c>
      <c r="AB31" s="55">
        <f t="shared" si="27"/>
        <v>0</v>
      </c>
      <c r="AC31" s="55">
        <v>0</v>
      </c>
      <c r="AD31" s="55">
        <v>-42.87127564102564</v>
      </c>
      <c r="AE31" s="55">
        <v>0</v>
      </c>
      <c r="AF31" s="55"/>
    </row>
    <row r="32" spans="1:32" s="57" customFormat="1" ht="15.75" customHeight="1">
      <c r="A32" s="2" t="s">
        <v>92</v>
      </c>
      <c r="B32" s="2"/>
      <c r="C32" s="51" t="str">
        <f t="shared" si="35"/>
        <v xml:space="preserve"> - </v>
      </c>
      <c r="D32" s="51">
        <v>0</v>
      </c>
      <c r="E32" s="51">
        <v>0</v>
      </c>
      <c r="F32" s="51">
        <v>0</v>
      </c>
      <c r="G32" s="51">
        <v>0</v>
      </c>
      <c r="H32" s="51" t="e">
        <f t="shared" si="1"/>
        <v>#DIV/0!</v>
      </c>
      <c r="I32" s="51" t="e">
        <f t="shared" si="2"/>
        <v>#DIV/0!</v>
      </c>
      <c r="J32" s="51">
        <f t="shared" si="4"/>
        <v>0</v>
      </c>
      <c r="K32" s="51" t="e">
        <f t="shared" si="3"/>
        <v>#DIV/0!</v>
      </c>
      <c r="L32" s="51">
        <v>0</v>
      </c>
      <c r="M32" s="51" t="str">
        <f t="shared" si="5"/>
        <v>-</v>
      </c>
      <c r="N32" s="51">
        <v>0</v>
      </c>
      <c r="O32" s="51">
        <f t="shared" ref="O32:P32" si="42">D32/7</f>
        <v>0</v>
      </c>
      <c r="P32" s="51">
        <f t="shared" si="42"/>
        <v>0</v>
      </c>
      <c r="Q32" s="51" t="e">
        <f t="shared" si="7"/>
        <v>#DIV/0!</v>
      </c>
      <c r="R32" s="55" t="s">
        <v>34</v>
      </c>
      <c r="S32" s="53" t="s">
        <v>34</v>
      </c>
      <c r="T32" s="54" t="s">
        <v>34</v>
      </c>
      <c r="U32" s="55">
        <v>0</v>
      </c>
      <c r="V32" s="55">
        <f t="shared" si="8"/>
        <v>0</v>
      </c>
      <c r="W32" s="55">
        <f t="shared" si="9"/>
        <v>0</v>
      </c>
      <c r="X32" s="55">
        <v>0</v>
      </c>
      <c r="Y32" s="55" t="e">
        <v>#N/A</v>
      </c>
      <c r="Z32" s="56" t="e">
        <f t="shared" si="19"/>
        <v>#N/A</v>
      </c>
      <c r="AA32" s="55" t="e">
        <v>#N/A</v>
      </c>
      <c r="AB32" s="55">
        <f t="shared" si="27"/>
        <v>0</v>
      </c>
      <c r="AC32" s="55">
        <v>0</v>
      </c>
      <c r="AD32" s="55">
        <v>-42.87127564102564</v>
      </c>
      <c r="AE32" s="55">
        <v>0</v>
      </c>
      <c r="AF32" s="52" t="e">
        <v>#N/A</v>
      </c>
    </row>
    <row r="33" spans="1:32" s="57" customFormat="1" ht="15.75" customHeight="1">
      <c r="A33" s="2" t="s">
        <v>94</v>
      </c>
      <c r="B33" s="2"/>
      <c r="C33" s="51" t="str">
        <f t="shared" si="35"/>
        <v xml:space="preserve"> - </v>
      </c>
      <c r="D33" s="51">
        <v>0</v>
      </c>
      <c r="E33" s="51">
        <v>0</v>
      </c>
      <c r="F33" s="51">
        <v>0</v>
      </c>
      <c r="G33" s="51">
        <v>0</v>
      </c>
      <c r="H33" s="51" t="e">
        <f t="shared" si="1"/>
        <v>#DIV/0!</v>
      </c>
      <c r="I33" s="51" t="e">
        <f t="shared" si="2"/>
        <v>#DIV/0!</v>
      </c>
      <c r="J33" s="51">
        <f t="shared" si="4"/>
        <v>0</v>
      </c>
      <c r="K33" s="51" t="e">
        <f t="shared" si="3"/>
        <v>#DIV/0!</v>
      </c>
      <c r="L33" s="51">
        <v>0</v>
      </c>
      <c r="M33" s="51" t="str">
        <f t="shared" si="5"/>
        <v>-</v>
      </c>
      <c r="N33" s="51">
        <v>0</v>
      </c>
      <c r="O33" s="51">
        <f t="shared" ref="O33:P33" si="43">D33/7</f>
        <v>0</v>
      </c>
      <c r="P33" s="51">
        <f t="shared" si="43"/>
        <v>0</v>
      </c>
      <c r="Q33" s="51" t="e">
        <f t="shared" si="7"/>
        <v>#DIV/0!</v>
      </c>
      <c r="R33" s="55" t="s">
        <v>34</v>
      </c>
      <c r="S33" s="53" t="s">
        <v>34</v>
      </c>
      <c r="T33" s="54" t="s">
        <v>34</v>
      </c>
      <c r="U33" s="55">
        <v>0</v>
      </c>
      <c r="V33" s="55">
        <f t="shared" si="8"/>
        <v>0</v>
      </c>
      <c r="W33" s="55">
        <f t="shared" si="9"/>
        <v>0</v>
      </c>
      <c r="X33" s="55">
        <v>0</v>
      </c>
      <c r="Y33" s="55" t="e">
        <v>#N/A</v>
      </c>
      <c r="Z33" s="56" t="e">
        <f t="shared" si="19"/>
        <v>#N/A</v>
      </c>
      <c r="AA33" s="55" t="e">
        <v>#N/A</v>
      </c>
      <c r="AB33" s="55">
        <f t="shared" si="27"/>
        <v>0</v>
      </c>
      <c r="AC33" s="55">
        <v>0</v>
      </c>
      <c r="AD33" s="55">
        <v>-42.87127564102564</v>
      </c>
      <c r="AE33" s="55">
        <v>0</v>
      </c>
      <c r="AF33" s="55" t="e">
        <v>#N/A</v>
      </c>
    </row>
    <row r="34" spans="1:32" s="57" customFormat="1" ht="15.75" customHeight="1">
      <c r="A34" s="2" t="s">
        <v>95</v>
      </c>
      <c r="B34" s="2"/>
      <c r="C34" s="51" t="str">
        <f t="shared" si="35"/>
        <v xml:space="preserve"> - </v>
      </c>
      <c r="D34" s="51">
        <v>0</v>
      </c>
      <c r="E34" s="51">
        <v>0</v>
      </c>
      <c r="F34" s="51">
        <v>0</v>
      </c>
      <c r="G34" s="51">
        <v>0</v>
      </c>
      <c r="H34" s="51" t="e">
        <f t="shared" si="1"/>
        <v>#DIV/0!</v>
      </c>
      <c r="I34" s="51" t="e">
        <f t="shared" si="2"/>
        <v>#DIV/0!</v>
      </c>
      <c r="J34" s="51">
        <f t="shared" si="4"/>
        <v>0</v>
      </c>
      <c r="K34" s="51" t="e">
        <f t="shared" si="3"/>
        <v>#DIV/0!</v>
      </c>
      <c r="L34" s="51">
        <v>0</v>
      </c>
      <c r="M34" s="51" t="str">
        <f t="shared" si="5"/>
        <v>-</v>
      </c>
      <c r="N34" s="51">
        <v>0</v>
      </c>
      <c r="O34" s="51">
        <f t="shared" ref="O34:P34" si="44">D34/7</f>
        <v>0</v>
      </c>
      <c r="P34" s="51">
        <f t="shared" si="44"/>
        <v>0</v>
      </c>
      <c r="Q34" s="51" t="e">
        <f t="shared" si="7"/>
        <v>#DIV/0!</v>
      </c>
      <c r="R34" s="55" t="s">
        <v>34</v>
      </c>
      <c r="S34" s="53" t="s">
        <v>34</v>
      </c>
      <c r="T34" s="54" t="s">
        <v>34</v>
      </c>
      <c r="U34" s="55">
        <v>0</v>
      </c>
      <c r="V34" s="55">
        <f t="shared" si="8"/>
        <v>0</v>
      </c>
      <c r="W34" s="55">
        <f t="shared" si="9"/>
        <v>0</v>
      </c>
      <c r="X34" s="55">
        <v>0</v>
      </c>
      <c r="Y34" s="55" t="e">
        <v>#N/A</v>
      </c>
      <c r="Z34" s="56" t="e">
        <f t="shared" si="19"/>
        <v>#N/A</v>
      </c>
      <c r="AA34" s="55" t="e">
        <v>#N/A</v>
      </c>
      <c r="AB34" s="55">
        <f t="shared" si="27"/>
        <v>0</v>
      </c>
      <c r="AC34" s="55">
        <v>0</v>
      </c>
      <c r="AD34" s="55">
        <v>-42.87127564102564</v>
      </c>
      <c r="AE34" s="55">
        <v>0</v>
      </c>
      <c r="AF34" s="55" t="e">
        <v>#N/A</v>
      </c>
    </row>
    <row r="35" spans="1:32" s="57" customFormat="1" ht="15.75" customHeight="1">
      <c r="A35" s="2" t="s">
        <v>96</v>
      </c>
      <c r="B35" s="2"/>
      <c r="C35" s="51" t="str">
        <f t="shared" si="35"/>
        <v xml:space="preserve"> - </v>
      </c>
      <c r="D35" s="51">
        <v>0</v>
      </c>
      <c r="E35" s="51">
        <v>0</v>
      </c>
      <c r="F35" s="51">
        <v>0</v>
      </c>
      <c r="G35" s="51">
        <v>0</v>
      </c>
      <c r="H35" s="51" t="e">
        <f t="shared" si="1"/>
        <v>#DIV/0!</v>
      </c>
      <c r="I35" s="51" t="e">
        <f t="shared" si="2"/>
        <v>#DIV/0!</v>
      </c>
      <c r="J35" s="51">
        <f t="shared" si="4"/>
        <v>0</v>
      </c>
      <c r="K35" s="51" t="e">
        <f t="shared" si="3"/>
        <v>#DIV/0!</v>
      </c>
      <c r="L35" s="51">
        <v>0</v>
      </c>
      <c r="M35" s="51" t="str">
        <f t="shared" si="5"/>
        <v>-</v>
      </c>
      <c r="N35" s="51">
        <v>0</v>
      </c>
      <c r="O35" s="51">
        <f t="shared" ref="O35:P35" si="45">D35/7</f>
        <v>0</v>
      </c>
      <c r="P35" s="51">
        <f t="shared" si="45"/>
        <v>0</v>
      </c>
      <c r="Q35" s="51" t="e">
        <f t="shared" si="7"/>
        <v>#DIV/0!</v>
      </c>
      <c r="R35" s="55" t="s">
        <v>34</v>
      </c>
      <c r="S35" s="53" t="s">
        <v>34</v>
      </c>
      <c r="T35" s="54" t="s">
        <v>34</v>
      </c>
      <c r="U35" s="55">
        <v>0</v>
      </c>
      <c r="V35" s="55">
        <f t="shared" si="8"/>
        <v>0</v>
      </c>
      <c r="W35" s="55">
        <f t="shared" si="9"/>
        <v>0</v>
      </c>
      <c r="X35" s="55">
        <v>0</v>
      </c>
      <c r="Y35" s="55" t="e">
        <v>#N/A</v>
      </c>
      <c r="Z35" s="56" t="e">
        <f t="shared" si="19"/>
        <v>#N/A</v>
      </c>
      <c r="AA35" s="55" t="e">
        <v>#N/A</v>
      </c>
      <c r="AB35" s="55">
        <f t="shared" si="27"/>
        <v>0</v>
      </c>
      <c r="AC35" s="55">
        <v>0</v>
      </c>
      <c r="AD35" s="55">
        <v>-42.87127564102564</v>
      </c>
      <c r="AE35" s="55">
        <v>0</v>
      </c>
      <c r="AF35" s="55" t="e">
        <v>#N/A</v>
      </c>
    </row>
    <row r="36" spans="1:32" s="57" customFormat="1" ht="15.75" customHeight="1">
      <c r="A36" s="2" t="s">
        <v>98</v>
      </c>
      <c r="B36" s="2"/>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t="s">
        <v>34</v>
      </c>
      <c r="S36" s="53"/>
      <c r="T36" s="54" t="s">
        <v>34</v>
      </c>
      <c r="U36" s="55"/>
      <c r="V36" s="55">
        <f t="shared" si="8"/>
        <v>0</v>
      </c>
      <c r="W36" s="55">
        <f t="shared" si="9"/>
        <v>0</v>
      </c>
      <c r="X36" s="55"/>
      <c r="Y36" s="55" t="e">
        <v>#N/A</v>
      </c>
      <c r="Z36" s="56" t="e">
        <f t="shared" si="19"/>
        <v>#N/A</v>
      </c>
      <c r="AA36" s="55" t="e">
        <v>#N/A</v>
      </c>
      <c r="AB36" s="55">
        <f t="shared" si="27"/>
        <v>0</v>
      </c>
      <c r="AC36" s="55">
        <v>0</v>
      </c>
      <c r="AD36" s="55">
        <v>-42.87127564102564</v>
      </c>
      <c r="AE36" s="55">
        <v>0</v>
      </c>
      <c r="AF36" s="55" t="e">
        <v>#N/A</v>
      </c>
    </row>
    <row r="37" spans="1:32" s="57" customFormat="1" ht="15.75" customHeight="1">
      <c r="A37" s="2" t="s">
        <v>99</v>
      </c>
      <c r="B37" s="2"/>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t="s">
        <v>34</v>
      </c>
      <c r="S37" s="53" t="s">
        <v>34</v>
      </c>
      <c r="T37" s="54" t="s">
        <v>34</v>
      </c>
      <c r="U37" s="55">
        <v>0</v>
      </c>
      <c r="V37" s="55">
        <f t="shared" si="8"/>
        <v>0</v>
      </c>
      <c r="W37" s="55">
        <f t="shared" si="9"/>
        <v>0</v>
      </c>
      <c r="X37" s="55">
        <v>0</v>
      </c>
      <c r="Y37" s="55" t="e">
        <v>#N/A</v>
      </c>
      <c r="Z37" s="56" t="e">
        <f t="shared" si="19"/>
        <v>#N/A</v>
      </c>
      <c r="AA37" s="55" t="e">
        <v>#N/A</v>
      </c>
      <c r="AB37" s="55">
        <f t="shared" si="27"/>
        <v>0</v>
      </c>
      <c r="AC37" s="55">
        <v>0</v>
      </c>
      <c r="AD37" s="55">
        <v>-42.87127564102564</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5" t="s">
        <v>34</v>
      </c>
      <c r="S38" s="53"/>
      <c r="T38" s="54" t="s">
        <v>34</v>
      </c>
      <c r="U38" s="55">
        <v>0</v>
      </c>
      <c r="V38" s="55">
        <f t="shared" si="8"/>
        <v>0</v>
      </c>
      <c r="W38" s="55">
        <f t="shared" si="9"/>
        <v>0</v>
      </c>
      <c r="X38" s="55">
        <v>0</v>
      </c>
      <c r="Y38" s="55" t="e">
        <v>#N/A</v>
      </c>
      <c r="Z38" s="56" t="e">
        <f t="shared" si="19"/>
        <v>#N/A</v>
      </c>
      <c r="AA38" s="55" t="e">
        <v>#N/A</v>
      </c>
      <c r="AB38" s="55">
        <f t="shared" si="27"/>
        <v>0</v>
      </c>
      <c r="AC38" s="55">
        <v>0</v>
      </c>
      <c r="AD38" s="55">
        <v>-42.87127564102564</v>
      </c>
      <c r="AE38" s="55">
        <v>0</v>
      </c>
      <c r="AF38" s="55" t="e">
        <v>#N/A</v>
      </c>
    </row>
    <row r="39" spans="1:32" s="57" customFormat="1" ht="15.75" customHeight="1">
      <c r="A39" s="2" t="s">
        <v>101</v>
      </c>
      <c r="B39" s="2"/>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0</v>
      </c>
      <c r="O39" s="51">
        <f t="shared" ref="O39:P39" si="49">D39/7</f>
        <v>0</v>
      </c>
      <c r="P39" s="51">
        <f t="shared" si="49"/>
        <v>0</v>
      </c>
      <c r="Q39" s="51" t="e">
        <f t="shared" si="7"/>
        <v>#DIV/0!</v>
      </c>
      <c r="R39" s="55" t="s">
        <v>34</v>
      </c>
      <c r="S39" s="53" t="s">
        <v>34</v>
      </c>
      <c r="T39" s="54" t="s">
        <v>34</v>
      </c>
      <c r="U39" s="55">
        <v>0</v>
      </c>
      <c r="V39" s="55">
        <f t="shared" si="8"/>
        <v>0</v>
      </c>
      <c r="W39" s="55">
        <f t="shared" si="9"/>
        <v>0</v>
      </c>
      <c r="X39" s="55">
        <v>0</v>
      </c>
      <c r="Y39" s="55" t="e">
        <v>#N/A</v>
      </c>
      <c r="Z39" s="56" t="e">
        <f t="shared" si="19"/>
        <v>#N/A</v>
      </c>
      <c r="AA39" s="55" t="e">
        <v>#N/A</v>
      </c>
      <c r="AB39" s="55">
        <f t="shared" si="27"/>
        <v>0</v>
      </c>
      <c r="AC39" s="55">
        <v>0</v>
      </c>
      <c r="AD39" s="55">
        <v>-42.871275641025598</v>
      </c>
      <c r="AE39" s="55">
        <v>0</v>
      </c>
      <c r="AF39" s="55" t="e">
        <v>#N/A</v>
      </c>
    </row>
    <row r="40" spans="1:32" s="57" customFormat="1" ht="15.75" customHeight="1">
      <c r="A40" s="2" t="s">
        <v>102</v>
      </c>
      <c r="B40" s="2"/>
      <c r="C40" s="51" t="s">
        <v>103</v>
      </c>
      <c r="D40" s="51">
        <v>0</v>
      </c>
      <c r="E40" s="51">
        <v>0</v>
      </c>
      <c r="F40" s="51">
        <v>0</v>
      </c>
      <c r="G40" s="51">
        <v>0</v>
      </c>
      <c r="H40" s="51" t="e">
        <v>#DIV/0!</v>
      </c>
      <c r="I40" s="51" t="e">
        <v>#DIV/0!</v>
      </c>
      <c r="J40" s="51">
        <v>0</v>
      </c>
      <c r="K40" s="51" t="e">
        <v>#DIV/0!</v>
      </c>
      <c r="L40" s="51">
        <v>0</v>
      </c>
      <c r="M40" s="51" t="s">
        <v>104</v>
      </c>
      <c r="N40" s="51">
        <v>0</v>
      </c>
      <c r="O40" s="51">
        <v>0</v>
      </c>
      <c r="P40" s="51">
        <v>0</v>
      </c>
      <c r="Q40" s="51" t="e">
        <v>#DIV/0!</v>
      </c>
      <c r="R40" s="55" t="s">
        <v>34</v>
      </c>
      <c r="S40" s="53" t="s">
        <v>34</v>
      </c>
      <c r="T40" s="54" t="s">
        <v>34</v>
      </c>
      <c r="U40" s="55">
        <v>0</v>
      </c>
      <c r="V40" s="55">
        <v>0</v>
      </c>
      <c r="W40" s="55">
        <v>0</v>
      </c>
      <c r="X40" s="55">
        <v>0</v>
      </c>
      <c r="Y40" s="55" t="e">
        <v>#N/A</v>
      </c>
      <c r="Z40" s="56" t="e">
        <v>#N/A</v>
      </c>
      <c r="AA40" s="55" t="e">
        <v>#N/A</v>
      </c>
      <c r="AB40" s="55">
        <v>0</v>
      </c>
      <c r="AC40" s="55">
        <v>0</v>
      </c>
      <c r="AD40" s="55">
        <v>-42.871275641025598</v>
      </c>
      <c r="AE40" s="55">
        <v>0</v>
      </c>
      <c r="AF40" s="55" t="e">
        <v>#N/A</v>
      </c>
    </row>
    <row r="41" spans="1:32" s="57" customFormat="1" ht="15.75" customHeight="1">
      <c r="A41" s="2" t="s">
        <v>105</v>
      </c>
      <c r="B41" s="2"/>
      <c r="C41" s="51" t="str">
        <f t="shared" ref="C41:C56" si="50">IFERROR(F41/D41," - ")</f>
        <v xml:space="preserve"> - </v>
      </c>
      <c r="D41" s="51">
        <v>0</v>
      </c>
      <c r="E41" s="51">
        <v>0</v>
      </c>
      <c r="F41" s="51">
        <v>0</v>
      </c>
      <c r="G41" s="51">
        <v>0</v>
      </c>
      <c r="H41" s="51" t="e">
        <f t="shared" ref="H41:H56" si="51">G41/F41*-1</f>
        <v>#DIV/0!</v>
      </c>
      <c r="I41" s="51" t="e">
        <f t="shared" ref="I41:I56" si="52">J41/F41</f>
        <v>#DIV/0!</v>
      </c>
      <c r="J41" s="51">
        <f t="shared" ref="J41:J48" si="53">F41*0.85+G41+AD41*D41+D41*AC41+AE42+AB41</f>
        <v>0</v>
      </c>
      <c r="K41" s="51" t="e">
        <f t="shared" ref="K41:K56" si="54">J41/D41</f>
        <v>#DIV/0!</v>
      </c>
      <c r="L41" s="51">
        <v>0</v>
      </c>
      <c r="M41" s="51" t="str">
        <f t="shared" ref="M41:M56" si="55">IFERROR(D41/L41,"-")</f>
        <v>-</v>
      </c>
      <c r="N41" s="51">
        <v>0</v>
      </c>
      <c r="O41" s="51">
        <f t="shared" ref="O41:P41" si="56">D41/7</f>
        <v>0</v>
      </c>
      <c r="P41" s="51">
        <f t="shared" si="56"/>
        <v>0</v>
      </c>
      <c r="Q41" s="51" t="e">
        <f t="shared" ref="Q41:Q56" si="57">ROUNDDOWN(N41/(O41+P41),0)</f>
        <v>#DIV/0!</v>
      </c>
      <c r="R41" s="55" t="s">
        <v>34</v>
      </c>
      <c r="S41" s="53" t="s">
        <v>34</v>
      </c>
      <c r="T41" s="54" t="s">
        <v>34</v>
      </c>
      <c r="U41" s="55">
        <v>0</v>
      </c>
      <c r="V41" s="55">
        <f t="shared" ref="V41:V56" si="58">IFERROR(U41/D41,0)</f>
        <v>0</v>
      </c>
      <c r="W41" s="55">
        <f t="shared" ref="W41:W56" si="59">IFERROR(G41/(U41+X41)*-1,0)</f>
        <v>0</v>
      </c>
      <c r="X41" s="55">
        <v>0</v>
      </c>
      <c r="Y41" s="52" t="e">
        <v>#N/A</v>
      </c>
      <c r="Z41" s="56" t="e">
        <f t="shared" ref="Z41:Z43" si="60">IF(OR(Y41="UsLargeStandardSize",Y41="UsSmallStandardSize"),-0.75,-0.48)</f>
        <v>#N/A</v>
      </c>
      <c r="AA41" s="55" t="e">
        <v>#N/A</v>
      </c>
      <c r="AB41" s="55">
        <f t="shared" ref="AB41:AB56" si="61">IFERROR(Z41*AA41*D41*3,0)</f>
        <v>0</v>
      </c>
      <c r="AC41" s="55">
        <v>0</v>
      </c>
      <c r="AD41" s="55">
        <v>-42.871275641025598</v>
      </c>
      <c r="AE41" s="55">
        <v>0</v>
      </c>
      <c r="AF41" s="55" t="e">
        <v>#N/A</v>
      </c>
    </row>
    <row r="42" spans="1:32" s="57" customFormat="1" ht="15.75" customHeight="1">
      <c r="A42" s="2" t="s">
        <v>106</v>
      </c>
      <c r="B42" s="2"/>
      <c r="C42" s="51" t="str">
        <f t="shared" si="50"/>
        <v xml:space="preserve"> - </v>
      </c>
      <c r="D42" s="51">
        <v>0</v>
      </c>
      <c r="E42" s="51">
        <v>0</v>
      </c>
      <c r="F42" s="51">
        <v>0</v>
      </c>
      <c r="G42" s="51">
        <v>0</v>
      </c>
      <c r="H42" s="51" t="e">
        <f t="shared" si="51"/>
        <v>#DIV/0!</v>
      </c>
      <c r="I42" s="51" t="e">
        <f t="shared" si="52"/>
        <v>#DIV/0!</v>
      </c>
      <c r="J42" s="51">
        <f t="shared" si="53"/>
        <v>0</v>
      </c>
      <c r="K42" s="51" t="e">
        <f t="shared" si="54"/>
        <v>#DIV/0!</v>
      </c>
      <c r="L42" s="51">
        <v>0</v>
      </c>
      <c r="M42" s="51" t="str">
        <f t="shared" si="55"/>
        <v>-</v>
      </c>
      <c r="N42" s="51">
        <v>0</v>
      </c>
      <c r="O42" s="51">
        <f t="shared" ref="O42:P42" si="62">D42/7</f>
        <v>0</v>
      </c>
      <c r="P42" s="51">
        <f t="shared" si="62"/>
        <v>0</v>
      </c>
      <c r="Q42" s="51" t="e">
        <f t="shared" si="57"/>
        <v>#DIV/0!</v>
      </c>
      <c r="R42" s="55" t="str">
        <f ca="1">IFERROR(__xludf.DUMMYFUNCTION("IFERROR(VLOOKUP($B$2,IMPORTRANGE(""https://docs.google.com/spreadsheets/d/1iVgg6Mw12RULLujzHmfOFIY8Q_KaAD8anoZzgtVAQ74/edit#gid=1503384807"",""Second Star - Summary!A1:AD2000""),9,FALSE),"""")"),"")</f>
        <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0</v>
      </c>
      <c r="V42" s="55">
        <f t="shared" si="58"/>
        <v>0</v>
      </c>
      <c r="W42" s="55">
        <f t="shared" si="59"/>
        <v>0</v>
      </c>
      <c r="X42" s="55">
        <v>0</v>
      </c>
      <c r="Y42" s="55" t="e">
        <v>#N/A</v>
      </c>
      <c r="Z42" s="56" t="e">
        <f t="shared" si="60"/>
        <v>#N/A</v>
      </c>
      <c r="AA42" s="55" t="e">
        <v>#N/A</v>
      </c>
      <c r="AB42" s="55">
        <f t="shared" si="61"/>
        <v>0</v>
      </c>
      <c r="AC42" s="55">
        <v>0</v>
      </c>
      <c r="AD42" s="55">
        <v>-42.871275641025598</v>
      </c>
      <c r="AE42" s="55">
        <v>0</v>
      </c>
      <c r="AF42" s="55" t="e">
        <v>#N/A</v>
      </c>
    </row>
    <row r="43" spans="1:32" s="57" customFormat="1" ht="15.75" customHeight="1">
      <c r="A43" s="2" t="s">
        <v>107</v>
      </c>
      <c r="B43" s="2"/>
      <c r="C43" s="51" t="str">
        <f t="shared" si="50"/>
        <v xml:space="preserve"> - </v>
      </c>
      <c r="D43" s="51">
        <v>0</v>
      </c>
      <c r="E43" s="51">
        <v>0</v>
      </c>
      <c r="F43" s="51">
        <v>0</v>
      </c>
      <c r="G43" s="51">
        <v>0</v>
      </c>
      <c r="H43" s="51" t="e">
        <f t="shared" si="51"/>
        <v>#DIV/0!</v>
      </c>
      <c r="I43" s="51" t="e">
        <f t="shared" si="52"/>
        <v>#DIV/0!</v>
      </c>
      <c r="J43" s="51">
        <f t="shared" si="53"/>
        <v>0</v>
      </c>
      <c r="K43" s="51" t="e">
        <f t="shared" si="54"/>
        <v>#DIV/0!</v>
      </c>
      <c r="L43" s="51">
        <v>0</v>
      </c>
      <c r="M43" s="51" t="str">
        <f t="shared" si="55"/>
        <v>-</v>
      </c>
      <c r="N43" s="51">
        <v>0</v>
      </c>
      <c r="O43" s="51">
        <f t="shared" ref="O43:P43" si="63">D43/7</f>
        <v>0</v>
      </c>
      <c r="P43" s="51">
        <f t="shared" si="63"/>
        <v>0</v>
      </c>
      <c r="Q43" s="51" t="e">
        <f t="shared" si="57"/>
        <v>#DIV/0!</v>
      </c>
      <c r="R43" s="55" t="s">
        <v>34</v>
      </c>
      <c r="S43" s="53" t="s">
        <v>34</v>
      </c>
      <c r="T43" s="54" t="s">
        <v>34</v>
      </c>
      <c r="U43" s="55">
        <v>0</v>
      </c>
      <c r="V43" s="55">
        <f t="shared" si="58"/>
        <v>0</v>
      </c>
      <c r="W43" s="55">
        <f t="shared" si="59"/>
        <v>0</v>
      </c>
      <c r="X43" s="55">
        <v>0</v>
      </c>
      <c r="Y43" s="55" t="e">
        <v>#N/A</v>
      </c>
      <c r="Z43" s="56" t="e">
        <f t="shared" si="60"/>
        <v>#N/A</v>
      </c>
      <c r="AA43" s="55" t="e">
        <v>#N/A</v>
      </c>
      <c r="AB43" s="55">
        <f t="shared" si="61"/>
        <v>0</v>
      </c>
      <c r="AC43" s="55">
        <v>0</v>
      </c>
      <c r="AD43" s="55">
        <v>-42.871275641025598</v>
      </c>
      <c r="AE43" s="55">
        <v>0</v>
      </c>
      <c r="AF43" s="55" t="e">
        <v>#N/A</v>
      </c>
    </row>
    <row r="44" spans="1:32" s="57" customFormat="1" ht="15.75" customHeight="1">
      <c r="A44" s="2" t="s">
        <v>108</v>
      </c>
      <c r="B44" s="2"/>
      <c r="C44" s="51" t="str">
        <f t="shared" si="50"/>
        <v xml:space="preserve"> - </v>
      </c>
      <c r="D44" s="51">
        <v>0</v>
      </c>
      <c r="E44" s="51">
        <v>0</v>
      </c>
      <c r="F44" s="51">
        <v>0</v>
      </c>
      <c r="G44" s="51">
        <v>0</v>
      </c>
      <c r="H44" s="51" t="e">
        <f t="shared" si="51"/>
        <v>#DIV/0!</v>
      </c>
      <c r="I44" s="51" t="e">
        <f t="shared" si="52"/>
        <v>#DIV/0!</v>
      </c>
      <c r="J44" s="51">
        <f t="shared" si="53"/>
        <v>0</v>
      </c>
      <c r="K44" s="51" t="e">
        <f t="shared" si="54"/>
        <v>#DIV/0!</v>
      </c>
      <c r="L44" s="51">
        <v>0</v>
      </c>
      <c r="M44" s="51" t="str">
        <f t="shared" si="55"/>
        <v>-</v>
      </c>
      <c r="N44" s="51">
        <v>0</v>
      </c>
      <c r="O44" s="51">
        <f t="shared" ref="O44:P44" si="64">D44/7</f>
        <v>0</v>
      </c>
      <c r="P44" s="51">
        <f t="shared" si="64"/>
        <v>0</v>
      </c>
      <c r="Q44" s="51" t="e">
        <f t="shared" si="57"/>
        <v>#DIV/0!</v>
      </c>
      <c r="R44" s="55" t="s">
        <v>34</v>
      </c>
      <c r="S44" s="53" t="s">
        <v>34</v>
      </c>
      <c r="T44" s="54" t="s">
        <v>34</v>
      </c>
      <c r="U44" s="55">
        <v>0</v>
      </c>
      <c r="V44" s="55">
        <f t="shared" si="58"/>
        <v>0</v>
      </c>
      <c r="W44" s="55">
        <f t="shared" si="59"/>
        <v>0</v>
      </c>
      <c r="X44" s="55">
        <v>0</v>
      </c>
      <c r="Y44" s="55" t="e">
        <v>#N/A</v>
      </c>
      <c r="Z44" s="56" t="e">
        <f t="shared" ref="Z44:Z56" si="65">IF(OR(Y44="UsLargeStandardSize",Y44="UsSmallStandardSize"),-2.4,-1.2)</f>
        <v>#N/A</v>
      </c>
      <c r="AA44" s="55" t="e">
        <v>#N/A</v>
      </c>
      <c r="AB44" s="55">
        <f t="shared" si="61"/>
        <v>0</v>
      </c>
      <c r="AC44" s="55">
        <v>0</v>
      </c>
      <c r="AD44" s="55">
        <v>-42.871275641025598</v>
      </c>
      <c r="AE44" s="55">
        <v>0</v>
      </c>
      <c r="AF44" s="55" t="e">
        <v>#N/A</v>
      </c>
    </row>
    <row r="45" spans="1:32" s="57" customFormat="1" ht="15.75" customHeight="1">
      <c r="A45" s="2" t="s">
        <v>109</v>
      </c>
      <c r="B45" s="2"/>
      <c r="C45" s="51" t="str">
        <f t="shared" si="50"/>
        <v xml:space="preserve"> - </v>
      </c>
      <c r="D45" s="51">
        <v>0</v>
      </c>
      <c r="E45" s="51">
        <v>0</v>
      </c>
      <c r="F45" s="51">
        <v>0</v>
      </c>
      <c r="G45" s="51">
        <v>0</v>
      </c>
      <c r="H45" s="51" t="e">
        <f t="shared" si="51"/>
        <v>#DIV/0!</v>
      </c>
      <c r="I45" s="51" t="e">
        <f t="shared" si="52"/>
        <v>#DIV/0!</v>
      </c>
      <c r="J45" s="51">
        <f t="shared" si="53"/>
        <v>0</v>
      </c>
      <c r="K45" s="51" t="e">
        <f t="shared" si="54"/>
        <v>#DIV/0!</v>
      </c>
      <c r="L45" s="51">
        <v>0</v>
      </c>
      <c r="M45" s="51" t="str">
        <f t="shared" si="55"/>
        <v>-</v>
      </c>
      <c r="N45" s="51">
        <v>0</v>
      </c>
      <c r="O45" s="51">
        <f t="shared" ref="O45:P45" si="66">D45/7</f>
        <v>0</v>
      </c>
      <c r="P45" s="51">
        <f t="shared" si="66"/>
        <v>0</v>
      </c>
      <c r="Q45" s="51" t="e">
        <f t="shared" si="57"/>
        <v>#DIV/0!</v>
      </c>
      <c r="R45" s="55" t="s">
        <v>34</v>
      </c>
      <c r="S45" s="53" t="s">
        <v>34</v>
      </c>
      <c r="T45" s="54" t="s">
        <v>34</v>
      </c>
      <c r="U45" s="55">
        <v>0</v>
      </c>
      <c r="V45" s="55">
        <f t="shared" si="58"/>
        <v>0</v>
      </c>
      <c r="W45" s="55">
        <f t="shared" si="59"/>
        <v>0</v>
      </c>
      <c r="X45" s="55">
        <v>0</v>
      </c>
      <c r="Y45" s="55" t="e">
        <v>#N/A</v>
      </c>
      <c r="Z45" s="56" t="e">
        <f t="shared" si="65"/>
        <v>#N/A</v>
      </c>
      <c r="AA45" s="55" t="e">
        <v>#N/A</v>
      </c>
      <c r="AB45" s="55">
        <f t="shared" si="61"/>
        <v>0</v>
      </c>
      <c r="AC45" s="55">
        <v>0</v>
      </c>
      <c r="AD45" s="55">
        <v>-42.871275641025598</v>
      </c>
      <c r="AE45" s="55">
        <v>0</v>
      </c>
      <c r="AF45" s="55" t="e">
        <v>#N/A</v>
      </c>
    </row>
    <row r="46" spans="1:32" s="57" customFormat="1" ht="15.75" customHeight="1">
      <c r="A46" s="2" t="s">
        <v>111</v>
      </c>
      <c r="B46" s="2"/>
      <c r="C46" s="51" t="str">
        <f t="shared" si="50"/>
        <v xml:space="preserve"> - </v>
      </c>
      <c r="D46" s="51">
        <v>0</v>
      </c>
      <c r="E46" s="51">
        <v>0</v>
      </c>
      <c r="F46" s="51">
        <v>0</v>
      </c>
      <c r="G46" s="51">
        <v>0</v>
      </c>
      <c r="H46" s="51" t="e">
        <f t="shared" si="51"/>
        <v>#DIV/0!</v>
      </c>
      <c r="I46" s="51" t="e">
        <f t="shared" si="52"/>
        <v>#DIV/0!</v>
      </c>
      <c r="J46" s="51">
        <f t="shared" si="53"/>
        <v>0</v>
      </c>
      <c r="K46" s="51" t="e">
        <f t="shared" si="54"/>
        <v>#DIV/0!</v>
      </c>
      <c r="L46" s="51">
        <v>0</v>
      </c>
      <c r="M46" s="51" t="str">
        <f t="shared" si="55"/>
        <v>-</v>
      </c>
      <c r="N46" s="51">
        <v>0</v>
      </c>
      <c r="O46" s="51">
        <f t="shared" ref="O46:P46" si="67">D46/7</f>
        <v>0</v>
      </c>
      <c r="P46" s="51">
        <f t="shared" si="67"/>
        <v>0</v>
      </c>
      <c r="Q46" s="51" t="e">
        <f t="shared" si="57"/>
        <v>#DIV/0!</v>
      </c>
      <c r="R46" s="55" t="s">
        <v>34</v>
      </c>
      <c r="S46" s="53" t="s">
        <v>34</v>
      </c>
      <c r="T46" s="54" t="s">
        <v>34</v>
      </c>
      <c r="U46" s="55">
        <v>0</v>
      </c>
      <c r="V46" s="55">
        <f t="shared" si="58"/>
        <v>0</v>
      </c>
      <c r="W46" s="55">
        <f t="shared" si="59"/>
        <v>0</v>
      </c>
      <c r="X46" s="55">
        <v>0</v>
      </c>
      <c r="Y46" s="55" t="e">
        <v>#N/A</v>
      </c>
      <c r="Z46" s="56" t="e">
        <f t="shared" si="65"/>
        <v>#N/A</v>
      </c>
      <c r="AA46" s="55" t="e">
        <v>#N/A</v>
      </c>
      <c r="AB46" s="55">
        <f t="shared" si="61"/>
        <v>0</v>
      </c>
      <c r="AC46" s="55">
        <v>0</v>
      </c>
      <c r="AD46" s="55">
        <v>-42.871275641025598</v>
      </c>
      <c r="AE46" s="55">
        <v>0</v>
      </c>
      <c r="AF46" s="55" t="e">
        <v>#N/A</v>
      </c>
    </row>
    <row r="47" spans="1:32" s="57" customFormat="1" ht="15.75" customHeight="1">
      <c r="A47" s="2" t="s">
        <v>113</v>
      </c>
      <c r="B47" s="2"/>
      <c r="C47" s="51" t="str">
        <f t="shared" si="50"/>
        <v xml:space="preserve"> - </v>
      </c>
      <c r="D47" s="51">
        <v>0</v>
      </c>
      <c r="E47" s="51">
        <v>0</v>
      </c>
      <c r="F47" s="51">
        <v>0</v>
      </c>
      <c r="G47" s="51">
        <v>0</v>
      </c>
      <c r="H47" s="51" t="e">
        <f t="shared" si="51"/>
        <v>#DIV/0!</v>
      </c>
      <c r="I47" s="51" t="e">
        <f t="shared" si="52"/>
        <v>#DIV/0!</v>
      </c>
      <c r="J47" s="51">
        <f t="shared" si="53"/>
        <v>0</v>
      </c>
      <c r="K47" s="51" t="e">
        <f t="shared" si="54"/>
        <v>#DIV/0!</v>
      </c>
      <c r="L47" s="51">
        <v>0</v>
      </c>
      <c r="M47" s="51" t="str">
        <f t="shared" si="55"/>
        <v>-</v>
      </c>
      <c r="N47" s="51">
        <v>0</v>
      </c>
      <c r="O47" s="51">
        <f t="shared" ref="O47:P47" si="68">D47/7</f>
        <v>0</v>
      </c>
      <c r="P47" s="51">
        <f t="shared" si="68"/>
        <v>0</v>
      </c>
      <c r="Q47" s="51" t="e">
        <f t="shared" si="57"/>
        <v>#DIV/0!</v>
      </c>
      <c r="R47" s="55" t="s">
        <v>34</v>
      </c>
      <c r="S47" s="53" t="s">
        <v>34</v>
      </c>
      <c r="T47" s="54" t="s">
        <v>34</v>
      </c>
      <c r="U47" s="55">
        <v>0</v>
      </c>
      <c r="V47" s="55">
        <f t="shared" si="58"/>
        <v>0</v>
      </c>
      <c r="W47" s="55">
        <f t="shared" si="59"/>
        <v>0</v>
      </c>
      <c r="X47" s="55">
        <v>0</v>
      </c>
      <c r="Y47" s="55" t="e">
        <v>#N/A</v>
      </c>
      <c r="Z47" s="56" t="e">
        <f t="shared" si="65"/>
        <v>#N/A</v>
      </c>
      <c r="AA47" s="55" t="e">
        <v>#N/A</v>
      </c>
      <c r="AB47" s="55">
        <f t="shared" si="61"/>
        <v>0</v>
      </c>
      <c r="AC47" s="55">
        <v>0</v>
      </c>
      <c r="AD47" s="55">
        <v>-42.871275641025598</v>
      </c>
      <c r="AE47" s="55">
        <v>0</v>
      </c>
      <c r="AF47" s="55" t="e">
        <v>#N/A</v>
      </c>
    </row>
    <row r="48" spans="1:32" s="57" customFormat="1" ht="15.75" customHeight="1">
      <c r="A48" s="2" t="s">
        <v>115</v>
      </c>
      <c r="B48" s="2"/>
      <c r="C48" s="51" t="str">
        <f t="shared" si="50"/>
        <v xml:space="preserve"> - </v>
      </c>
      <c r="D48" s="51">
        <v>0</v>
      </c>
      <c r="E48" s="51">
        <v>0</v>
      </c>
      <c r="F48" s="51">
        <v>0</v>
      </c>
      <c r="G48" s="51">
        <v>0</v>
      </c>
      <c r="H48" s="51" t="e">
        <f t="shared" si="51"/>
        <v>#DIV/0!</v>
      </c>
      <c r="I48" s="51" t="e">
        <f t="shared" si="52"/>
        <v>#DIV/0!</v>
      </c>
      <c r="J48" s="51">
        <f t="shared" si="53"/>
        <v>0</v>
      </c>
      <c r="K48" s="51" t="e">
        <f t="shared" si="54"/>
        <v>#DIV/0!</v>
      </c>
      <c r="L48" s="51">
        <v>0</v>
      </c>
      <c r="M48" s="51" t="str">
        <f t="shared" si="55"/>
        <v>-</v>
      </c>
      <c r="N48" s="51">
        <v>0</v>
      </c>
      <c r="O48" s="51">
        <f t="shared" ref="O48:P48" si="69">D48/7</f>
        <v>0</v>
      </c>
      <c r="P48" s="51">
        <f t="shared" si="69"/>
        <v>0</v>
      </c>
      <c r="Q48" s="51" t="e">
        <f t="shared" si="57"/>
        <v>#DIV/0!</v>
      </c>
      <c r="R48" s="55" t="str">
        <f ca="1">IFERROR(__xludf.DUMMYFUNCTION("IFERROR(VLOOKUP($B$2,IMPORTRANGE(""https://docs.google.com/spreadsheets/d/1iVgg6Mw12RULLujzHmfOFIY8Q_KaAD8anoZzgtVAQ74/edit#gid=1503384807"",""Second Star - Summary!A1:AD2000""),9,FALSE),"""")"),"")</f>
        <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si="58"/>
        <v>0</v>
      </c>
      <c r="W48" s="55">
        <f t="shared" si="59"/>
        <v>0</v>
      </c>
      <c r="X48" s="55">
        <v>0</v>
      </c>
      <c r="Y48" s="55" t="e">
        <v>#N/A</v>
      </c>
      <c r="Z48" s="56" t="e">
        <f t="shared" si="65"/>
        <v>#N/A</v>
      </c>
      <c r="AA48" s="55" t="e">
        <v>#N/A</v>
      </c>
      <c r="AB48" s="55">
        <f t="shared" si="61"/>
        <v>0</v>
      </c>
      <c r="AC48" s="55">
        <v>0</v>
      </c>
      <c r="AD48" s="55">
        <v>-42.871275641025598</v>
      </c>
      <c r="AE48" s="55">
        <v>0</v>
      </c>
      <c r="AF48" s="55" t="e">
        <v>#N/A</v>
      </c>
    </row>
    <row r="49" spans="1:32" s="57" customFormat="1" ht="15.75" customHeight="1">
      <c r="A49" s="2" t="s">
        <v>117</v>
      </c>
      <c r="B49" s="2"/>
      <c r="C49" s="51" t="str">
        <f t="shared" si="50"/>
        <v xml:space="preserve"> - </v>
      </c>
      <c r="D49" s="51">
        <v>0</v>
      </c>
      <c r="E49" s="51">
        <v>0</v>
      </c>
      <c r="F49" s="51">
        <v>0</v>
      </c>
      <c r="G49" s="51">
        <v>0</v>
      </c>
      <c r="H49" s="51" t="e">
        <f t="shared" si="51"/>
        <v>#DIV/0!</v>
      </c>
      <c r="I49" s="51" t="e">
        <f t="shared" si="52"/>
        <v>#DIV/0!</v>
      </c>
      <c r="J49" s="51">
        <f t="shared" ref="J49:J56" si="70">F49*0.85+G49+AD49*D49+D49*AC49+AE49+AB49</f>
        <v>0</v>
      </c>
      <c r="K49" s="51" t="e">
        <f t="shared" si="54"/>
        <v>#DIV/0!</v>
      </c>
      <c r="L49" s="51">
        <v>0</v>
      </c>
      <c r="M49" s="51" t="str">
        <f t="shared" si="55"/>
        <v>-</v>
      </c>
      <c r="N49" s="51">
        <v>0</v>
      </c>
      <c r="O49" s="51">
        <f t="shared" ref="O49:P49" si="71">D49/7</f>
        <v>0</v>
      </c>
      <c r="P49" s="51">
        <f t="shared" si="71"/>
        <v>0</v>
      </c>
      <c r="Q49" s="51" t="e">
        <f t="shared" si="57"/>
        <v>#DIV/0!</v>
      </c>
      <c r="R49" s="55" t="str">
        <f ca="1">IFERROR(__xludf.DUMMYFUNCTION("IFERROR(VLOOKUP($B$2,IMPORTRANGE(""https://docs.google.com/spreadsheets/d/1iVgg6Mw12RULLujzHmfOFIY8Q_KaAD8anoZzgtVAQ74/edit#gid=1503384807"",""Second Star - Summary!A1:AD2000""),9,FALSE),"""")"),"")</f>
        <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58"/>
        <v>0</v>
      </c>
      <c r="W49" s="55">
        <f t="shared" si="59"/>
        <v>0</v>
      </c>
      <c r="X49" s="55">
        <v>0</v>
      </c>
      <c r="Y49" s="55" t="e">
        <v>#N/A</v>
      </c>
      <c r="Z49" s="56" t="e">
        <f t="shared" si="65"/>
        <v>#N/A</v>
      </c>
      <c r="AA49" s="55" t="e">
        <v>#N/A</v>
      </c>
      <c r="AB49" s="55">
        <f t="shared" si="61"/>
        <v>0</v>
      </c>
      <c r="AC49" s="55">
        <v>0</v>
      </c>
      <c r="AD49" s="55">
        <v>-42.871275641025598</v>
      </c>
      <c r="AE49" s="55"/>
      <c r="AF49" s="55" t="e">
        <v>#N/A</v>
      </c>
    </row>
    <row r="50" spans="1:32" s="57" customFormat="1" ht="15.75" customHeight="1">
      <c r="A50" s="2" t="s">
        <v>119</v>
      </c>
      <c r="B50" s="2"/>
      <c r="C50" s="51" t="str">
        <f t="shared" si="50"/>
        <v xml:space="preserve"> - </v>
      </c>
      <c r="D50" s="51">
        <v>0</v>
      </c>
      <c r="E50" s="51">
        <v>0</v>
      </c>
      <c r="F50" s="51">
        <v>0</v>
      </c>
      <c r="G50" s="51">
        <v>0</v>
      </c>
      <c r="H50" s="51" t="e">
        <f t="shared" si="51"/>
        <v>#DIV/0!</v>
      </c>
      <c r="I50" s="51" t="e">
        <f t="shared" si="52"/>
        <v>#DIV/0!</v>
      </c>
      <c r="J50" s="51">
        <f t="shared" si="70"/>
        <v>0</v>
      </c>
      <c r="K50" s="51" t="e">
        <f t="shared" si="54"/>
        <v>#DIV/0!</v>
      </c>
      <c r="L50" s="51">
        <v>0</v>
      </c>
      <c r="M50" s="51" t="str">
        <f t="shared" si="55"/>
        <v>-</v>
      </c>
      <c r="N50" s="51">
        <v>0</v>
      </c>
      <c r="O50" s="51">
        <f t="shared" ref="O50:P50" si="72">D50/7</f>
        <v>0</v>
      </c>
      <c r="P50" s="51">
        <f t="shared" si="72"/>
        <v>0</v>
      </c>
      <c r="Q50" s="51" t="e">
        <f t="shared" si="57"/>
        <v>#DIV/0!</v>
      </c>
      <c r="R50" s="55" t="str">
        <f ca="1">IFERROR(__xludf.DUMMYFUNCTION("IFERROR(VLOOKUP($B$2,IMPORTRANGE(""https://docs.google.com/spreadsheets/d/1iVgg6Mw12RULLujzHmfOFIY8Q_KaAD8anoZzgtVAQ74/edit#gid=1503384807"",""Second Star - Summary!A1:AD2000""),9,FALSE),"""")"),"")</f>
        <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58"/>
        <v>0</v>
      </c>
      <c r="W50" s="55">
        <f t="shared" si="59"/>
        <v>0</v>
      </c>
      <c r="X50" s="55">
        <v>0</v>
      </c>
      <c r="Y50" s="55" t="e">
        <v>#N/A</v>
      </c>
      <c r="Z50" s="56" t="e">
        <f t="shared" si="65"/>
        <v>#N/A</v>
      </c>
      <c r="AA50" s="55" t="e">
        <v>#N/A</v>
      </c>
      <c r="AB50" s="55">
        <f t="shared" si="61"/>
        <v>0</v>
      </c>
      <c r="AC50" s="55">
        <v>0</v>
      </c>
      <c r="AD50" s="55">
        <v>-42.871275641025598</v>
      </c>
      <c r="AE50" s="55">
        <v>0</v>
      </c>
      <c r="AF50" s="55" t="e">
        <v>#N/A</v>
      </c>
    </row>
    <row r="51" spans="1:32" s="57" customFormat="1" ht="15.75" customHeight="1">
      <c r="A51" s="2" t="s">
        <v>121</v>
      </c>
      <c r="B51" s="2"/>
      <c r="C51" s="51" t="str">
        <f t="shared" si="50"/>
        <v xml:space="preserve"> - </v>
      </c>
      <c r="D51" s="51">
        <v>0</v>
      </c>
      <c r="E51" s="51">
        <v>0</v>
      </c>
      <c r="F51" s="51">
        <v>0</v>
      </c>
      <c r="G51" s="51">
        <v>0</v>
      </c>
      <c r="H51" s="51" t="e">
        <f t="shared" si="51"/>
        <v>#DIV/0!</v>
      </c>
      <c r="I51" s="51" t="e">
        <f t="shared" si="52"/>
        <v>#DIV/0!</v>
      </c>
      <c r="J51" s="51">
        <f t="shared" si="70"/>
        <v>0</v>
      </c>
      <c r="K51" s="51" t="e">
        <f t="shared" si="54"/>
        <v>#DIV/0!</v>
      </c>
      <c r="L51" s="51">
        <v>0</v>
      </c>
      <c r="M51" s="51" t="str">
        <f t="shared" si="55"/>
        <v>-</v>
      </c>
      <c r="N51" s="51">
        <v>0</v>
      </c>
      <c r="O51" s="51">
        <f t="shared" ref="O51:P51" si="73">D51/7</f>
        <v>0</v>
      </c>
      <c r="P51" s="51">
        <f t="shared" si="73"/>
        <v>0</v>
      </c>
      <c r="Q51" s="51" t="e">
        <f t="shared" si="57"/>
        <v>#DIV/0!</v>
      </c>
      <c r="R51" s="55" t="str">
        <f ca="1">IFERROR(__xludf.DUMMYFUNCTION("IFERROR(VLOOKUP($B$2,IMPORTRANGE(""https://docs.google.com/spreadsheets/d/1iVgg6Mw12RULLujzHmfOFIY8Q_KaAD8anoZzgtVAQ74/edit#gid=1503384807"",""Second Star - Summary!A1:AD2000""),9,FALSE),"""")"),"")</f>
        <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58"/>
        <v>0</v>
      </c>
      <c r="W51" s="55">
        <f t="shared" si="59"/>
        <v>0</v>
      </c>
      <c r="X51" s="55">
        <v>0</v>
      </c>
      <c r="Y51" s="55" t="e">
        <v>#N/A</v>
      </c>
      <c r="Z51" s="56" t="e">
        <f t="shared" si="65"/>
        <v>#N/A</v>
      </c>
      <c r="AA51" s="55" t="e">
        <v>#N/A</v>
      </c>
      <c r="AB51" s="55">
        <f t="shared" si="61"/>
        <v>0</v>
      </c>
      <c r="AC51" s="55">
        <v>0</v>
      </c>
      <c r="AD51" s="55">
        <v>-42.871275641025598</v>
      </c>
      <c r="AE51" s="55">
        <v>0</v>
      </c>
      <c r="AF51" s="55" t="e">
        <v>#N/A</v>
      </c>
    </row>
    <row r="52" spans="1:32" s="57" customFormat="1" ht="15.75" customHeight="1">
      <c r="A52" s="2" t="s">
        <v>123</v>
      </c>
      <c r="B52" s="2"/>
      <c r="C52" s="51" t="str">
        <f t="shared" si="50"/>
        <v xml:space="preserve"> - </v>
      </c>
      <c r="D52" s="51">
        <v>0</v>
      </c>
      <c r="E52" s="51">
        <v>0</v>
      </c>
      <c r="F52" s="51">
        <v>0</v>
      </c>
      <c r="G52" s="51">
        <v>0</v>
      </c>
      <c r="H52" s="51" t="e">
        <f t="shared" si="51"/>
        <v>#DIV/0!</v>
      </c>
      <c r="I52" s="51" t="e">
        <f t="shared" si="52"/>
        <v>#DIV/0!</v>
      </c>
      <c r="J52" s="51">
        <f t="shared" si="70"/>
        <v>0</v>
      </c>
      <c r="K52" s="51" t="e">
        <f t="shared" si="54"/>
        <v>#DIV/0!</v>
      </c>
      <c r="L52" s="51">
        <v>0</v>
      </c>
      <c r="M52" s="51" t="str">
        <f t="shared" si="55"/>
        <v>-</v>
      </c>
      <c r="N52" s="51">
        <v>0</v>
      </c>
      <c r="O52" s="51">
        <f t="shared" ref="O52:P52" si="74">D52/7</f>
        <v>0</v>
      </c>
      <c r="P52" s="51">
        <f t="shared" si="74"/>
        <v>0</v>
      </c>
      <c r="Q52" s="51" t="e">
        <f t="shared" si="57"/>
        <v>#DIV/0!</v>
      </c>
      <c r="R52" s="55" t="str">
        <f ca="1">IFERROR(__xludf.DUMMYFUNCTION("IFERROR(VLOOKUP($B$2,IMPORTRANGE(""https://docs.google.com/spreadsheets/d/1iVgg6Mw12RULLujzHmfOFIY8Q_KaAD8anoZzgtVAQ74/edit#gid=1503384807"",""Second Star - Summary!A1:AD2000""),9,FALSE),"""")"),"")</f>
        <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58"/>
        <v>0</v>
      </c>
      <c r="W52" s="55">
        <f t="shared" si="59"/>
        <v>0</v>
      </c>
      <c r="X52" s="55">
        <v>0</v>
      </c>
      <c r="Y52" s="55" t="e">
        <v>#N/A</v>
      </c>
      <c r="Z52" s="56" t="e">
        <f t="shared" si="65"/>
        <v>#N/A</v>
      </c>
      <c r="AA52" s="55" t="e">
        <v>#N/A</v>
      </c>
      <c r="AB52" s="55">
        <f t="shared" si="61"/>
        <v>0</v>
      </c>
      <c r="AC52" s="55">
        <v>0</v>
      </c>
      <c r="AD52" s="55">
        <v>-42.871275641025598</v>
      </c>
      <c r="AE52" s="55">
        <v>0</v>
      </c>
      <c r="AF52" s="55">
        <v>0</v>
      </c>
    </row>
    <row r="53" spans="1:32" s="57" customFormat="1">
      <c r="A53" s="2" t="s">
        <v>38</v>
      </c>
      <c r="B53" s="2"/>
      <c r="C53" s="51" t="str">
        <f t="shared" si="50"/>
        <v xml:space="preserve"> - </v>
      </c>
      <c r="D53" s="51">
        <v>0</v>
      </c>
      <c r="E53" s="51">
        <v>0</v>
      </c>
      <c r="F53" s="51">
        <v>0</v>
      </c>
      <c r="G53" s="51">
        <v>0</v>
      </c>
      <c r="H53" s="51" t="e">
        <f t="shared" si="51"/>
        <v>#DIV/0!</v>
      </c>
      <c r="I53" s="51" t="e">
        <f t="shared" si="52"/>
        <v>#DIV/0!</v>
      </c>
      <c r="J53" s="51">
        <f t="shared" si="70"/>
        <v>0</v>
      </c>
      <c r="K53" s="51" t="e">
        <f t="shared" si="54"/>
        <v>#DIV/0!</v>
      </c>
      <c r="L53" s="51">
        <v>0</v>
      </c>
      <c r="M53" s="51" t="str">
        <f t="shared" si="55"/>
        <v>-</v>
      </c>
      <c r="N53" s="51">
        <v>0</v>
      </c>
      <c r="O53" s="51">
        <f t="shared" ref="O53:P53" si="75">D53/7</f>
        <v>0</v>
      </c>
      <c r="P53" s="51">
        <f t="shared" si="75"/>
        <v>0</v>
      </c>
      <c r="Q53" s="51" t="e">
        <f t="shared" si="57"/>
        <v>#DIV/0!</v>
      </c>
      <c r="R53" s="55" t="str">
        <f ca="1">IFERROR(__xludf.DUMMYFUNCTION("IFERROR(VLOOKUP($B$2,IMPORTRANGE(""https://docs.google.com/spreadsheets/d/1iVgg6Mw12RULLujzHmfOFIY8Q_KaAD8anoZzgtVAQ74/edit#gid=1503384807"",""Second Star - Summary!A1:AD2000""),9,FALSE),"""")"),"")</f>
        <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58"/>
        <v>0</v>
      </c>
      <c r="W53" s="55">
        <f t="shared" si="59"/>
        <v>0</v>
      </c>
      <c r="X53" s="55">
        <v>0</v>
      </c>
      <c r="Y53" s="55" t="e">
        <v>#N/A</v>
      </c>
      <c r="Z53" s="56" t="e">
        <f t="shared" si="65"/>
        <v>#N/A</v>
      </c>
      <c r="AA53" s="55" t="e">
        <v>#N/A</v>
      </c>
      <c r="AB53" s="55">
        <f t="shared" si="61"/>
        <v>0</v>
      </c>
      <c r="AC53" s="55">
        <v>0</v>
      </c>
      <c r="AD53" s="55">
        <v>-42.871275641025598</v>
      </c>
      <c r="AE53" s="55">
        <v>0</v>
      </c>
      <c r="AF53" s="55">
        <v>0</v>
      </c>
    </row>
    <row r="54" spans="1:32" s="57" customFormat="1">
      <c r="A54" s="2" t="s">
        <v>40</v>
      </c>
      <c r="B54" s="2"/>
      <c r="C54" s="51" t="str">
        <f t="shared" si="50"/>
        <v xml:space="preserve"> - </v>
      </c>
      <c r="D54" s="51">
        <v>0</v>
      </c>
      <c r="E54" s="51">
        <v>0</v>
      </c>
      <c r="F54" s="51">
        <v>0</v>
      </c>
      <c r="G54" s="51">
        <v>0</v>
      </c>
      <c r="H54" s="51" t="e">
        <f t="shared" si="51"/>
        <v>#DIV/0!</v>
      </c>
      <c r="I54" s="51" t="e">
        <f t="shared" si="52"/>
        <v>#DIV/0!</v>
      </c>
      <c r="J54" s="51">
        <f t="shared" si="70"/>
        <v>0</v>
      </c>
      <c r="K54" s="51" t="e">
        <f t="shared" si="54"/>
        <v>#DIV/0!</v>
      </c>
      <c r="L54" s="51">
        <v>0</v>
      </c>
      <c r="M54" s="51" t="str">
        <f t="shared" si="55"/>
        <v>-</v>
      </c>
      <c r="N54" s="51">
        <v>0</v>
      </c>
      <c r="O54" s="51">
        <f t="shared" ref="O54:P54" si="76">D54/7</f>
        <v>0</v>
      </c>
      <c r="P54" s="51">
        <f t="shared" si="76"/>
        <v>0</v>
      </c>
      <c r="Q54" s="51" t="e">
        <f t="shared" si="57"/>
        <v>#DIV/0!</v>
      </c>
      <c r="R54" s="55" t="str">
        <f ca="1">IFERROR(__xludf.DUMMYFUNCTION("IFERROR(VLOOKUP($B$2,IMPORTRANGE(""https://docs.google.com/spreadsheets/d/1iVgg6Mw12RULLujzHmfOFIY8Q_KaAD8anoZzgtVAQ74/edit#gid=1503384807"",""Second Star - Summary!A1:AD2000""),9,FALSE),"""")"),"")</f>
        <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58"/>
        <v>0</v>
      </c>
      <c r="W54" s="55">
        <f t="shared" si="59"/>
        <v>0</v>
      </c>
      <c r="X54" s="55">
        <v>0</v>
      </c>
      <c r="Y54" s="55" t="e">
        <v>#N/A</v>
      </c>
      <c r="Z54" s="56" t="e">
        <f t="shared" si="65"/>
        <v>#N/A</v>
      </c>
      <c r="AA54" s="55" t="e">
        <v>#N/A</v>
      </c>
      <c r="AB54" s="55">
        <f t="shared" si="61"/>
        <v>0</v>
      </c>
      <c r="AC54" s="55">
        <v>0</v>
      </c>
      <c r="AD54" s="55">
        <v>-42.871275641025598</v>
      </c>
      <c r="AE54" s="55">
        <v>0</v>
      </c>
      <c r="AF54" s="55">
        <v>0</v>
      </c>
    </row>
    <row r="55" spans="1:32" s="57" customFormat="1" ht="15.75" customHeight="1">
      <c r="A55" s="2" t="s">
        <v>32</v>
      </c>
      <c r="B55" s="2"/>
      <c r="C55" s="51" t="str">
        <f t="shared" si="50"/>
        <v xml:space="preserve"> - </v>
      </c>
      <c r="D55" s="51">
        <v>0</v>
      </c>
      <c r="E55" s="51">
        <v>0</v>
      </c>
      <c r="F55" s="51">
        <v>0</v>
      </c>
      <c r="G55" s="51">
        <v>0</v>
      </c>
      <c r="H55" s="51" t="e">
        <f t="shared" si="51"/>
        <v>#DIV/0!</v>
      </c>
      <c r="I55" s="51" t="e">
        <f t="shared" si="52"/>
        <v>#DIV/0!</v>
      </c>
      <c r="J55" s="51">
        <f t="shared" si="70"/>
        <v>0</v>
      </c>
      <c r="K55" s="51" t="e">
        <f t="shared" si="54"/>
        <v>#DIV/0!</v>
      </c>
      <c r="L55" s="51">
        <v>0</v>
      </c>
      <c r="M55" s="51" t="str">
        <f t="shared" si="55"/>
        <v>-</v>
      </c>
      <c r="N55" s="51">
        <v>0</v>
      </c>
      <c r="O55" s="51">
        <f t="shared" ref="O55:P55" si="77">D55/7</f>
        <v>0</v>
      </c>
      <c r="P55" s="51">
        <f t="shared" si="77"/>
        <v>0</v>
      </c>
      <c r="Q55" s="51" t="e">
        <f t="shared" si="57"/>
        <v>#DIV/0!</v>
      </c>
      <c r="R55" s="55" t="s">
        <v>34</v>
      </c>
      <c r="S55" s="53" t="s">
        <v>34</v>
      </c>
      <c r="T55" s="54" t="s">
        <v>34</v>
      </c>
      <c r="U55" s="55">
        <v>0</v>
      </c>
      <c r="V55" s="55">
        <f t="shared" si="58"/>
        <v>0</v>
      </c>
      <c r="W55" s="55">
        <f t="shared" si="59"/>
        <v>0</v>
      </c>
      <c r="X55" s="55">
        <v>0</v>
      </c>
      <c r="Y55" s="55" t="e">
        <v>#N/A</v>
      </c>
      <c r="Z55" s="56" t="e">
        <f t="shared" si="65"/>
        <v>#N/A</v>
      </c>
      <c r="AA55" s="55" t="e">
        <v>#N/A</v>
      </c>
      <c r="AB55" s="55">
        <f t="shared" si="61"/>
        <v>0</v>
      </c>
      <c r="AC55" s="55">
        <v>0</v>
      </c>
      <c r="AD55" s="55">
        <v>-42.871275641025598</v>
      </c>
      <c r="AE55" s="55">
        <v>0</v>
      </c>
      <c r="AF55" s="55" t="e">
        <v>#N/A</v>
      </c>
    </row>
    <row r="56" spans="1:32" s="57" customFormat="1" ht="15.75" customHeight="1">
      <c r="A56" s="2" t="s">
        <v>36</v>
      </c>
      <c r="B56" s="2"/>
      <c r="C56" s="51" t="str">
        <f t="shared" si="50"/>
        <v xml:space="preserve"> - </v>
      </c>
      <c r="D56" s="51">
        <v>0</v>
      </c>
      <c r="E56" s="51">
        <v>0</v>
      </c>
      <c r="F56" s="51">
        <v>0</v>
      </c>
      <c r="G56" s="51">
        <v>0</v>
      </c>
      <c r="H56" s="51" t="e">
        <f t="shared" si="51"/>
        <v>#DIV/0!</v>
      </c>
      <c r="I56" s="51" t="e">
        <f t="shared" si="52"/>
        <v>#DIV/0!</v>
      </c>
      <c r="J56" s="51">
        <f t="shared" si="70"/>
        <v>0</v>
      </c>
      <c r="K56" s="51" t="e">
        <f t="shared" si="54"/>
        <v>#DIV/0!</v>
      </c>
      <c r="L56" s="51">
        <v>0</v>
      </c>
      <c r="M56" s="51" t="str">
        <f t="shared" si="55"/>
        <v>-</v>
      </c>
      <c r="N56" s="51">
        <v>0</v>
      </c>
      <c r="O56" s="51">
        <f t="shared" ref="O56:P56" si="78">D56/7</f>
        <v>0</v>
      </c>
      <c r="P56" s="51">
        <f t="shared" si="78"/>
        <v>0</v>
      </c>
      <c r="Q56" s="51" t="e">
        <f t="shared" si="57"/>
        <v>#DIV/0!</v>
      </c>
      <c r="R56" s="55" t="str">
        <f ca="1">IFERROR(__xludf.DUMMYFUNCTION("IFERROR(VLOOKUP($B$2,IMPORTRANGE(""https://docs.google.com/spreadsheets/d/1iVgg6Mw12RULLujzHmfOFIY8Q_KaAD8anoZzgtVAQ74/edit#gid=1503384807"",""Second Star - Summary!A1:AD2000""),9,FALSE),"""")"),"")</f>
        <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58"/>
        <v>0</v>
      </c>
      <c r="W56" s="55">
        <f t="shared" si="59"/>
        <v>0</v>
      </c>
      <c r="X56" s="55">
        <v>0</v>
      </c>
      <c r="Y56" s="55" t="e">
        <v>#N/A</v>
      </c>
      <c r="Z56" s="56" t="e">
        <f t="shared" si="65"/>
        <v>#N/A</v>
      </c>
      <c r="AA56" s="55" t="e">
        <v>#N/A</v>
      </c>
      <c r="AB56" s="55">
        <f t="shared" si="61"/>
        <v>0</v>
      </c>
      <c r="AC56" s="55">
        <v>0</v>
      </c>
      <c r="AD56" s="55">
        <v>-42.871275641025598</v>
      </c>
      <c r="AE56" s="55">
        <v>0</v>
      </c>
      <c r="AF56" s="55" t="e">
        <v>#N/A</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E199" s="2"/>
      <c r="P199" s="2"/>
      <c r="AF199" s="23"/>
    </row>
    <row r="200" spans="1:32" ht="15.75" customHeight="1">
      <c r="E200" s="2"/>
      <c r="P200" s="2"/>
      <c r="AF200" s="23"/>
    </row>
    <row r="201" spans="1:32" ht="15.75" customHeight="1">
      <c r="E201" s="2"/>
      <c r="P201" s="2"/>
      <c r="AF201" s="23"/>
    </row>
    <row r="202" spans="1:32" ht="15.75" customHeight="1">
      <c r="E202" s="2"/>
      <c r="P202" s="2"/>
      <c r="AF202" s="23"/>
    </row>
    <row r="203" spans="1:32" ht="15.75" customHeight="1">
      <c r="E203" s="2"/>
      <c r="P203" s="2"/>
      <c r="AF203" s="23"/>
    </row>
    <row r="204" spans="1:32" ht="15.75" customHeight="1">
      <c r="E204" s="2"/>
      <c r="P204" s="2"/>
      <c r="AF204" s="23"/>
    </row>
    <row r="205" spans="1:32" ht="15.75" customHeight="1">
      <c r="E205" s="2"/>
      <c r="P205" s="2"/>
      <c r="AF205" s="23"/>
    </row>
    <row r="206" spans="1:32" ht="15.75" customHeight="1">
      <c r="E206" s="2"/>
      <c r="P206" s="2"/>
      <c r="AF206" s="23"/>
    </row>
    <row r="207" spans="1:32" ht="15.75" customHeight="1">
      <c r="E207" s="2"/>
      <c r="P207" s="2"/>
      <c r="AF207" s="23"/>
    </row>
    <row r="208" spans="1: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34" priority="1" operator="lessThan">
      <formula>100</formula>
    </cfRule>
  </conditionalFormatting>
  <conditionalFormatting sqref="Q1:Q3 Q57:Q1000">
    <cfRule type="cellIs" dxfId="33" priority="2" operator="lessThan">
      <formula>100</formula>
    </cfRule>
  </conditionalFormatting>
  <conditionalFormatting sqref="I1:I3 I57:I1000">
    <cfRule type="cellIs" dxfId="32" priority="3" operator="lessThan">
      <formula>0.05</formula>
    </cfRule>
  </conditionalFormatting>
  <conditionalFormatting sqref="I4:I17">
    <cfRule type="cellIs" dxfId="31" priority="4" operator="lessThan">
      <formula>0.05</formula>
    </cfRule>
  </conditionalFormatting>
  <conditionalFormatting sqref="I18:I56">
    <cfRule type="cellIs" dxfId="30" priority="5" operator="lessThan">
      <formula>0.05</formula>
    </cfRule>
  </conditionalFormatting>
  <conditionalFormatting sqref="Q4:Q56">
    <cfRule type="cellIs" dxfId="29" priority="6" operator="lessThan">
      <formula>100</formula>
    </cfRule>
  </conditionalFormatting>
  <conditionalFormatting sqref="Q4:Q56">
    <cfRule type="cellIs" dxfId="28" priority="7" operator="lessThan">
      <formula>100</formula>
    </cfRule>
  </conditionalFormatting>
  <pageMargins left="0.7" right="0.7" top="0.75" bottom="0.75" header="0" footer="0"/>
  <pageSetup orientation="portrait"/>
  <legacyDrawing r:id="rId1"/>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23.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5.83203125" customWidth="1"/>
    <col min="26" max="26" width="11.1640625" customWidth="1"/>
    <col min="27" max="27" width="8.1640625" customWidth="1"/>
    <col min="28" max="28" width="12.5" customWidth="1"/>
    <col min="29" max="29" width="8.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Info!B1:BJ5000""),4,FALSE),"""")"),"18lb Weighted Blanket for Kids &amp; Adults - 60x80 Queen/King Size 15 Pound 100% Cotton Heavy Blanket with Fleece Duvet Cover &amp; Glass Beads")</f>
        <v>18lb Weighted Blanket for Kids &amp; Adults - 60x80 Queen/King Size 15 Pound 100% Cotton Heavy Blanket with Fleece Duvet Cover &amp; Glass Beads</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Info!B1:BJ5000""),3,FALSE),"""")"),"B07T43SH1G")</f>
        <v>B07T43SH1G</v>
      </c>
      <c r="B2" s="4" t="s">
        <v>1247</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50.133101604278004</v>
      </c>
      <c r="D3" s="8">
        <f>SUM(D4:D99819)</f>
        <v>31</v>
      </c>
      <c r="E3" s="8"/>
      <c r="F3" s="9">
        <f t="shared" ref="F3:G3" si="0">SUM(F4:F99819)</f>
        <v>2123.6899999999996</v>
      </c>
      <c r="G3" s="9">
        <f t="shared" si="0"/>
        <v>0</v>
      </c>
      <c r="H3" s="10">
        <f t="shared" ref="H3:H39" si="1">G3/F3*-1</f>
        <v>0</v>
      </c>
      <c r="I3" s="11">
        <f t="shared" ref="I3:I39" si="2">J3/F3</f>
        <v>-8.4904704898488029E-7</v>
      </c>
      <c r="J3" s="9">
        <f>SUM(J4:J99819)</f>
        <v>-1.8031127274587E-3</v>
      </c>
      <c r="K3" s="9">
        <f t="shared" ref="K3:K39" si="3">J3/D3</f>
        <v>-5.8164926692216128E-5</v>
      </c>
      <c r="L3" s="8"/>
      <c r="M3" s="12"/>
      <c r="N3" s="13"/>
      <c r="O3" s="8" t="str">
        <f ca="1">IFERROR(__xludf.DUMMYFUNCTION("IFERROR(VLOOKUP(B2,IMPORTRANGE(""https://docs.google.com/spreadsheets/d/1owCo6kL_VFQ5nPTdNogErmCBLjNiktT1m3SzTrxu3R0/edit#gid=2146806407"",""Second Star - Compiled!b1:g5000""),2,FALSE),"""")"),"")</f>
        <v/>
      </c>
      <c r="P3" s="8"/>
      <c r="Q3" s="14"/>
      <c r="R3" s="13"/>
      <c r="S3" s="13"/>
      <c r="T3" s="13"/>
      <c r="U3" s="8">
        <f>SUM(U4:U99819)</f>
        <v>0</v>
      </c>
      <c r="V3" s="10">
        <f>AVERAGE(V4:V99819)</f>
        <v>0</v>
      </c>
      <c r="W3" s="9">
        <f>ROUND(AVERAGE(W4:W99819),2)</f>
        <v>0</v>
      </c>
      <c r="X3" s="8"/>
      <c r="Y3" s="8"/>
      <c r="Z3" s="8"/>
      <c r="AA3" s="8"/>
      <c r="AB3" s="8"/>
      <c r="AC3" s="15"/>
      <c r="AD3" s="9"/>
      <c r="AE3" s="9">
        <f>SUM(AE4:AE99819)</f>
        <v>0</v>
      </c>
      <c r="AF3" s="16"/>
    </row>
    <row r="4" spans="1:32" s="57" customFormat="1" ht="16">
      <c r="A4" s="17" t="s">
        <v>48</v>
      </c>
      <c r="B4" s="17"/>
      <c r="C4" s="50" t="s">
        <v>397</v>
      </c>
      <c r="D4" s="51">
        <v>0</v>
      </c>
      <c r="E4" s="51">
        <v>0</v>
      </c>
      <c r="F4" s="51">
        <v>0</v>
      </c>
      <c r="G4" s="51">
        <v>0</v>
      </c>
      <c r="H4" s="51" t="e">
        <f t="shared" si="1"/>
        <v>#DIV/0!</v>
      </c>
      <c r="I4" s="51" t="e">
        <f t="shared" si="2"/>
        <v>#DIV/0!</v>
      </c>
      <c r="J4" s="51">
        <f t="shared" ref="J4:J38" si="4">F4*0.85+G4+AD4*D4+D4*AC4+AE4+AB4</f>
        <v>0</v>
      </c>
      <c r="K4" s="51" t="e">
        <f t="shared" si="3"/>
        <v>#DIV/0!</v>
      </c>
      <c r="L4" s="51">
        <v>41</v>
      </c>
      <c r="M4" s="51">
        <f t="shared" ref="M4:M39" si="5">IFERROR(D4/L4,"-")</f>
        <v>0</v>
      </c>
      <c r="N4" s="51">
        <v>0</v>
      </c>
      <c r="O4" s="51">
        <f t="shared" ref="O4:P4" si="6">D4/7</f>
        <v>0</v>
      </c>
      <c r="P4" s="51">
        <f t="shared" si="6"/>
        <v>0</v>
      </c>
      <c r="Q4" s="51" t="e">
        <f t="shared" ref="Q4:Q39" si="7">ROUNDDOWN(N4/(O4+P4),0)</f>
        <v>#DIV/0!</v>
      </c>
      <c r="R4" s="52">
        <v>0</v>
      </c>
      <c r="S4" s="53" t="s">
        <v>34</v>
      </c>
      <c r="T4" s="54" t="s">
        <v>34</v>
      </c>
      <c r="U4" s="52">
        <v>0</v>
      </c>
      <c r="V4" s="55">
        <f t="shared" ref="V4:V39" si="8">IFERROR(U4/D4,0)</f>
        <v>0</v>
      </c>
      <c r="W4" s="55">
        <f t="shared" ref="W4:W39" si="9">IFERROR(G4/(U4+X4)*-1,0)</f>
        <v>0</v>
      </c>
      <c r="X4" s="52">
        <v>0</v>
      </c>
      <c r="Y4" s="56" t="e">
        <v>#N/A</v>
      </c>
      <c r="Z4" s="56" t="e">
        <f t="shared" ref="Z4:Z10" si="10">IF(OR(Y4="UsLargeStandardSize",Y4="UsSmallStandardSize"),-0.69,-0.48)</f>
        <v>#N/A</v>
      </c>
      <c r="AA4" s="55" t="e">
        <v>#N/A</v>
      </c>
      <c r="AB4" s="55">
        <f t="shared" ref="AB4:AB17" si="11">IFERROR((Z4*AA4*N4)/4,0)</f>
        <v>0</v>
      </c>
      <c r="AC4" s="55">
        <v>0</v>
      </c>
      <c r="AD4" s="55">
        <v>-42.613136363636364</v>
      </c>
      <c r="AE4" s="55">
        <v>0</v>
      </c>
      <c r="AF4" s="55"/>
    </row>
    <row r="5" spans="1:32" s="57" customFormat="1" ht="15.75" customHeight="1">
      <c r="A5" s="2" t="s">
        <v>49</v>
      </c>
      <c r="B5" s="2" t="s">
        <v>1248</v>
      </c>
      <c r="C5" s="51">
        <v>62.99</v>
      </c>
      <c r="D5" s="51">
        <v>2</v>
      </c>
      <c r="E5" s="51">
        <v>0</v>
      </c>
      <c r="F5" s="51">
        <v>125.98</v>
      </c>
      <c r="G5" s="51">
        <v>0</v>
      </c>
      <c r="H5" s="51">
        <f t="shared" si="1"/>
        <v>0</v>
      </c>
      <c r="I5" s="51">
        <f t="shared" si="2"/>
        <v>-6.6226962432709396E-2</v>
      </c>
      <c r="J5" s="51">
        <f t="shared" si="4"/>
        <v>-8.3432727272727298</v>
      </c>
      <c r="K5" s="51">
        <f t="shared" si="3"/>
        <v>-4.1716363636363649</v>
      </c>
      <c r="L5" s="51">
        <v>2</v>
      </c>
      <c r="M5" s="51">
        <f t="shared" si="5"/>
        <v>1</v>
      </c>
      <c r="N5" s="51">
        <v>0</v>
      </c>
      <c r="O5" s="51">
        <f t="shared" ref="O5:P5" si="12">D5/7</f>
        <v>0.2857142857142857</v>
      </c>
      <c r="P5" s="51">
        <f t="shared" si="12"/>
        <v>0</v>
      </c>
      <c r="Q5" s="51">
        <f t="shared" si="7"/>
        <v>0</v>
      </c>
      <c r="R5" s="55">
        <v>0</v>
      </c>
      <c r="S5" s="53" t="s">
        <v>34</v>
      </c>
      <c r="T5" s="54" t="s">
        <v>34</v>
      </c>
      <c r="U5" s="55">
        <v>0</v>
      </c>
      <c r="V5" s="55">
        <f t="shared" si="8"/>
        <v>0</v>
      </c>
      <c r="W5" s="55">
        <f t="shared" si="9"/>
        <v>0</v>
      </c>
      <c r="X5" s="55">
        <v>0</v>
      </c>
      <c r="Y5" s="55" t="s">
        <v>760</v>
      </c>
      <c r="Z5" s="56">
        <f t="shared" si="10"/>
        <v>-0.48</v>
      </c>
      <c r="AA5" s="55">
        <v>1.2845413333333335</v>
      </c>
      <c r="AB5" s="55">
        <f t="shared" si="11"/>
        <v>0</v>
      </c>
      <c r="AC5" s="55">
        <v>-15.1</v>
      </c>
      <c r="AD5" s="55">
        <v>-42.613136363636364</v>
      </c>
      <c r="AE5" s="55">
        <v>0</v>
      </c>
      <c r="AF5" s="55"/>
    </row>
    <row r="6" spans="1:32" s="57" customFormat="1" ht="15.75" customHeight="1">
      <c r="A6" s="2" t="s">
        <v>51</v>
      </c>
      <c r="B6" s="2" t="s">
        <v>1249</v>
      </c>
      <c r="C6" s="51">
        <v>67.989999999999995</v>
      </c>
      <c r="D6" s="51">
        <v>1</v>
      </c>
      <c r="E6" s="51">
        <v>0</v>
      </c>
      <c r="F6" s="51">
        <v>67.989999999999995</v>
      </c>
      <c r="G6" s="51">
        <v>0</v>
      </c>
      <c r="H6" s="51">
        <f t="shared" si="1"/>
        <v>0</v>
      </c>
      <c r="I6" s="51">
        <f t="shared" si="2"/>
        <v>-5.7793871505168015E-2</v>
      </c>
      <c r="J6" s="51">
        <f t="shared" si="4"/>
        <v>-3.9294053236363728</v>
      </c>
      <c r="K6" s="51">
        <f t="shared" si="3"/>
        <v>-3.9294053236363728</v>
      </c>
      <c r="L6" s="51">
        <v>14</v>
      </c>
      <c r="M6" s="51">
        <f t="shared" si="5"/>
        <v>7.1428571428571425E-2</v>
      </c>
      <c r="N6" s="51">
        <v>26</v>
      </c>
      <c r="O6" s="51">
        <f t="shared" ref="O6:P6" si="13">D6/7</f>
        <v>0.14285714285714285</v>
      </c>
      <c r="P6" s="51">
        <f t="shared" si="13"/>
        <v>0</v>
      </c>
      <c r="Q6" s="51">
        <f t="shared" si="7"/>
        <v>182</v>
      </c>
      <c r="R6" s="55">
        <v>0</v>
      </c>
      <c r="S6" s="53" t="s">
        <v>34</v>
      </c>
      <c r="T6" s="54" t="s">
        <v>34</v>
      </c>
      <c r="U6" s="55">
        <v>0</v>
      </c>
      <c r="V6" s="55">
        <f t="shared" si="8"/>
        <v>0</v>
      </c>
      <c r="W6" s="55">
        <f t="shared" si="9"/>
        <v>0</v>
      </c>
      <c r="X6" s="55">
        <v>0</v>
      </c>
      <c r="Y6" s="55" t="s">
        <v>760</v>
      </c>
      <c r="Z6" s="56">
        <f t="shared" si="10"/>
        <v>-0.48</v>
      </c>
      <c r="AA6" s="55">
        <v>1.2845413333333335</v>
      </c>
      <c r="AB6" s="55">
        <f t="shared" si="11"/>
        <v>-4.0077689600000008</v>
      </c>
      <c r="AC6" s="55">
        <v>-15.1</v>
      </c>
      <c r="AD6" s="55">
        <v>-42.613136363636364</v>
      </c>
      <c r="AE6" s="55">
        <v>0</v>
      </c>
      <c r="AF6" s="55"/>
    </row>
    <row r="7" spans="1:32" s="57" customFormat="1" ht="15.75" customHeight="1">
      <c r="A7" s="2" t="s">
        <v>53</v>
      </c>
      <c r="B7" s="2"/>
      <c r="C7" s="51">
        <v>67.989999999999995</v>
      </c>
      <c r="D7" s="51">
        <v>4</v>
      </c>
      <c r="E7" s="51">
        <v>0</v>
      </c>
      <c r="F7" s="51">
        <v>271.95999999999998</v>
      </c>
      <c r="G7" s="51">
        <v>0</v>
      </c>
      <c r="H7" s="51">
        <f t="shared" si="1"/>
        <v>0</v>
      </c>
      <c r="I7" s="51">
        <f t="shared" si="2"/>
        <v>-1.1883657650189325E-2</v>
      </c>
      <c r="J7" s="51">
        <f t="shared" si="4"/>
        <v>-3.2318795345454885</v>
      </c>
      <c r="K7" s="51">
        <f t="shared" si="3"/>
        <v>-0.80796988363637212</v>
      </c>
      <c r="L7" s="51">
        <v>36</v>
      </c>
      <c r="M7" s="51">
        <f t="shared" si="5"/>
        <v>0.1111111111111111</v>
      </c>
      <c r="N7" s="51">
        <v>23</v>
      </c>
      <c r="O7" s="51">
        <f t="shared" ref="O7:P7" si="14">D7/7</f>
        <v>0.5714285714285714</v>
      </c>
      <c r="P7" s="51">
        <f t="shared" si="14"/>
        <v>0</v>
      </c>
      <c r="Q7" s="51">
        <f t="shared" si="7"/>
        <v>40</v>
      </c>
      <c r="R7" s="55">
        <v>0</v>
      </c>
      <c r="S7" s="53" t="s">
        <v>34</v>
      </c>
      <c r="T7" s="54" t="s">
        <v>34</v>
      </c>
      <c r="U7" s="55">
        <v>0</v>
      </c>
      <c r="V7" s="55">
        <f t="shared" si="8"/>
        <v>0</v>
      </c>
      <c r="W7" s="55">
        <f t="shared" si="9"/>
        <v>0</v>
      </c>
      <c r="X7" s="55">
        <v>0</v>
      </c>
      <c r="Y7" s="55" t="s">
        <v>760</v>
      </c>
      <c r="Z7" s="56">
        <f t="shared" si="10"/>
        <v>-0.48</v>
      </c>
      <c r="AA7" s="55">
        <v>1.2845413333333335</v>
      </c>
      <c r="AB7" s="55">
        <f t="shared" si="11"/>
        <v>-3.5453340800000004</v>
      </c>
      <c r="AC7" s="55">
        <v>-15.1</v>
      </c>
      <c r="AD7" s="55">
        <v>-42.613136363636364</v>
      </c>
      <c r="AE7" s="55">
        <v>0</v>
      </c>
      <c r="AF7" s="55"/>
    </row>
    <row r="8" spans="1:32" s="57" customFormat="1" ht="15.75" customHeight="1">
      <c r="A8" s="2" t="s">
        <v>54</v>
      </c>
      <c r="B8" s="2" t="s">
        <v>1250</v>
      </c>
      <c r="C8" s="51">
        <v>67.989999999999995</v>
      </c>
      <c r="D8" s="51">
        <v>6</v>
      </c>
      <c r="E8" s="51">
        <v>0</v>
      </c>
      <c r="F8" s="51">
        <v>407.94</v>
      </c>
      <c r="G8" s="51">
        <v>0</v>
      </c>
      <c r="H8" s="51">
        <f t="shared" si="1"/>
        <v>0</v>
      </c>
      <c r="I8" s="51">
        <f t="shared" si="2"/>
        <v>-4.5153517228470582E-3</v>
      </c>
      <c r="J8" s="51">
        <f t="shared" si="4"/>
        <v>-1.841992581818229</v>
      </c>
      <c r="K8" s="51">
        <f t="shared" si="3"/>
        <v>-0.30699876363637152</v>
      </c>
      <c r="L8" s="51">
        <v>35</v>
      </c>
      <c r="M8" s="51">
        <f t="shared" si="5"/>
        <v>0.17142857142857143</v>
      </c>
      <c r="N8" s="51">
        <v>15</v>
      </c>
      <c r="O8" s="51">
        <f t="shared" ref="O8:P8" si="15">D8/7</f>
        <v>0.8571428571428571</v>
      </c>
      <c r="P8" s="51">
        <f t="shared" si="15"/>
        <v>0</v>
      </c>
      <c r="Q8" s="51">
        <f t="shared" si="7"/>
        <v>17</v>
      </c>
      <c r="R8" s="55">
        <v>0</v>
      </c>
      <c r="S8" s="53" t="s">
        <v>34</v>
      </c>
      <c r="T8" s="54" t="s">
        <v>34</v>
      </c>
      <c r="U8" s="55">
        <v>0</v>
      </c>
      <c r="V8" s="55">
        <f t="shared" si="8"/>
        <v>0</v>
      </c>
      <c r="W8" s="55">
        <f t="shared" si="9"/>
        <v>0</v>
      </c>
      <c r="X8" s="55">
        <v>0</v>
      </c>
      <c r="Y8" s="55" t="s">
        <v>760</v>
      </c>
      <c r="Z8" s="56">
        <f t="shared" si="10"/>
        <v>-0.48</v>
      </c>
      <c r="AA8" s="55">
        <v>1.2845413333333335</v>
      </c>
      <c r="AB8" s="55">
        <f t="shared" si="11"/>
        <v>-2.3121744000000004</v>
      </c>
      <c r="AC8" s="55">
        <v>-15.1</v>
      </c>
      <c r="AD8" s="55">
        <v>-42.613136363636364</v>
      </c>
      <c r="AE8" s="55">
        <v>0</v>
      </c>
      <c r="AF8" s="55"/>
    </row>
    <row r="9" spans="1:32" s="57" customFormat="1" ht="15.75" customHeight="1">
      <c r="A9" s="2" t="s">
        <v>56</v>
      </c>
      <c r="B9" s="32" t="s">
        <v>45</v>
      </c>
      <c r="C9" s="51">
        <v>69.989999999999995</v>
      </c>
      <c r="D9" s="51">
        <v>6</v>
      </c>
      <c r="E9" s="51">
        <v>0</v>
      </c>
      <c r="F9" s="51">
        <v>409.94</v>
      </c>
      <c r="G9" s="51">
        <v>0</v>
      </c>
      <c r="H9" s="51">
        <f t="shared" si="1"/>
        <v>0</v>
      </c>
      <c r="I9" s="51">
        <f t="shared" si="2"/>
        <v>1.1576993174167358E-3</v>
      </c>
      <c r="J9" s="51">
        <f t="shared" si="4"/>
        <v>0.47458725818181668</v>
      </c>
      <c r="K9" s="51">
        <f t="shared" si="3"/>
        <v>7.9097876363636119E-2</v>
      </c>
      <c r="L9" s="51">
        <v>40</v>
      </c>
      <c r="M9" s="51">
        <f t="shared" si="5"/>
        <v>0.15</v>
      </c>
      <c r="N9" s="51">
        <v>11</v>
      </c>
      <c r="O9" s="51">
        <f t="shared" ref="O9:P9" si="16">D9/7</f>
        <v>0.8571428571428571</v>
      </c>
      <c r="P9" s="51">
        <f t="shared" si="16"/>
        <v>0</v>
      </c>
      <c r="Q9" s="51">
        <f t="shared" si="7"/>
        <v>12</v>
      </c>
      <c r="R9" s="55">
        <v>0</v>
      </c>
      <c r="S9" s="53" t="s">
        <v>34</v>
      </c>
      <c r="T9" s="54" t="s">
        <v>34</v>
      </c>
      <c r="U9" s="55">
        <v>0</v>
      </c>
      <c r="V9" s="55">
        <f t="shared" si="8"/>
        <v>0</v>
      </c>
      <c r="W9" s="55">
        <f t="shared" si="9"/>
        <v>0</v>
      </c>
      <c r="X9" s="55">
        <v>0</v>
      </c>
      <c r="Y9" s="55" t="s">
        <v>760</v>
      </c>
      <c r="Z9" s="56">
        <f t="shared" si="10"/>
        <v>-0.48</v>
      </c>
      <c r="AA9" s="55">
        <v>1.2845413333333335</v>
      </c>
      <c r="AB9" s="55">
        <f t="shared" si="11"/>
        <v>-1.6955945600000002</v>
      </c>
      <c r="AC9" s="55">
        <v>-15.1</v>
      </c>
      <c r="AD9" s="55">
        <v>-42.613136363636364</v>
      </c>
      <c r="AE9" s="55">
        <v>0</v>
      </c>
      <c r="AF9" s="55"/>
    </row>
    <row r="10" spans="1:32" s="57" customFormat="1" ht="15.75" customHeight="1">
      <c r="A10" s="2" t="s">
        <v>58</v>
      </c>
      <c r="B10" s="2" t="s">
        <v>45</v>
      </c>
      <c r="C10" s="51">
        <v>69.989999999999995</v>
      </c>
      <c r="D10" s="51">
        <v>3</v>
      </c>
      <c r="E10" s="51">
        <v>0</v>
      </c>
      <c r="F10" s="51">
        <v>209.96999999999997</v>
      </c>
      <c r="G10" s="51">
        <v>0</v>
      </c>
      <c r="H10" s="51">
        <f t="shared" si="1"/>
        <v>0</v>
      </c>
      <c r="I10" s="51">
        <f t="shared" si="2"/>
        <v>2.026992517545783E-2</v>
      </c>
      <c r="J10" s="51">
        <f t="shared" si="4"/>
        <v>4.25607618909088</v>
      </c>
      <c r="K10" s="51">
        <f t="shared" si="3"/>
        <v>1.4186920630302933</v>
      </c>
      <c r="L10" s="51">
        <v>42</v>
      </c>
      <c r="M10" s="51">
        <f t="shared" si="5"/>
        <v>7.1428571428571425E-2</v>
      </c>
      <c r="N10" s="51">
        <v>7</v>
      </c>
      <c r="O10" s="51">
        <f t="shared" ref="O10:P10" si="17">D10/7</f>
        <v>0.42857142857142855</v>
      </c>
      <c r="P10" s="51">
        <f t="shared" si="17"/>
        <v>0</v>
      </c>
      <c r="Q10" s="51">
        <f t="shared" si="7"/>
        <v>16</v>
      </c>
      <c r="R10" s="55">
        <v>0</v>
      </c>
      <c r="S10" s="53" t="s">
        <v>34</v>
      </c>
      <c r="T10" s="54" t="s">
        <v>34</v>
      </c>
      <c r="U10" s="55">
        <v>0</v>
      </c>
      <c r="V10" s="55">
        <f t="shared" si="8"/>
        <v>0</v>
      </c>
      <c r="W10" s="55">
        <f t="shared" si="9"/>
        <v>0</v>
      </c>
      <c r="X10" s="55">
        <v>0</v>
      </c>
      <c r="Y10" s="55" t="s">
        <v>760</v>
      </c>
      <c r="Z10" s="56">
        <f t="shared" si="10"/>
        <v>-0.48</v>
      </c>
      <c r="AA10" s="55">
        <v>1.2845413333333335</v>
      </c>
      <c r="AB10" s="55">
        <f t="shared" si="11"/>
        <v>-1.0790147200000002</v>
      </c>
      <c r="AC10" s="55">
        <v>-15.1</v>
      </c>
      <c r="AD10" s="55">
        <v>-42.613136363636364</v>
      </c>
      <c r="AE10" s="55">
        <v>0</v>
      </c>
      <c r="AF10" s="55"/>
    </row>
    <row r="11" spans="1:32" s="57" customFormat="1" ht="15.75" customHeight="1">
      <c r="A11" s="2" t="s">
        <v>60</v>
      </c>
      <c r="B11" s="2" t="s">
        <v>45</v>
      </c>
      <c r="C11" s="51">
        <v>69.989999999999995</v>
      </c>
      <c r="D11" s="51">
        <v>3</v>
      </c>
      <c r="E11" s="51">
        <v>0</v>
      </c>
      <c r="F11" s="51">
        <v>209.96999999999997</v>
      </c>
      <c r="G11" s="51">
        <v>0</v>
      </c>
      <c r="H11" s="51">
        <f t="shared" si="1"/>
        <v>0</v>
      </c>
      <c r="I11" s="51">
        <f t="shared" si="2"/>
        <v>2.173818216455151E-2</v>
      </c>
      <c r="J11" s="51">
        <f t="shared" si="4"/>
        <v>4.56436610909088</v>
      </c>
      <c r="K11" s="51">
        <f t="shared" si="3"/>
        <v>1.5214553696969599</v>
      </c>
      <c r="L11" s="51">
        <v>40</v>
      </c>
      <c r="M11" s="51">
        <f t="shared" si="5"/>
        <v>7.4999999999999997E-2</v>
      </c>
      <c r="N11" s="51">
        <v>5</v>
      </c>
      <c r="O11" s="51">
        <f t="shared" ref="O11:P11" si="18">D11/7</f>
        <v>0.42857142857142855</v>
      </c>
      <c r="P11" s="51">
        <f t="shared" si="18"/>
        <v>0</v>
      </c>
      <c r="Q11" s="51">
        <f t="shared" si="7"/>
        <v>11</v>
      </c>
      <c r="R11" s="55">
        <v>0</v>
      </c>
      <c r="S11" s="53" t="s">
        <v>34</v>
      </c>
      <c r="T11" s="54" t="s">
        <v>34</v>
      </c>
      <c r="U11" s="55">
        <v>0</v>
      </c>
      <c r="V11" s="55">
        <f t="shared" si="8"/>
        <v>0</v>
      </c>
      <c r="W11" s="55">
        <f t="shared" si="9"/>
        <v>0</v>
      </c>
      <c r="X11" s="55">
        <v>0</v>
      </c>
      <c r="Y11" s="55" t="s">
        <v>760</v>
      </c>
      <c r="Z11" s="56">
        <f t="shared" ref="Z11:Z39" si="19">IF(OR(Y11="UsLargeStandardSize",Y11="UsSmallStandardSize"),-0.75,-0.48)</f>
        <v>-0.48</v>
      </c>
      <c r="AA11" s="55">
        <v>1.2845413333333335</v>
      </c>
      <c r="AB11" s="55">
        <f t="shared" si="11"/>
        <v>-0.7707248000000001</v>
      </c>
      <c r="AC11" s="55">
        <v>-15.1</v>
      </c>
      <c r="AD11" s="55">
        <v>-42.613136363636364</v>
      </c>
      <c r="AE11" s="55">
        <v>0</v>
      </c>
      <c r="AF11" s="55"/>
    </row>
    <row r="12" spans="1:32" s="57" customFormat="1" ht="15.75" customHeight="1">
      <c r="A12" s="2" t="s">
        <v>62</v>
      </c>
      <c r="B12" s="2"/>
      <c r="C12" s="51">
        <v>69.989999999999995</v>
      </c>
      <c r="D12" s="51">
        <v>1</v>
      </c>
      <c r="E12" s="51">
        <v>0</v>
      </c>
      <c r="F12" s="51">
        <v>69.989999999999995</v>
      </c>
      <c r="G12" s="51">
        <v>0</v>
      </c>
      <c r="H12" s="51">
        <f t="shared" si="1"/>
        <v>0</v>
      </c>
      <c r="I12" s="51">
        <f t="shared" si="2"/>
        <v>1.8801668186364209E-2</v>
      </c>
      <c r="J12" s="51">
        <f t="shared" si="4"/>
        <v>1.3159287563636308</v>
      </c>
      <c r="K12" s="51">
        <f t="shared" si="3"/>
        <v>1.3159287563636308</v>
      </c>
      <c r="L12" s="51">
        <v>24</v>
      </c>
      <c r="M12" s="51">
        <f t="shared" si="5"/>
        <v>4.1666666666666664E-2</v>
      </c>
      <c r="N12" s="51">
        <v>3</v>
      </c>
      <c r="O12" s="51">
        <f t="shared" ref="O12:P12" si="20">D12/7</f>
        <v>0.14285714285714285</v>
      </c>
      <c r="P12" s="51">
        <f t="shared" si="20"/>
        <v>0</v>
      </c>
      <c r="Q12" s="51">
        <f t="shared" si="7"/>
        <v>21</v>
      </c>
      <c r="R12" s="55">
        <v>0</v>
      </c>
      <c r="S12" s="53" t="s">
        <v>34</v>
      </c>
      <c r="T12" s="54" t="s">
        <v>34</v>
      </c>
      <c r="U12" s="55">
        <v>0</v>
      </c>
      <c r="V12" s="55">
        <f t="shared" si="8"/>
        <v>0</v>
      </c>
      <c r="W12" s="55">
        <f t="shared" si="9"/>
        <v>0</v>
      </c>
      <c r="X12" s="55">
        <v>0</v>
      </c>
      <c r="Y12" s="55" t="s">
        <v>760</v>
      </c>
      <c r="Z12" s="56">
        <f t="shared" si="19"/>
        <v>-0.48</v>
      </c>
      <c r="AA12" s="55">
        <v>1.2845413333333335</v>
      </c>
      <c r="AB12" s="55">
        <f t="shared" si="11"/>
        <v>-0.4624348800000001</v>
      </c>
      <c r="AC12" s="55">
        <v>-15.1</v>
      </c>
      <c r="AD12" s="55">
        <v>-42.613136363636364</v>
      </c>
      <c r="AE12" s="55">
        <v>0</v>
      </c>
      <c r="AF12" s="55"/>
    </row>
    <row r="13" spans="1:32" s="57" customFormat="1" ht="15.75" customHeight="1">
      <c r="A13" s="2" t="s">
        <v>63</v>
      </c>
      <c r="B13" s="2" t="s">
        <v>45</v>
      </c>
      <c r="C13" s="51">
        <v>69.989999999999995</v>
      </c>
      <c r="D13" s="51">
        <v>1</v>
      </c>
      <c r="E13" s="51">
        <v>0</v>
      </c>
      <c r="F13" s="51">
        <v>69.989999999999995</v>
      </c>
      <c r="G13" s="51">
        <v>0</v>
      </c>
      <c r="H13" s="51">
        <f t="shared" si="1"/>
        <v>0</v>
      </c>
      <c r="I13" s="51">
        <f t="shared" si="2"/>
        <v>2.1004053670004727E-2</v>
      </c>
      <c r="J13" s="51">
        <f t="shared" si="4"/>
        <v>1.4700737163636308</v>
      </c>
      <c r="K13" s="51">
        <f t="shared" si="3"/>
        <v>1.4700737163636308</v>
      </c>
      <c r="L13" s="51">
        <v>14</v>
      </c>
      <c r="M13" s="51">
        <f t="shared" si="5"/>
        <v>7.1428571428571425E-2</v>
      </c>
      <c r="N13" s="51">
        <v>2</v>
      </c>
      <c r="O13" s="51">
        <f t="shared" ref="O13:P13" si="21">D13/7</f>
        <v>0.14285714285714285</v>
      </c>
      <c r="P13" s="51">
        <f t="shared" si="21"/>
        <v>0</v>
      </c>
      <c r="Q13" s="51">
        <f t="shared" si="7"/>
        <v>14</v>
      </c>
      <c r="R13" s="55">
        <v>0</v>
      </c>
      <c r="S13" s="53" t="s">
        <v>34</v>
      </c>
      <c r="T13" s="54" t="s">
        <v>34</v>
      </c>
      <c r="U13" s="55">
        <v>0</v>
      </c>
      <c r="V13" s="55">
        <f t="shared" si="8"/>
        <v>0</v>
      </c>
      <c r="W13" s="55">
        <f t="shared" si="9"/>
        <v>0</v>
      </c>
      <c r="X13" s="55">
        <v>0</v>
      </c>
      <c r="Y13" s="55" t="s">
        <v>760</v>
      </c>
      <c r="Z13" s="56">
        <f t="shared" si="19"/>
        <v>-0.48</v>
      </c>
      <c r="AA13" s="55">
        <v>1.2845413333333335</v>
      </c>
      <c r="AB13" s="55">
        <f t="shared" si="11"/>
        <v>-0.30828992000000005</v>
      </c>
      <c r="AC13" s="55">
        <v>-15.1</v>
      </c>
      <c r="AD13" s="55">
        <v>-42.613136363636364</v>
      </c>
      <c r="AE13" s="55">
        <v>0</v>
      </c>
      <c r="AF13" s="55"/>
    </row>
    <row r="14" spans="1:32" s="57" customFormat="1" ht="15.75" customHeight="1">
      <c r="A14" s="2" t="s">
        <v>64</v>
      </c>
      <c r="B14" s="2"/>
      <c r="C14" s="51">
        <v>69.989999999999995</v>
      </c>
      <c r="D14" s="51">
        <v>2</v>
      </c>
      <c r="E14" s="51">
        <v>0</v>
      </c>
      <c r="F14" s="51">
        <v>139.97999999999999</v>
      </c>
      <c r="G14" s="51">
        <v>0</v>
      </c>
      <c r="H14" s="51">
        <f t="shared" si="1"/>
        <v>0</v>
      </c>
      <c r="I14" s="51">
        <f t="shared" si="2"/>
        <v>2.5408824637285769E-2</v>
      </c>
      <c r="J14" s="51">
        <f t="shared" si="4"/>
        <v>3.5567272727272616</v>
      </c>
      <c r="K14" s="51">
        <f t="shared" si="3"/>
        <v>1.7783636363636308</v>
      </c>
      <c r="L14" s="51">
        <v>10</v>
      </c>
      <c r="M14" s="51">
        <f t="shared" si="5"/>
        <v>0.2</v>
      </c>
      <c r="N14" s="51">
        <v>0</v>
      </c>
      <c r="O14" s="51">
        <f t="shared" ref="O14:P14" si="22">D14/7</f>
        <v>0.2857142857142857</v>
      </c>
      <c r="P14" s="51">
        <f t="shared" si="22"/>
        <v>0</v>
      </c>
      <c r="Q14" s="51">
        <f t="shared" si="7"/>
        <v>0</v>
      </c>
      <c r="R14" s="55">
        <v>0</v>
      </c>
      <c r="S14" s="53" t="s">
        <v>34</v>
      </c>
      <c r="T14" s="54" t="s">
        <v>34</v>
      </c>
      <c r="U14" s="55">
        <v>0</v>
      </c>
      <c r="V14" s="55">
        <f t="shared" si="8"/>
        <v>0</v>
      </c>
      <c r="W14" s="55">
        <f t="shared" si="9"/>
        <v>0</v>
      </c>
      <c r="X14" s="55">
        <v>0</v>
      </c>
      <c r="Y14" s="55" t="s">
        <v>760</v>
      </c>
      <c r="Z14" s="56">
        <f t="shared" si="19"/>
        <v>-0.48</v>
      </c>
      <c r="AA14" s="55">
        <v>1.2845413333333335</v>
      </c>
      <c r="AB14" s="55">
        <f t="shared" si="11"/>
        <v>0</v>
      </c>
      <c r="AC14" s="55">
        <v>-15.1</v>
      </c>
      <c r="AD14" s="55">
        <v>-42.613136363636364</v>
      </c>
      <c r="AE14" s="55">
        <v>0</v>
      </c>
      <c r="AF14" s="55"/>
    </row>
    <row r="15" spans="1:32" s="57" customFormat="1" ht="15.75" customHeight="1">
      <c r="A15" s="2" t="s">
        <v>65</v>
      </c>
      <c r="B15" s="2"/>
      <c r="C15" s="51">
        <v>69.989999999999995</v>
      </c>
      <c r="D15" s="51">
        <v>1</v>
      </c>
      <c r="E15" s="51">
        <v>0</v>
      </c>
      <c r="F15" s="51">
        <v>69.989999999999995</v>
      </c>
      <c r="G15" s="51">
        <v>0</v>
      </c>
      <c r="H15" s="51">
        <f t="shared" si="1"/>
        <v>0</v>
      </c>
      <c r="I15" s="51">
        <f t="shared" si="2"/>
        <v>2.5408824637285769E-2</v>
      </c>
      <c r="J15" s="51">
        <f t="shared" si="4"/>
        <v>1.7783636363636308</v>
      </c>
      <c r="K15" s="51">
        <f t="shared" si="3"/>
        <v>1.7783636363636308</v>
      </c>
      <c r="L15" s="51">
        <v>3</v>
      </c>
      <c r="M15" s="51">
        <f t="shared" si="5"/>
        <v>0.33333333333333331</v>
      </c>
      <c r="N15" s="51">
        <v>0</v>
      </c>
      <c r="O15" s="51">
        <f t="shared" ref="O15:P15" si="23">D15/7</f>
        <v>0.14285714285714285</v>
      </c>
      <c r="P15" s="51">
        <f t="shared" si="23"/>
        <v>0</v>
      </c>
      <c r="Q15" s="51">
        <f t="shared" si="7"/>
        <v>0</v>
      </c>
      <c r="R15" s="55">
        <v>0</v>
      </c>
      <c r="S15" s="53" t="s">
        <v>34</v>
      </c>
      <c r="T15" s="54" t="s">
        <v>34</v>
      </c>
      <c r="U15" s="55">
        <v>0</v>
      </c>
      <c r="V15" s="55">
        <f t="shared" si="8"/>
        <v>0</v>
      </c>
      <c r="W15" s="55">
        <f t="shared" si="9"/>
        <v>0</v>
      </c>
      <c r="X15" s="55">
        <v>0</v>
      </c>
      <c r="Y15" s="55" t="s">
        <v>760</v>
      </c>
      <c r="Z15" s="56">
        <f t="shared" si="19"/>
        <v>-0.48</v>
      </c>
      <c r="AA15" s="55">
        <v>1.2845413333333335</v>
      </c>
      <c r="AB15" s="55">
        <f t="shared" si="11"/>
        <v>0</v>
      </c>
      <c r="AC15" s="55">
        <v>-15.1</v>
      </c>
      <c r="AD15" s="55">
        <v>-42.613136363636364</v>
      </c>
      <c r="AE15" s="55">
        <v>0</v>
      </c>
      <c r="AF15" s="55"/>
    </row>
    <row r="16" spans="1:32" s="57" customFormat="1" ht="15.75" customHeight="1">
      <c r="A16" s="2" t="s">
        <v>66</v>
      </c>
      <c r="B16" s="2"/>
      <c r="C16" s="51" t="s">
        <v>397</v>
      </c>
      <c r="D16" s="51">
        <v>0</v>
      </c>
      <c r="E16" s="51">
        <v>0</v>
      </c>
      <c r="F16" s="51">
        <v>0</v>
      </c>
      <c r="G16" s="51">
        <v>0</v>
      </c>
      <c r="H16" s="51" t="e">
        <f t="shared" si="1"/>
        <v>#DIV/0!</v>
      </c>
      <c r="I16" s="51" t="e">
        <f t="shared" si="2"/>
        <v>#DIV/0!</v>
      </c>
      <c r="J16" s="51">
        <f t="shared" si="4"/>
        <v>0</v>
      </c>
      <c r="K16" s="51" t="e">
        <f t="shared" si="3"/>
        <v>#DIV/0!</v>
      </c>
      <c r="L16" s="51">
        <v>0</v>
      </c>
      <c r="M16" s="51" t="str">
        <f t="shared" si="5"/>
        <v>-</v>
      </c>
      <c r="N16" s="51">
        <v>0</v>
      </c>
      <c r="O16" s="51">
        <f t="shared" ref="O16:P16" si="24">D16/7</f>
        <v>0</v>
      </c>
      <c r="P16" s="51">
        <f t="shared" si="24"/>
        <v>0</v>
      </c>
      <c r="Q16" s="51" t="e">
        <f t="shared" si="7"/>
        <v>#DIV/0!</v>
      </c>
      <c r="R16" s="55">
        <v>0</v>
      </c>
      <c r="S16" s="53" t="s">
        <v>34</v>
      </c>
      <c r="T16" s="54" t="s">
        <v>34</v>
      </c>
      <c r="U16" s="55">
        <v>0</v>
      </c>
      <c r="V16" s="55">
        <f t="shared" si="8"/>
        <v>0</v>
      </c>
      <c r="W16" s="55">
        <f t="shared" si="9"/>
        <v>0</v>
      </c>
      <c r="X16" s="55">
        <v>0</v>
      </c>
      <c r="Y16" s="55" t="e">
        <v>#N/A</v>
      </c>
      <c r="Z16" s="56" t="e">
        <f t="shared" si="19"/>
        <v>#N/A</v>
      </c>
      <c r="AA16" s="55" t="e">
        <v>#N/A</v>
      </c>
      <c r="AB16" s="55">
        <f t="shared" si="11"/>
        <v>0</v>
      </c>
      <c r="AC16" s="55">
        <v>0</v>
      </c>
      <c r="AD16" s="55">
        <v>-42.613136363636364</v>
      </c>
      <c r="AE16" s="55">
        <v>0</v>
      </c>
      <c r="AF16" s="55"/>
    </row>
    <row r="17" spans="1:32" s="57" customFormat="1" ht="15.75" customHeight="1">
      <c r="A17" s="2" t="s">
        <v>67</v>
      </c>
      <c r="B17" s="2"/>
      <c r="C17" s="51" t="s">
        <v>397</v>
      </c>
      <c r="D17" s="51">
        <v>0</v>
      </c>
      <c r="E17" s="51">
        <v>0</v>
      </c>
      <c r="F17" s="51">
        <v>0</v>
      </c>
      <c r="G17" s="51">
        <v>0</v>
      </c>
      <c r="H17" s="51" t="e">
        <f t="shared" si="1"/>
        <v>#DIV/0!</v>
      </c>
      <c r="I17" s="51" t="e">
        <f t="shared" si="2"/>
        <v>#DIV/0!</v>
      </c>
      <c r="J17" s="51">
        <f t="shared" si="4"/>
        <v>0</v>
      </c>
      <c r="K17" s="51" t="e">
        <f t="shared" si="3"/>
        <v>#DIV/0!</v>
      </c>
      <c r="L17" s="51">
        <v>0</v>
      </c>
      <c r="M17" s="51" t="str">
        <f t="shared" si="5"/>
        <v>-</v>
      </c>
      <c r="N17" s="51">
        <v>0</v>
      </c>
      <c r="O17" s="51">
        <f t="shared" ref="O17:P17" si="25">D17/7</f>
        <v>0</v>
      </c>
      <c r="P17" s="51">
        <f t="shared" si="25"/>
        <v>0</v>
      </c>
      <c r="Q17" s="51" t="e">
        <f t="shared" si="7"/>
        <v>#DIV/0!</v>
      </c>
      <c r="R17" s="55">
        <v>0</v>
      </c>
      <c r="S17" s="53" t="s">
        <v>34</v>
      </c>
      <c r="T17" s="54" t="s">
        <v>34</v>
      </c>
      <c r="U17" s="55">
        <v>0</v>
      </c>
      <c r="V17" s="55">
        <f t="shared" si="8"/>
        <v>0</v>
      </c>
      <c r="W17" s="55">
        <f t="shared" si="9"/>
        <v>0</v>
      </c>
      <c r="X17" s="55">
        <v>0</v>
      </c>
      <c r="Y17" s="55" t="e">
        <v>#N/A</v>
      </c>
      <c r="Z17" s="56" t="e">
        <f t="shared" si="19"/>
        <v>#N/A</v>
      </c>
      <c r="AA17" s="55" t="e">
        <v>#N/A</v>
      </c>
      <c r="AB17" s="55">
        <f t="shared" si="11"/>
        <v>0</v>
      </c>
      <c r="AC17" s="55">
        <v>0</v>
      </c>
      <c r="AD17" s="55">
        <v>-42.613136363636364</v>
      </c>
      <c r="AE17" s="55">
        <v>0</v>
      </c>
      <c r="AF17" s="55"/>
    </row>
    <row r="18" spans="1:32" s="57" customFormat="1" ht="15.75" customHeight="1">
      <c r="A18" s="2" t="s">
        <v>69</v>
      </c>
      <c r="B18" s="2"/>
      <c r="C18" s="51" t="s">
        <v>397</v>
      </c>
      <c r="D18" s="51">
        <v>0</v>
      </c>
      <c r="E18" s="51">
        <v>0</v>
      </c>
      <c r="F18" s="51">
        <v>0</v>
      </c>
      <c r="G18" s="51">
        <v>0</v>
      </c>
      <c r="H18" s="51" t="e">
        <f t="shared" si="1"/>
        <v>#DIV/0!</v>
      </c>
      <c r="I18" s="51" t="e">
        <f t="shared" si="2"/>
        <v>#DIV/0!</v>
      </c>
      <c r="J18" s="51">
        <f t="shared" si="4"/>
        <v>0</v>
      </c>
      <c r="K18" s="51" t="e">
        <f t="shared" si="3"/>
        <v>#DIV/0!</v>
      </c>
      <c r="L18" s="51">
        <v>0</v>
      </c>
      <c r="M18" s="51" t="str">
        <f t="shared" si="5"/>
        <v>-</v>
      </c>
      <c r="N18" s="51">
        <v>0</v>
      </c>
      <c r="O18" s="51">
        <f t="shared" ref="O18:P18" si="26">D18/7</f>
        <v>0</v>
      </c>
      <c r="P18" s="51">
        <f t="shared" si="26"/>
        <v>0</v>
      </c>
      <c r="Q18" s="51" t="e">
        <f t="shared" si="7"/>
        <v>#DIV/0!</v>
      </c>
      <c r="R18" s="55">
        <v>0</v>
      </c>
      <c r="S18" s="53" t="s">
        <v>34</v>
      </c>
      <c r="T18" s="54" t="s">
        <v>34</v>
      </c>
      <c r="U18" s="55">
        <v>0</v>
      </c>
      <c r="V18" s="55">
        <f t="shared" si="8"/>
        <v>0</v>
      </c>
      <c r="W18" s="55">
        <f t="shared" si="9"/>
        <v>0</v>
      </c>
      <c r="X18" s="55">
        <v>0</v>
      </c>
      <c r="Y18" s="55" t="e">
        <v>#N/A</v>
      </c>
      <c r="Z18" s="56" t="e">
        <f t="shared" si="19"/>
        <v>#N/A</v>
      </c>
      <c r="AA18" s="55" t="e">
        <v>#N/A</v>
      </c>
      <c r="AB18" s="58">
        <f t="shared" ref="AB18:AB39" si="27">IFERROR(Z18*AA18*D18*3,0)</f>
        <v>0</v>
      </c>
      <c r="AC18" s="55">
        <v>0</v>
      </c>
      <c r="AD18" s="55">
        <v>-42.613136363636364</v>
      </c>
      <c r="AE18" s="55">
        <v>0</v>
      </c>
      <c r="AF18" s="55"/>
    </row>
    <row r="19" spans="1:32" s="57" customFormat="1" ht="15.75" customHeight="1">
      <c r="A19" s="2" t="s">
        <v>71</v>
      </c>
      <c r="B19" s="2"/>
      <c r="C19" s="51" t="s">
        <v>397</v>
      </c>
      <c r="D19" s="51">
        <v>0</v>
      </c>
      <c r="E19" s="51">
        <v>0</v>
      </c>
      <c r="F19" s="51">
        <v>0</v>
      </c>
      <c r="G19" s="51">
        <v>0</v>
      </c>
      <c r="H19" s="51" t="e">
        <f t="shared" si="1"/>
        <v>#DIV/0!</v>
      </c>
      <c r="I19" s="51" t="e">
        <f t="shared" si="2"/>
        <v>#DIV/0!</v>
      </c>
      <c r="J19" s="51">
        <f t="shared" si="4"/>
        <v>0</v>
      </c>
      <c r="K19" s="51" t="e">
        <f t="shared" si="3"/>
        <v>#DIV/0!</v>
      </c>
      <c r="L19" s="51">
        <v>0</v>
      </c>
      <c r="M19" s="51" t="str">
        <f t="shared" si="5"/>
        <v>-</v>
      </c>
      <c r="N19" s="51">
        <v>0</v>
      </c>
      <c r="O19" s="51">
        <f t="shared" ref="O19:P19" si="28">D19/7</f>
        <v>0</v>
      </c>
      <c r="P19" s="51">
        <f t="shared" si="28"/>
        <v>0</v>
      </c>
      <c r="Q19" s="51" t="e">
        <f t="shared" si="7"/>
        <v>#DIV/0!</v>
      </c>
      <c r="R19" s="55">
        <v>0</v>
      </c>
      <c r="S19" s="53" t="s">
        <v>34</v>
      </c>
      <c r="T19" s="54" t="s">
        <v>34</v>
      </c>
      <c r="U19" s="55">
        <v>0</v>
      </c>
      <c r="V19" s="55">
        <f t="shared" si="8"/>
        <v>0</v>
      </c>
      <c r="W19" s="55">
        <f t="shared" si="9"/>
        <v>0</v>
      </c>
      <c r="X19" s="55">
        <v>0</v>
      </c>
      <c r="Y19" s="55" t="e">
        <v>#N/A</v>
      </c>
      <c r="Z19" s="56" t="e">
        <f t="shared" si="19"/>
        <v>#N/A</v>
      </c>
      <c r="AA19" s="55" t="e">
        <v>#N/A</v>
      </c>
      <c r="AB19" s="55">
        <f t="shared" si="27"/>
        <v>0</v>
      </c>
      <c r="AC19" s="55">
        <v>0</v>
      </c>
      <c r="AD19" s="55">
        <v>-42.613136363636364</v>
      </c>
      <c r="AE19" s="55">
        <v>0</v>
      </c>
      <c r="AF19" s="55"/>
    </row>
    <row r="20" spans="1:32" s="57" customFormat="1" ht="15.75" customHeight="1">
      <c r="A20" s="2" t="s">
        <v>73</v>
      </c>
      <c r="B20" s="2"/>
      <c r="C20" s="51" t="s">
        <v>397</v>
      </c>
      <c r="D20" s="51">
        <v>0</v>
      </c>
      <c r="E20" s="51">
        <v>0</v>
      </c>
      <c r="F20" s="51">
        <v>0</v>
      </c>
      <c r="G20" s="51">
        <v>0</v>
      </c>
      <c r="H20" s="51" t="e">
        <f t="shared" si="1"/>
        <v>#DIV/0!</v>
      </c>
      <c r="I20" s="51" t="e">
        <f t="shared" si="2"/>
        <v>#DIV/0!</v>
      </c>
      <c r="J20" s="51">
        <f t="shared" si="4"/>
        <v>0</v>
      </c>
      <c r="K20" s="51" t="e">
        <f t="shared" si="3"/>
        <v>#DIV/0!</v>
      </c>
      <c r="L20" s="51">
        <v>0</v>
      </c>
      <c r="M20" s="51" t="str">
        <f t="shared" si="5"/>
        <v>-</v>
      </c>
      <c r="N20" s="51">
        <v>0</v>
      </c>
      <c r="O20" s="51">
        <f t="shared" ref="O20:P20" si="29">D20/7</f>
        <v>0</v>
      </c>
      <c r="P20" s="51">
        <f t="shared" si="29"/>
        <v>0</v>
      </c>
      <c r="Q20" s="51" t="e">
        <f t="shared" si="7"/>
        <v>#DIV/0!</v>
      </c>
      <c r="R20" s="55">
        <v>0</v>
      </c>
      <c r="S20" s="53" t="s">
        <v>34</v>
      </c>
      <c r="T20" s="54" t="s">
        <v>34</v>
      </c>
      <c r="U20" s="55">
        <v>0</v>
      </c>
      <c r="V20" s="55">
        <f t="shared" si="8"/>
        <v>0</v>
      </c>
      <c r="W20" s="55">
        <f t="shared" si="9"/>
        <v>0</v>
      </c>
      <c r="X20" s="55">
        <v>0</v>
      </c>
      <c r="Y20" s="55" t="e">
        <v>#N/A</v>
      </c>
      <c r="Z20" s="56" t="e">
        <f t="shared" si="19"/>
        <v>#N/A</v>
      </c>
      <c r="AA20" s="55" t="e">
        <v>#N/A</v>
      </c>
      <c r="AB20" s="55">
        <f t="shared" si="27"/>
        <v>0</v>
      </c>
      <c r="AC20" s="55">
        <v>0</v>
      </c>
      <c r="AD20" s="55">
        <v>-42.613136363636364</v>
      </c>
      <c r="AE20" s="55">
        <v>0</v>
      </c>
      <c r="AF20" s="55"/>
    </row>
    <row r="21" spans="1:32" s="57" customFormat="1" ht="15.75" customHeight="1">
      <c r="A21" s="2" t="s">
        <v>75</v>
      </c>
      <c r="B21" s="2"/>
      <c r="C21" s="51" t="s">
        <v>397</v>
      </c>
      <c r="D21" s="51">
        <v>0</v>
      </c>
      <c r="E21" s="51">
        <v>0</v>
      </c>
      <c r="F21" s="51">
        <v>0</v>
      </c>
      <c r="G21" s="51">
        <v>0</v>
      </c>
      <c r="H21" s="51" t="e">
        <f t="shared" si="1"/>
        <v>#DIV/0!</v>
      </c>
      <c r="I21" s="51" t="e">
        <f t="shared" si="2"/>
        <v>#DIV/0!</v>
      </c>
      <c r="J21" s="51">
        <f t="shared" si="4"/>
        <v>0</v>
      </c>
      <c r="K21" s="51" t="e">
        <f t="shared" si="3"/>
        <v>#DIV/0!</v>
      </c>
      <c r="L21" s="51">
        <v>0</v>
      </c>
      <c r="M21" s="51" t="str">
        <f t="shared" si="5"/>
        <v>-</v>
      </c>
      <c r="N21" s="51">
        <v>0</v>
      </c>
      <c r="O21" s="51">
        <f t="shared" ref="O21:P21" si="30">D21/7</f>
        <v>0</v>
      </c>
      <c r="P21" s="51">
        <f t="shared" si="30"/>
        <v>0</v>
      </c>
      <c r="Q21" s="51" t="e">
        <f t="shared" si="7"/>
        <v>#DIV/0!</v>
      </c>
      <c r="R21" s="55">
        <v>0</v>
      </c>
      <c r="S21" s="53" t="s">
        <v>34</v>
      </c>
      <c r="T21" s="54" t="s">
        <v>34</v>
      </c>
      <c r="U21" s="55">
        <v>0</v>
      </c>
      <c r="V21" s="55">
        <f t="shared" si="8"/>
        <v>0</v>
      </c>
      <c r="W21" s="55">
        <f t="shared" si="9"/>
        <v>0</v>
      </c>
      <c r="X21" s="55">
        <v>0</v>
      </c>
      <c r="Y21" s="55" t="e">
        <v>#N/A</v>
      </c>
      <c r="Z21" s="56" t="e">
        <f t="shared" si="19"/>
        <v>#N/A</v>
      </c>
      <c r="AA21" s="55" t="e">
        <v>#N/A</v>
      </c>
      <c r="AB21" s="55">
        <f t="shared" si="27"/>
        <v>0</v>
      </c>
      <c r="AC21" s="55">
        <v>0</v>
      </c>
      <c r="AD21" s="55">
        <v>-42.613136363636364</v>
      </c>
      <c r="AE21" s="55">
        <v>0</v>
      </c>
      <c r="AF21" s="55"/>
    </row>
    <row r="22" spans="1:32" s="57" customFormat="1" ht="15.75" customHeight="1">
      <c r="A22" s="2" t="s">
        <v>77</v>
      </c>
      <c r="B22" s="2"/>
      <c r="C22" s="51" t="s">
        <v>397</v>
      </c>
      <c r="D22" s="51">
        <v>0</v>
      </c>
      <c r="E22" s="51">
        <v>0</v>
      </c>
      <c r="F22" s="51">
        <v>0</v>
      </c>
      <c r="G22" s="51">
        <v>0</v>
      </c>
      <c r="H22" s="51" t="e">
        <f t="shared" si="1"/>
        <v>#DIV/0!</v>
      </c>
      <c r="I22" s="51" t="e">
        <f t="shared" si="2"/>
        <v>#DIV/0!</v>
      </c>
      <c r="J22" s="51">
        <f t="shared" si="4"/>
        <v>0</v>
      </c>
      <c r="K22" s="51" t="e">
        <f t="shared" si="3"/>
        <v>#DIV/0!</v>
      </c>
      <c r="L22" s="51">
        <v>0</v>
      </c>
      <c r="M22" s="51" t="str">
        <f t="shared" si="5"/>
        <v>-</v>
      </c>
      <c r="N22" s="51">
        <v>0</v>
      </c>
      <c r="O22" s="51">
        <f t="shared" ref="O22:P22" si="31">D22/7</f>
        <v>0</v>
      </c>
      <c r="P22" s="51">
        <f t="shared" si="31"/>
        <v>0</v>
      </c>
      <c r="Q22" s="51" t="e">
        <f t="shared" si="7"/>
        <v>#DIV/0!</v>
      </c>
      <c r="R22" s="55">
        <v>0</v>
      </c>
      <c r="S22" s="53" t="s">
        <v>34</v>
      </c>
      <c r="T22" s="54" t="s">
        <v>34</v>
      </c>
      <c r="U22" s="55">
        <v>0</v>
      </c>
      <c r="V22" s="55">
        <f t="shared" si="8"/>
        <v>0</v>
      </c>
      <c r="W22" s="55">
        <f t="shared" si="9"/>
        <v>0</v>
      </c>
      <c r="X22" s="55">
        <v>0</v>
      </c>
      <c r="Y22" s="55" t="e">
        <v>#N/A</v>
      </c>
      <c r="Z22" s="56" t="e">
        <f t="shared" si="19"/>
        <v>#N/A</v>
      </c>
      <c r="AA22" s="55" t="e">
        <v>#N/A</v>
      </c>
      <c r="AB22" s="55">
        <f t="shared" si="27"/>
        <v>0</v>
      </c>
      <c r="AC22" s="55">
        <v>0</v>
      </c>
      <c r="AD22" s="55">
        <v>-42.613136363636364</v>
      </c>
      <c r="AE22" s="55">
        <v>0</v>
      </c>
      <c r="AF22" s="55"/>
    </row>
    <row r="23" spans="1:32" s="57" customFormat="1" ht="15.75" customHeight="1">
      <c r="A23" s="2" t="s">
        <v>79</v>
      </c>
      <c r="B23" s="2"/>
      <c r="C23" s="51" t="s">
        <v>397</v>
      </c>
      <c r="D23" s="51">
        <v>0</v>
      </c>
      <c r="E23" s="51">
        <v>0</v>
      </c>
      <c r="F23" s="51">
        <v>0</v>
      </c>
      <c r="G23" s="51">
        <v>0</v>
      </c>
      <c r="H23" s="51" t="e">
        <f t="shared" si="1"/>
        <v>#DIV/0!</v>
      </c>
      <c r="I23" s="51" t="e">
        <f t="shared" si="2"/>
        <v>#DIV/0!</v>
      </c>
      <c r="J23" s="51">
        <f t="shared" si="4"/>
        <v>0</v>
      </c>
      <c r="K23" s="51" t="e">
        <f t="shared" si="3"/>
        <v>#DIV/0!</v>
      </c>
      <c r="L23" s="51">
        <v>0</v>
      </c>
      <c r="M23" s="51" t="str">
        <f t="shared" si="5"/>
        <v>-</v>
      </c>
      <c r="N23" s="51">
        <v>0</v>
      </c>
      <c r="O23" s="51">
        <f t="shared" ref="O23:P23" si="32">D23/7</f>
        <v>0</v>
      </c>
      <c r="P23" s="51">
        <f t="shared" si="32"/>
        <v>0</v>
      </c>
      <c r="Q23" s="51" t="e">
        <f t="shared" si="7"/>
        <v>#DIV/0!</v>
      </c>
      <c r="R23" s="55">
        <v>0</v>
      </c>
      <c r="S23" s="53" t="s">
        <v>34</v>
      </c>
      <c r="T23" s="54" t="s">
        <v>34</v>
      </c>
      <c r="U23" s="55">
        <v>0</v>
      </c>
      <c r="V23" s="55">
        <f t="shared" si="8"/>
        <v>0</v>
      </c>
      <c r="W23" s="55">
        <f t="shared" si="9"/>
        <v>0</v>
      </c>
      <c r="X23" s="55">
        <v>0</v>
      </c>
      <c r="Y23" s="55" t="e">
        <v>#N/A</v>
      </c>
      <c r="Z23" s="56" t="e">
        <f t="shared" si="19"/>
        <v>#N/A</v>
      </c>
      <c r="AA23" s="55" t="e">
        <v>#N/A</v>
      </c>
      <c r="AB23" s="55">
        <f t="shared" si="27"/>
        <v>0</v>
      </c>
      <c r="AC23" s="55">
        <v>0</v>
      </c>
      <c r="AD23" s="55">
        <v>-42.613136363636364</v>
      </c>
      <c r="AE23" s="55">
        <v>0</v>
      </c>
      <c r="AF23" s="55"/>
    </row>
    <row r="24" spans="1:32" s="57" customFormat="1" ht="15.75" customHeight="1">
      <c r="A24" s="2" t="s">
        <v>80</v>
      </c>
      <c r="B24" s="2"/>
      <c r="C24" s="51"/>
      <c r="D24" s="51">
        <v>0</v>
      </c>
      <c r="E24" s="51">
        <v>0</v>
      </c>
      <c r="F24" s="51">
        <v>0</v>
      </c>
      <c r="G24" s="51">
        <v>0</v>
      </c>
      <c r="H24" s="51" t="e">
        <f t="shared" si="1"/>
        <v>#DIV/0!</v>
      </c>
      <c r="I24" s="51" t="e">
        <f t="shared" si="2"/>
        <v>#DIV/0!</v>
      </c>
      <c r="J24" s="51">
        <f t="shared" si="4"/>
        <v>0</v>
      </c>
      <c r="K24" s="51" t="e">
        <f t="shared" si="3"/>
        <v>#DIV/0!</v>
      </c>
      <c r="L24" s="51">
        <v>0</v>
      </c>
      <c r="M24" s="51" t="str">
        <f t="shared" si="5"/>
        <v>-</v>
      </c>
      <c r="N24" s="51">
        <v>0</v>
      </c>
      <c r="O24" s="51">
        <f t="shared" ref="O24:P24" si="33">D24/7</f>
        <v>0</v>
      </c>
      <c r="P24" s="51">
        <f t="shared" si="33"/>
        <v>0</v>
      </c>
      <c r="Q24" s="51" t="e">
        <f t="shared" si="7"/>
        <v>#DIV/0!</v>
      </c>
      <c r="R24" s="55">
        <v>0</v>
      </c>
      <c r="S24" s="53" t="s">
        <v>34</v>
      </c>
      <c r="T24" s="54" t="s">
        <v>34</v>
      </c>
      <c r="U24" s="55">
        <v>0</v>
      </c>
      <c r="V24" s="55">
        <f t="shared" si="8"/>
        <v>0</v>
      </c>
      <c r="W24" s="55">
        <f t="shared" si="9"/>
        <v>0</v>
      </c>
      <c r="X24" s="55">
        <v>0</v>
      </c>
      <c r="Y24" s="55" t="e">
        <v>#N/A</v>
      </c>
      <c r="Z24" s="56" t="e">
        <f t="shared" si="19"/>
        <v>#N/A</v>
      </c>
      <c r="AA24" s="55" t="e">
        <v>#N/A</v>
      </c>
      <c r="AB24" s="55">
        <f t="shared" si="27"/>
        <v>0</v>
      </c>
      <c r="AC24" s="55">
        <v>0</v>
      </c>
      <c r="AD24" s="55">
        <v>-42.613136363636364</v>
      </c>
      <c r="AE24" s="55">
        <v>0</v>
      </c>
      <c r="AF24" s="55"/>
    </row>
    <row r="25" spans="1:32" s="57" customFormat="1" ht="15.75" customHeight="1">
      <c r="A25" s="2" t="s">
        <v>81</v>
      </c>
      <c r="B25" s="2"/>
      <c r="C25" s="51"/>
      <c r="D25" s="51">
        <v>0</v>
      </c>
      <c r="E25" s="51">
        <v>0</v>
      </c>
      <c r="F25" s="51">
        <v>0</v>
      </c>
      <c r="G25" s="51">
        <v>0</v>
      </c>
      <c r="H25" s="51" t="e">
        <f t="shared" si="1"/>
        <v>#DIV/0!</v>
      </c>
      <c r="I25" s="51" t="e">
        <f t="shared" si="2"/>
        <v>#DIV/0!</v>
      </c>
      <c r="J25" s="51">
        <f t="shared" si="4"/>
        <v>0</v>
      </c>
      <c r="K25" s="51" t="e">
        <f t="shared" si="3"/>
        <v>#DIV/0!</v>
      </c>
      <c r="L25" s="51">
        <v>0</v>
      </c>
      <c r="M25" s="51" t="str">
        <f t="shared" si="5"/>
        <v>-</v>
      </c>
      <c r="N25" s="51">
        <v>1</v>
      </c>
      <c r="O25" s="51">
        <f t="shared" ref="O25:P25" si="34">D25/7</f>
        <v>0</v>
      </c>
      <c r="P25" s="51">
        <f t="shared" si="34"/>
        <v>0</v>
      </c>
      <c r="Q25" s="51" t="e">
        <f t="shared" si="7"/>
        <v>#DIV/0!</v>
      </c>
      <c r="R25" s="55">
        <v>0</v>
      </c>
      <c r="S25" s="53" t="s">
        <v>34</v>
      </c>
      <c r="T25" s="54" t="s">
        <v>34</v>
      </c>
      <c r="U25" s="55">
        <v>0</v>
      </c>
      <c r="V25" s="55">
        <f t="shared" si="8"/>
        <v>0</v>
      </c>
      <c r="W25" s="55">
        <f t="shared" si="9"/>
        <v>0</v>
      </c>
      <c r="X25" s="55">
        <v>0</v>
      </c>
      <c r="Y25" s="55" t="s">
        <v>760</v>
      </c>
      <c r="Z25" s="56">
        <f t="shared" si="19"/>
        <v>-0.48</v>
      </c>
      <c r="AA25" s="55">
        <v>1.2845413333333335</v>
      </c>
      <c r="AB25" s="55">
        <f t="shared" si="27"/>
        <v>0</v>
      </c>
      <c r="AC25" s="55">
        <v>-15.1</v>
      </c>
      <c r="AD25" s="55">
        <v>-42.613136363636364</v>
      </c>
      <c r="AE25" s="55">
        <v>0</v>
      </c>
      <c r="AF25" s="55"/>
    </row>
    <row r="26" spans="1:32" s="57" customFormat="1" ht="15.75" customHeight="1">
      <c r="A26" s="2" t="s">
        <v>83</v>
      </c>
      <c r="B26" s="2"/>
      <c r="C26" s="51" t="str">
        <f t="shared" ref="C26:C39" si="35">IFERROR(F26/D26," - ")</f>
        <v xml:space="preserve"> - </v>
      </c>
      <c r="D26" s="51">
        <v>0</v>
      </c>
      <c r="E26" s="51">
        <v>0</v>
      </c>
      <c r="F26" s="51">
        <v>0</v>
      </c>
      <c r="G26" s="51">
        <v>0</v>
      </c>
      <c r="H26" s="51" t="e">
        <f t="shared" si="1"/>
        <v>#DIV/0!</v>
      </c>
      <c r="I26" s="51" t="e">
        <f t="shared" si="2"/>
        <v>#DIV/0!</v>
      </c>
      <c r="J26" s="51">
        <f t="shared" si="4"/>
        <v>0</v>
      </c>
      <c r="K26" s="51" t="e">
        <f t="shared" si="3"/>
        <v>#DIV/0!</v>
      </c>
      <c r="L26" s="51">
        <v>0</v>
      </c>
      <c r="M26" s="51" t="str">
        <f t="shared" si="5"/>
        <v>-</v>
      </c>
      <c r="N26" s="51">
        <v>0</v>
      </c>
      <c r="O26" s="51">
        <f t="shared" ref="O26:P26" si="36">D26/7</f>
        <v>0</v>
      </c>
      <c r="P26" s="51">
        <f t="shared" si="36"/>
        <v>0</v>
      </c>
      <c r="Q26" s="51" t="e">
        <f t="shared" si="7"/>
        <v>#DIV/0!</v>
      </c>
      <c r="R26" s="55" t="s">
        <v>34</v>
      </c>
      <c r="S26" s="53" t="s">
        <v>34</v>
      </c>
      <c r="T26" s="54" t="s">
        <v>34</v>
      </c>
      <c r="U26" s="55">
        <v>0</v>
      </c>
      <c r="V26" s="55">
        <f t="shared" si="8"/>
        <v>0</v>
      </c>
      <c r="W26" s="55">
        <f t="shared" si="9"/>
        <v>0</v>
      </c>
      <c r="X26" s="55">
        <v>0</v>
      </c>
      <c r="Y26" s="55" t="s">
        <v>760</v>
      </c>
      <c r="Z26" s="56">
        <f t="shared" si="19"/>
        <v>-0.48</v>
      </c>
      <c r="AA26" s="55">
        <v>1.2845413333333335</v>
      </c>
      <c r="AB26" s="55">
        <f t="shared" si="27"/>
        <v>0</v>
      </c>
      <c r="AC26" s="55">
        <v>-15.1</v>
      </c>
      <c r="AD26" s="55">
        <v>-42.613136363636364</v>
      </c>
      <c r="AE26" s="55">
        <v>0</v>
      </c>
      <c r="AF26" s="55"/>
    </row>
    <row r="27" spans="1:32" s="57" customFormat="1" ht="15.75" customHeight="1">
      <c r="A27" s="2" t="s">
        <v>84</v>
      </c>
      <c r="B27" s="2"/>
      <c r="C27" s="51">
        <f t="shared" si="35"/>
        <v>69.989999999999995</v>
      </c>
      <c r="D27" s="51">
        <v>1</v>
      </c>
      <c r="E27" s="51">
        <v>0</v>
      </c>
      <c r="F27" s="51">
        <v>69.989999999999995</v>
      </c>
      <c r="G27" s="51">
        <v>0</v>
      </c>
      <c r="H27" s="51">
        <f t="shared" si="1"/>
        <v>0</v>
      </c>
      <c r="I27" s="51">
        <f t="shared" si="2"/>
        <v>-1.0198011664004801E-3</v>
      </c>
      <c r="J27" s="51">
        <f t="shared" si="4"/>
        <v>-7.1375883636369597E-2</v>
      </c>
      <c r="K27" s="51">
        <f t="shared" si="3"/>
        <v>-7.1375883636369597E-2</v>
      </c>
      <c r="L27" s="51">
        <v>2</v>
      </c>
      <c r="M27" s="51">
        <f t="shared" si="5"/>
        <v>0.5</v>
      </c>
      <c r="N27" s="51">
        <v>1</v>
      </c>
      <c r="O27" s="51">
        <f t="shared" ref="O27:P27" si="37">D27/7</f>
        <v>0.14285714285714285</v>
      </c>
      <c r="P27" s="51">
        <f t="shared" si="37"/>
        <v>0</v>
      </c>
      <c r="Q27" s="51">
        <f t="shared" si="7"/>
        <v>7</v>
      </c>
      <c r="R27" s="55" t="s">
        <v>34</v>
      </c>
      <c r="S27" s="53" t="s">
        <v>34</v>
      </c>
      <c r="T27" s="54" t="s">
        <v>34</v>
      </c>
      <c r="U27" s="55">
        <v>0</v>
      </c>
      <c r="V27" s="55">
        <f t="shared" si="8"/>
        <v>0</v>
      </c>
      <c r="W27" s="55">
        <f t="shared" si="9"/>
        <v>0</v>
      </c>
      <c r="X27" s="55">
        <v>0</v>
      </c>
      <c r="Y27" s="55" t="s">
        <v>760</v>
      </c>
      <c r="Z27" s="56">
        <f t="shared" si="19"/>
        <v>-0.48</v>
      </c>
      <c r="AA27" s="55">
        <v>1.2845413333333335</v>
      </c>
      <c r="AB27" s="55">
        <f t="shared" si="27"/>
        <v>-1.8497395200000004</v>
      </c>
      <c r="AC27" s="55">
        <v>-15.1</v>
      </c>
      <c r="AD27" s="55">
        <v>-42.613136363636364</v>
      </c>
      <c r="AE27" s="55">
        <v>0</v>
      </c>
      <c r="AF27" s="55"/>
    </row>
    <row r="28" spans="1:32" s="57" customFormat="1" ht="15.75" customHeight="1">
      <c r="A28" s="2" t="s">
        <v>86</v>
      </c>
      <c r="B28" s="2"/>
      <c r="C28" s="51" t="str">
        <f t="shared" si="35"/>
        <v xml:space="preserve"> - </v>
      </c>
      <c r="D28" s="51">
        <v>0</v>
      </c>
      <c r="E28" s="51">
        <v>0</v>
      </c>
      <c r="F28" s="51">
        <v>0</v>
      </c>
      <c r="G28" s="51">
        <v>0</v>
      </c>
      <c r="H28" s="51" t="e">
        <f t="shared" si="1"/>
        <v>#DIV/0!</v>
      </c>
      <c r="I28" s="51" t="e">
        <f t="shared" si="2"/>
        <v>#DIV/0!</v>
      </c>
      <c r="J28" s="51">
        <f t="shared" si="4"/>
        <v>0</v>
      </c>
      <c r="K28" s="51" t="e">
        <f t="shared" si="3"/>
        <v>#DIV/0!</v>
      </c>
      <c r="L28" s="51">
        <v>0</v>
      </c>
      <c r="M28" s="51" t="str">
        <f t="shared" si="5"/>
        <v>-</v>
      </c>
      <c r="N28" s="51">
        <v>0</v>
      </c>
      <c r="O28" s="51">
        <f t="shared" ref="O28:P28" si="38">D28/7</f>
        <v>0</v>
      </c>
      <c r="P28" s="51">
        <f t="shared" si="38"/>
        <v>0</v>
      </c>
      <c r="Q28" s="51" t="e">
        <f t="shared" si="7"/>
        <v>#DIV/0!</v>
      </c>
      <c r="R28" s="55" t="s">
        <v>34</v>
      </c>
      <c r="S28" s="53" t="s">
        <v>34</v>
      </c>
      <c r="T28" s="54" t="s">
        <v>34</v>
      </c>
      <c r="U28" s="55">
        <v>0</v>
      </c>
      <c r="V28" s="55">
        <f t="shared" si="8"/>
        <v>0</v>
      </c>
      <c r="W28" s="55">
        <f t="shared" si="9"/>
        <v>0</v>
      </c>
      <c r="X28" s="55">
        <v>0</v>
      </c>
      <c r="Y28" s="55" t="e">
        <v>#N/A</v>
      </c>
      <c r="Z28" s="56" t="e">
        <f t="shared" si="19"/>
        <v>#N/A</v>
      </c>
      <c r="AA28" s="55" t="e">
        <v>#N/A</v>
      </c>
      <c r="AB28" s="55">
        <f t="shared" si="27"/>
        <v>0</v>
      </c>
      <c r="AC28" s="55">
        <v>0</v>
      </c>
      <c r="AD28" s="55">
        <v>-42.613136363636364</v>
      </c>
      <c r="AE28" s="55">
        <v>0</v>
      </c>
      <c r="AF28" s="55"/>
    </row>
    <row r="29" spans="1:32" s="57" customFormat="1" ht="15.75" customHeight="1">
      <c r="A29" s="2" t="s">
        <v>87</v>
      </c>
      <c r="B29" s="2"/>
      <c r="C29" s="51" t="str">
        <f t="shared" si="35"/>
        <v xml:space="preserve"> - </v>
      </c>
      <c r="D29" s="51">
        <v>0</v>
      </c>
      <c r="E29" s="51">
        <v>0</v>
      </c>
      <c r="F29" s="51">
        <v>0</v>
      </c>
      <c r="G29" s="51">
        <v>0</v>
      </c>
      <c r="H29" s="51" t="e">
        <f t="shared" si="1"/>
        <v>#DIV/0!</v>
      </c>
      <c r="I29" s="51" t="e">
        <f t="shared" si="2"/>
        <v>#DIV/0!</v>
      </c>
      <c r="J29" s="51">
        <f t="shared" si="4"/>
        <v>0</v>
      </c>
      <c r="K29" s="51" t="e">
        <f t="shared" si="3"/>
        <v>#DIV/0!</v>
      </c>
      <c r="L29" s="51">
        <v>0</v>
      </c>
      <c r="M29" s="51" t="str">
        <f t="shared" si="5"/>
        <v>-</v>
      </c>
      <c r="N29" s="51">
        <v>0</v>
      </c>
      <c r="O29" s="51">
        <f t="shared" ref="O29:P29" si="39">D29/7</f>
        <v>0</v>
      </c>
      <c r="P29" s="51">
        <f t="shared" si="39"/>
        <v>0</v>
      </c>
      <c r="Q29" s="51" t="e">
        <f t="shared" si="7"/>
        <v>#DIV/0!</v>
      </c>
      <c r="R29" s="55" t="s">
        <v>34</v>
      </c>
      <c r="S29" s="53" t="s">
        <v>34</v>
      </c>
      <c r="T29" s="54" t="s">
        <v>34</v>
      </c>
      <c r="U29" s="55">
        <v>0</v>
      </c>
      <c r="V29" s="55">
        <f t="shared" si="8"/>
        <v>0</v>
      </c>
      <c r="W29" s="55">
        <f t="shared" si="9"/>
        <v>0</v>
      </c>
      <c r="X29" s="55">
        <v>0</v>
      </c>
      <c r="Y29" s="55" t="e">
        <v>#N/A</v>
      </c>
      <c r="Z29" s="56" t="e">
        <f t="shared" si="19"/>
        <v>#N/A</v>
      </c>
      <c r="AA29" s="55" t="e">
        <v>#N/A</v>
      </c>
      <c r="AB29" s="55">
        <f t="shared" si="27"/>
        <v>0</v>
      </c>
      <c r="AC29" s="55">
        <v>0</v>
      </c>
      <c r="AD29" s="55">
        <v>-42.613136363636364</v>
      </c>
      <c r="AE29" s="55">
        <v>0</v>
      </c>
      <c r="AF29" s="55"/>
    </row>
    <row r="30" spans="1:32" s="57" customFormat="1" ht="15.75" customHeight="1">
      <c r="A30" s="2" t="s">
        <v>89</v>
      </c>
      <c r="B30" s="2"/>
      <c r="C30" s="51" t="str">
        <f t="shared" si="35"/>
        <v xml:space="preserve"> - </v>
      </c>
      <c r="D30" s="51">
        <v>0</v>
      </c>
      <c r="E30" s="51">
        <v>0</v>
      </c>
      <c r="F30" s="51">
        <v>0</v>
      </c>
      <c r="G30" s="51">
        <v>0</v>
      </c>
      <c r="H30" s="51" t="e">
        <f t="shared" si="1"/>
        <v>#DIV/0!</v>
      </c>
      <c r="I30" s="51" t="e">
        <f t="shared" si="2"/>
        <v>#DIV/0!</v>
      </c>
      <c r="J30" s="51">
        <f t="shared" si="4"/>
        <v>0</v>
      </c>
      <c r="K30" s="51" t="e">
        <f t="shared" si="3"/>
        <v>#DIV/0!</v>
      </c>
      <c r="L30" s="51">
        <v>0</v>
      </c>
      <c r="M30" s="51" t="str">
        <f t="shared" si="5"/>
        <v>-</v>
      </c>
      <c r="N30" s="51">
        <v>0</v>
      </c>
      <c r="O30" s="51">
        <f t="shared" ref="O30:P30" si="40">D30/7</f>
        <v>0</v>
      </c>
      <c r="P30" s="51">
        <f t="shared" si="40"/>
        <v>0</v>
      </c>
      <c r="Q30" s="51" t="e">
        <f t="shared" si="7"/>
        <v>#DIV/0!</v>
      </c>
      <c r="R30" s="55" t="s">
        <v>34</v>
      </c>
      <c r="S30" s="53" t="s">
        <v>34</v>
      </c>
      <c r="T30" s="54" t="s">
        <v>34</v>
      </c>
      <c r="U30" s="55">
        <v>0</v>
      </c>
      <c r="V30" s="55">
        <f t="shared" si="8"/>
        <v>0</v>
      </c>
      <c r="W30" s="55">
        <f t="shared" si="9"/>
        <v>0</v>
      </c>
      <c r="X30" s="55">
        <v>0</v>
      </c>
      <c r="Y30" s="55" t="e">
        <v>#N/A</v>
      </c>
      <c r="Z30" s="56" t="e">
        <f t="shared" si="19"/>
        <v>#N/A</v>
      </c>
      <c r="AA30" s="55" t="e">
        <v>#N/A</v>
      </c>
      <c r="AB30" s="55">
        <f t="shared" si="27"/>
        <v>0</v>
      </c>
      <c r="AC30" s="55">
        <v>0</v>
      </c>
      <c r="AD30" s="55">
        <v>-42.613136363636364</v>
      </c>
      <c r="AE30" s="55">
        <v>0</v>
      </c>
      <c r="AF30" s="55"/>
    </row>
    <row r="31" spans="1:32" s="57" customFormat="1" ht="15.75" customHeight="1">
      <c r="A31" s="2" t="s">
        <v>90</v>
      </c>
      <c r="B31" s="2"/>
      <c r="C31" s="51" t="str">
        <f t="shared" si="35"/>
        <v xml:space="preserve"> - </v>
      </c>
      <c r="D31" s="51">
        <v>0</v>
      </c>
      <c r="E31" s="51">
        <v>0</v>
      </c>
      <c r="F31" s="51">
        <v>0</v>
      </c>
      <c r="G31" s="51">
        <v>0</v>
      </c>
      <c r="H31" s="51" t="e">
        <f t="shared" si="1"/>
        <v>#DIV/0!</v>
      </c>
      <c r="I31" s="51" t="e">
        <f t="shared" si="2"/>
        <v>#DIV/0!</v>
      </c>
      <c r="J31" s="51">
        <f t="shared" si="4"/>
        <v>0</v>
      </c>
      <c r="K31" s="51" t="e">
        <f t="shared" si="3"/>
        <v>#DIV/0!</v>
      </c>
      <c r="L31" s="51">
        <v>0</v>
      </c>
      <c r="M31" s="51" t="str">
        <f t="shared" si="5"/>
        <v>-</v>
      </c>
      <c r="N31" s="51">
        <v>0</v>
      </c>
      <c r="O31" s="51">
        <f t="shared" ref="O31:P31" si="41">D31/7</f>
        <v>0</v>
      </c>
      <c r="P31" s="51">
        <f t="shared" si="41"/>
        <v>0</v>
      </c>
      <c r="Q31" s="51" t="e">
        <f t="shared" si="7"/>
        <v>#DIV/0!</v>
      </c>
      <c r="R31" s="55" t="s">
        <v>34</v>
      </c>
      <c r="S31" s="53" t="s">
        <v>34</v>
      </c>
      <c r="T31" s="54" t="s">
        <v>34</v>
      </c>
      <c r="U31" s="55">
        <v>0</v>
      </c>
      <c r="V31" s="55">
        <f t="shared" si="8"/>
        <v>0</v>
      </c>
      <c r="W31" s="55">
        <f t="shared" si="9"/>
        <v>0</v>
      </c>
      <c r="X31" s="55">
        <v>0</v>
      </c>
      <c r="Y31" s="55" t="e">
        <v>#N/A</v>
      </c>
      <c r="Z31" s="56" t="e">
        <f t="shared" si="19"/>
        <v>#N/A</v>
      </c>
      <c r="AA31" s="55" t="e">
        <v>#N/A</v>
      </c>
      <c r="AB31" s="55">
        <f t="shared" si="27"/>
        <v>0</v>
      </c>
      <c r="AC31" s="55">
        <v>0</v>
      </c>
      <c r="AD31" s="55">
        <v>-42.613136363636364</v>
      </c>
      <c r="AE31" s="55">
        <v>0</v>
      </c>
      <c r="AF31" s="55"/>
    </row>
    <row r="32" spans="1:32" s="57" customFormat="1" ht="15.75" customHeight="1">
      <c r="A32" s="2" t="s">
        <v>92</v>
      </c>
      <c r="B32" s="2"/>
      <c r="C32" s="51" t="str">
        <f t="shared" si="35"/>
        <v xml:space="preserve"> - </v>
      </c>
      <c r="D32" s="51">
        <v>0</v>
      </c>
      <c r="E32" s="51">
        <v>0</v>
      </c>
      <c r="F32" s="51">
        <v>0</v>
      </c>
      <c r="G32" s="51">
        <v>0</v>
      </c>
      <c r="H32" s="51" t="e">
        <f t="shared" si="1"/>
        <v>#DIV/0!</v>
      </c>
      <c r="I32" s="51" t="e">
        <f t="shared" si="2"/>
        <v>#DIV/0!</v>
      </c>
      <c r="J32" s="51">
        <f t="shared" si="4"/>
        <v>0</v>
      </c>
      <c r="K32" s="51" t="e">
        <f t="shared" si="3"/>
        <v>#DIV/0!</v>
      </c>
      <c r="L32" s="51">
        <v>0</v>
      </c>
      <c r="M32" s="51" t="str">
        <f t="shared" si="5"/>
        <v>-</v>
      </c>
      <c r="N32" s="51">
        <v>0</v>
      </c>
      <c r="O32" s="51">
        <f t="shared" ref="O32:P32" si="42">D32/7</f>
        <v>0</v>
      </c>
      <c r="P32" s="51">
        <f t="shared" si="42"/>
        <v>0</v>
      </c>
      <c r="Q32" s="51" t="e">
        <f t="shared" si="7"/>
        <v>#DIV/0!</v>
      </c>
      <c r="R32" s="55" t="s">
        <v>34</v>
      </c>
      <c r="S32" s="53" t="s">
        <v>34</v>
      </c>
      <c r="T32" s="54" t="s">
        <v>34</v>
      </c>
      <c r="U32" s="55">
        <v>0</v>
      </c>
      <c r="V32" s="55">
        <f t="shared" si="8"/>
        <v>0</v>
      </c>
      <c r="W32" s="55">
        <f t="shared" si="9"/>
        <v>0</v>
      </c>
      <c r="X32" s="55">
        <v>0</v>
      </c>
      <c r="Y32" s="55" t="e">
        <v>#N/A</v>
      </c>
      <c r="Z32" s="56" t="e">
        <f t="shared" si="19"/>
        <v>#N/A</v>
      </c>
      <c r="AA32" s="55" t="e">
        <v>#N/A</v>
      </c>
      <c r="AB32" s="55">
        <f t="shared" si="27"/>
        <v>0</v>
      </c>
      <c r="AC32" s="55">
        <v>0</v>
      </c>
      <c r="AD32" s="55">
        <v>-42.613136363636364</v>
      </c>
      <c r="AE32" s="55">
        <v>0</v>
      </c>
      <c r="AF32" s="52" t="e">
        <v>#N/A</v>
      </c>
    </row>
    <row r="33" spans="1:32" s="57" customFormat="1" ht="15.75" customHeight="1">
      <c r="A33" s="2" t="s">
        <v>94</v>
      </c>
      <c r="B33" s="2"/>
      <c r="C33" s="51" t="str">
        <f t="shared" si="35"/>
        <v xml:space="preserve"> - </v>
      </c>
      <c r="D33" s="51">
        <v>0</v>
      </c>
      <c r="E33" s="51">
        <v>0</v>
      </c>
      <c r="F33" s="51">
        <v>0</v>
      </c>
      <c r="G33" s="51">
        <v>0</v>
      </c>
      <c r="H33" s="51" t="e">
        <f t="shared" si="1"/>
        <v>#DIV/0!</v>
      </c>
      <c r="I33" s="51" t="e">
        <f t="shared" si="2"/>
        <v>#DIV/0!</v>
      </c>
      <c r="J33" s="51">
        <f t="shared" si="4"/>
        <v>0</v>
      </c>
      <c r="K33" s="51" t="e">
        <f t="shared" si="3"/>
        <v>#DIV/0!</v>
      </c>
      <c r="L33" s="51">
        <v>0</v>
      </c>
      <c r="M33" s="51" t="str">
        <f t="shared" si="5"/>
        <v>-</v>
      </c>
      <c r="N33" s="51">
        <v>0</v>
      </c>
      <c r="O33" s="51">
        <f t="shared" ref="O33:P33" si="43">D33/7</f>
        <v>0</v>
      </c>
      <c r="P33" s="51">
        <f t="shared" si="43"/>
        <v>0</v>
      </c>
      <c r="Q33" s="51" t="e">
        <f t="shared" si="7"/>
        <v>#DIV/0!</v>
      </c>
      <c r="R33" s="55" t="s">
        <v>34</v>
      </c>
      <c r="S33" s="53" t="s">
        <v>34</v>
      </c>
      <c r="T33" s="54" t="s">
        <v>34</v>
      </c>
      <c r="U33" s="55">
        <v>0</v>
      </c>
      <c r="V33" s="55">
        <f t="shared" si="8"/>
        <v>0</v>
      </c>
      <c r="W33" s="55">
        <f t="shared" si="9"/>
        <v>0</v>
      </c>
      <c r="X33" s="55">
        <v>0</v>
      </c>
      <c r="Y33" s="55" t="e">
        <v>#N/A</v>
      </c>
      <c r="Z33" s="56" t="e">
        <f t="shared" si="19"/>
        <v>#N/A</v>
      </c>
      <c r="AA33" s="55" t="e">
        <v>#N/A</v>
      </c>
      <c r="AB33" s="55">
        <f t="shared" si="27"/>
        <v>0</v>
      </c>
      <c r="AC33" s="55">
        <v>0</v>
      </c>
      <c r="AD33" s="55">
        <v>-42.613136363636364</v>
      </c>
      <c r="AE33" s="55">
        <v>0</v>
      </c>
      <c r="AF33" s="55" t="e">
        <v>#N/A</v>
      </c>
    </row>
    <row r="34" spans="1:32" s="57" customFormat="1" ht="15.75" customHeight="1">
      <c r="A34" s="2" t="s">
        <v>95</v>
      </c>
      <c r="B34" s="2"/>
      <c r="C34" s="51" t="str">
        <f t="shared" si="35"/>
        <v xml:space="preserve"> - </v>
      </c>
      <c r="D34" s="51">
        <v>0</v>
      </c>
      <c r="E34" s="51">
        <v>0</v>
      </c>
      <c r="F34" s="51">
        <v>0</v>
      </c>
      <c r="G34" s="51">
        <v>0</v>
      </c>
      <c r="H34" s="51" t="e">
        <f t="shared" si="1"/>
        <v>#DIV/0!</v>
      </c>
      <c r="I34" s="51" t="e">
        <f t="shared" si="2"/>
        <v>#DIV/0!</v>
      </c>
      <c r="J34" s="51">
        <f t="shared" si="4"/>
        <v>0</v>
      </c>
      <c r="K34" s="51" t="e">
        <f t="shared" si="3"/>
        <v>#DIV/0!</v>
      </c>
      <c r="L34" s="51">
        <v>0</v>
      </c>
      <c r="M34" s="51" t="str">
        <f t="shared" si="5"/>
        <v>-</v>
      </c>
      <c r="N34" s="51">
        <v>0</v>
      </c>
      <c r="O34" s="51">
        <f t="shared" ref="O34:P34" si="44">D34/7</f>
        <v>0</v>
      </c>
      <c r="P34" s="51">
        <f t="shared" si="44"/>
        <v>0</v>
      </c>
      <c r="Q34" s="51" t="e">
        <f t="shared" si="7"/>
        <v>#DIV/0!</v>
      </c>
      <c r="R34" s="55" t="s">
        <v>34</v>
      </c>
      <c r="S34" s="53" t="s">
        <v>34</v>
      </c>
      <c r="T34" s="54" t="s">
        <v>34</v>
      </c>
      <c r="U34" s="55">
        <v>0</v>
      </c>
      <c r="V34" s="55">
        <f t="shared" si="8"/>
        <v>0</v>
      </c>
      <c r="W34" s="55">
        <f t="shared" si="9"/>
        <v>0</v>
      </c>
      <c r="X34" s="55">
        <v>0</v>
      </c>
      <c r="Y34" s="55" t="e">
        <v>#N/A</v>
      </c>
      <c r="Z34" s="56" t="e">
        <f t="shared" si="19"/>
        <v>#N/A</v>
      </c>
      <c r="AA34" s="55" t="e">
        <v>#N/A</v>
      </c>
      <c r="AB34" s="55">
        <f t="shared" si="27"/>
        <v>0</v>
      </c>
      <c r="AC34" s="55">
        <v>0</v>
      </c>
      <c r="AD34" s="55">
        <v>-42.613136363636364</v>
      </c>
      <c r="AE34" s="55">
        <v>0</v>
      </c>
      <c r="AF34" s="55" t="e">
        <v>#N/A</v>
      </c>
    </row>
    <row r="35" spans="1:32" s="57" customFormat="1" ht="15.75" customHeight="1">
      <c r="A35" s="2" t="s">
        <v>96</v>
      </c>
      <c r="B35" s="2"/>
      <c r="C35" s="51" t="str">
        <f t="shared" si="35"/>
        <v xml:space="preserve"> - </v>
      </c>
      <c r="D35" s="51">
        <v>0</v>
      </c>
      <c r="E35" s="51">
        <v>0</v>
      </c>
      <c r="F35" s="51">
        <v>0</v>
      </c>
      <c r="G35" s="51">
        <v>0</v>
      </c>
      <c r="H35" s="51" t="e">
        <f t="shared" si="1"/>
        <v>#DIV/0!</v>
      </c>
      <c r="I35" s="51" t="e">
        <f t="shared" si="2"/>
        <v>#DIV/0!</v>
      </c>
      <c r="J35" s="51">
        <f t="shared" si="4"/>
        <v>0</v>
      </c>
      <c r="K35" s="51" t="e">
        <f t="shared" si="3"/>
        <v>#DIV/0!</v>
      </c>
      <c r="L35" s="51">
        <v>0</v>
      </c>
      <c r="M35" s="51" t="str">
        <f t="shared" si="5"/>
        <v>-</v>
      </c>
      <c r="N35" s="51">
        <v>0</v>
      </c>
      <c r="O35" s="51">
        <f t="shared" ref="O35:P35" si="45">D35/7</f>
        <v>0</v>
      </c>
      <c r="P35" s="51">
        <f t="shared" si="45"/>
        <v>0</v>
      </c>
      <c r="Q35" s="51" t="e">
        <f t="shared" si="7"/>
        <v>#DIV/0!</v>
      </c>
      <c r="R35" s="55" t="s">
        <v>34</v>
      </c>
      <c r="S35" s="53" t="s">
        <v>34</v>
      </c>
      <c r="T35" s="54" t="s">
        <v>34</v>
      </c>
      <c r="U35" s="55">
        <v>0</v>
      </c>
      <c r="V35" s="55">
        <f t="shared" si="8"/>
        <v>0</v>
      </c>
      <c r="W35" s="55">
        <f t="shared" si="9"/>
        <v>0</v>
      </c>
      <c r="X35" s="55">
        <v>0</v>
      </c>
      <c r="Y35" s="55" t="e">
        <v>#N/A</v>
      </c>
      <c r="Z35" s="56" t="e">
        <f t="shared" si="19"/>
        <v>#N/A</v>
      </c>
      <c r="AA35" s="55" t="e">
        <v>#N/A</v>
      </c>
      <c r="AB35" s="55">
        <f t="shared" si="27"/>
        <v>0</v>
      </c>
      <c r="AC35" s="55">
        <v>0</v>
      </c>
      <c r="AD35" s="55">
        <v>-42.613136363636364</v>
      </c>
      <c r="AE35" s="55">
        <v>0</v>
      </c>
      <c r="AF35" s="55" t="e">
        <v>#N/A</v>
      </c>
    </row>
    <row r="36" spans="1:32" s="57" customFormat="1" ht="15.75" customHeight="1">
      <c r="A36" s="2" t="s">
        <v>98</v>
      </c>
      <c r="B36" s="2"/>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t="s">
        <v>34</v>
      </c>
      <c r="S36" s="53"/>
      <c r="T36" s="54" t="s">
        <v>34</v>
      </c>
      <c r="U36" s="55"/>
      <c r="V36" s="55">
        <f t="shared" si="8"/>
        <v>0</v>
      </c>
      <c r="W36" s="55">
        <f t="shared" si="9"/>
        <v>0</v>
      </c>
      <c r="X36" s="55"/>
      <c r="Y36" s="55" t="e">
        <v>#N/A</v>
      </c>
      <c r="Z36" s="56" t="e">
        <f t="shared" si="19"/>
        <v>#N/A</v>
      </c>
      <c r="AA36" s="55" t="e">
        <v>#N/A</v>
      </c>
      <c r="AB36" s="55">
        <f t="shared" si="27"/>
        <v>0</v>
      </c>
      <c r="AC36" s="55">
        <v>0</v>
      </c>
      <c r="AD36" s="55">
        <v>-42.613136363636364</v>
      </c>
      <c r="AE36" s="55">
        <v>0</v>
      </c>
      <c r="AF36" s="55" t="e">
        <v>#N/A</v>
      </c>
    </row>
    <row r="37" spans="1:32" s="57" customFormat="1" ht="15.75" customHeight="1">
      <c r="A37" s="2" t="s">
        <v>99</v>
      </c>
      <c r="B37" s="2"/>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t="s">
        <v>34</v>
      </c>
      <c r="S37" s="53" t="s">
        <v>34</v>
      </c>
      <c r="T37" s="54" t="s">
        <v>34</v>
      </c>
      <c r="U37" s="55">
        <v>0</v>
      </c>
      <c r="V37" s="55">
        <f t="shared" si="8"/>
        <v>0</v>
      </c>
      <c r="W37" s="55">
        <f t="shared" si="9"/>
        <v>0</v>
      </c>
      <c r="X37" s="55">
        <v>0</v>
      </c>
      <c r="Y37" s="55" t="e">
        <v>#N/A</v>
      </c>
      <c r="Z37" s="56" t="e">
        <f t="shared" si="19"/>
        <v>#N/A</v>
      </c>
      <c r="AA37" s="55" t="e">
        <v>#N/A</v>
      </c>
      <c r="AB37" s="55">
        <f t="shared" si="27"/>
        <v>0</v>
      </c>
      <c r="AC37" s="55">
        <v>0</v>
      </c>
      <c r="AD37" s="55">
        <v>-42.613136363636364</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5" t="s">
        <v>34</v>
      </c>
      <c r="S38" s="53"/>
      <c r="T38" s="54" t="s">
        <v>34</v>
      </c>
      <c r="U38" s="55">
        <v>0</v>
      </c>
      <c r="V38" s="55">
        <f t="shared" si="8"/>
        <v>0</v>
      </c>
      <c r="W38" s="55">
        <f t="shared" si="9"/>
        <v>0</v>
      </c>
      <c r="X38" s="55">
        <v>0</v>
      </c>
      <c r="Y38" s="55" t="e">
        <v>#N/A</v>
      </c>
      <c r="Z38" s="56" t="e">
        <f t="shared" si="19"/>
        <v>#N/A</v>
      </c>
      <c r="AA38" s="55" t="e">
        <v>#N/A</v>
      </c>
      <c r="AB38" s="55">
        <f t="shared" si="27"/>
        <v>0</v>
      </c>
      <c r="AC38" s="55">
        <v>0</v>
      </c>
      <c r="AD38" s="55">
        <v>-42.613136363636364</v>
      </c>
      <c r="AE38" s="55">
        <v>0</v>
      </c>
      <c r="AF38" s="55" t="e">
        <v>#N/A</v>
      </c>
    </row>
    <row r="39" spans="1:32" s="57" customFormat="1" ht="15.75" customHeight="1">
      <c r="A39" s="2" t="s">
        <v>101</v>
      </c>
      <c r="B39" s="2"/>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0</v>
      </c>
      <c r="O39" s="51">
        <f t="shared" ref="O39:P39" si="49">D39/7</f>
        <v>0</v>
      </c>
      <c r="P39" s="51">
        <f t="shared" si="49"/>
        <v>0</v>
      </c>
      <c r="Q39" s="51" t="e">
        <f t="shared" si="7"/>
        <v>#DIV/0!</v>
      </c>
      <c r="R39" s="55" t="s">
        <v>34</v>
      </c>
      <c r="S39" s="53" t="s">
        <v>34</v>
      </c>
      <c r="T39" s="54" t="s">
        <v>34</v>
      </c>
      <c r="U39" s="55">
        <v>0</v>
      </c>
      <c r="V39" s="55">
        <f t="shared" si="8"/>
        <v>0</v>
      </c>
      <c r="W39" s="55">
        <f t="shared" si="9"/>
        <v>0</v>
      </c>
      <c r="X39" s="55">
        <v>0</v>
      </c>
      <c r="Y39" s="55" t="e">
        <v>#N/A</v>
      </c>
      <c r="Z39" s="56" t="e">
        <f t="shared" si="19"/>
        <v>#N/A</v>
      </c>
      <c r="AA39" s="55" t="e">
        <v>#N/A</v>
      </c>
      <c r="AB39" s="55">
        <f t="shared" si="27"/>
        <v>0</v>
      </c>
      <c r="AC39" s="55">
        <v>0</v>
      </c>
      <c r="AD39" s="55">
        <v>-42.613136363636301</v>
      </c>
      <c r="AE39" s="55">
        <v>0</v>
      </c>
      <c r="AF39" s="55" t="e">
        <v>#N/A</v>
      </c>
    </row>
    <row r="40" spans="1:32" s="57" customFormat="1" ht="15.75" customHeight="1">
      <c r="A40" s="2" t="s">
        <v>102</v>
      </c>
      <c r="B40" s="2"/>
      <c r="C40" s="51" t="s">
        <v>103</v>
      </c>
      <c r="D40" s="51">
        <v>0</v>
      </c>
      <c r="E40" s="51">
        <v>0</v>
      </c>
      <c r="F40" s="51">
        <v>0</v>
      </c>
      <c r="G40" s="51">
        <v>0</v>
      </c>
      <c r="H40" s="51" t="e">
        <v>#DIV/0!</v>
      </c>
      <c r="I40" s="51" t="e">
        <v>#DIV/0!</v>
      </c>
      <c r="J40" s="51">
        <v>0</v>
      </c>
      <c r="K40" s="51" t="e">
        <v>#DIV/0!</v>
      </c>
      <c r="L40" s="51">
        <v>0</v>
      </c>
      <c r="M40" s="51" t="s">
        <v>104</v>
      </c>
      <c r="N40" s="51">
        <v>0</v>
      </c>
      <c r="O40" s="51">
        <v>0</v>
      </c>
      <c r="P40" s="51">
        <v>0</v>
      </c>
      <c r="Q40" s="51" t="e">
        <v>#DIV/0!</v>
      </c>
      <c r="R40" s="55" t="s">
        <v>34</v>
      </c>
      <c r="S40" s="53" t="s">
        <v>34</v>
      </c>
      <c r="T40" s="54" t="s">
        <v>34</v>
      </c>
      <c r="U40" s="55">
        <v>0</v>
      </c>
      <c r="V40" s="55">
        <v>0</v>
      </c>
      <c r="W40" s="55">
        <v>0</v>
      </c>
      <c r="X40" s="55">
        <v>0</v>
      </c>
      <c r="Y40" s="55" t="e">
        <v>#N/A</v>
      </c>
      <c r="Z40" s="56" t="e">
        <v>#N/A</v>
      </c>
      <c r="AA40" s="55" t="e">
        <v>#N/A</v>
      </c>
      <c r="AB40" s="55">
        <v>0</v>
      </c>
      <c r="AC40" s="55">
        <v>0</v>
      </c>
      <c r="AD40" s="55">
        <v>-42.613136363636301</v>
      </c>
      <c r="AE40" s="55">
        <v>0</v>
      </c>
      <c r="AF40" s="55" t="e">
        <v>#N/A</v>
      </c>
    </row>
    <row r="41" spans="1:32" s="57" customFormat="1" ht="15.75" customHeight="1">
      <c r="A41" s="2" t="s">
        <v>105</v>
      </c>
      <c r="B41" s="2"/>
      <c r="C41" s="51" t="str">
        <f t="shared" ref="C41:C56" si="50">IFERROR(F41/D41," - ")</f>
        <v xml:space="preserve"> - </v>
      </c>
      <c r="D41" s="51">
        <v>0</v>
      </c>
      <c r="E41" s="51">
        <v>0</v>
      </c>
      <c r="F41" s="51">
        <v>0</v>
      </c>
      <c r="G41" s="51">
        <v>0</v>
      </c>
      <c r="H41" s="51" t="e">
        <f t="shared" ref="H41:H56" si="51">G41/F41*-1</f>
        <v>#DIV/0!</v>
      </c>
      <c r="I41" s="51" t="e">
        <f t="shared" ref="I41:I56" si="52">J41/F41</f>
        <v>#DIV/0!</v>
      </c>
      <c r="J41" s="51">
        <f t="shared" ref="J41:J48" si="53">F41*0.85+G41+AD41*D41+D41*AC41+AE42+AB41</f>
        <v>0</v>
      </c>
      <c r="K41" s="51" t="e">
        <f t="shared" ref="K41:K56" si="54">J41/D41</f>
        <v>#DIV/0!</v>
      </c>
      <c r="L41" s="51">
        <v>0</v>
      </c>
      <c r="M41" s="51" t="str">
        <f t="shared" ref="M41:M56" si="55">IFERROR(D41/L41,"-")</f>
        <v>-</v>
      </c>
      <c r="N41" s="51">
        <v>0</v>
      </c>
      <c r="O41" s="51">
        <f t="shared" ref="O41:P41" si="56">D41/7</f>
        <v>0</v>
      </c>
      <c r="P41" s="51">
        <f t="shared" si="56"/>
        <v>0</v>
      </c>
      <c r="Q41" s="51" t="e">
        <f t="shared" ref="Q41:Q56" si="57">ROUNDDOWN(N41/(O41+P41),0)</f>
        <v>#DIV/0!</v>
      </c>
      <c r="R41" s="55" t="s">
        <v>34</v>
      </c>
      <c r="S41" s="53" t="s">
        <v>34</v>
      </c>
      <c r="T41" s="54" t="s">
        <v>34</v>
      </c>
      <c r="U41" s="55">
        <v>0</v>
      </c>
      <c r="V41" s="55">
        <f t="shared" ref="V41:V56" si="58">IFERROR(U41/D41,0)</f>
        <v>0</v>
      </c>
      <c r="W41" s="55">
        <f t="shared" ref="W41:W56" si="59">IFERROR(G41/(U41+X41)*-1,0)</f>
        <v>0</v>
      </c>
      <c r="X41" s="55">
        <v>0</v>
      </c>
      <c r="Y41" s="52" t="e">
        <v>#N/A</v>
      </c>
      <c r="Z41" s="56" t="e">
        <f t="shared" ref="Z41:Z43" si="60">IF(OR(Y41="UsLargeStandardSize",Y41="UsSmallStandardSize"),-0.75,-0.48)</f>
        <v>#N/A</v>
      </c>
      <c r="AA41" s="55" t="e">
        <v>#N/A</v>
      </c>
      <c r="AB41" s="55">
        <f t="shared" ref="AB41:AB56" si="61">IFERROR(Z41*AA41*D41*3,0)</f>
        <v>0</v>
      </c>
      <c r="AC41" s="55">
        <v>0</v>
      </c>
      <c r="AD41" s="55">
        <v>-42.613136363636301</v>
      </c>
      <c r="AE41" s="55">
        <v>0</v>
      </c>
      <c r="AF41" s="55" t="e">
        <v>#N/A</v>
      </c>
    </row>
    <row r="42" spans="1:32" s="57" customFormat="1" ht="15.75" customHeight="1">
      <c r="A42" s="2" t="s">
        <v>106</v>
      </c>
      <c r="B42" s="2"/>
      <c r="C42" s="51" t="str">
        <f t="shared" si="50"/>
        <v xml:space="preserve"> - </v>
      </c>
      <c r="D42" s="51">
        <v>0</v>
      </c>
      <c r="E42" s="51">
        <v>0</v>
      </c>
      <c r="F42" s="51">
        <v>0</v>
      </c>
      <c r="G42" s="51">
        <v>0</v>
      </c>
      <c r="H42" s="51" t="e">
        <f t="shared" si="51"/>
        <v>#DIV/0!</v>
      </c>
      <c r="I42" s="51" t="e">
        <f t="shared" si="52"/>
        <v>#DIV/0!</v>
      </c>
      <c r="J42" s="51">
        <f t="shared" si="53"/>
        <v>0</v>
      </c>
      <c r="K42" s="51" t="e">
        <f t="shared" si="54"/>
        <v>#DIV/0!</v>
      </c>
      <c r="L42" s="51">
        <v>0</v>
      </c>
      <c r="M42" s="51" t="str">
        <f t="shared" si="55"/>
        <v>-</v>
      </c>
      <c r="N42" s="51">
        <v>0</v>
      </c>
      <c r="O42" s="51">
        <f t="shared" ref="O42:P42" si="62">D42/7</f>
        <v>0</v>
      </c>
      <c r="P42" s="51">
        <f t="shared" si="62"/>
        <v>0</v>
      </c>
      <c r="Q42" s="51" t="e">
        <f t="shared" si="57"/>
        <v>#DIV/0!</v>
      </c>
      <c r="R42" s="55" t="str">
        <f ca="1">IFERROR(__xludf.DUMMYFUNCTION("IFERROR(VLOOKUP($B$2,IMPORTRANGE(""https://docs.google.com/spreadsheets/d/1iVgg6Mw12RULLujzHmfOFIY8Q_KaAD8anoZzgtVAQ74/edit#gid=1503384807"",""Second Star - Summary!A1:AD2000""),9,FALSE),"""")"),"")</f>
        <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0</v>
      </c>
      <c r="V42" s="55">
        <f t="shared" si="58"/>
        <v>0</v>
      </c>
      <c r="W42" s="55">
        <f t="shared" si="59"/>
        <v>0</v>
      </c>
      <c r="X42" s="55">
        <v>0</v>
      </c>
      <c r="Y42" s="55" t="e">
        <v>#N/A</v>
      </c>
      <c r="Z42" s="56" t="e">
        <f t="shared" si="60"/>
        <v>#N/A</v>
      </c>
      <c r="AA42" s="55" t="e">
        <v>#N/A</v>
      </c>
      <c r="AB42" s="55">
        <f t="shared" si="61"/>
        <v>0</v>
      </c>
      <c r="AC42" s="55">
        <v>0</v>
      </c>
      <c r="AD42" s="55">
        <v>-42.613136363636301</v>
      </c>
      <c r="AE42" s="55">
        <v>0</v>
      </c>
      <c r="AF42" s="55" t="e">
        <v>#N/A</v>
      </c>
    </row>
    <row r="43" spans="1:32" s="57" customFormat="1" ht="15.75" customHeight="1">
      <c r="A43" s="2" t="s">
        <v>107</v>
      </c>
      <c r="B43" s="2"/>
      <c r="C43" s="51" t="str">
        <f t="shared" si="50"/>
        <v xml:space="preserve"> - </v>
      </c>
      <c r="D43" s="51">
        <v>0</v>
      </c>
      <c r="E43" s="51">
        <v>0</v>
      </c>
      <c r="F43" s="51">
        <v>0</v>
      </c>
      <c r="G43" s="51">
        <v>0</v>
      </c>
      <c r="H43" s="51" t="e">
        <f t="shared" si="51"/>
        <v>#DIV/0!</v>
      </c>
      <c r="I43" s="51" t="e">
        <f t="shared" si="52"/>
        <v>#DIV/0!</v>
      </c>
      <c r="J43" s="51">
        <f t="shared" si="53"/>
        <v>0</v>
      </c>
      <c r="K43" s="51" t="e">
        <f t="shared" si="54"/>
        <v>#DIV/0!</v>
      </c>
      <c r="L43" s="51">
        <v>0</v>
      </c>
      <c r="M43" s="51" t="str">
        <f t="shared" si="55"/>
        <v>-</v>
      </c>
      <c r="N43" s="51">
        <v>0</v>
      </c>
      <c r="O43" s="51">
        <f t="shared" ref="O43:P43" si="63">D43/7</f>
        <v>0</v>
      </c>
      <c r="P43" s="51">
        <f t="shared" si="63"/>
        <v>0</v>
      </c>
      <c r="Q43" s="51" t="e">
        <f t="shared" si="57"/>
        <v>#DIV/0!</v>
      </c>
      <c r="R43" s="55" t="s">
        <v>34</v>
      </c>
      <c r="S43" s="53" t="s">
        <v>34</v>
      </c>
      <c r="T43" s="54" t="s">
        <v>34</v>
      </c>
      <c r="U43" s="55">
        <v>0</v>
      </c>
      <c r="V43" s="55">
        <f t="shared" si="58"/>
        <v>0</v>
      </c>
      <c r="W43" s="55">
        <f t="shared" si="59"/>
        <v>0</v>
      </c>
      <c r="X43" s="55">
        <v>0</v>
      </c>
      <c r="Y43" s="55" t="e">
        <v>#N/A</v>
      </c>
      <c r="Z43" s="56" t="e">
        <f t="shared" si="60"/>
        <v>#N/A</v>
      </c>
      <c r="AA43" s="55" t="e">
        <v>#N/A</v>
      </c>
      <c r="AB43" s="55">
        <f t="shared" si="61"/>
        <v>0</v>
      </c>
      <c r="AC43" s="55">
        <v>0</v>
      </c>
      <c r="AD43" s="55">
        <v>-42.613136363636301</v>
      </c>
      <c r="AE43" s="55">
        <v>0</v>
      </c>
      <c r="AF43" s="55" t="e">
        <v>#N/A</v>
      </c>
    </row>
    <row r="44" spans="1:32" s="57" customFormat="1" ht="15.75" customHeight="1">
      <c r="A44" s="2" t="s">
        <v>108</v>
      </c>
      <c r="B44" s="2"/>
      <c r="C44" s="51" t="str">
        <f t="shared" si="50"/>
        <v xml:space="preserve"> - </v>
      </c>
      <c r="D44" s="51">
        <v>0</v>
      </c>
      <c r="E44" s="51">
        <v>0</v>
      </c>
      <c r="F44" s="51">
        <v>0</v>
      </c>
      <c r="G44" s="51">
        <v>0</v>
      </c>
      <c r="H44" s="51" t="e">
        <f t="shared" si="51"/>
        <v>#DIV/0!</v>
      </c>
      <c r="I44" s="51" t="e">
        <f t="shared" si="52"/>
        <v>#DIV/0!</v>
      </c>
      <c r="J44" s="51">
        <f t="shared" si="53"/>
        <v>0</v>
      </c>
      <c r="K44" s="51" t="e">
        <f t="shared" si="54"/>
        <v>#DIV/0!</v>
      </c>
      <c r="L44" s="51">
        <v>0</v>
      </c>
      <c r="M44" s="51" t="str">
        <f t="shared" si="55"/>
        <v>-</v>
      </c>
      <c r="N44" s="51">
        <v>0</v>
      </c>
      <c r="O44" s="51">
        <f t="shared" ref="O44:P44" si="64">D44/7</f>
        <v>0</v>
      </c>
      <c r="P44" s="51">
        <f t="shared" si="64"/>
        <v>0</v>
      </c>
      <c r="Q44" s="51" t="e">
        <f t="shared" si="57"/>
        <v>#DIV/0!</v>
      </c>
      <c r="R44" s="55" t="s">
        <v>34</v>
      </c>
      <c r="S44" s="53" t="s">
        <v>34</v>
      </c>
      <c r="T44" s="54" t="s">
        <v>34</v>
      </c>
      <c r="U44" s="55">
        <v>0</v>
      </c>
      <c r="V44" s="55">
        <f t="shared" si="58"/>
        <v>0</v>
      </c>
      <c r="W44" s="55">
        <f t="shared" si="59"/>
        <v>0</v>
      </c>
      <c r="X44" s="55">
        <v>0</v>
      </c>
      <c r="Y44" s="55" t="e">
        <v>#N/A</v>
      </c>
      <c r="Z44" s="56" t="e">
        <f t="shared" ref="Z44:Z56" si="65">IF(OR(Y44="UsLargeStandardSize",Y44="UsSmallStandardSize"),-2.4,-1.2)</f>
        <v>#N/A</v>
      </c>
      <c r="AA44" s="55" t="e">
        <v>#N/A</v>
      </c>
      <c r="AB44" s="55">
        <f t="shared" si="61"/>
        <v>0</v>
      </c>
      <c r="AC44" s="55">
        <v>0</v>
      </c>
      <c r="AD44" s="55">
        <v>-42.613136363636301</v>
      </c>
      <c r="AE44" s="55">
        <v>0</v>
      </c>
      <c r="AF44" s="55" t="e">
        <v>#N/A</v>
      </c>
    </row>
    <row r="45" spans="1:32" s="57" customFormat="1" ht="15.75" customHeight="1">
      <c r="A45" s="2" t="s">
        <v>109</v>
      </c>
      <c r="B45" s="2"/>
      <c r="C45" s="51" t="str">
        <f t="shared" si="50"/>
        <v xml:space="preserve"> - </v>
      </c>
      <c r="D45" s="51">
        <v>0</v>
      </c>
      <c r="E45" s="51">
        <v>0</v>
      </c>
      <c r="F45" s="51">
        <v>0</v>
      </c>
      <c r="G45" s="51">
        <v>0</v>
      </c>
      <c r="H45" s="51" t="e">
        <f t="shared" si="51"/>
        <v>#DIV/0!</v>
      </c>
      <c r="I45" s="51" t="e">
        <f t="shared" si="52"/>
        <v>#DIV/0!</v>
      </c>
      <c r="J45" s="51">
        <f t="shared" si="53"/>
        <v>0</v>
      </c>
      <c r="K45" s="51" t="e">
        <f t="shared" si="54"/>
        <v>#DIV/0!</v>
      </c>
      <c r="L45" s="51">
        <v>0</v>
      </c>
      <c r="M45" s="51" t="str">
        <f t="shared" si="55"/>
        <v>-</v>
      </c>
      <c r="N45" s="51">
        <v>0</v>
      </c>
      <c r="O45" s="51">
        <f t="shared" ref="O45:P45" si="66">D45/7</f>
        <v>0</v>
      </c>
      <c r="P45" s="51">
        <f t="shared" si="66"/>
        <v>0</v>
      </c>
      <c r="Q45" s="51" t="e">
        <f t="shared" si="57"/>
        <v>#DIV/0!</v>
      </c>
      <c r="R45" s="55" t="s">
        <v>34</v>
      </c>
      <c r="S45" s="53" t="s">
        <v>34</v>
      </c>
      <c r="T45" s="54" t="s">
        <v>34</v>
      </c>
      <c r="U45" s="55">
        <v>0</v>
      </c>
      <c r="V45" s="55">
        <f t="shared" si="58"/>
        <v>0</v>
      </c>
      <c r="W45" s="55">
        <f t="shared" si="59"/>
        <v>0</v>
      </c>
      <c r="X45" s="55">
        <v>0</v>
      </c>
      <c r="Y45" s="55" t="e">
        <v>#N/A</v>
      </c>
      <c r="Z45" s="56" t="e">
        <f t="shared" si="65"/>
        <v>#N/A</v>
      </c>
      <c r="AA45" s="55" t="e">
        <v>#N/A</v>
      </c>
      <c r="AB45" s="55">
        <f t="shared" si="61"/>
        <v>0</v>
      </c>
      <c r="AC45" s="55">
        <v>0</v>
      </c>
      <c r="AD45" s="55">
        <v>-42.613136363636301</v>
      </c>
      <c r="AE45" s="55">
        <v>0</v>
      </c>
      <c r="AF45" s="55" t="e">
        <v>#N/A</v>
      </c>
    </row>
    <row r="46" spans="1:32" s="57" customFormat="1" ht="15.75" customHeight="1">
      <c r="A46" s="2" t="s">
        <v>111</v>
      </c>
      <c r="B46" s="2"/>
      <c r="C46" s="51" t="str">
        <f t="shared" si="50"/>
        <v xml:space="preserve"> - </v>
      </c>
      <c r="D46" s="51">
        <v>0</v>
      </c>
      <c r="E46" s="51">
        <v>0</v>
      </c>
      <c r="F46" s="51">
        <v>0</v>
      </c>
      <c r="G46" s="51">
        <v>0</v>
      </c>
      <c r="H46" s="51" t="e">
        <f t="shared" si="51"/>
        <v>#DIV/0!</v>
      </c>
      <c r="I46" s="51" t="e">
        <f t="shared" si="52"/>
        <v>#DIV/0!</v>
      </c>
      <c r="J46" s="51">
        <f t="shared" si="53"/>
        <v>0</v>
      </c>
      <c r="K46" s="51" t="e">
        <f t="shared" si="54"/>
        <v>#DIV/0!</v>
      </c>
      <c r="L46" s="51">
        <v>0</v>
      </c>
      <c r="M46" s="51" t="str">
        <f t="shared" si="55"/>
        <v>-</v>
      </c>
      <c r="N46" s="51">
        <v>0</v>
      </c>
      <c r="O46" s="51">
        <f t="shared" ref="O46:P46" si="67">D46/7</f>
        <v>0</v>
      </c>
      <c r="P46" s="51">
        <f t="shared" si="67"/>
        <v>0</v>
      </c>
      <c r="Q46" s="51" t="e">
        <f t="shared" si="57"/>
        <v>#DIV/0!</v>
      </c>
      <c r="R46" s="55" t="s">
        <v>34</v>
      </c>
      <c r="S46" s="53" t="s">
        <v>34</v>
      </c>
      <c r="T46" s="54" t="s">
        <v>34</v>
      </c>
      <c r="U46" s="55">
        <v>0</v>
      </c>
      <c r="V46" s="55">
        <f t="shared" si="58"/>
        <v>0</v>
      </c>
      <c r="W46" s="55">
        <f t="shared" si="59"/>
        <v>0</v>
      </c>
      <c r="X46" s="55">
        <v>0</v>
      </c>
      <c r="Y46" s="55" t="e">
        <v>#N/A</v>
      </c>
      <c r="Z46" s="56" t="e">
        <f t="shared" si="65"/>
        <v>#N/A</v>
      </c>
      <c r="AA46" s="55" t="e">
        <v>#N/A</v>
      </c>
      <c r="AB46" s="55">
        <f t="shared" si="61"/>
        <v>0</v>
      </c>
      <c r="AC46" s="55">
        <v>0</v>
      </c>
      <c r="AD46" s="55">
        <v>-42.613136363636301</v>
      </c>
      <c r="AE46" s="55">
        <v>0</v>
      </c>
      <c r="AF46" s="55" t="e">
        <v>#N/A</v>
      </c>
    </row>
    <row r="47" spans="1:32" s="57" customFormat="1" ht="15.75" customHeight="1">
      <c r="A47" s="2" t="s">
        <v>113</v>
      </c>
      <c r="B47" s="2"/>
      <c r="C47" s="51" t="str">
        <f t="shared" si="50"/>
        <v xml:space="preserve"> - </v>
      </c>
      <c r="D47" s="51">
        <v>0</v>
      </c>
      <c r="E47" s="51">
        <v>0</v>
      </c>
      <c r="F47" s="51">
        <v>0</v>
      </c>
      <c r="G47" s="51">
        <v>0</v>
      </c>
      <c r="H47" s="51" t="e">
        <f t="shared" si="51"/>
        <v>#DIV/0!</v>
      </c>
      <c r="I47" s="51" t="e">
        <f t="shared" si="52"/>
        <v>#DIV/0!</v>
      </c>
      <c r="J47" s="51">
        <f t="shared" si="53"/>
        <v>0</v>
      </c>
      <c r="K47" s="51" t="e">
        <f t="shared" si="54"/>
        <v>#DIV/0!</v>
      </c>
      <c r="L47" s="51">
        <v>0</v>
      </c>
      <c r="M47" s="51" t="str">
        <f t="shared" si="55"/>
        <v>-</v>
      </c>
      <c r="N47" s="51">
        <v>0</v>
      </c>
      <c r="O47" s="51">
        <f t="shared" ref="O47:P47" si="68">D47/7</f>
        <v>0</v>
      </c>
      <c r="P47" s="51">
        <f t="shared" si="68"/>
        <v>0</v>
      </c>
      <c r="Q47" s="51" t="e">
        <f t="shared" si="57"/>
        <v>#DIV/0!</v>
      </c>
      <c r="R47" s="55" t="s">
        <v>34</v>
      </c>
      <c r="S47" s="53" t="s">
        <v>34</v>
      </c>
      <c r="T47" s="54" t="s">
        <v>34</v>
      </c>
      <c r="U47" s="55">
        <v>0</v>
      </c>
      <c r="V47" s="55">
        <f t="shared" si="58"/>
        <v>0</v>
      </c>
      <c r="W47" s="55">
        <f t="shared" si="59"/>
        <v>0</v>
      </c>
      <c r="X47" s="55">
        <v>0</v>
      </c>
      <c r="Y47" s="55" t="e">
        <v>#N/A</v>
      </c>
      <c r="Z47" s="56" t="e">
        <f t="shared" si="65"/>
        <v>#N/A</v>
      </c>
      <c r="AA47" s="55" t="e">
        <v>#N/A</v>
      </c>
      <c r="AB47" s="55">
        <f t="shared" si="61"/>
        <v>0</v>
      </c>
      <c r="AC47" s="55">
        <v>0</v>
      </c>
      <c r="AD47" s="55">
        <v>-42.613136363636301</v>
      </c>
      <c r="AE47" s="55">
        <v>0</v>
      </c>
      <c r="AF47" s="55" t="e">
        <v>#N/A</v>
      </c>
    </row>
    <row r="48" spans="1:32" s="57" customFormat="1" ht="15.75" customHeight="1">
      <c r="A48" s="2" t="s">
        <v>115</v>
      </c>
      <c r="B48" s="2"/>
      <c r="C48" s="51" t="str">
        <f t="shared" si="50"/>
        <v xml:space="preserve"> - </v>
      </c>
      <c r="D48" s="51">
        <v>0</v>
      </c>
      <c r="E48" s="51">
        <v>0</v>
      </c>
      <c r="F48" s="51">
        <v>0</v>
      </c>
      <c r="G48" s="51">
        <v>0</v>
      </c>
      <c r="H48" s="51" t="e">
        <f t="shared" si="51"/>
        <v>#DIV/0!</v>
      </c>
      <c r="I48" s="51" t="e">
        <f t="shared" si="52"/>
        <v>#DIV/0!</v>
      </c>
      <c r="J48" s="51">
        <f t="shared" si="53"/>
        <v>0</v>
      </c>
      <c r="K48" s="51" t="e">
        <f t="shared" si="54"/>
        <v>#DIV/0!</v>
      </c>
      <c r="L48" s="51">
        <v>0</v>
      </c>
      <c r="M48" s="51" t="str">
        <f t="shared" si="55"/>
        <v>-</v>
      </c>
      <c r="N48" s="51">
        <v>0</v>
      </c>
      <c r="O48" s="51">
        <f t="shared" ref="O48:P48" si="69">D48/7</f>
        <v>0</v>
      </c>
      <c r="P48" s="51">
        <f t="shared" si="69"/>
        <v>0</v>
      </c>
      <c r="Q48" s="51" t="e">
        <f t="shared" si="57"/>
        <v>#DIV/0!</v>
      </c>
      <c r="R48" s="55" t="str">
        <f ca="1">IFERROR(__xludf.DUMMYFUNCTION("IFERROR(VLOOKUP($B$2,IMPORTRANGE(""https://docs.google.com/spreadsheets/d/1iVgg6Mw12RULLujzHmfOFIY8Q_KaAD8anoZzgtVAQ74/edit#gid=1503384807"",""Second Star - Summary!A1:AD2000""),9,FALSE),"""")"),"")</f>
        <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si="58"/>
        <v>0</v>
      </c>
      <c r="W48" s="55">
        <f t="shared" si="59"/>
        <v>0</v>
      </c>
      <c r="X48" s="55">
        <v>0</v>
      </c>
      <c r="Y48" s="55" t="e">
        <v>#N/A</v>
      </c>
      <c r="Z48" s="56" t="e">
        <f t="shared" si="65"/>
        <v>#N/A</v>
      </c>
      <c r="AA48" s="55" t="e">
        <v>#N/A</v>
      </c>
      <c r="AB48" s="55">
        <f t="shared" si="61"/>
        <v>0</v>
      </c>
      <c r="AC48" s="55">
        <v>0</v>
      </c>
      <c r="AD48" s="55">
        <v>-42.613136363636301</v>
      </c>
      <c r="AE48" s="55">
        <v>0</v>
      </c>
      <c r="AF48" s="55" t="e">
        <v>#N/A</v>
      </c>
    </row>
    <row r="49" spans="1:32" s="57" customFormat="1" ht="15.75" customHeight="1">
      <c r="A49" s="2" t="s">
        <v>117</v>
      </c>
      <c r="B49" s="2"/>
      <c r="C49" s="51" t="str">
        <f t="shared" si="50"/>
        <v xml:space="preserve"> - </v>
      </c>
      <c r="D49" s="51">
        <v>0</v>
      </c>
      <c r="E49" s="51">
        <v>0</v>
      </c>
      <c r="F49" s="51">
        <v>0</v>
      </c>
      <c r="G49" s="51">
        <v>0</v>
      </c>
      <c r="H49" s="51" t="e">
        <f t="shared" si="51"/>
        <v>#DIV/0!</v>
      </c>
      <c r="I49" s="51" t="e">
        <f t="shared" si="52"/>
        <v>#DIV/0!</v>
      </c>
      <c r="J49" s="51">
        <f t="shared" ref="J49:J56" si="70">F49*0.85+G49+AD49*D49+D49*AC49+AE49+AB49</f>
        <v>0</v>
      </c>
      <c r="K49" s="51" t="e">
        <f t="shared" si="54"/>
        <v>#DIV/0!</v>
      </c>
      <c r="L49" s="51">
        <v>0</v>
      </c>
      <c r="M49" s="51" t="str">
        <f t="shared" si="55"/>
        <v>-</v>
      </c>
      <c r="N49" s="51">
        <v>0</v>
      </c>
      <c r="O49" s="51">
        <f t="shared" ref="O49:P49" si="71">D49/7</f>
        <v>0</v>
      </c>
      <c r="P49" s="51">
        <f t="shared" si="71"/>
        <v>0</v>
      </c>
      <c r="Q49" s="51" t="e">
        <f t="shared" si="57"/>
        <v>#DIV/0!</v>
      </c>
      <c r="R49" s="55" t="str">
        <f ca="1">IFERROR(__xludf.DUMMYFUNCTION("IFERROR(VLOOKUP($B$2,IMPORTRANGE(""https://docs.google.com/spreadsheets/d/1iVgg6Mw12RULLujzHmfOFIY8Q_KaAD8anoZzgtVAQ74/edit#gid=1503384807"",""Second Star - Summary!A1:AD2000""),9,FALSE),"""")"),"")</f>
        <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58"/>
        <v>0</v>
      </c>
      <c r="W49" s="55">
        <f t="shared" si="59"/>
        <v>0</v>
      </c>
      <c r="X49" s="55">
        <v>0</v>
      </c>
      <c r="Y49" s="55" t="e">
        <v>#N/A</v>
      </c>
      <c r="Z49" s="56" t="e">
        <f t="shared" si="65"/>
        <v>#N/A</v>
      </c>
      <c r="AA49" s="55" t="e">
        <v>#N/A</v>
      </c>
      <c r="AB49" s="55">
        <f t="shared" si="61"/>
        <v>0</v>
      </c>
      <c r="AC49" s="55">
        <v>0</v>
      </c>
      <c r="AD49" s="55">
        <v>-42.613136363636301</v>
      </c>
      <c r="AE49" s="55"/>
      <c r="AF49" s="55" t="e">
        <v>#N/A</v>
      </c>
    </row>
    <row r="50" spans="1:32" s="57" customFormat="1" ht="15.75" customHeight="1">
      <c r="A50" s="2" t="s">
        <v>119</v>
      </c>
      <c r="B50" s="2"/>
      <c r="C50" s="51" t="str">
        <f t="shared" si="50"/>
        <v xml:space="preserve"> - </v>
      </c>
      <c r="D50" s="51">
        <v>0</v>
      </c>
      <c r="E50" s="51">
        <v>0</v>
      </c>
      <c r="F50" s="51">
        <v>0</v>
      </c>
      <c r="G50" s="51">
        <v>0</v>
      </c>
      <c r="H50" s="51" t="e">
        <f t="shared" si="51"/>
        <v>#DIV/0!</v>
      </c>
      <c r="I50" s="51" t="e">
        <f t="shared" si="52"/>
        <v>#DIV/0!</v>
      </c>
      <c r="J50" s="51">
        <f t="shared" si="70"/>
        <v>0</v>
      </c>
      <c r="K50" s="51" t="e">
        <f t="shared" si="54"/>
        <v>#DIV/0!</v>
      </c>
      <c r="L50" s="51">
        <v>0</v>
      </c>
      <c r="M50" s="51" t="str">
        <f t="shared" si="55"/>
        <v>-</v>
      </c>
      <c r="N50" s="51">
        <v>0</v>
      </c>
      <c r="O50" s="51">
        <f t="shared" ref="O50:P50" si="72">D50/7</f>
        <v>0</v>
      </c>
      <c r="P50" s="51">
        <f t="shared" si="72"/>
        <v>0</v>
      </c>
      <c r="Q50" s="51" t="e">
        <f t="shared" si="57"/>
        <v>#DIV/0!</v>
      </c>
      <c r="R50" s="55" t="str">
        <f ca="1">IFERROR(__xludf.DUMMYFUNCTION("IFERROR(VLOOKUP($B$2,IMPORTRANGE(""https://docs.google.com/spreadsheets/d/1iVgg6Mw12RULLujzHmfOFIY8Q_KaAD8anoZzgtVAQ74/edit#gid=1503384807"",""Second Star - Summary!A1:AD2000""),9,FALSE),"""")"),"")</f>
        <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58"/>
        <v>0</v>
      </c>
      <c r="W50" s="55">
        <f t="shared" si="59"/>
        <v>0</v>
      </c>
      <c r="X50" s="55">
        <v>0</v>
      </c>
      <c r="Y50" s="55" t="e">
        <v>#N/A</v>
      </c>
      <c r="Z50" s="56" t="e">
        <f t="shared" si="65"/>
        <v>#N/A</v>
      </c>
      <c r="AA50" s="55" t="e">
        <v>#N/A</v>
      </c>
      <c r="AB50" s="55">
        <f t="shared" si="61"/>
        <v>0</v>
      </c>
      <c r="AC50" s="55">
        <v>0</v>
      </c>
      <c r="AD50" s="55">
        <v>-42.613136363636301</v>
      </c>
      <c r="AE50" s="55">
        <v>0</v>
      </c>
      <c r="AF50" s="55" t="e">
        <v>#N/A</v>
      </c>
    </row>
    <row r="51" spans="1:32" s="57" customFormat="1" ht="15.75" customHeight="1">
      <c r="A51" s="2" t="s">
        <v>121</v>
      </c>
      <c r="B51" s="2"/>
      <c r="C51" s="51" t="str">
        <f t="shared" si="50"/>
        <v xml:space="preserve"> - </v>
      </c>
      <c r="D51" s="51">
        <v>0</v>
      </c>
      <c r="E51" s="51">
        <v>0</v>
      </c>
      <c r="F51" s="51">
        <v>0</v>
      </c>
      <c r="G51" s="51">
        <v>0</v>
      </c>
      <c r="H51" s="51" t="e">
        <f t="shared" si="51"/>
        <v>#DIV/0!</v>
      </c>
      <c r="I51" s="51" t="e">
        <f t="shared" si="52"/>
        <v>#DIV/0!</v>
      </c>
      <c r="J51" s="51">
        <f t="shared" si="70"/>
        <v>0</v>
      </c>
      <c r="K51" s="51" t="e">
        <f t="shared" si="54"/>
        <v>#DIV/0!</v>
      </c>
      <c r="L51" s="51">
        <v>0</v>
      </c>
      <c r="M51" s="51" t="str">
        <f t="shared" si="55"/>
        <v>-</v>
      </c>
      <c r="N51" s="51">
        <v>0</v>
      </c>
      <c r="O51" s="51">
        <f t="shared" ref="O51:P51" si="73">D51/7</f>
        <v>0</v>
      </c>
      <c r="P51" s="51">
        <f t="shared" si="73"/>
        <v>0</v>
      </c>
      <c r="Q51" s="51" t="e">
        <f t="shared" si="57"/>
        <v>#DIV/0!</v>
      </c>
      <c r="R51" s="55" t="str">
        <f ca="1">IFERROR(__xludf.DUMMYFUNCTION("IFERROR(VLOOKUP($B$2,IMPORTRANGE(""https://docs.google.com/spreadsheets/d/1iVgg6Mw12RULLujzHmfOFIY8Q_KaAD8anoZzgtVAQ74/edit#gid=1503384807"",""Second Star - Summary!A1:AD2000""),9,FALSE),"""")"),"")</f>
        <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58"/>
        <v>0</v>
      </c>
      <c r="W51" s="55">
        <f t="shared" si="59"/>
        <v>0</v>
      </c>
      <c r="X51" s="55">
        <v>0</v>
      </c>
      <c r="Y51" s="55" t="e">
        <v>#N/A</v>
      </c>
      <c r="Z51" s="56" t="e">
        <f t="shared" si="65"/>
        <v>#N/A</v>
      </c>
      <c r="AA51" s="55" t="e">
        <v>#N/A</v>
      </c>
      <c r="AB51" s="55">
        <f t="shared" si="61"/>
        <v>0</v>
      </c>
      <c r="AC51" s="55">
        <v>0</v>
      </c>
      <c r="AD51" s="55">
        <v>-42.613136363636301</v>
      </c>
      <c r="AE51" s="55">
        <v>0</v>
      </c>
      <c r="AF51" s="55" t="e">
        <v>#N/A</v>
      </c>
    </row>
    <row r="52" spans="1:32" s="57" customFormat="1" ht="15.75" customHeight="1">
      <c r="A52" s="2" t="s">
        <v>123</v>
      </c>
      <c r="B52" s="2"/>
      <c r="C52" s="51" t="str">
        <f t="shared" si="50"/>
        <v xml:space="preserve"> - </v>
      </c>
      <c r="D52" s="51">
        <v>0</v>
      </c>
      <c r="E52" s="51">
        <v>0</v>
      </c>
      <c r="F52" s="51">
        <v>0</v>
      </c>
      <c r="G52" s="51">
        <v>0</v>
      </c>
      <c r="H52" s="51" t="e">
        <f t="shared" si="51"/>
        <v>#DIV/0!</v>
      </c>
      <c r="I52" s="51" t="e">
        <f t="shared" si="52"/>
        <v>#DIV/0!</v>
      </c>
      <c r="J52" s="51">
        <f t="shared" si="70"/>
        <v>0</v>
      </c>
      <c r="K52" s="51" t="e">
        <f t="shared" si="54"/>
        <v>#DIV/0!</v>
      </c>
      <c r="L52" s="51">
        <v>0</v>
      </c>
      <c r="M52" s="51" t="str">
        <f t="shared" si="55"/>
        <v>-</v>
      </c>
      <c r="N52" s="51">
        <v>0</v>
      </c>
      <c r="O52" s="51">
        <f t="shared" ref="O52:P52" si="74">D52/7</f>
        <v>0</v>
      </c>
      <c r="P52" s="51">
        <f t="shared" si="74"/>
        <v>0</v>
      </c>
      <c r="Q52" s="51" t="e">
        <f t="shared" si="57"/>
        <v>#DIV/0!</v>
      </c>
      <c r="R52" s="55" t="str">
        <f ca="1">IFERROR(__xludf.DUMMYFUNCTION("IFERROR(VLOOKUP($B$2,IMPORTRANGE(""https://docs.google.com/spreadsheets/d/1iVgg6Mw12RULLujzHmfOFIY8Q_KaAD8anoZzgtVAQ74/edit#gid=1503384807"",""Second Star - Summary!A1:AD2000""),9,FALSE),"""")"),"")</f>
        <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58"/>
        <v>0</v>
      </c>
      <c r="W52" s="55">
        <f t="shared" si="59"/>
        <v>0</v>
      </c>
      <c r="X52" s="55">
        <v>0</v>
      </c>
      <c r="Y52" s="55" t="e">
        <v>#N/A</v>
      </c>
      <c r="Z52" s="56" t="e">
        <f t="shared" si="65"/>
        <v>#N/A</v>
      </c>
      <c r="AA52" s="55" t="e">
        <v>#N/A</v>
      </c>
      <c r="AB52" s="55">
        <f t="shared" si="61"/>
        <v>0</v>
      </c>
      <c r="AC52" s="55">
        <v>0</v>
      </c>
      <c r="AD52" s="55">
        <v>-42.613136363636301</v>
      </c>
      <c r="AE52" s="55">
        <v>0</v>
      </c>
      <c r="AF52" s="55">
        <v>0</v>
      </c>
    </row>
    <row r="53" spans="1:32" s="57" customFormat="1">
      <c r="A53" s="2" t="s">
        <v>38</v>
      </c>
      <c r="B53" s="2"/>
      <c r="C53" s="51" t="str">
        <f t="shared" si="50"/>
        <v xml:space="preserve"> - </v>
      </c>
      <c r="D53" s="51">
        <v>0</v>
      </c>
      <c r="E53" s="51">
        <v>0</v>
      </c>
      <c r="F53" s="51">
        <v>0</v>
      </c>
      <c r="G53" s="51">
        <v>0</v>
      </c>
      <c r="H53" s="51" t="e">
        <f t="shared" si="51"/>
        <v>#DIV/0!</v>
      </c>
      <c r="I53" s="51" t="e">
        <f t="shared" si="52"/>
        <v>#DIV/0!</v>
      </c>
      <c r="J53" s="51">
        <f t="shared" si="70"/>
        <v>0</v>
      </c>
      <c r="K53" s="51" t="e">
        <f t="shared" si="54"/>
        <v>#DIV/0!</v>
      </c>
      <c r="L53" s="51">
        <v>0</v>
      </c>
      <c r="M53" s="51" t="str">
        <f t="shared" si="55"/>
        <v>-</v>
      </c>
      <c r="N53" s="51">
        <v>0</v>
      </c>
      <c r="O53" s="51">
        <f t="shared" ref="O53:P53" si="75">D53/7</f>
        <v>0</v>
      </c>
      <c r="P53" s="51">
        <f t="shared" si="75"/>
        <v>0</v>
      </c>
      <c r="Q53" s="51" t="e">
        <f t="shared" si="57"/>
        <v>#DIV/0!</v>
      </c>
      <c r="R53" s="55" t="str">
        <f ca="1">IFERROR(__xludf.DUMMYFUNCTION("IFERROR(VLOOKUP($B$2,IMPORTRANGE(""https://docs.google.com/spreadsheets/d/1iVgg6Mw12RULLujzHmfOFIY8Q_KaAD8anoZzgtVAQ74/edit#gid=1503384807"",""Second Star - Summary!A1:AD2000""),9,FALSE),"""")"),"")</f>
        <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58"/>
        <v>0</v>
      </c>
      <c r="W53" s="55">
        <f t="shared" si="59"/>
        <v>0</v>
      </c>
      <c r="X53" s="55">
        <v>0</v>
      </c>
      <c r="Y53" s="55" t="e">
        <v>#N/A</v>
      </c>
      <c r="Z53" s="56" t="e">
        <f t="shared" si="65"/>
        <v>#N/A</v>
      </c>
      <c r="AA53" s="55" t="e">
        <v>#N/A</v>
      </c>
      <c r="AB53" s="55">
        <f t="shared" si="61"/>
        <v>0</v>
      </c>
      <c r="AC53" s="55">
        <v>0</v>
      </c>
      <c r="AD53" s="55">
        <v>-42.613136363636301</v>
      </c>
      <c r="AE53" s="55">
        <v>0</v>
      </c>
      <c r="AF53" s="55">
        <v>0</v>
      </c>
    </row>
    <row r="54" spans="1:32" s="57" customFormat="1">
      <c r="A54" s="2" t="s">
        <v>40</v>
      </c>
      <c r="B54" s="2"/>
      <c r="C54" s="51" t="str">
        <f t="shared" si="50"/>
        <v xml:space="preserve"> - </v>
      </c>
      <c r="D54" s="51">
        <v>0</v>
      </c>
      <c r="E54" s="51">
        <v>0</v>
      </c>
      <c r="F54" s="51">
        <v>0</v>
      </c>
      <c r="G54" s="51">
        <v>0</v>
      </c>
      <c r="H54" s="51" t="e">
        <f t="shared" si="51"/>
        <v>#DIV/0!</v>
      </c>
      <c r="I54" s="51" t="e">
        <f t="shared" si="52"/>
        <v>#DIV/0!</v>
      </c>
      <c r="J54" s="51">
        <f t="shared" si="70"/>
        <v>0</v>
      </c>
      <c r="K54" s="51" t="e">
        <f t="shared" si="54"/>
        <v>#DIV/0!</v>
      </c>
      <c r="L54" s="51">
        <v>0</v>
      </c>
      <c r="M54" s="51" t="str">
        <f t="shared" si="55"/>
        <v>-</v>
      </c>
      <c r="N54" s="51">
        <v>0</v>
      </c>
      <c r="O54" s="51">
        <f t="shared" ref="O54:P54" si="76">D54/7</f>
        <v>0</v>
      </c>
      <c r="P54" s="51">
        <f t="shared" si="76"/>
        <v>0</v>
      </c>
      <c r="Q54" s="51" t="e">
        <f t="shared" si="57"/>
        <v>#DIV/0!</v>
      </c>
      <c r="R54" s="55" t="str">
        <f ca="1">IFERROR(__xludf.DUMMYFUNCTION("IFERROR(VLOOKUP($B$2,IMPORTRANGE(""https://docs.google.com/spreadsheets/d/1iVgg6Mw12RULLujzHmfOFIY8Q_KaAD8anoZzgtVAQ74/edit#gid=1503384807"",""Second Star - Summary!A1:AD2000""),9,FALSE),"""")"),"")</f>
        <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58"/>
        <v>0</v>
      </c>
      <c r="W54" s="55">
        <f t="shared" si="59"/>
        <v>0</v>
      </c>
      <c r="X54" s="55">
        <v>0</v>
      </c>
      <c r="Y54" s="55" t="e">
        <v>#N/A</v>
      </c>
      <c r="Z54" s="56" t="e">
        <f t="shared" si="65"/>
        <v>#N/A</v>
      </c>
      <c r="AA54" s="55" t="e">
        <v>#N/A</v>
      </c>
      <c r="AB54" s="55">
        <f t="shared" si="61"/>
        <v>0</v>
      </c>
      <c r="AC54" s="55">
        <v>0</v>
      </c>
      <c r="AD54" s="55">
        <v>-42.613136363636301</v>
      </c>
      <c r="AE54" s="55">
        <v>0</v>
      </c>
      <c r="AF54" s="55">
        <v>0</v>
      </c>
    </row>
    <row r="55" spans="1:32" s="57" customFormat="1" ht="15.75" customHeight="1">
      <c r="A55" s="2" t="s">
        <v>32</v>
      </c>
      <c r="B55" s="2"/>
      <c r="C55" s="51" t="str">
        <f t="shared" si="50"/>
        <v xml:space="preserve"> - </v>
      </c>
      <c r="D55" s="51">
        <v>0</v>
      </c>
      <c r="E55" s="51">
        <v>0</v>
      </c>
      <c r="F55" s="51">
        <v>0</v>
      </c>
      <c r="G55" s="51">
        <v>0</v>
      </c>
      <c r="H55" s="51" t="e">
        <f t="shared" si="51"/>
        <v>#DIV/0!</v>
      </c>
      <c r="I55" s="51" t="e">
        <f t="shared" si="52"/>
        <v>#DIV/0!</v>
      </c>
      <c r="J55" s="51">
        <f t="shared" si="70"/>
        <v>0</v>
      </c>
      <c r="K55" s="51" t="e">
        <f t="shared" si="54"/>
        <v>#DIV/0!</v>
      </c>
      <c r="L55" s="51">
        <v>0</v>
      </c>
      <c r="M55" s="51" t="str">
        <f t="shared" si="55"/>
        <v>-</v>
      </c>
      <c r="N55" s="51">
        <v>0</v>
      </c>
      <c r="O55" s="51">
        <f t="shared" ref="O55:P55" si="77">D55/7</f>
        <v>0</v>
      </c>
      <c r="P55" s="51">
        <f t="shared" si="77"/>
        <v>0</v>
      </c>
      <c r="Q55" s="51" t="e">
        <f t="shared" si="57"/>
        <v>#DIV/0!</v>
      </c>
      <c r="R55" s="55" t="s">
        <v>34</v>
      </c>
      <c r="S55" s="53" t="s">
        <v>34</v>
      </c>
      <c r="T55" s="54" t="s">
        <v>34</v>
      </c>
      <c r="U55" s="55">
        <v>0</v>
      </c>
      <c r="V55" s="55">
        <f t="shared" si="58"/>
        <v>0</v>
      </c>
      <c r="W55" s="55">
        <f t="shared" si="59"/>
        <v>0</v>
      </c>
      <c r="X55" s="55">
        <v>0</v>
      </c>
      <c r="Y55" s="55" t="e">
        <v>#N/A</v>
      </c>
      <c r="Z55" s="56" t="e">
        <f t="shared" si="65"/>
        <v>#N/A</v>
      </c>
      <c r="AA55" s="55" t="e">
        <v>#N/A</v>
      </c>
      <c r="AB55" s="55">
        <f t="shared" si="61"/>
        <v>0</v>
      </c>
      <c r="AC55" s="55">
        <v>0</v>
      </c>
      <c r="AD55" s="55">
        <v>-42.613136363636301</v>
      </c>
      <c r="AE55" s="55">
        <v>0</v>
      </c>
      <c r="AF55" s="55" t="e">
        <v>#N/A</v>
      </c>
    </row>
    <row r="56" spans="1:32" s="57" customFormat="1" ht="15.75" customHeight="1">
      <c r="A56" s="2" t="s">
        <v>36</v>
      </c>
      <c r="B56" s="2"/>
      <c r="C56" s="51" t="str">
        <f t="shared" si="50"/>
        <v xml:space="preserve"> - </v>
      </c>
      <c r="D56" s="51">
        <v>0</v>
      </c>
      <c r="E56" s="51">
        <v>0</v>
      </c>
      <c r="F56" s="51">
        <v>0</v>
      </c>
      <c r="G56" s="51">
        <v>0</v>
      </c>
      <c r="H56" s="51" t="e">
        <f t="shared" si="51"/>
        <v>#DIV/0!</v>
      </c>
      <c r="I56" s="51" t="e">
        <f t="shared" si="52"/>
        <v>#DIV/0!</v>
      </c>
      <c r="J56" s="51">
        <f t="shared" si="70"/>
        <v>0</v>
      </c>
      <c r="K56" s="51" t="e">
        <f t="shared" si="54"/>
        <v>#DIV/0!</v>
      </c>
      <c r="L56" s="51">
        <v>0</v>
      </c>
      <c r="M56" s="51" t="str">
        <f t="shared" si="55"/>
        <v>-</v>
      </c>
      <c r="N56" s="51">
        <v>0</v>
      </c>
      <c r="O56" s="51">
        <f t="shared" ref="O56:P56" si="78">D56/7</f>
        <v>0</v>
      </c>
      <c r="P56" s="51">
        <f t="shared" si="78"/>
        <v>0</v>
      </c>
      <c r="Q56" s="51" t="e">
        <f t="shared" si="57"/>
        <v>#DIV/0!</v>
      </c>
      <c r="R56" s="55" t="str">
        <f ca="1">IFERROR(__xludf.DUMMYFUNCTION("IFERROR(VLOOKUP($B$2,IMPORTRANGE(""https://docs.google.com/spreadsheets/d/1iVgg6Mw12RULLujzHmfOFIY8Q_KaAD8anoZzgtVAQ74/edit#gid=1503384807"",""Second Star - Summary!A1:AD2000""),9,FALSE),"""")"),"")</f>
        <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58"/>
        <v>0</v>
      </c>
      <c r="W56" s="55">
        <f t="shared" si="59"/>
        <v>0</v>
      </c>
      <c r="X56" s="55">
        <v>0</v>
      </c>
      <c r="Y56" s="55" t="e">
        <v>#N/A</v>
      </c>
      <c r="Z56" s="56" t="e">
        <f t="shared" si="65"/>
        <v>#N/A</v>
      </c>
      <c r="AA56" s="55" t="e">
        <v>#N/A</v>
      </c>
      <c r="AB56" s="55">
        <f t="shared" si="61"/>
        <v>0</v>
      </c>
      <c r="AC56" s="55">
        <v>0</v>
      </c>
      <c r="AD56" s="55">
        <v>-42.613136363636301</v>
      </c>
      <c r="AE56" s="55">
        <v>0</v>
      </c>
      <c r="AF56" s="55" t="e">
        <v>#N/A</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E200" s="2"/>
      <c r="P200" s="2"/>
      <c r="AF200" s="23"/>
    </row>
    <row r="201" spans="1:32" ht="15.75" customHeight="1">
      <c r="E201" s="2"/>
      <c r="P201" s="2"/>
      <c r="AF201" s="23"/>
    </row>
    <row r="202" spans="1:32" ht="15.75" customHeight="1">
      <c r="E202" s="2"/>
      <c r="P202" s="2"/>
      <c r="AF202" s="23"/>
    </row>
    <row r="203" spans="1:32" ht="15.75" customHeight="1">
      <c r="E203" s="2"/>
      <c r="P203" s="2"/>
      <c r="AF203" s="23"/>
    </row>
    <row r="204" spans="1:32" ht="15.75" customHeight="1">
      <c r="E204" s="2"/>
      <c r="P204" s="2"/>
      <c r="AF204" s="23"/>
    </row>
    <row r="205" spans="1:32" ht="15.75" customHeight="1">
      <c r="E205" s="2"/>
      <c r="P205" s="2"/>
      <c r="AF205" s="23"/>
    </row>
    <row r="206" spans="1:32" ht="15.75" customHeight="1">
      <c r="E206" s="2"/>
      <c r="P206" s="2"/>
      <c r="AF206" s="23"/>
    </row>
    <row r="207" spans="1:32" ht="15.75" customHeight="1">
      <c r="E207" s="2"/>
      <c r="P207" s="2"/>
      <c r="AF207" s="23"/>
    </row>
    <row r="208" spans="1: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27" priority="1" operator="lessThan">
      <formula>100</formula>
    </cfRule>
  </conditionalFormatting>
  <conditionalFormatting sqref="Q1:Q3 Q57:Q1000">
    <cfRule type="cellIs" dxfId="26" priority="2" operator="lessThan">
      <formula>100</formula>
    </cfRule>
  </conditionalFormatting>
  <conditionalFormatting sqref="I1:I3 I57:I1000">
    <cfRule type="cellIs" dxfId="25" priority="3" operator="lessThan">
      <formula>0.05</formula>
    </cfRule>
  </conditionalFormatting>
  <conditionalFormatting sqref="I4:I17">
    <cfRule type="cellIs" dxfId="24" priority="4" operator="lessThan">
      <formula>0.05</formula>
    </cfRule>
  </conditionalFormatting>
  <conditionalFormatting sqref="I18:I56">
    <cfRule type="cellIs" dxfId="23" priority="5" operator="lessThan">
      <formula>0.05</formula>
    </cfRule>
  </conditionalFormatting>
  <conditionalFormatting sqref="Q4:Q56">
    <cfRule type="cellIs" dxfId="22" priority="6" operator="lessThan">
      <formula>100</formula>
    </cfRule>
  </conditionalFormatting>
  <conditionalFormatting sqref="Q4:Q56">
    <cfRule type="cellIs" dxfId="21" priority="7" operator="lessThan">
      <formula>100</formula>
    </cfRule>
  </conditionalFormatting>
  <pageMargins left="0.7" right="0.7" top="0.75" bottom="0.75" header="0" footer="0"/>
  <pageSetup orientation="portrait"/>
  <legacyDrawing r:id="rId1"/>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16.6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Info!B1:BJ5000""),4,FALSE),"""")"),"Inflatable Beer Pong No Cooler")</f>
        <v>Inflatable Beer Pong No Cooler</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Info!B1:BJ5000""),3,FALSE),"""")"),"B019PC59SG")</f>
        <v>B019PC59SG</v>
      </c>
      <c r="B2" s="4" t="s">
        <v>1251</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19.349122459892943</v>
      </c>
      <c r="D3" s="8">
        <f>SUM(D4:D99819)</f>
        <v>5</v>
      </c>
      <c r="E3" s="8"/>
      <c r="F3" s="9">
        <f t="shared" ref="F3:G3" si="0">SUM(F4:F99819)</f>
        <v>239.95</v>
      </c>
      <c r="G3" s="9">
        <f t="shared" si="0"/>
        <v>-0.15000000000000002</v>
      </c>
      <c r="H3" s="10">
        <f t="shared" ref="H3:H39" si="1">G3/F3*-1</f>
        <v>6.2513023546572212E-4</v>
      </c>
      <c r="I3" s="11">
        <f t="shared" ref="I3:I39" si="2">J3/F3</f>
        <v>0.3831285148430939</v>
      </c>
      <c r="J3" s="9">
        <f>SUM(J4:J99819)</f>
        <v>91.931687136600374</v>
      </c>
      <c r="K3" s="9">
        <f t="shared" ref="K3:K39" si="3">J3/D3</f>
        <v>18.386337427320075</v>
      </c>
      <c r="L3" s="8"/>
      <c r="M3" s="12"/>
      <c r="N3" s="13"/>
      <c r="O3" s="8" t="str">
        <f ca="1">IFERROR(__xludf.DUMMYFUNCTION("IFERROR(VLOOKUP(B2,IMPORTRANGE(""https://docs.google.com/spreadsheets/d/1owCo6kL_VFQ5nPTdNogErmCBLjNiktT1m3SzTrxu3R0/edit#gid=2146806407"",""Second Star - Compiled!b1:g5000""),2,FALSE),"""")"),"")</f>
        <v/>
      </c>
      <c r="P3" s="8"/>
      <c r="Q3" s="14"/>
      <c r="R3" s="13"/>
      <c r="S3" s="13"/>
      <c r="T3" s="13"/>
      <c r="U3" s="8">
        <f>SUM(U4:U99819)</f>
        <v>0</v>
      </c>
      <c r="V3" s="10">
        <f>AVERAGE(V4:V99819)</f>
        <v>0</v>
      </c>
      <c r="W3" s="9">
        <f>ROUND(AVERAGE(W4:W99819),2)</f>
        <v>0</v>
      </c>
      <c r="X3" s="8"/>
      <c r="Y3" s="8"/>
      <c r="Z3" s="8"/>
      <c r="AA3" s="8"/>
      <c r="AB3" s="8"/>
      <c r="AC3" s="15"/>
      <c r="AD3" s="9"/>
      <c r="AE3" s="9">
        <f>SUM(AE4:AE99819)</f>
        <v>0</v>
      </c>
      <c r="AF3" s="16"/>
    </row>
    <row r="4" spans="1:32" s="57" customFormat="1">
      <c r="A4" s="17" t="s">
        <v>48</v>
      </c>
      <c r="B4" s="17"/>
      <c r="C4" s="50">
        <v>47.99</v>
      </c>
      <c r="D4" s="51">
        <v>3</v>
      </c>
      <c r="E4" s="51">
        <v>0</v>
      </c>
      <c r="F4" s="51">
        <v>143.97</v>
      </c>
      <c r="G4" s="51">
        <v>-7.0000000000000007E-2</v>
      </c>
      <c r="H4" s="51">
        <f t="shared" si="1"/>
        <v>4.8621240536222829E-4</v>
      </c>
      <c r="I4" s="51">
        <f t="shared" si="2"/>
        <v>0.38312159004249891</v>
      </c>
      <c r="J4" s="51">
        <f t="shared" ref="J4:J38" si="4">F4*0.85+G4+AD4*D4+D4*AC4+AE4+AB4</f>
        <v>55.158015318418563</v>
      </c>
      <c r="K4" s="51">
        <f t="shared" si="3"/>
        <v>18.386005106139521</v>
      </c>
      <c r="L4" s="51">
        <v>40</v>
      </c>
      <c r="M4" s="51">
        <f t="shared" ref="M4:M39" si="5">IFERROR(D4/L4,"-")</f>
        <v>7.4999999999999997E-2</v>
      </c>
      <c r="N4" s="51">
        <v>1</v>
      </c>
      <c r="O4" s="51">
        <f t="shared" ref="O4:P4" si="6">D4/7</f>
        <v>0.42857142857142855</v>
      </c>
      <c r="P4" s="51">
        <f t="shared" si="6"/>
        <v>0</v>
      </c>
      <c r="Q4" s="51">
        <f t="shared" ref="Q4:Q39" si="7">ROUNDDOWN(N4/(O4+P4),0)</f>
        <v>2</v>
      </c>
      <c r="R4" s="52">
        <v>0</v>
      </c>
      <c r="S4" s="53" t="s">
        <v>34</v>
      </c>
      <c r="T4" s="54" t="s">
        <v>34</v>
      </c>
      <c r="U4" s="52">
        <v>0</v>
      </c>
      <c r="V4" s="55">
        <f t="shared" ref="V4:V39" si="8">IFERROR(U4/D4,0)</f>
        <v>0</v>
      </c>
      <c r="W4" s="55">
        <f t="shared" ref="W4:W39" si="9">IFERROR(G4/(U4+X4)*-1,0)</f>
        <v>0</v>
      </c>
      <c r="X4" s="52">
        <v>0</v>
      </c>
      <c r="Y4" s="56" t="s">
        <v>35</v>
      </c>
      <c r="Z4" s="56">
        <f t="shared" ref="Z4:Z10" si="10">IF(OR(Y4="UsLargeStandardSize",Y4="UsSmallStandardSize"),-0.69,-0.48)</f>
        <v>-0.69</v>
      </c>
      <c r="AA4" s="55">
        <v>0.30430381944444435</v>
      </c>
      <c r="AB4" s="55">
        <f t="shared" ref="AB4:AB17" si="11">IFERROR((Z4*AA4*N4)/4,0)</f>
        <v>-5.2492408854166644E-2</v>
      </c>
      <c r="AC4" s="55">
        <v>-6.02</v>
      </c>
      <c r="AD4" s="55">
        <v>-16.344664090909092</v>
      </c>
      <c r="AE4" s="55">
        <v>0</v>
      </c>
      <c r="AF4" s="55"/>
    </row>
    <row r="5" spans="1:32" s="57" customFormat="1" ht="15.75" customHeight="1">
      <c r="A5" s="2" t="s">
        <v>49</v>
      </c>
      <c r="B5" s="2" t="s">
        <v>46</v>
      </c>
      <c r="C5" s="50">
        <v>47.99</v>
      </c>
      <c r="D5" s="51">
        <v>2</v>
      </c>
      <c r="E5" s="51">
        <v>0</v>
      </c>
      <c r="F5" s="51">
        <v>95.98</v>
      </c>
      <c r="G5" s="51">
        <v>-0.08</v>
      </c>
      <c r="H5" s="51">
        <f t="shared" si="1"/>
        <v>8.3350698062096271E-4</v>
      </c>
      <c r="I5" s="51">
        <f t="shared" si="2"/>
        <v>0.38313890204398643</v>
      </c>
      <c r="J5" s="51">
        <f t="shared" si="4"/>
        <v>36.773671818181818</v>
      </c>
      <c r="K5" s="51">
        <f t="shared" si="3"/>
        <v>18.386835909090909</v>
      </c>
      <c r="L5" s="51">
        <v>14</v>
      </c>
      <c r="M5" s="51">
        <f t="shared" si="5"/>
        <v>0.14285714285714285</v>
      </c>
      <c r="N5" s="51">
        <v>0</v>
      </c>
      <c r="O5" s="51">
        <f t="shared" ref="O5:P5" si="12">D5/7</f>
        <v>0.2857142857142857</v>
      </c>
      <c r="P5" s="51">
        <f t="shared" si="12"/>
        <v>0</v>
      </c>
      <c r="Q5" s="51">
        <f t="shared" si="7"/>
        <v>0</v>
      </c>
      <c r="R5" s="55">
        <v>0</v>
      </c>
      <c r="S5" s="53" t="s">
        <v>34</v>
      </c>
      <c r="T5" s="54" t="s">
        <v>34</v>
      </c>
      <c r="U5" s="55">
        <v>0</v>
      </c>
      <c r="V5" s="55">
        <f t="shared" si="8"/>
        <v>0</v>
      </c>
      <c r="W5" s="55">
        <f t="shared" si="9"/>
        <v>0</v>
      </c>
      <c r="X5" s="55">
        <v>0</v>
      </c>
      <c r="Y5" s="56" t="s">
        <v>35</v>
      </c>
      <c r="Z5" s="56">
        <f t="shared" si="10"/>
        <v>-0.69</v>
      </c>
      <c r="AA5" s="55">
        <v>0.30430381944444435</v>
      </c>
      <c r="AB5" s="55">
        <f t="shared" si="11"/>
        <v>0</v>
      </c>
      <c r="AC5" s="55">
        <v>-6.02</v>
      </c>
      <c r="AD5" s="55">
        <v>-16.344664090909092</v>
      </c>
      <c r="AE5" s="55">
        <v>0</v>
      </c>
      <c r="AF5" s="55"/>
    </row>
    <row r="6" spans="1:32" s="57" customFormat="1" ht="15.75" customHeight="1">
      <c r="A6" s="2" t="s">
        <v>51</v>
      </c>
      <c r="B6" s="2"/>
      <c r="C6" s="51" t="s">
        <v>397</v>
      </c>
      <c r="D6" s="51">
        <v>0</v>
      </c>
      <c r="E6" s="51">
        <v>0</v>
      </c>
      <c r="F6" s="51">
        <v>0</v>
      </c>
      <c r="G6" s="51">
        <v>0</v>
      </c>
      <c r="H6" s="51" t="e">
        <f t="shared" si="1"/>
        <v>#DIV/0!</v>
      </c>
      <c r="I6" s="51" t="e">
        <f t="shared" si="2"/>
        <v>#DIV/0!</v>
      </c>
      <c r="J6" s="51">
        <f t="shared" si="4"/>
        <v>0</v>
      </c>
      <c r="K6" s="51" t="e">
        <f t="shared" si="3"/>
        <v>#DIV/0!</v>
      </c>
      <c r="L6" s="51">
        <v>0</v>
      </c>
      <c r="M6" s="51" t="str">
        <f t="shared" si="5"/>
        <v>-</v>
      </c>
      <c r="N6" s="51">
        <v>0</v>
      </c>
      <c r="O6" s="51">
        <f t="shared" ref="O6:P6" si="13">D6/7</f>
        <v>0</v>
      </c>
      <c r="P6" s="51">
        <f t="shared" si="13"/>
        <v>0</v>
      </c>
      <c r="Q6" s="51" t="e">
        <f t="shared" si="7"/>
        <v>#DIV/0!</v>
      </c>
      <c r="R6" s="55">
        <v>0</v>
      </c>
      <c r="S6" s="53" t="s">
        <v>34</v>
      </c>
      <c r="T6" s="54" t="s">
        <v>34</v>
      </c>
      <c r="U6" s="55">
        <v>0</v>
      </c>
      <c r="V6" s="55">
        <f t="shared" si="8"/>
        <v>0</v>
      </c>
      <c r="W6" s="55">
        <f t="shared" si="9"/>
        <v>0</v>
      </c>
      <c r="X6" s="55">
        <v>0</v>
      </c>
      <c r="Y6" s="55" t="e">
        <v>#N/A</v>
      </c>
      <c r="Z6" s="56" t="e">
        <f t="shared" si="10"/>
        <v>#N/A</v>
      </c>
      <c r="AA6" s="55" t="e">
        <v>#N/A</v>
      </c>
      <c r="AB6" s="55">
        <f t="shared" si="11"/>
        <v>0</v>
      </c>
      <c r="AC6" s="55">
        <v>0</v>
      </c>
      <c r="AD6" s="55">
        <v>-16.344664090909092</v>
      </c>
      <c r="AE6" s="55">
        <v>0</v>
      </c>
      <c r="AF6" s="55"/>
    </row>
    <row r="7" spans="1:32" s="57" customFormat="1" ht="15.75" customHeight="1">
      <c r="A7" s="2" t="s">
        <v>53</v>
      </c>
      <c r="B7" s="2"/>
      <c r="C7" s="51" t="s">
        <v>397</v>
      </c>
      <c r="D7" s="51">
        <v>0</v>
      </c>
      <c r="E7" s="51">
        <v>0</v>
      </c>
      <c r="F7" s="51">
        <v>0</v>
      </c>
      <c r="G7" s="51">
        <v>0</v>
      </c>
      <c r="H7" s="51" t="e">
        <f t="shared" si="1"/>
        <v>#DIV/0!</v>
      </c>
      <c r="I7" s="51" t="e">
        <f t="shared" si="2"/>
        <v>#DIV/0!</v>
      </c>
      <c r="J7" s="51">
        <f t="shared" si="4"/>
        <v>0</v>
      </c>
      <c r="K7" s="51" t="e">
        <f t="shared" si="3"/>
        <v>#DIV/0!</v>
      </c>
      <c r="L7" s="51">
        <v>0</v>
      </c>
      <c r="M7" s="51" t="str">
        <f t="shared" si="5"/>
        <v>-</v>
      </c>
      <c r="N7" s="51">
        <v>0</v>
      </c>
      <c r="O7" s="51">
        <f t="shared" ref="O7:P7" si="14">D7/7</f>
        <v>0</v>
      </c>
      <c r="P7" s="51">
        <f t="shared" si="14"/>
        <v>0</v>
      </c>
      <c r="Q7" s="51" t="e">
        <f t="shared" si="7"/>
        <v>#DIV/0!</v>
      </c>
      <c r="R7" s="55">
        <v>0</v>
      </c>
      <c r="S7" s="53" t="s">
        <v>34</v>
      </c>
      <c r="T7" s="54" t="s">
        <v>34</v>
      </c>
      <c r="U7" s="55">
        <v>0</v>
      </c>
      <c r="V7" s="55">
        <f t="shared" si="8"/>
        <v>0</v>
      </c>
      <c r="W7" s="55">
        <f t="shared" si="9"/>
        <v>0</v>
      </c>
      <c r="X7" s="55">
        <v>0</v>
      </c>
      <c r="Y7" s="55" t="e">
        <v>#N/A</v>
      </c>
      <c r="Z7" s="56" t="e">
        <f t="shared" si="10"/>
        <v>#N/A</v>
      </c>
      <c r="AA7" s="55" t="e">
        <v>#N/A</v>
      </c>
      <c r="AB7" s="55">
        <f t="shared" si="11"/>
        <v>0</v>
      </c>
      <c r="AC7" s="55">
        <v>0</v>
      </c>
      <c r="AD7" s="55">
        <v>-16.344664090909092</v>
      </c>
      <c r="AE7" s="55">
        <v>0</v>
      </c>
      <c r="AF7" s="55"/>
    </row>
    <row r="8" spans="1:32" s="57" customFormat="1" ht="15.75" customHeight="1">
      <c r="A8" s="2" t="s">
        <v>54</v>
      </c>
      <c r="B8" s="2"/>
      <c r="C8" s="51" t="s">
        <v>397</v>
      </c>
      <c r="D8" s="51">
        <v>0</v>
      </c>
      <c r="E8" s="51">
        <v>0</v>
      </c>
      <c r="F8" s="51">
        <v>0</v>
      </c>
      <c r="G8" s="51">
        <v>0</v>
      </c>
      <c r="H8" s="51" t="e">
        <f t="shared" si="1"/>
        <v>#DIV/0!</v>
      </c>
      <c r="I8" s="51" t="e">
        <f t="shared" si="2"/>
        <v>#DIV/0!</v>
      </c>
      <c r="J8" s="51">
        <f t="shared" si="4"/>
        <v>0</v>
      </c>
      <c r="K8" s="51" t="e">
        <f t="shared" si="3"/>
        <v>#DIV/0!</v>
      </c>
      <c r="L8" s="51">
        <v>0</v>
      </c>
      <c r="M8" s="51" t="str">
        <f t="shared" si="5"/>
        <v>-</v>
      </c>
      <c r="N8" s="51">
        <v>0</v>
      </c>
      <c r="O8" s="51">
        <f t="shared" ref="O8:P8" si="15">D8/7</f>
        <v>0</v>
      </c>
      <c r="P8" s="51">
        <f t="shared" si="15"/>
        <v>0</v>
      </c>
      <c r="Q8" s="51" t="e">
        <f t="shared" si="7"/>
        <v>#DIV/0!</v>
      </c>
      <c r="R8" s="55">
        <v>0</v>
      </c>
      <c r="S8" s="53" t="s">
        <v>34</v>
      </c>
      <c r="T8" s="54" t="s">
        <v>34</v>
      </c>
      <c r="U8" s="55">
        <v>0</v>
      </c>
      <c r="V8" s="55">
        <f t="shared" si="8"/>
        <v>0</v>
      </c>
      <c r="W8" s="55">
        <f t="shared" si="9"/>
        <v>0</v>
      </c>
      <c r="X8" s="55">
        <v>0</v>
      </c>
      <c r="Y8" s="55" t="e">
        <v>#N/A</v>
      </c>
      <c r="Z8" s="56" t="e">
        <f t="shared" si="10"/>
        <v>#N/A</v>
      </c>
      <c r="AA8" s="55" t="e">
        <v>#N/A</v>
      </c>
      <c r="AB8" s="55">
        <f t="shared" si="11"/>
        <v>0</v>
      </c>
      <c r="AC8" s="55">
        <v>0</v>
      </c>
      <c r="AD8" s="55">
        <v>-16.344664090909092</v>
      </c>
      <c r="AE8" s="55">
        <v>0</v>
      </c>
      <c r="AF8" s="55"/>
    </row>
    <row r="9" spans="1:32" s="57" customFormat="1" ht="15.75" customHeight="1">
      <c r="A9" s="2" t="s">
        <v>56</v>
      </c>
      <c r="B9" s="2"/>
      <c r="C9" s="51" t="s">
        <v>397</v>
      </c>
      <c r="D9" s="51">
        <v>0</v>
      </c>
      <c r="E9" s="51">
        <v>0</v>
      </c>
      <c r="F9" s="51">
        <v>0</v>
      </c>
      <c r="G9" s="51">
        <v>0</v>
      </c>
      <c r="H9" s="51" t="e">
        <f t="shared" si="1"/>
        <v>#DIV/0!</v>
      </c>
      <c r="I9" s="51" t="e">
        <f t="shared" si="2"/>
        <v>#DIV/0!</v>
      </c>
      <c r="J9" s="51">
        <f t="shared" si="4"/>
        <v>0</v>
      </c>
      <c r="K9" s="51" t="e">
        <f t="shared" si="3"/>
        <v>#DIV/0!</v>
      </c>
      <c r="L9" s="51">
        <v>0</v>
      </c>
      <c r="M9" s="51" t="str">
        <f t="shared" si="5"/>
        <v>-</v>
      </c>
      <c r="N9" s="51">
        <v>0</v>
      </c>
      <c r="O9" s="51">
        <f t="shared" ref="O9:P9" si="16">D9/7</f>
        <v>0</v>
      </c>
      <c r="P9" s="51">
        <f t="shared" si="16"/>
        <v>0</v>
      </c>
      <c r="Q9" s="51" t="e">
        <f t="shared" si="7"/>
        <v>#DIV/0!</v>
      </c>
      <c r="R9" s="55">
        <v>0</v>
      </c>
      <c r="S9" s="53" t="s">
        <v>34</v>
      </c>
      <c r="T9" s="54" t="s">
        <v>34</v>
      </c>
      <c r="U9" s="55">
        <v>0</v>
      </c>
      <c r="V9" s="55">
        <f t="shared" si="8"/>
        <v>0</v>
      </c>
      <c r="W9" s="55">
        <f t="shared" si="9"/>
        <v>0</v>
      </c>
      <c r="X9" s="55">
        <v>0</v>
      </c>
      <c r="Y9" s="55" t="e">
        <v>#N/A</v>
      </c>
      <c r="Z9" s="56" t="e">
        <f t="shared" si="10"/>
        <v>#N/A</v>
      </c>
      <c r="AA9" s="55" t="e">
        <v>#N/A</v>
      </c>
      <c r="AB9" s="55">
        <f t="shared" si="11"/>
        <v>0</v>
      </c>
      <c r="AC9" s="55">
        <v>0</v>
      </c>
      <c r="AD9" s="55">
        <v>-16.344664090909092</v>
      </c>
      <c r="AE9" s="55">
        <v>0</v>
      </c>
      <c r="AF9" s="55"/>
    </row>
    <row r="10" spans="1:32" s="57" customFormat="1" ht="15.75" customHeight="1">
      <c r="A10" s="2" t="s">
        <v>58</v>
      </c>
      <c r="B10" s="2"/>
      <c r="C10" s="51" t="s">
        <v>397</v>
      </c>
      <c r="D10" s="51">
        <v>0</v>
      </c>
      <c r="E10" s="51">
        <v>0</v>
      </c>
      <c r="F10" s="51">
        <v>0</v>
      </c>
      <c r="G10" s="51">
        <v>0</v>
      </c>
      <c r="H10" s="51" t="e">
        <f t="shared" si="1"/>
        <v>#DIV/0!</v>
      </c>
      <c r="I10" s="51" t="e">
        <f t="shared" si="2"/>
        <v>#DIV/0!</v>
      </c>
      <c r="J10" s="51">
        <f t="shared" si="4"/>
        <v>0</v>
      </c>
      <c r="K10" s="51" t="e">
        <f t="shared" si="3"/>
        <v>#DIV/0!</v>
      </c>
      <c r="L10" s="51">
        <v>0</v>
      </c>
      <c r="M10" s="51" t="str">
        <f t="shared" si="5"/>
        <v>-</v>
      </c>
      <c r="N10" s="51">
        <v>0</v>
      </c>
      <c r="O10" s="51">
        <f t="shared" ref="O10:P10" si="17">D10/7</f>
        <v>0</v>
      </c>
      <c r="P10" s="51">
        <f t="shared" si="17"/>
        <v>0</v>
      </c>
      <c r="Q10" s="51" t="e">
        <f t="shared" si="7"/>
        <v>#DIV/0!</v>
      </c>
      <c r="R10" s="55">
        <v>0</v>
      </c>
      <c r="S10" s="53" t="s">
        <v>34</v>
      </c>
      <c r="T10" s="54" t="s">
        <v>34</v>
      </c>
      <c r="U10" s="55">
        <v>0</v>
      </c>
      <c r="V10" s="55">
        <f t="shared" si="8"/>
        <v>0</v>
      </c>
      <c r="W10" s="55">
        <f t="shared" si="9"/>
        <v>0</v>
      </c>
      <c r="X10" s="55">
        <v>0</v>
      </c>
      <c r="Y10" s="55" t="e">
        <v>#N/A</v>
      </c>
      <c r="Z10" s="56" t="e">
        <f t="shared" si="10"/>
        <v>#N/A</v>
      </c>
      <c r="AA10" s="55" t="e">
        <v>#N/A</v>
      </c>
      <c r="AB10" s="55">
        <f t="shared" si="11"/>
        <v>0</v>
      </c>
      <c r="AC10" s="55">
        <v>0</v>
      </c>
      <c r="AD10" s="55">
        <v>-16.344664090909092</v>
      </c>
      <c r="AE10" s="55">
        <v>0</v>
      </c>
      <c r="AF10" s="55"/>
    </row>
    <row r="11" spans="1:32" s="57" customFormat="1" ht="15.75" customHeight="1">
      <c r="A11" s="2" t="s">
        <v>60</v>
      </c>
      <c r="B11" s="2"/>
      <c r="C11" s="51" t="s">
        <v>397</v>
      </c>
      <c r="D11" s="51">
        <v>0</v>
      </c>
      <c r="E11" s="51">
        <v>0</v>
      </c>
      <c r="F11" s="51">
        <v>0</v>
      </c>
      <c r="G11" s="51">
        <v>0</v>
      </c>
      <c r="H11" s="51" t="e">
        <f t="shared" si="1"/>
        <v>#DIV/0!</v>
      </c>
      <c r="I11" s="51" t="e">
        <f t="shared" si="2"/>
        <v>#DIV/0!</v>
      </c>
      <c r="J11" s="51">
        <f t="shared" si="4"/>
        <v>0</v>
      </c>
      <c r="K11" s="51" t="e">
        <f t="shared" si="3"/>
        <v>#DIV/0!</v>
      </c>
      <c r="L11" s="51">
        <v>0</v>
      </c>
      <c r="M11" s="51" t="str">
        <f t="shared" si="5"/>
        <v>-</v>
      </c>
      <c r="N11" s="51">
        <v>0</v>
      </c>
      <c r="O11" s="51">
        <f t="shared" ref="O11:P11" si="18">D11/7</f>
        <v>0</v>
      </c>
      <c r="P11" s="51">
        <f t="shared" si="18"/>
        <v>0</v>
      </c>
      <c r="Q11" s="51" t="e">
        <f t="shared" si="7"/>
        <v>#DIV/0!</v>
      </c>
      <c r="R11" s="55">
        <v>0</v>
      </c>
      <c r="S11" s="53" t="s">
        <v>34</v>
      </c>
      <c r="T11" s="54" t="s">
        <v>34</v>
      </c>
      <c r="U11" s="55">
        <v>0</v>
      </c>
      <c r="V11" s="55">
        <f t="shared" si="8"/>
        <v>0</v>
      </c>
      <c r="W11" s="55">
        <f t="shared" si="9"/>
        <v>0</v>
      </c>
      <c r="X11" s="55">
        <v>0</v>
      </c>
      <c r="Y11" s="55" t="e">
        <v>#N/A</v>
      </c>
      <c r="Z11" s="56" t="e">
        <f t="shared" ref="Z11:Z39" si="19">IF(OR(Y11="UsLargeStandardSize",Y11="UsSmallStandardSize"),-0.75,-0.48)</f>
        <v>#N/A</v>
      </c>
      <c r="AA11" s="55" t="e">
        <v>#N/A</v>
      </c>
      <c r="AB11" s="55">
        <f t="shared" si="11"/>
        <v>0</v>
      </c>
      <c r="AC11" s="55">
        <v>0</v>
      </c>
      <c r="AD11" s="55">
        <v>-16.344664090909092</v>
      </c>
      <c r="AE11" s="55">
        <v>0</v>
      </c>
      <c r="AF11" s="55"/>
    </row>
    <row r="12" spans="1:32" s="57" customFormat="1" ht="15.75" customHeight="1">
      <c r="A12" s="2" t="s">
        <v>62</v>
      </c>
      <c r="B12" s="2"/>
      <c r="C12" s="51" t="s">
        <v>397</v>
      </c>
      <c r="D12" s="51">
        <v>0</v>
      </c>
      <c r="E12" s="51">
        <v>0</v>
      </c>
      <c r="F12" s="51">
        <v>0</v>
      </c>
      <c r="G12" s="51">
        <v>0</v>
      </c>
      <c r="H12" s="51" t="e">
        <f t="shared" si="1"/>
        <v>#DIV/0!</v>
      </c>
      <c r="I12" s="51" t="e">
        <f t="shared" si="2"/>
        <v>#DIV/0!</v>
      </c>
      <c r="J12" s="51">
        <f t="shared" si="4"/>
        <v>0</v>
      </c>
      <c r="K12" s="51" t="e">
        <f t="shared" si="3"/>
        <v>#DIV/0!</v>
      </c>
      <c r="L12" s="51">
        <v>0</v>
      </c>
      <c r="M12" s="51" t="str">
        <f t="shared" si="5"/>
        <v>-</v>
      </c>
      <c r="N12" s="51">
        <v>0</v>
      </c>
      <c r="O12" s="51">
        <f t="shared" ref="O12:P12" si="20">D12/7</f>
        <v>0</v>
      </c>
      <c r="P12" s="51">
        <f t="shared" si="20"/>
        <v>0</v>
      </c>
      <c r="Q12" s="51" t="e">
        <f t="shared" si="7"/>
        <v>#DIV/0!</v>
      </c>
      <c r="R12" s="55">
        <v>0</v>
      </c>
      <c r="S12" s="53" t="s">
        <v>34</v>
      </c>
      <c r="T12" s="54" t="s">
        <v>34</v>
      </c>
      <c r="U12" s="55">
        <v>0</v>
      </c>
      <c r="V12" s="55">
        <f t="shared" si="8"/>
        <v>0</v>
      </c>
      <c r="W12" s="55">
        <f t="shared" si="9"/>
        <v>0</v>
      </c>
      <c r="X12" s="55">
        <v>0</v>
      </c>
      <c r="Y12" s="55" t="e">
        <v>#N/A</v>
      </c>
      <c r="Z12" s="56" t="e">
        <f t="shared" si="19"/>
        <v>#N/A</v>
      </c>
      <c r="AA12" s="55" t="e">
        <v>#N/A</v>
      </c>
      <c r="AB12" s="55">
        <f t="shared" si="11"/>
        <v>0</v>
      </c>
      <c r="AC12" s="55">
        <v>0</v>
      </c>
      <c r="AD12" s="55">
        <v>-16.344664090909092</v>
      </c>
      <c r="AE12" s="55">
        <v>0</v>
      </c>
      <c r="AF12" s="55"/>
    </row>
    <row r="13" spans="1:32" s="57" customFormat="1" ht="15.75" customHeight="1">
      <c r="A13" s="2" t="s">
        <v>63</v>
      </c>
      <c r="B13" s="2"/>
      <c r="C13" s="51" t="s">
        <v>397</v>
      </c>
      <c r="D13" s="51">
        <v>0</v>
      </c>
      <c r="E13" s="51">
        <v>0</v>
      </c>
      <c r="F13" s="51">
        <v>0</v>
      </c>
      <c r="G13" s="51">
        <v>0</v>
      </c>
      <c r="H13" s="51" t="e">
        <f t="shared" si="1"/>
        <v>#DIV/0!</v>
      </c>
      <c r="I13" s="51" t="e">
        <f t="shared" si="2"/>
        <v>#DIV/0!</v>
      </c>
      <c r="J13" s="51">
        <f t="shared" si="4"/>
        <v>0</v>
      </c>
      <c r="K13" s="51" t="e">
        <f t="shared" si="3"/>
        <v>#DIV/0!</v>
      </c>
      <c r="L13" s="51">
        <v>0</v>
      </c>
      <c r="M13" s="51" t="str">
        <f t="shared" si="5"/>
        <v>-</v>
      </c>
      <c r="N13" s="51">
        <v>0</v>
      </c>
      <c r="O13" s="51">
        <f t="shared" ref="O13:P13" si="21">D13/7</f>
        <v>0</v>
      </c>
      <c r="P13" s="51">
        <f t="shared" si="21"/>
        <v>0</v>
      </c>
      <c r="Q13" s="51" t="e">
        <f t="shared" si="7"/>
        <v>#DIV/0!</v>
      </c>
      <c r="R13" s="55">
        <v>0</v>
      </c>
      <c r="S13" s="53" t="s">
        <v>34</v>
      </c>
      <c r="T13" s="54" t="s">
        <v>34</v>
      </c>
      <c r="U13" s="55">
        <v>0</v>
      </c>
      <c r="V13" s="55">
        <f t="shared" si="8"/>
        <v>0</v>
      </c>
      <c r="W13" s="55">
        <f t="shared" si="9"/>
        <v>0</v>
      </c>
      <c r="X13" s="55">
        <v>0</v>
      </c>
      <c r="Y13" s="55" t="e">
        <v>#N/A</v>
      </c>
      <c r="Z13" s="56" t="e">
        <f t="shared" si="19"/>
        <v>#N/A</v>
      </c>
      <c r="AA13" s="55" t="e">
        <v>#N/A</v>
      </c>
      <c r="AB13" s="55">
        <f t="shared" si="11"/>
        <v>0</v>
      </c>
      <c r="AC13" s="55">
        <v>0</v>
      </c>
      <c r="AD13" s="55">
        <v>-16.344664090909092</v>
      </c>
      <c r="AE13" s="55">
        <v>0</v>
      </c>
      <c r="AF13" s="55"/>
    </row>
    <row r="14" spans="1:32" s="57" customFormat="1" ht="15.75" customHeight="1">
      <c r="A14" s="2" t="s">
        <v>64</v>
      </c>
      <c r="B14" s="2"/>
      <c r="C14" s="51" t="s">
        <v>397</v>
      </c>
      <c r="D14" s="51">
        <v>0</v>
      </c>
      <c r="E14" s="51">
        <v>0</v>
      </c>
      <c r="F14" s="51">
        <v>0</v>
      </c>
      <c r="G14" s="51">
        <v>0</v>
      </c>
      <c r="H14" s="51" t="e">
        <f t="shared" si="1"/>
        <v>#DIV/0!</v>
      </c>
      <c r="I14" s="51" t="e">
        <f t="shared" si="2"/>
        <v>#DIV/0!</v>
      </c>
      <c r="J14" s="51">
        <f t="shared" si="4"/>
        <v>0</v>
      </c>
      <c r="K14" s="51" t="e">
        <f t="shared" si="3"/>
        <v>#DIV/0!</v>
      </c>
      <c r="L14" s="51">
        <v>0</v>
      </c>
      <c r="M14" s="51" t="str">
        <f t="shared" si="5"/>
        <v>-</v>
      </c>
      <c r="N14" s="51">
        <v>0</v>
      </c>
      <c r="O14" s="51">
        <f t="shared" ref="O14:P14" si="22">D14/7</f>
        <v>0</v>
      </c>
      <c r="P14" s="51">
        <f t="shared" si="22"/>
        <v>0</v>
      </c>
      <c r="Q14" s="51" t="e">
        <f t="shared" si="7"/>
        <v>#DIV/0!</v>
      </c>
      <c r="R14" s="55">
        <v>0</v>
      </c>
      <c r="S14" s="53" t="s">
        <v>34</v>
      </c>
      <c r="T14" s="54" t="s">
        <v>34</v>
      </c>
      <c r="U14" s="55">
        <v>0</v>
      </c>
      <c r="V14" s="55">
        <f t="shared" si="8"/>
        <v>0</v>
      </c>
      <c r="W14" s="55">
        <f t="shared" si="9"/>
        <v>0</v>
      </c>
      <c r="X14" s="55">
        <v>0</v>
      </c>
      <c r="Y14" s="55" t="e">
        <v>#N/A</v>
      </c>
      <c r="Z14" s="56" t="e">
        <f t="shared" si="19"/>
        <v>#N/A</v>
      </c>
      <c r="AA14" s="55" t="e">
        <v>#N/A</v>
      </c>
      <c r="AB14" s="55">
        <f t="shared" si="11"/>
        <v>0</v>
      </c>
      <c r="AC14" s="55">
        <v>0</v>
      </c>
      <c r="AD14" s="55">
        <v>-16.344664090909092</v>
      </c>
      <c r="AE14" s="55">
        <v>0</v>
      </c>
      <c r="AF14" s="55"/>
    </row>
    <row r="15" spans="1:32" s="57" customFormat="1" ht="15.75" customHeight="1">
      <c r="A15" s="2" t="s">
        <v>65</v>
      </c>
      <c r="B15" s="2"/>
      <c r="C15" s="51" t="s">
        <v>397</v>
      </c>
      <c r="D15" s="51">
        <v>0</v>
      </c>
      <c r="E15" s="51">
        <v>0</v>
      </c>
      <c r="F15" s="51">
        <v>0</v>
      </c>
      <c r="G15" s="51">
        <v>0</v>
      </c>
      <c r="H15" s="51" t="e">
        <f t="shared" si="1"/>
        <v>#DIV/0!</v>
      </c>
      <c r="I15" s="51" t="e">
        <f t="shared" si="2"/>
        <v>#DIV/0!</v>
      </c>
      <c r="J15" s="51">
        <f t="shared" si="4"/>
        <v>0</v>
      </c>
      <c r="K15" s="51" t="e">
        <f t="shared" si="3"/>
        <v>#DIV/0!</v>
      </c>
      <c r="L15" s="51">
        <v>0</v>
      </c>
      <c r="M15" s="51" t="str">
        <f t="shared" si="5"/>
        <v>-</v>
      </c>
      <c r="N15" s="51">
        <v>0</v>
      </c>
      <c r="O15" s="51">
        <f t="shared" ref="O15:P15" si="23">D15/7</f>
        <v>0</v>
      </c>
      <c r="P15" s="51">
        <f t="shared" si="23"/>
        <v>0</v>
      </c>
      <c r="Q15" s="51" t="e">
        <f t="shared" si="7"/>
        <v>#DIV/0!</v>
      </c>
      <c r="R15" s="55">
        <v>0</v>
      </c>
      <c r="S15" s="53" t="s">
        <v>34</v>
      </c>
      <c r="T15" s="54" t="s">
        <v>34</v>
      </c>
      <c r="U15" s="55">
        <v>0</v>
      </c>
      <c r="V15" s="55">
        <f t="shared" si="8"/>
        <v>0</v>
      </c>
      <c r="W15" s="55">
        <f t="shared" si="9"/>
        <v>0</v>
      </c>
      <c r="X15" s="55">
        <v>0</v>
      </c>
      <c r="Y15" s="55" t="e">
        <v>#N/A</v>
      </c>
      <c r="Z15" s="56" t="e">
        <f t="shared" si="19"/>
        <v>#N/A</v>
      </c>
      <c r="AA15" s="55" t="e">
        <v>#N/A</v>
      </c>
      <c r="AB15" s="55">
        <f t="shared" si="11"/>
        <v>0</v>
      </c>
      <c r="AC15" s="55">
        <v>0</v>
      </c>
      <c r="AD15" s="55">
        <v>-16.344664090909092</v>
      </c>
      <c r="AE15" s="55">
        <v>0</v>
      </c>
      <c r="AF15" s="55"/>
    </row>
    <row r="16" spans="1:32" s="57" customFormat="1" ht="15.75" customHeight="1">
      <c r="A16" s="2" t="s">
        <v>66</v>
      </c>
      <c r="B16" s="2"/>
      <c r="C16" s="51" t="s">
        <v>397</v>
      </c>
      <c r="D16" s="51">
        <v>0</v>
      </c>
      <c r="E16" s="51">
        <v>0</v>
      </c>
      <c r="F16" s="51">
        <v>0</v>
      </c>
      <c r="G16" s="51">
        <v>0</v>
      </c>
      <c r="H16" s="51" t="e">
        <f t="shared" si="1"/>
        <v>#DIV/0!</v>
      </c>
      <c r="I16" s="51" t="e">
        <f t="shared" si="2"/>
        <v>#DIV/0!</v>
      </c>
      <c r="J16" s="51">
        <f t="shared" si="4"/>
        <v>0</v>
      </c>
      <c r="K16" s="51" t="e">
        <f t="shared" si="3"/>
        <v>#DIV/0!</v>
      </c>
      <c r="L16" s="51">
        <v>0</v>
      </c>
      <c r="M16" s="51" t="str">
        <f t="shared" si="5"/>
        <v>-</v>
      </c>
      <c r="N16" s="51">
        <v>0</v>
      </c>
      <c r="O16" s="51">
        <f t="shared" ref="O16:P16" si="24">D16/7</f>
        <v>0</v>
      </c>
      <c r="P16" s="51">
        <f t="shared" si="24"/>
        <v>0</v>
      </c>
      <c r="Q16" s="51" t="e">
        <f t="shared" si="7"/>
        <v>#DIV/0!</v>
      </c>
      <c r="R16" s="55">
        <v>0</v>
      </c>
      <c r="S16" s="53" t="s">
        <v>34</v>
      </c>
      <c r="T16" s="54" t="s">
        <v>34</v>
      </c>
      <c r="U16" s="55">
        <v>0</v>
      </c>
      <c r="V16" s="55">
        <f t="shared" si="8"/>
        <v>0</v>
      </c>
      <c r="W16" s="55">
        <f t="shared" si="9"/>
        <v>0</v>
      </c>
      <c r="X16" s="55">
        <v>0</v>
      </c>
      <c r="Y16" s="55" t="e">
        <v>#N/A</v>
      </c>
      <c r="Z16" s="56" t="e">
        <f t="shared" si="19"/>
        <v>#N/A</v>
      </c>
      <c r="AA16" s="55" t="e">
        <v>#N/A</v>
      </c>
      <c r="AB16" s="55">
        <f t="shared" si="11"/>
        <v>0</v>
      </c>
      <c r="AC16" s="55">
        <v>0</v>
      </c>
      <c r="AD16" s="55">
        <v>-16.344664090909092</v>
      </c>
      <c r="AE16" s="55">
        <v>0</v>
      </c>
      <c r="AF16" s="55"/>
    </row>
    <row r="17" spans="1:32" s="57" customFormat="1" ht="15.75" customHeight="1">
      <c r="A17" s="2" t="s">
        <v>67</v>
      </c>
      <c r="B17" s="2"/>
      <c r="C17" s="51" t="s">
        <v>397</v>
      </c>
      <c r="D17" s="51">
        <v>0</v>
      </c>
      <c r="E17" s="51">
        <v>0</v>
      </c>
      <c r="F17" s="51">
        <v>0</v>
      </c>
      <c r="G17" s="51">
        <v>0</v>
      </c>
      <c r="H17" s="51" t="e">
        <f t="shared" si="1"/>
        <v>#DIV/0!</v>
      </c>
      <c r="I17" s="51" t="e">
        <f t="shared" si="2"/>
        <v>#DIV/0!</v>
      </c>
      <c r="J17" s="51">
        <f t="shared" si="4"/>
        <v>0</v>
      </c>
      <c r="K17" s="51" t="e">
        <f t="shared" si="3"/>
        <v>#DIV/0!</v>
      </c>
      <c r="L17" s="51">
        <v>0</v>
      </c>
      <c r="M17" s="51" t="str">
        <f t="shared" si="5"/>
        <v>-</v>
      </c>
      <c r="N17" s="51">
        <v>0</v>
      </c>
      <c r="O17" s="51">
        <f t="shared" ref="O17:P17" si="25">D17/7</f>
        <v>0</v>
      </c>
      <c r="P17" s="51">
        <f t="shared" si="25"/>
        <v>0</v>
      </c>
      <c r="Q17" s="51" t="e">
        <f t="shared" si="7"/>
        <v>#DIV/0!</v>
      </c>
      <c r="R17" s="55">
        <v>0</v>
      </c>
      <c r="S17" s="53" t="s">
        <v>34</v>
      </c>
      <c r="T17" s="54" t="s">
        <v>34</v>
      </c>
      <c r="U17" s="55">
        <v>0</v>
      </c>
      <c r="V17" s="55">
        <f t="shared" si="8"/>
        <v>0</v>
      </c>
      <c r="W17" s="55">
        <f t="shared" si="9"/>
        <v>0</v>
      </c>
      <c r="X17" s="55">
        <v>0</v>
      </c>
      <c r="Y17" s="55" t="e">
        <v>#N/A</v>
      </c>
      <c r="Z17" s="56" t="e">
        <f t="shared" si="19"/>
        <v>#N/A</v>
      </c>
      <c r="AA17" s="55" t="e">
        <v>#N/A</v>
      </c>
      <c r="AB17" s="55">
        <f t="shared" si="11"/>
        <v>0</v>
      </c>
      <c r="AC17" s="55">
        <v>0</v>
      </c>
      <c r="AD17" s="55">
        <v>-16.344664090909092</v>
      </c>
      <c r="AE17" s="55">
        <v>0</v>
      </c>
      <c r="AF17" s="55"/>
    </row>
    <row r="18" spans="1:32" s="57" customFormat="1" ht="15.75" customHeight="1">
      <c r="A18" s="2" t="s">
        <v>69</v>
      </c>
      <c r="B18" s="2"/>
      <c r="C18" s="51" t="s">
        <v>397</v>
      </c>
      <c r="D18" s="51">
        <v>0</v>
      </c>
      <c r="E18" s="51">
        <v>0</v>
      </c>
      <c r="F18" s="51">
        <v>0</v>
      </c>
      <c r="G18" s="51">
        <v>0</v>
      </c>
      <c r="H18" s="51" t="e">
        <f t="shared" si="1"/>
        <v>#DIV/0!</v>
      </c>
      <c r="I18" s="51" t="e">
        <f t="shared" si="2"/>
        <v>#DIV/0!</v>
      </c>
      <c r="J18" s="51">
        <f t="shared" si="4"/>
        <v>0</v>
      </c>
      <c r="K18" s="51" t="e">
        <f t="shared" si="3"/>
        <v>#DIV/0!</v>
      </c>
      <c r="L18" s="51">
        <v>0</v>
      </c>
      <c r="M18" s="51" t="str">
        <f t="shared" si="5"/>
        <v>-</v>
      </c>
      <c r="N18" s="51">
        <v>0</v>
      </c>
      <c r="O18" s="51">
        <f t="shared" ref="O18:P18" si="26">D18/7</f>
        <v>0</v>
      </c>
      <c r="P18" s="51">
        <f t="shared" si="26"/>
        <v>0</v>
      </c>
      <c r="Q18" s="51" t="e">
        <f t="shared" si="7"/>
        <v>#DIV/0!</v>
      </c>
      <c r="R18" s="55">
        <v>0</v>
      </c>
      <c r="S18" s="53" t="s">
        <v>34</v>
      </c>
      <c r="T18" s="54" t="s">
        <v>34</v>
      </c>
      <c r="U18" s="55">
        <v>0</v>
      </c>
      <c r="V18" s="55">
        <f t="shared" si="8"/>
        <v>0</v>
      </c>
      <c r="W18" s="55">
        <f t="shared" si="9"/>
        <v>0</v>
      </c>
      <c r="X18" s="55">
        <v>0</v>
      </c>
      <c r="Y18" s="55" t="e">
        <v>#N/A</v>
      </c>
      <c r="Z18" s="56" t="e">
        <f t="shared" si="19"/>
        <v>#N/A</v>
      </c>
      <c r="AA18" s="55" t="e">
        <v>#N/A</v>
      </c>
      <c r="AB18" s="58">
        <f t="shared" ref="AB18:AB39" si="27">IFERROR(Z18*AA18*D18*3,0)</f>
        <v>0</v>
      </c>
      <c r="AC18" s="55">
        <v>0</v>
      </c>
      <c r="AD18" s="55">
        <v>-16.344664090909092</v>
      </c>
      <c r="AE18" s="55">
        <v>0</v>
      </c>
      <c r="AF18" s="55"/>
    </row>
    <row r="19" spans="1:32" s="57" customFormat="1" ht="15.75" customHeight="1">
      <c r="A19" s="2" t="s">
        <v>71</v>
      </c>
      <c r="B19" s="2"/>
      <c r="C19" s="51" t="s">
        <v>397</v>
      </c>
      <c r="D19" s="51">
        <v>0</v>
      </c>
      <c r="E19" s="51">
        <v>0</v>
      </c>
      <c r="F19" s="51">
        <v>0</v>
      </c>
      <c r="G19" s="51">
        <v>0</v>
      </c>
      <c r="H19" s="51" t="e">
        <f t="shared" si="1"/>
        <v>#DIV/0!</v>
      </c>
      <c r="I19" s="51" t="e">
        <f t="shared" si="2"/>
        <v>#DIV/0!</v>
      </c>
      <c r="J19" s="51">
        <f t="shared" si="4"/>
        <v>0</v>
      </c>
      <c r="K19" s="51" t="e">
        <f t="shared" si="3"/>
        <v>#DIV/0!</v>
      </c>
      <c r="L19" s="51">
        <v>0</v>
      </c>
      <c r="M19" s="51" t="str">
        <f t="shared" si="5"/>
        <v>-</v>
      </c>
      <c r="N19" s="51">
        <v>0</v>
      </c>
      <c r="O19" s="51">
        <f t="shared" ref="O19:P19" si="28">D19/7</f>
        <v>0</v>
      </c>
      <c r="P19" s="51">
        <f t="shared" si="28"/>
        <v>0</v>
      </c>
      <c r="Q19" s="51" t="e">
        <f t="shared" si="7"/>
        <v>#DIV/0!</v>
      </c>
      <c r="R19" s="55">
        <v>0</v>
      </c>
      <c r="S19" s="53" t="s">
        <v>34</v>
      </c>
      <c r="T19" s="54" t="s">
        <v>34</v>
      </c>
      <c r="U19" s="55">
        <v>0</v>
      </c>
      <c r="V19" s="55">
        <f t="shared" si="8"/>
        <v>0</v>
      </c>
      <c r="W19" s="55">
        <f t="shared" si="9"/>
        <v>0</v>
      </c>
      <c r="X19" s="55">
        <v>0</v>
      </c>
      <c r="Y19" s="55" t="e">
        <v>#N/A</v>
      </c>
      <c r="Z19" s="56" t="e">
        <f t="shared" si="19"/>
        <v>#N/A</v>
      </c>
      <c r="AA19" s="55" t="e">
        <v>#N/A</v>
      </c>
      <c r="AB19" s="55">
        <f t="shared" si="27"/>
        <v>0</v>
      </c>
      <c r="AC19" s="55">
        <v>0</v>
      </c>
      <c r="AD19" s="55">
        <v>-16.344664090909092</v>
      </c>
      <c r="AE19" s="55">
        <v>0</v>
      </c>
      <c r="AF19" s="55"/>
    </row>
    <row r="20" spans="1:32" s="57" customFormat="1" ht="15.75" customHeight="1">
      <c r="A20" s="2" t="s">
        <v>73</v>
      </c>
      <c r="B20" s="2"/>
      <c r="C20" s="51" t="s">
        <v>397</v>
      </c>
      <c r="D20" s="51">
        <v>0</v>
      </c>
      <c r="E20" s="51">
        <v>0</v>
      </c>
      <c r="F20" s="51">
        <v>0</v>
      </c>
      <c r="G20" s="51">
        <v>0</v>
      </c>
      <c r="H20" s="51" t="e">
        <f t="shared" si="1"/>
        <v>#DIV/0!</v>
      </c>
      <c r="I20" s="51" t="e">
        <f t="shared" si="2"/>
        <v>#DIV/0!</v>
      </c>
      <c r="J20" s="51">
        <f t="shared" si="4"/>
        <v>0</v>
      </c>
      <c r="K20" s="51" t="e">
        <f t="shared" si="3"/>
        <v>#DIV/0!</v>
      </c>
      <c r="L20" s="51">
        <v>0</v>
      </c>
      <c r="M20" s="51" t="str">
        <f t="shared" si="5"/>
        <v>-</v>
      </c>
      <c r="N20" s="51">
        <v>0</v>
      </c>
      <c r="O20" s="51">
        <f t="shared" ref="O20:P20" si="29">D20/7</f>
        <v>0</v>
      </c>
      <c r="P20" s="51">
        <f t="shared" si="29"/>
        <v>0</v>
      </c>
      <c r="Q20" s="51" t="e">
        <f t="shared" si="7"/>
        <v>#DIV/0!</v>
      </c>
      <c r="R20" s="55">
        <v>0</v>
      </c>
      <c r="S20" s="53" t="s">
        <v>34</v>
      </c>
      <c r="T20" s="54" t="s">
        <v>34</v>
      </c>
      <c r="U20" s="55">
        <v>0</v>
      </c>
      <c r="V20" s="55">
        <f t="shared" si="8"/>
        <v>0</v>
      </c>
      <c r="W20" s="55">
        <f t="shared" si="9"/>
        <v>0</v>
      </c>
      <c r="X20" s="55">
        <v>0</v>
      </c>
      <c r="Y20" s="55" t="e">
        <v>#N/A</v>
      </c>
      <c r="Z20" s="56" t="e">
        <f t="shared" si="19"/>
        <v>#N/A</v>
      </c>
      <c r="AA20" s="55" t="e">
        <v>#N/A</v>
      </c>
      <c r="AB20" s="55">
        <f t="shared" si="27"/>
        <v>0</v>
      </c>
      <c r="AC20" s="55">
        <v>0</v>
      </c>
      <c r="AD20" s="55">
        <v>-16.344664090909092</v>
      </c>
      <c r="AE20" s="55">
        <v>0</v>
      </c>
      <c r="AF20" s="55"/>
    </row>
    <row r="21" spans="1:32" s="57" customFormat="1" ht="15.75" customHeight="1">
      <c r="A21" s="2" t="s">
        <v>75</v>
      </c>
      <c r="B21" s="2"/>
      <c r="C21" s="51" t="s">
        <v>397</v>
      </c>
      <c r="D21" s="51">
        <v>0</v>
      </c>
      <c r="E21" s="51">
        <v>0</v>
      </c>
      <c r="F21" s="51">
        <v>0</v>
      </c>
      <c r="G21" s="51">
        <v>0</v>
      </c>
      <c r="H21" s="51" t="e">
        <f t="shared" si="1"/>
        <v>#DIV/0!</v>
      </c>
      <c r="I21" s="51" t="e">
        <f t="shared" si="2"/>
        <v>#DIV/0!</v>
      </c>
      <c r="J21" s="51">
        <f t="shared" si="4"/>
        <v>0</v>
      </c>
      <c r="K21" s="51" t="e">
        <f t="shared" si="3"/>
        <v>#DIV/0!</v>
      </c>
      <c r="L21" s="51">
        <v>0</v>
      </c>
      <c r="M21" s="51" t="str">
        <f t="shared" si="5"/>
        <v>-</v>
      </c>
      <c r="N21" s="51">
        <v>0</v>
      </c>
      <c r="O21" s="51">
        <f t="shared" ref="O21:P21" si="30">D21/7</f>
        <v>0</v>
      </c>
      <c r="P21" s="51">
        <f t="shared" si="30"/>
        <v>0</v>
      </c>
      <c r="Q21" s="51" t="e">
        <f t="shared" si="7"/>
        <v>#DIV/0!</v>
      </c>
      <c r="R21" s="55">
        <v>0</v>
      </c>
      <c r="S21" s="53" t="s">
        <v>34</v>
      </c>
      <c r="T21" s="54" t="s">
        <v>34</v>
      </c>
      <c r="U21" s="55">
        <v>0</v>
      </c>
      <c r="V21" s="55">
        <f t="shared" si="8"/>
        <v>0</v>
      </c>
      <c r="W21" s="55">
        <f t="shared" si="9"/>
        <v>0</v>
      </c>
      <c r="X21" s="55">
        <v>0</v>
      </c>
      <c r="Y21" s="55" t="e">
        <v>#N/A</v>
      </c>
      <c r="Z21" s="56" t="e">
        <f t="shared" si="19"/>
        <v>#N/A</v>
      </c>
      <c r="AA21" s="55" t="e">
        <v>#N/A</v>
      </c>
      <c r="AB21" s="55">
        <f t="shared" si="27"/>
        <v>0</v>
      </c>
      <c r="AC21" s="55">
        <v>0</v>
      </c>
      <c r="AD21" s="55">
        <v>-16.344664090909092</v>
      </c>
      <c r="AE21" s="55">
        <v>0</v>
      </c>
      <c r="AF21" s="55"/>
    </row>
    <row r="22" spans="1:32" s="57" customFormat="1" ht="15.75" customHeight="1">
      <c r="A22" s="2" t="s">
        <v>77</v>
      </c>
      <c r="B22" s="2"/>
      <c r="C22" s="51" t="s">
        <v>397</v>
      </c>
      <c r="D22" s="51">
        <v>0</v>
      </c>
      <c r="E22" s="51">
        <v>0</v>
      </c>
      <c r="F22" s="51">
        <v>0</v>
      </c>
      <c r="G22" s="51">
        <v>0</v>
      </c>
      <c r="H22" s="51" t="e">
        <f t="shared" si="1"/>
        <v>#DIV/0!</v>
      </c>
      <c r="I22" s="51" t="e">
        <f t="shared" si="2"/>
        <v>#DIV/0!</v>
      </c>
      <c r="J22" s="51">
        <f t="shared" si="4"/>
        <v>0</v>
      </c>
      <c r="K22" s="51" t="e">
        <f t="shared" si="3"/>
        <v>#DIV/0!</v>
      </c>
      <c r="L22" s="51">
        <v>0</v>
      </c>
      <c r="M22" s="51" t="str">
        <f t="shared" si="5"/>
        <v>-</v>
      </c>
      <c r="N22" s="51">
        <v>0</v>
      </c>
      <c r="O22" s="51">
        <f t="shared" ref="O22:P22" si="31">D22/7</f>
        <v>0</v>
      </c>
      <c r="P22" s="51">
        <f t="shared" si="31"/>
        <v>0</v>
      </c>
      <c r="Q22" s="51" t="e">
        <f t="shared" si="7"/>
        <v>#DIV/0!</v>
      </c>
      <c r="R22" s="55">
        <v>0</v>
      </c>
      <c r="S22" s="53" t="s">
        <v>34</v>
      </c>
      <c r="T22" s="54" t="s">
        <v>34</v>
      </c>
      <c r="U22" s="55">
        <v>0</v>
      </c>
      <c r="V22" s="55">
        <f t="shared" si="8"/>
        <v>0</v>
      </c>
      <c r="W22" s="55">
        <f t="shared" si="9"/>
        <v>0</v>
      </c>
      <c r="X22" s="55">
        <v>0</v>
      </c>
      <c r="Y22" s="55" t="e">
        <v>#N/A</v>
      </c>
      <c r="Z22" s="56" t="e">
        <f t="shared" si="19"/>
        <v>#N/A</v>
      </c>
      <c r="AA22" s="55" t="e">
        <v>#N/A</v>
      </c>
      <c r="AB22" s="55">
        <f t="shared" si="27"/>
        <v>0</v>
      </c>
      <c r="AC22" s="55">
        <v>0</v>
      </c>
      <c r="AD22" s="55">
        <v>-16.344664090909092</v>
      </c>
      <c r="AE22" s="55">
        <v>0</v>
      </c>
      <c r="AF22" s="55"/>
    </row>
    <row r="23" spans="1:32" s="57" customFormat="1" ht="15.75" customHeight="1">
      <c r="A23" s="2" t="s">
        <v>79</v>
      </c>
      <c r="B23" s="2"/>
      <c r="C23" s="51" t="s">
        <v>397</v>
      </c>
      <c r="D23" s="51">
        <v>0</v>
      </c>
      <c r="E23" s="51">
        <v>0</v>
      </c>
      <c r="F23" s="51">
        <v>0</v>
      </c>
      <c r="G23" s="51">
        <v>0</v>
      </c>
      <c r="H23" s="51" t="e">
        <f t="shared" si="1"/>
        <v>#DIV/0!</v>
      </c>
      <c r="I23" s="51" t="e">
        <f t="shared" si="2"/>
        <v>#DIV/0!</v>
      </c>
      <c r="J23" s="51">
        <f t="shared" si="4"/>
        <v>0</v>
      </c>
      <c r="K23" s="51" t="e">
        <f t="shared" si="3"/>
        <v>#DIV/0!</v>
      </c>
      <c r="L23" s="51">
        <v>0</v>
      </c>
      <c r="M23" s="51" t="str">
        <f t="shared" si="5"/>
        <v>-</v>
      </c>
      <c r="N23" s="51">
        <v>0</v>
      </c>
      <c r="O23" s="51">
        <f t="shared" ref="O23:P23" si="32">D23/7</f>
        <v>0</v>
      </c>
      <c r="P23" s="51">
        <f t="shared" si="32"/>
        <v>0</v>
      </c>
      <c r="Q23" s="51" t="e">
        <f t="shared" si="7"/>
        <v>#DIV/0!</v>
      </c>
      <c r="R23" s="55">
        <v>0</v>
      </c>
      <c r="S23" s="53" t="s">
        <v>34</v>
      </c>
      <c r="T23" s="54" t="s">
        <v>34</v>
      </c>
      <c r="U23" s="55">
        <v>0</v>
      </c>
      <c r="V23" s="55">
        <f t="shared" si="8"/>
        <v>0</v>
      </c>
      <c r="W23" s="55">
        <f t="shared" si="9"/>
        <v>0</v>
      </c>
      <c r="X23" s="55">
        <v>0</v>
      </c>
      <c r="Y23" s="55" t="e">
        <v>#N/A</v>
      </c>
      <c r="Z23" s="56" t="e">
        <f t="shared" si="19"/>
        <v>#N/A</v>
      </c>
      <c r="AA23" s="55" t="e">
        <v>#N/A</v>
      </c>
      <c r="AB23" s="55">
        <f t="shared" si="27"/>
        <v>0</v>
      </c>
      <c r="AC23" s="55">
        <v>0</v>
      </c>
      <c r="AD23" s="55">
        <v>-16.344664090909092</v>
      </c>
      <c r="AE23" s="55">
        <v>0</v>
      </c>
      <c r="AF23" s="55"/>
    </row>
    <row r="24" spans="1:32" s="57" customFormat="1" ht="15.75" customHeight="1">
      <c r="A24" s="2" t="s">
        <v>80</v>
      </c>
      <c r="B24" s="2"/>
      <c r="C24" s="51"/>
      <c r="D24" s="51">
        <v>0</v>
      </c>
      <c r="E24" s="51">
        <v>0</v>
      </c>
      <c r="F24" s="51">
        <v>0</v>
      </c>
      <c r="G24" s="51">
        <v>0</v>
      </c>
      <c r="H24" s="51" t="e">
        <f t="shared" si="1"/>
        <v>#DIV/0!</v>
      </c>
      <c r="I24" s="51" t="e">
        <f t="shared" si="2"/>
        <v>#DIV/0!</v>
      </c>
      <c r="J24" s="51">
        <f t="shared" si="4"/>
        <v>0</v>
      </c>
      <c r="K24" s="51" t="e">
        <f t="shared" si="3"/>
        <v>#DIV/0!</v>
      </c>
      <c r="L24" s="51">
        <v>0</v>
      </c>
      <c r="M24" s="51" t="str">
        <f t="shared" si="5"/>
        <v>-</v>
      </c>
      <c r="N24" s="51">
        <v>0</v>
      </c>
      <c r="O24" s="51">
        <f t="shared" ref="O24:P24" si="33">D24/7</f>
        <v>0</v>
      </c>
      <c r="P24" s="51">
        <f t="shared" si="33"/>
        <v>0</v>
      </c>
      <c r="Q24" s="51" t="e">
        <f t="shared" si="7"/>
        <v>#DIV/0!</v>
      </c>
      <c r="R24" s="55">
        <v>0</v>
      </c>
      <c r="S24" s="53" t="s">
        <v>34</v>
      </c>
      <c r="T24" s="54" t="s">
        <v>34</v>
      </c>
      <c r="U24" s="55">
        <v>0</v>
      </c>
      <c r="V24" s="55">
        <f t="shared" si="8"/>
        <v>0</v>
      </c>
      <c r="W24" s="55">
        <f t="shared" si="9"/>
        <v>0</v>
      </c>
      <c r="X24" s="55">
        <v>0</v>
      </c>
      <c r="Y24" s="55" t="e">
        <v>#N/A</v>
      </c>
      <c r="Z24" s="56" t="e">
        <f t="shared" si="19"/>
        <v>#N/A</v>
      </c>
      <c r="AA24" s="55" t="e">
        <v>#N/A</v>
      </c>
      <c r="AB24" s="55">
        <f t="shared" si="27"/>
        <v>0</v>
      </c>
      <c r="AC24" s="55">
        <v>0</v>
      </c>
      <c r="AD24" s="55">
        <v>-16.344664090909092</v>
      </c>
      <c r="AE24" s="55">
        <v>0</v>
      </c>
      <c r="AF24" s="55"/>
    </row>
    <row r="25" spans="1:32" s="57" customFormat="1" ht="15.75" customHeight="1">
      <c r="A25" s="2" t="s">
        <v>81</v>
      </c>
      <c r="B25" s="2"/>
      <c r="C25" s="51"/>
      <c r="D25" s="51">
        <v>0</v>
      </c>
      <c r="E25" s="51">
        <v>0</v>
      </c>
      <c r="F25" s="51">
        <v>0</v>
      </c>
      <c r="G25" s="51">
        <v>0</v>
      </c>
      <c r="H25" s="51" t="e">
        <f t="shared" si="1"/>
        <v>#DIV/0!</v>
      </c>
      <c r="I25" s="51" t="e">
        <f t="shared" si="2"/>
        <v>#DIV/0!</v>
      </c>
      <c r="J25" s="51">
        <f t="shared" si="4"/>
        <v>0</v>
      </c>
      <c r="K25" s="51" t="e">
        <f t="shared" si="3"/>
        <v>#DIV/0!</v>
      </c>
      <c r="L25" s="51">
        <v>0</v>
      </c>
      <c r="M25" s="51" t="str">
        <f t="shared" si="5"/>
        <v>-</v>
      </c>
      <c r="N25" s="51">
        <v>0</v>
      </c>
      <c r="O25" s="51">
        <f t="shared" ref="O25:P25" si="34">D25/7</f>
        <v>0</v>
      </c>
      <c r="P25" s="51">
        <f t="shared" si="34"/>
        <v>0</v>
      </c>
      <c r="Q25" s="51" t="e">
        <f t="shared" si="7"/>
        <v>#DIV/0!</v>
      </c>
      <c r="R25" s="55">
        <v>0</v>
      </c>
      <c r="S25" s="53" t="s">
        <v>34</v>
      </c>
      <c r="T25" s="54" t="s">
        <v>34</v>
      </c>
      <c r="U25" s="55">
        <v>0</v>
      </c>
      <c r="V25" s="55">
        <f t="shared" si="8"/>
        <v>0</v>
      </c>
      <c r="W25" s="55">
        <f t="shared" si="9"/>
        <v>0</v>
      </c>
      <c r="X25" s="55">
        <v>0</v>
      </c>
      <c r="Y25" s="55" t="e">
        <v>#N/A</v>
      </c>
      <c r="Z25" s="56" t="e">
        <f t="shared" si="19"/>
        <v>#N/A</v>
      </c>
      <c r="AA25" s="55" t="e">
        <v>#N/A</v>
      </c>
      <c r="AB25" s="55">
        <f t="shared" si="27"/>
        <v>0</v>
      </c>
      <c r="AC25" s="55">
        <v>0</v>
      </c>
      <c r="AD25" s="55">
        <v>-16.344664090909092</v>
      </c>
      <c r="AE25" s="55">
        <v>0</v>
      </c>
      <c r="AF25" s="55"/>
    </row>
    <row r="26" spans="1:32" s="57" customFormat="1" ht="15.75" customHeight="1">
      <c r="A26" s="2" t="s">
        <v>83</v>
      </c>
      <c r="B26" s="2"/>
      <c r="C26" s="51" t="str">
        <f t="shared" ref="C26:C39" si="35">IFERROR(F26/D26," - ")</f>
        <v xml:space="preserve"> - </v>
      </c>
      <c r="D26" s="51">
        <v>0</v>
      </c>
      <c r="E26" s="51">
        <v>0</v>
      </c>
      <c r="F26" s="51">
        <v>0</v>
      </c>
      <c r="G26" s="51">
        <v>0</v>
      </c>
      <c r="H26" s="51" t="e">
        <f t="shared" si="1"/>
        <v>#DIV/0!</v>
      </c>
      <c r="I26" s="51" t="e">
        <f t="shared" si="2"/>
        <v>#DIV/0!</v>
      </c>
      <c r="J26" s="51">
        <f t="shared" si="4"/>
        <v>0</v>
      </c>
      <c r="K26" s="51" t="e">
        <f t="shared" si="3"/>
        <v>#DIV/0!</v>
      </c>
      <c r="L26" s="51">
        <v>0</v>
      </c>
      <c r="M26" s="51" t="str">
        <f t="shared" si="5"/>
        <v>-</v>
      </c>
      <c r="N26" s="51">
        <v>0</v>
      </c>
      <c r="O26" s="51">
        <f t="shared" ref="O26:P26" si="36">D26/7</f>
        <v>0</v>
      </c>
      <c r="P26" s="51">
        <f t="shared" si="36"/>
        <v>0</v>
      </c>
      <c r="Q26" s="51" t="e">
        <f t="shared" si="7"/>
        <v>#DIV/0!</v>
      </c>
      <c r="R26" s="55" t="s">
        <v>34</v>
      </c>
      <c r="S26" s="53" t="s">
        <v>34</v>
      </c>
      <c r="T26" s="54" t="s">
        <v>34</v>
      </c>
      <c r="U26" s="55">
        <v>0</v>
      </c>
      <c r="V26" s="55">
        <f t="shared" si="8"/>
        <v>0</v>
      </c>
      <c r="W26" s="55">
        <f t="shared" si="9"/>
        <v>0</v>
      </c>
      <c r="X26" s="55">
        <v>0</v>
      </c>
      <c r="Y26" s="55" t="e">
        <v>#N/A</v>
      </c>
      <c r="Z26" s="56" t="e">
        <f t="shared" si="19"/>
        <v>#N/A</v>
      </c>
      <c r="AA26" s="55" t="e">
        <v>#N/A</v>
      </c>
      <c r="AB26" s="55">
        <f t="shared" si="27"/>
        <v>0</v>
      </c>
      <c r="AC26" s="55">
        <v>0</v>
      </c>
      <c r="AD26" s="55">
        <v>-16.344664090909092</v>
      </c>
      <c r="AE26" s="55">
        <v>0</v>
      </c>
      <c r="AF26" s="55"/>
    </row>
    <row r="27" spans="1:32" s="57" customFormat="1" ht="15.75" customHeight="1">
      <c r="A27" s="2" t="s">
        <v>84</v>
      </c>
      <c r="B27" s="2"/>
      <c r="C27" s="51" t="str">
        <f t="shared" si="35"/>
        <v xml:space="preserve"> - </v>
      </c>
      <c r="D27" s="51">
        <v>0</v>
      </c>
      <c r="E27" s="51">
        <v>0</v>
      </c>
      <c r="F27" s="51">
        <v>0</v>
      </c>
      <c r="G27" s="51">
        <v>0</v>
      </c>
      <c r="H27" s="51" t="e">
        <f t="shared" si="1"/>
        <v>#DIV/0!</v>
      </c>
      <c r="I27" s="51" t="e">
        <f t="shared" si="2"/>
        <v>#DIV/0!</v>
      </c>
      <c r="J27" s="51">
        <f t="shared" si="4"/>
        <v>0</v>
      </c>
      <c r="K27" s="51" t="e">
        <f t="shared" si="3"/>
        <v>#DIV/0!</v>
      </c>
      <c r="L27" s="51">
        <v>0</v>
      </c>
      <c r="M27" s="51" t="str">
        <f t="shared" si="5"/>
        <v>-</v>
      </c>
      <c r="N27" s="51">
        <v>0</v>
      </c>
      <c r="O27" s="51">
        <f t="shared" ref="O27:P27" si="37">D27/7</f>
        <v>0</v>
      </c>
      <c r="P27" s="51">
        <f t="shared" si="37"/>
        <v>0</v>
      </c>
      <c r="Q27" s="51" t="e">
        <f t="shared" si="7"/>
        <v>#DIV/0!</v>
      </c>
      <c r="R27" s="55" t="s">
        <v>34</v>
      </c>
      <c r="S27" s="53" t="s">
        <v>34</v>
      </c>
      <c r="T27" s="54" t="s">
        <v>34</v>
      </c>
      <c r="U27" s="55">
        <v>0</v>
      </c>
      <c r="V27" s="55">
        <f t="shared" si="8"/>
        <v>0</v>
      </c>
      <c r="W27" s="55">
        <f t="shared" si="9"/>
        <v>0</v>
      </c>
      <c r="X27" s="55">
        <v>0</v>
      </c>
      <c r="Y27" s="55" t="e">
        <v>#N/A</v>
      </c>
      <c r="Z27" s="56" t="e">
        <f t="shared" si="19"/>
        <v>#N/A</v>
      </c>
      <c r="AA27" s="55" t="e">
        <v>#N/A</v>
      </c>
      <c r="AB27" s="55">
        <f t="shared" si="27"/>
        <v>0</v>
      </c>
      <c r="AC27" s="55">
        <v>0</v>
      </c>
      <c r="AD27" s="55">
        <v>-16.344664090909092</v>
      </c>
      <c r="AE27" s="55">
        <v>0</v>
      </c>
      <c r="AF27" s="55"/>
    </row>
    <row r="28" spans="1:32" s="57" customFormat="1" ht="15.75" customHeight="1">
      <c r="A28" s="2" t="s">
        <v>86</v>
      </c>
      <c r="B28" s="2"/>
      <c r="C28" s="51" t="str">
        <f t="shared" si="35"/>
        <v xml:space="preserve"> - </v>
      </c>
      <c r="D28" s="51">
        <v>0</v>
      </c>
      <c r="E28" s="51">
        <v>0</v>
      </c>
      <c r="F28" s="51">
        <v>0</v>
      </c>
      <c r="G28" s="51">
        <v>0</v>
      </c>
      <c r="H28" s="51" t="e">
        <f t="shared" si="1"/>
        <v>#DIV/0!</v>
      </c>
      <c r="I28" s="51" t="e">
        <f t="shared" si="2"/>
        <v>#DIV/0!</v>
      </c>
      <c r="J28" s="51">
        <f t="shared" si="4"/>
        <v>0</v>
      </c>
      <c r="K28" s="51" t="e">
        <f t="shared" si="3"/>
        <v>#DIV/0!</v>
      </c>
      <c r="L28" s="51">
        <v>0</v>
      </c>
      <c r="M28" s="51" t="str">
        <f t="shared" si="5"/>
        <v>-</v>
      </c>
      <c r="N28" s="51">
        <v>0</v>
      </c>
      <c r="O28" s="51">
        <f t="shared" ref="O28:P28" si="38">D28/7</f>
        <v>0</v>
      </c>
      <c r="P28" s="51">
        <f t="shared" si="38"/>
        <v>0</v>
      </c>
      <c r="Q28" s="51" t="e">
        <f t="shared" si="7"/>
        <v>#DIV/0!</v>
      </c>
      <c r="R28" s="55" t="s">
        <v>34</v>
      </c>
      <c r="S28" s="53" t="s">
        <v>34</v>
      </c>
      <c r="T28" s="54" t="s">
        <v>34</v>
      </c>
      <c r="U28" s="55">
        <v>0</v>
      </c>
      <c r="V28" s="55">
        <f t="shared" si="8"/>
        <v>0</v>
      </c>
      <c r="W28" s="55">
        <f t="shared" si="9"/>
        <v>0</v>
      </c>
      <c r="X28" s="55">
        <v>0</v>
      </c>
      <c r="Y28" s="55" t="e">
        <v>#N/A</v>
      </c>
      <c r="Z28" s="56" t="e">
        <f t="shared" si="19"/>
        <v>#N/A</v>
      </c>
      <c r="AA28" s="55" t="e">
        <v>#N/A</v>
      </c>
      <c r="AB28" s="55">
        <f t="shared" si="27"/>
        <v>0</v>
      </c>
      <c r="AC28" s="55">
        <v>0</v>
      </c>
      <c r="AD28" s="55">
        <v>-16.344664090909092</v>
      </c>
      <c r="AE28" s="55">
        <v>0</v>
      </c>
      <c r="AF28" s="55"/>
    </row>
    <row r="29" spans="1:32" s="57" customFormat="1" ht="15.75" customHeight="1">
      <c r="A29" s="2" t="s">
        <v>87</v>
      </c>
      <c r="B29" s="2"/>
      <c r="C29" s="51" t="str">
        <f t="shared" si="35"/>
        <v xml:space="preserve"> - </v>
      </c>
      <c r="D29" s="51">
        <v>0</v>
      </c>
      <c r="E29" s="51">
        <v>0</v>
      </c>
      <c r="F29" s="51">
        <v>0</v>
      </c>
      <c r="G29" s="51">
        <v>0</v>
      </c>
      <c r="H29" s="51" t="e">
        <f t="shared" si="1"/>
        <v>#DIV/0!</v>
      </c>
      <c r="I29" s="51" t="e">
        <f t="shared" si="2"/>
        <v>#DIV/0!</v>
      </c>
      <c r="J29" s="51">
        <f t="shared" si="4"/>
        <v>0</v>
      </c>
      <c r="K29" s="51" t="e">
        <f t="shared" si="3"/>
        <v>#DIV/0!</v>
      </c>
      <c r="L29" s="51">
        <v>0</v>
      </c>
      <c r="M29" s="51" t="str">
        <f t="shared" si="5"/>
        <v>-</v>
      </c>
      <c r="N29" s="51">
        <v>0</v>
      </c>
      <c r="O29" s="51">
        <f t="shared" ref="O29:P29" si="39">D29/7</f>
        <v>0</v>
      </c>
      <c r="P29" s="51">
        <f t="shared" si="39"/>
        <v>0</v>
      </c>
      <c r="Q29" s="51" t="e">
        <f t="shared" si="7"/>
        <v>#DIV/0!</v>
      </c>
      <c r="R29" s="55" t="s">
        <v>34</v>
      </c>
      <c r="S29" s="53" t="s">
        <v>34</v>
      </c>
      <c r="T29" s="54" t="s">
        <v>34</v>
      </c>
      <c r="U29" s="55">
        <v>0</v>
      </c>
      <c r="V29" s="55">
        <f t="shared" si="8"/>
        <v>0</v>
      </c>
      <c r="W29" s="55">
        <f t="shared" si="9"/>
        <v>0</v>
      </c>
      <c r="X29" s="55">
        <v>0</v>
      </c>
      <c r="Y29" s="55" t="e">
        <v>#N/A</v>
      </c>
      <c r="Z29" s="56" t="e">
        <f t="shared" si="19"/>
        <v>#N/A</v>
      </c>
      <c r="AA29" s="55" t="e">
        <v>#N/A</v>
      </c>
      <c r="AB29" s="55">
        <f t="shared" si="27"/>
        <v>0</v>
      </c>
      <c r="AC29" s="55">
        <v>0</v>
      </c>
      <c r="AD29" s="55">
        <v>-16.344664090909092</v>
      </c>
      <c r="AE29" s="55">
        <v>0</v>
      </c>
      <c r="AF29" s="55"/>
    </row>
    <row r="30" spans="1:32" s="57" customFormat="1" ht="15.75" customHeight="1">
      <c r="A30" s="2" t="s">
        <v>89</v>
      </c>
      <c r="B30" s="2"/>
      <c r="C30" s="51" t="str">
        <f t="shared" si="35"/>
        <v xml:space="preserve"> - </v>
      </c>
      <c r="D30" s="51">
        <v>0</v>
      </c>
      <c r="E30" s="51">
        <v>0</v>
      </c>
      <c r="F30" s="51">
        <v>0</v>
      </c>
      <c r="G30" s="51">
        <v>0</v>
      </c>
      <c r="H30" s="51" t="e">
        <f t="shared" si="1"/>
        <v>#DIV/0!</v>
      </c>
      <c r="I30" s="51" t="e">
        <f t="shared" si="2"/>
        <v>#DIV/0!</v>
      </c>
      <c r="J30" s="51">
        <f t="shared" si="4"/>
        <v>0</v>
      </c>
      <c r="K30" s="51" t="e">
        <f t="shared" si="3"/>
        <v>#DIV/0!</v>
      </c>
      <c r="L30" s="51">
        <v>0</v>
      </c>
      <c r="M30" s="51" t="str">
        <f t="shared" si="5"/>
        <v>-</v>
      </c>
      <c r="N30" s="51">
        <v>0</v>
      </c>
      <c r="O30" s="51">
        <f t="shared" ref="O30:P30" si="40">D30/7</f>
        <v>0</v>
      </c>
      <c r="P30" s="51">
        <f t="shared" si="40"/>
        <v>0</v>
      </c>
      <c r="Q30" s="51" t="e">
        <f t="shared" si="7"/>
        <v>#DIV/0!</v>
      </c>
      <c r="R30" s="55" t="s">
        <v>34</v>
      </c>
      <c r="S30" s="53" t="s">
        <v>34</v>
      </c>
      <c r="T30" s="54" t="s">
        <v>34</v>
      </c>
      <c r="U30" s="55">
        <v>0</v>
      </c>
      <c r="V30" s="55">
        <f t="shared" si="8"/>
        <v>0</v>
      </c>
      <c r="W30" s="55">
        <f t="shared" si="9"/>
        <v>0</v>
      </c>
      <c r="X30" s="55">
        <v>0</v>
      </c>
      <c r="Y30" s="55" t="e">
        <v>#N/A</v>
      </c>
      <c r="Z30" s="56" t="e">
        <f t="shared" si="19"/>
        <v>#N/A</v>
      </c>
      <c r="AA30" s="55" t="e">
        <v>#N/A</v>
      </c>
      <c r="AB30" s="55">
        <f t="shared" si="27"/>
        <v>0</v>
      </c>
      <c r="AC30" s="55">
        <v>0</v>
      </c>
      <c r="AD30" s="55">
        <v>-16.344664090909092</v>
      </c>
      <c r="AE30" s="55">
        <v>0</v>
      </c>
      <c r="AF30" s="55"/>
    </row>
    <row r="31" spans="1:32" s="57" customFormat="1" ht="15.75" customHeight="1">
      <c r="A31" s="2" t="s">
        <v>90</v>
      </c>
      <c r="B31" s="2"/>
      <c r="C31" s="51" t="str">
        <f t="shared" si="35"/>
        <v xml:space="preserve"> - </v>
      </c>
      <c r="D31" s="51">
        <v>0</v>
      </c>
      <c r="E31" s="51">
        <v>0</v>
      </c>
      <c r="F31" s="51">
        <v>0</v>
      </c>
      <c r="G31" s="51">
        <v>0</v>
      </c>
      <c r="H31" s="51" t="e">
        <f t="shared" si="1"/>
        <v>#DIV/0!</v>
      </c>
      <c r="I31" s="51" t="e">
        <f t="shared" si="2"/>
        <v>#DIV/0!</v>
      </c>
      <c r="J31" s="51">
        <f t="shared" si="4"/>
        <v>0</v>
      </c>
      <c r="K31" s="51" t="e">
        <f t="shared" si="3"/>
        <v>#DIV/0!</v>
      </c>
      <c r="L31" s="51">
        <v>0</v>
      </c>
      <c r="M31" s="51" t="str">
        <f t="shared" si="5"/>
        <v>-</v>
      </c>
      <c r="N31" s="51">
        <v>0</v>
      </c>
      <c r="O31" s="51">
        <f t="shared" ref="O31:P31" si="41">D31/7</f>
        <v>0</v>
      </c>
      <c r="P31" s="51">
        <f t="shared" si="41"/>
        <v>0</v>
      </c>
      <c r="Q31" s="51" t="e">
        <f t="shared" si="7"/>
        <v>#DIV/0!</v>
      </c>
      <c r="R31" s="55" t="s">
        <v>34</v>
      </c>
      <c r="S31" s="53" t="s">
        <v>34</v>
      </c>
      <c r="T31" s="54" t="s">
        <v>34</v>
      </c>
      <c r="U31" s="55">
        <v>0</v>
      </c>
      <c r="V31" s="55">
        <f t="shared" si="8"/>
        <v>0</v>
      </c>
      <c r="W31" s="55">
        <f t="shared" si="9"/>
        <v>0</v>
      </c>
      <c r="X31" s="55">
        <v>0</v>
      </c>
      <c r="Y31" s="55" t="e">
        <v>#N/A</v>
      </c>
      <c r="Z31" s="56" t="e">
        <f t="shared" si="19"/>
        <v>#N/A</v>
      </c>
      <c r="AA31" s="55" t="e">
        <v>#N/A</v>
      </c>
      <c r="AB31" s="55">
        <f t="shared" si="27"/>
        <v>0</v>
      </c>
      <c r="AC31" s="55">
        <v>0</v>
      </c>
      <c r="AD31" s="55">
        <v>-16.344664090909092</v>
      </c>
      <c r="AE31" s="55">
        <v>0</v>
      </c>
      <c r="AF31" s="55"/>
    </row>
    <row r="32" spans="1:32" s="57" customFormat="1" ht="15.75" customHeight="1">
      <c r="A32" s="2" t="s">
        <v>92</v>
      </c>
      <c r="B32" s="2"/>
      <c r="C32" s="51" t="str">
        <f t="shared" si="35"/>
        <v xml:space="preserve"> - </v>
      </c>
      <c r="D32" s="51">
        <v>0</v>
      </c>
      <c r="E32" s="51">
        <v>0</v>
      </c>
      <c r="F32" s="51">
        <v>0</v>
      </c>
      <c r="G32" s="51">
        <v>0</v>
      </c>
      <c r="H32" s="51" t="e">
        <f t="shared" si="1"/>
        <v>#DIV/0!</v>
      </c>
      <c r="I32" s="51" t="e">
        <f t="shared" si="2"/>
        <v>#DIV/0!</v>
      </c>
      <c r="J32" s="51">
        <f t="shared" si="4"/>
        <v>0</v>
      </c>
      <c r="K32" s="51" t="e">
        <f t="shared" si="3"/>
        <v>#DIV/0!</v>
      </c>
      <c r="L32" s="51">
        <v>0</v>
      </c>
      <c r="M32" s="51" t="str">
        <f t="shared" si="5"/>
        <v>-</v>
      </c>
      <c r="N32" s="51">
        <v>0</v>
      </c>
      <c r="O32" s="51">
        <f t="shared" ref="O32:P32" si="42">D32/7</f>
        <v>0</v>
      </c>
      <c r="P32" s="51">
        <f t="shared" si="42"/>
        <v>0</v>
      </c>
      <c r="Q32" s="51" t="e">
        <f t="shared" si="7"/>
        <v>#DIV/0!</v>
      </c>
      <c r="R32" s="55" t="s">
        <v>34</v>
      </c>
      <c r="S32" s="53" t="s">
        <v>34</v>
      </c>
      <c r="T32" s="54" t="s">
        <v>34</v>
      </c>
      <c r="U32" s="55">
        <v>0</v>
      </c>
      <c r="V32" s="55">
        <f t="shared" si="8"/>
        <v>0</v>
      </c>
      <c r="W32" s="55">
        <f t="shared" si="9"/>
        <v>0</v>
      </c>
      <c r="X32" s="55">
        <v>0</v>
      </c>
      <c r="Y32" s="55" t="e">
        <v>#N/A</v>
      </c>
      <c r="Z32" s="56" t="e">
        <f t="shared" si="19"/>
        <v>#N/A</v>
      </c>
      <c r="AA32" s="55" t="e">
        <v>#N/A</v>
      </c>
      <c r="AB32" s="55">
        <f t="shared" si="27"/>
        <v>0</v>
      </c>
      <c r="AC32" s="55">
        <v>0</v>
      </c>
      <c r="AD32" s="55">
        <v>-16.344664090909092</v>
      </c>
      <c r="AE32" s="55">
        <v>0</v>
      </c>
      <c r="AF32" s="52" t="e">
        <v>#N/A</v>
      </c>
    </row>
    <row r="33" spans="1:32" s="57" customFormat="1" ht="15.75" customHeight="1">
      <c r="A33" s="2" t="s">
        <v>94</v>
      </c>
      <c r="B33" s="2"/>
      <c r="C33" s="51" t="str">
        <f t="shared" si="35"/>
        <v xml:space="preserve"> - </v>
      </c>
      <c r="D33" s="51">
        <v>0</v>
      </c>
      <c r="E33" s="51">
        <v>0</v>
      </c>
      <c r="F33" s="51">
        <v>0</v>
      </c>
      <c r="G33" s="51">
        <v>0</v>
      </c>
      <c r="H33" s="51" t="e">
        <f t="shared" si="1"/>
        <v>#DIV/0!</v>
      </c>
      <c r="I33" s="51" t="e">
        <f t="shared" si="2"/>
        <v>#DIV/0!</v>
      </c>
      <c r="J33" s="51">
        <f t="shared" si="4"/>
        <v>0</v>
      </c>
      <c r="K33" s="51" t="e">
        <f t="shared" si="3"/>
        <v>#DIV/0!</v>
      </c>
      <c r="L33" s="51">
        <v>0</v>
      </c>
      <c r="M33" s="51" t="str">
        <f t="shared" si="5"/>
        <v>-</v>
      </c>
      <c r="N33" s="51">
        <v>0</v>
      </c>
      <c r="O33" s="51">
        <f t="shared" ref="O33:P33" si="43">D33/7</f>
        <v>0</v>
      </c>
      <c r="P33" s="51">
        <f t="shared" si="43"/>
        <v>0</v>
      </c>
      <c r="Q33" s="51" t="e">
        <f t="shared" si="7"/>
        <v>#DIV/0!</v>
      </c>
      <c r="R33" s="55" t="s">
        <v>34</v>
      </c>
      <c r="S33" s="53" t="s">
        <v>34</v>
      </c>
      <c r="T33" s="54" t="s">
        <v>34</v>
      </c>
      <c r="U33" s="55">
        <v>0</v>
      </c>
      <c r="V33" s="55">
        <f t="shared" si="8"/>
        <v>0</v>
      </c>
      <c r="W33" s="55">
        <f t="shared" si="9"/>
        <v>0</v>
      </c>
      <c r="X33" s="55">
        <v>0</v>
      </c>
      <c r="Y33" s="55" t="e">
        <v>#N/A</v>
      </c>
      <c r="Z33" s="56" t="e">
        <f t="shared" si="19"/>
        <v>#N/A</v>
      </c>
      <c r="AA33" s="55" t="e">
        <v>#N/A</v>
      </c>
      <c r="AB33" s="55">
        <f t="shared" si="27"/>
        <v>0</v>
      </c>
      <c r="AC33" s="55">
        <v>0</v>
      </c>
      <c r="AD33" s="55">
        <v>-16.344664090909092</v>
      </c>
      <c r="AE33" s="55">
        <v>0</v>
      </c>
      <c r="AF33" s="55" t="e">
        <v>#N/A</v>
      </c>
    </row>
    <row r="34" spans="1:32" s="57" customFormat="1" ht="15.75" customHeight="1">
      <c r="A34" s="2" t="s">
        <v>95</v>
      </c>
      <c r="B34" s="2"/>
      <c r="C34" s="51" t="str">
        <f t="shared" si="35"/>
        <v xml:space="preserve"> - </v>
      </c>
      <c r="D34" s="51">
        <v>0</v>
      </c>
      <c r="E34" s="51">
        <v>0</v>
      </c>
      <c r="F34" s="51">
        <v>0</v>
      </c>
      <c r="G34" s="51">
        <v>0</v>
      </c>
      <c r="H34" s="51" t="e">
        <f t="shared" si="1"/>
        <v>#DIV/0!</v>
      </c>
      <c r="I34" s="51" t="e">
        <f t="shared" si="2"/>
        <v>#DIV/0!</v>
      </c>
      <c r="J34" s="51">
        <f t="shared" si="4"/>
        <v>0</v>
      </c>
      <c r="K34" s="51" t="e">
        <f t="shared" si="3"/>
        <v>#DIV/0!</v>
      </c>
      <c r="L34" s="51">
        <v>0</v>
      </c>
      <c r="M34" s="51" t="str">
        <f t="shared" si="5"/>
        <v>-</v>
      </c>
      <c r="N34" s="51">
        <v>0</v>
      </c>
      <c r="O34" s="51">
        <f t="shared" ref="O34:P34" si="44">D34/7</f>
        <v>0</v>
      </c>
      <c r="P34" s="51">
        <f t="shared" si="44"/>
        <v>0</v>
      </c>
      <c r="Q34" s="51" t="e">
        <f t="shared" si="7"/>
        <v>#DIV/0!</v>
      </c>
      <c r="R34" s="55" t="s">
        <v>34</v>
      </c>
      <c r="S34" s="53" t="s">
        <v>34</v>
      </c>
      <c r="T34" s="54" t="s">
        <v>34</v>
      </c>
      <c r="U34" s="55">
        <v>0</v>
      </c>
      <c r="V34" s="55">
        <f t="shared" si="8"/>
        <v>0</v>
      </c>
      <c r="W34" s="55">
        <f t="shared" si="9"/>
        <v>0</v>
      </c>
      <c r="X34" s="55">
        <v>0</v>
      </c>
      <c r="Y34" s="55" t="e">
        <v>#N/A</v>
      </c>
      <c r="Z34" s="56" t="e">
        <f t="shared" si="19"/>
        <v>#N/A</v>
      </c>
      <c r="AA34" s="55" t="e">
        <v>#N/A</v>
      </c>
      <c r="AB34" s="55">
        <f t="shared" si="27"/>
        <v>0</v>
      </c>
      <c r="AC34" s="55">
        <v>0</v>
      </c>
      <c r="AD34" s="55">
        <v>-16.344664090909092</v>
      </c>
      <c r="AE34" s="55">
        <v>0</v>
      </c>
      <c r="AF34" s="55" t="e">
        <v>#N/A</v>
      </c>
    </row>
    <row r="35" spans="1:32" s="57" customFormat="1" ht="15.75" customHeight="1">
      <c r="A35" s="2" t="s">
        <v>96</v>
      </c>
      <c r="B35" s="2"/>
      <c r="C35" s="51" t="str">
        <f t="shared" si="35"/>
        <v xml:space="preserve"> - </v>
      </c>
      <c r="D35" s="51">
        <v>0</v>
      </c>
      <c r="E35" s="51">
        <v>0</v>
      </c>
      <c r="F35" s="51">
        <v>0</v>
      </c>
      <c r="G35" s="51">
        <v>0</v>
      </c>
      <c r="H35" s="51" t="e">
        <f t="shared" si="1"/>
        <v>#DIV/0!</v>
      </c>
      <c r="I35" s="51" t="e">
        <f t="shared" si="2"/>
        <v>#DIV/0!</v>
      </c>
      <c r="J35" s="51">
        <f t="shared" si="4"/>
        <v>0</v>
      </c>
      <c r="K35" s="51" t="e">
        <f t="shared" si="3"/>
        <v>#DIV/0!</v>
      </c>
      <c r="L35" s="51">
        <v>0</v>
      </c>
      <c r="M35" s="51" t="str">
        <f t="shared" si="5"/>
        <v>-</v>
      </c>
      <c r="N35" s="51">
        <v>0</v>
      </c>
      <c r="O35" s="51">
        <f t="shared" ref="O35:P35" si="45">D35/7</f>
        <v>0</v>
      </c>
      <c r="P35" s="51">
        <f t="shared" si="45"/>
        <v>0</v>
      </c>
      <c r="Q35" s="51" t="e">
        <f t="shared" si="7"/>
        <v>#DIV/0!</v>
      </c>
      <c r="R35" s="55" t="s">
        <v>34</v>
      </c>
      <c r="S35" s="53" t="s">
        <v>34</v>
      </c>
      <c r="T35" s="54" t="s">
        <v>34</v>
      </c>
      <c r="U35" s="55">
        <v>0</v>
      </c>
      <c r="V35" s="55">
        <f t="shared" si="8"/>
        <v>0</v>
      </c>
      <c r="W35" s="55">
        <f t="shared" si="9"/>
        <v>0</v>
      </c>
      <c r="X35" s="55">
        <v>0</v>
      </c>
      <c r="Y35" s="55" t="e">
        <v>#N/A</v>
      </c>
      <c r="Z35" s="56" t="e">
        <f t="shared" si="19"/>
        <v>#N/A</v>
      </c>
      <c r="AA35" s="55" t="e">
        <v>#N/A</v>
      </c>
      <c r="AB35" s="55">
        <f t="shared" si="27"/>
        <v>0</v>
      </c>
      <c r="AC35" s="55">
        <v>0</v>
      </c>
      <c r="AD35" s="55">
        <v>-16.446754090909092</v>
      </c>
      <c r="AE35" s="55">
        <v>0</v>
      </c>
      <c r="AF35" s="55" t="e">
        <v>#N/A</v>
      </c>
    </row>
    <row r="36" spans="1:32" s="57" customFormat="1" ht="15.75" customHeight="1">
      <c r="A36" s="2" t="s">
        <v>98</v>
      </c>
      <c r="B36" s="2"/>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t="s">
        <v>34</v>
      </c>
      <c r="S36" s="53"/>
      <c r="T36" s="54" t="s">
        <v>34</v>
      </c>
      <c r="U36" s="55"/>
      <c r="V36" s="55">
        <f t="shared" si="8"/>
        <v>0</v>
      </c>
      <c r="W36" s="55">
        <f t="shared" si="9"/>
        <v>0</v>
      </c>
      <c r="X36" s="55"/>
      <c r="Y36" s="55" t="e">
        <v>#N/A</v>
      </c>
      <c r="Z36" s="56" t="e">
        <f t="shared" si="19"/>
        <v>#N/A</v>
      </c>
      <c r="AA36" s="55" t="e">
        <v>#N/A</v>
      </c>
      <c r="AB36" s="55">
        <f t="shared" si="27"/>
        <v>0</v>
      </c>
      <c r="AC36" s="55">
        <v>0</v>
      </c>
      <c r="AD36" s="55">
        <v>-16.446754090909092</v>
      </c>
      <c r="AE36" s="55">
        <v>0</v>
      </c>
      <c r="AF36" s="55" t="e">
        <v>#N/A</v>
      </c>
    </row>
    <row r="37" spans="1:32" s="57" customFormat="1" ht="15.75" customHeight="1">
      <c r="A37" s="2" t="s">
        <v>99</v>
      </c>
      <c r="B37" s="2"/>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t="s">
        <v>34</v>
      </c>
      <c r="S37" s="53" t="s">
        <v>34</v>
      </c>
      <c r="T37" s="54" t="s">
        <v>34</v>
      </c>
      <c r="U37" s="55">
        <v>0</v>
      </c>
      <c r="V37" s="55">
        <f t="shared" si="8"/>
        <v>0</v>
      </c>
      <c r="W37" s="55">
        <f t="shared" si="9"/>
        <v>0</v>
      </c>
      <c r="X37" s="55">
        <v>0</v>
      </c>
      <c r="Y37" s="55" t="e">
        <v>#N/A</v>
      </c>
      <c r="Z37" s="56" t="e">
        <f t="shared" si="19"/>
        <v>#N/A</v>
      </c>
      <c r="AA37" s="55" t="e">
        <v>#N/A</v>
      </c>
      <c r="AB37" s="55">
        <f t="shared" si="27"/>
        <v>0</v>
      </c>
      <c r="AC37" s="55">
        <v>0</v>
      </c>
      <c r="AD37" s="55">
        <v>-16.446754090909092</v>
      </c>
      <c r="AE37" s="55">
        <v>0</v>
      </c>
      <c r="AF37" s="55" t="e">
        <v>#N/A</v>
      </c>
    </row>
    <row r="38" spans="1:32" s="57" customFormat="1" ht="15.75" customHeight="1">
      <c r="A38" s="2" t="s">
        <v>100</v>
      </c>
      <c r="B38" s="2"/>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5" t="s">
        <v>34</v>
      </c>
      <c r="S38" s="53"/>
      <c r="T38" s="54" t="s">
        <v>34</v>
      </c>
      <c r="U38" s="55">
        <v>0</v>
      </c>
      <c r="V38" s="55">
        <f t="shared" si="8"/>
        <v>0</v>
      </c>
      <c r="W38" s="55">
        <f t="shared" si="9"/>
        <v>0</v>
      </c>
      <c r="X38" s="55">
        <v>0</v>
      </c>
      <c r="Y38" s="55" t="e">
        <v>#N/A</v>
      </c>
      <c r="Z38" s="56" t="e">
        <f t="shared" si="19"/>
        <v>#N/A</v>
      </c>
      <c r="AA38" s="55" t="e">
        <v>#N/A</v>
      </c>
      <c r="AB38" s="55">
        <f t="shared" si="27"/>
        <v>0</v>
      </c>
      <c r="AC38" s="55">
        <v>0</v>
      </c>
      <c r="AD38" s="55">
        <v>-16.446754090909092</v>
      </c>
      <c r="AE38" s="55">
        <v>0</v>
      </c>
      <c r="AF38" s="55" t="e">
        <v>#N/A</v>
      </c>
    </row>
    <row r="39" spans="1:32" s="57" customFormat="1" ht="15.75" customHeight="1">
      <c r="A39" s="2" t="s">
        <v>101</v>
      </c>
      <c r="B39" s="2"/>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0</v>
      </c>
      <c r="O39" s="51">
        <f t="shared" ref="O39:P39" si="49">D39/7</f>
        <v>0</v>
      </c>
      <c r="P39" s="51">
        <f t="shared" si="49"/>
        <v>0</v>
      </c>
      <c r="Q39" s="51" t="e">
        <f t="shared" si="7"/>
        <v>#DIV/0!</v>
      </c>
      <c r="R39" s="55" t="s">
        <v>34</v>
      </c>
      <c r="S39" s="53" t="s">
        <v>34</v>
      </c>
      <c r="T39" s="54" t="s">
        <v>34</v>
      </c>
      <c r="U39" s="55">
        <v>0</v>
      </c>
      <c r="V39" s="55">
        <f t="shared" si="8"/>
        <v>0</v>
      </c>
      <c r="W39" s="55">
        <f t="shared" si="9"/>
        <v>0</v>
      </c>
      <c r="X39" s="55">
        <v>0</v>
      </c>
      <c r="Y39" s="55" t="e">
        <v>#N/A</v>
      </c>
      <c r="Z39" s="56" t="e">
        <f t="shared" si="19"/>
        <v>#N/A</v>
      </c>
      <c r="AA39" s="55" t="e">
        <v>#N/A</v>
      </c>
      <c r="AB39" s="55">
        <f t="shared" si="27"/>
        <v>0</v>
      </c>
      <c r="AC39" s="55">
        <v>0</v>
      </c>
      <c r="AD39" s="55">
        <v>-16.446754090909</v>
      </c>
      <c r="AE39" s="55">
        <v>0</v>
      </c>
      <c r="AF39" s="55" t="e">
        <v>#N/A</v>
      </c>
    </row>
    <row r="40" spans="1:32" s="57" customFormat="1" ht="15.75" customHeight="1">
      <c r="A40" s="2" t="s">
        <v>102</v>
      </c>
      <c r="B40" s="2"/>
      <c r="C40" s="51" t="s">
        <v>103</v>
      </c>
      <c r="D40" s="51">
        <v>0</v>
      </c>
      <c r="E40" s="51">
        <v>0</v>
      </c>
      <c r="F40" s="51">
        <v>0</v>
      </c>
      <c r="G40" s="51">
        <v>0</v>
      </c>
      <c r="H40" s="51" t="e">
        <v>#DIV/0!</v>
      </c>
      <c r="I40" s="51" t="e">
        <v>#DIV/0!</v>
      </c>
      <c r="J40" s="51">
        <v>0</v>
      </c>
      <c r="K40" s="51" t="e">
        <v>#DIV/0!</v>
      </c>
      <c r="L40" s="51">
        <v>0</v>
      </c>
      <c r="M40" s="51" t="s">
        <v>104</v>
      </c>
      <c r="N40" s="51">
        <v>0</v>
      </c>
      <c r="O40" s="51">
        <v>0</v>
      </c>
      <c r="P40" s="51">
        <v>0</v>
      </c>
      <c r="Q40" s="51" t="e">
        <v>#DIV/0!</v>
      </c>
      <c r="R40" s="55" t="s">
        <v>34</v>
      </c>
      <c r="S40" s="53" t="s">
        <v>34</v>
      </c>
      <c r="T40" s="54" t="s">
        <v>34</v>
      </c>
      <c r="U40" s="55">
        <v>0</v>
      </c>
      <c r="V40" s="55">
        <v>0</v>
      </c>
      <c r="W40" s="55">
        <v>0</v>
      </c>
      <c r="X40" s="55">
        <v>0</v>
      </c>
      <c r="Y40" s="55" t="e">
        <v>#N/A</v>
      </c>
      <c r="Z40" s="56" t="e">
        <v>#N/A</v>
      </c>
      <c r="AA40" s="55" t="e">
        <v>#N/A</v>
      </c>
      <c r="AB40" s="55">
        <v>0</v>
      </c>
      <c r="AC40" s="55">
        <v>0</v>
      </c>
      <c r="AD40" s="55">
        <v>-16.446754090909</v>
      </c>
      <c r="AE40" s="55">
        <v>0</v>
      </c>
      <c r="AF40" s="55" t="e">
        <v>#N/A</v>
      </c>
    </row>
    <row r="41" spans="1:32" s="57" customFormat="1" ht="15.75" customHeight="1">
      <c r="A41" s="2" t="s">
        <v>105</v>
      </c>
      <c r="B41" s="2"/>
      <c r="C41" s="51" t="str">
        <f t="shared" ref="C41:C56" si="50">IFERROR(F41/D41," - ")</f>
        <v xml:space="preserve"> - </v>
      </c>
      <c r="D41" s="51">
        <v>0</v>
      </c>
      <c r="E41" s="51">
        <v>0</v>
      </c>
      <c r="F41" s="51">
        <v>0</v>
      </c>
      <c r="G41" s="51">
        <v>0</v>
      </c>
      <c r="H41" s="51" t="e">
        <f t="shared" ref="H41:H56" si="51">G41/F41*-1</f>
        <v>#DIV/0!</v>
      </c>
      <c r="I41" s="51" t="e">
        <f t="shared" ref="I41:I56" si="52">J41/F41</f>
        <v>#DIV/0!</v>
      </c>
      <c r="J41" s="51">
        <f t="shared" ref="J41:J48" si="53">F41*0.85+G41+AD41*D41+D41*AC41+AE42+AB41</f>
        <v>0</v>
      </c>
      <c r="K41" s="51" t="e">
        <f t="shared" ref="K41:K56" si="54">J41/D41</f>
        <v>#DIV/0!</v>
      </c>
      <c r="L41" s="51">
        <v>0</v>
      </c>
      <c r="M41" s="51" t="str">
        <f t="shared" ref="M41:M56" si="55">IFERROR(D41/L41,"-")</f>
        <v>-</v>
      </c>
      <c r="N41" s="51">
        <v>0</v>
      </c>
      <c r="O41" s="51">
        <f t="shared" ref="O41:P41" si="56">D41/7</f>
        <v>0</v>
      </c>
      <c r="P41" s="51">
        <f t="shared" si="56"/>
        <v>0</v>
      </c>
      <c r="Q41" s="51" t="e">
        <f t="shared" ref="Q41:Q56" si="57">ROUNDDOWN(N41/(O41+P41),0)</f>
        <v>#DIV/0!</v>
      </c>
      <c r="R41" s="55" t="s">
        <v>34</v>
      </c>
      <c r="S41" s="53" t="s">
        <v>34</v>
      </c>
      <c r="T41" s="54" t="s">
        <v>34</v>
      </c>
      <c r="U41" s="55">
        <v>0</v>
      </c>
      <c r="V41" s="55">
        <f t="shared" ref="V41:V56" si="58">IFERROR(U41/D41,0)</f>
        <v>0</v>
      </c>
      <c r="W41" s="55">
        <f t="shared" ref="W41:W56" si="59">IFERROR(G41/(U41+X41)*-1,0)</f>
        <v>0</v>
      </c>
      <c r="X41" s="55">
        <v>0</v>
      </c>
      <c r="Y41" s="52" t="e">
        <v>#N/A</v>
      </c>
      <c r="Z41" s="56" t="e">
        <f t="shared" ref="Z41:Z43" si="60">IF(OR(Y41="UsLargeStandardSize",Y41="UsSmallStandardSize"),-0.75,-0.48)</f>
        <v>#N/A</v>
      </c>
      <c r="AA41" s="55" t="e">
        <v>#N/A</v>
      </c>
      <c r="AB41" s="55">
        <f t="shared" ref="AB41:AB56" si="61">IFERROR(Z41*AA41*D41*3,0)</f>
        <v>0</v>
      </c>
      <c r="AC41" s="55">
        <v>0</v>
      </c>
      <c r="AD41" s="55">
        <v>-16.446754090909</v>
      </c>
      <c r="AE41" s="55">
        <v>0</v>
      </c>
      <c r="AF41" s="55" t="e">
        <v>#N/A</v>
      </c>
    </row>
    <row r="42" spans="1:32" s="57" customFormat="1" ht="15.75" customHeight="1">
      <c r="A42" s="2" t="s">
        <v>106</v>
      </c>
      <c r="B42" s="2"/>
      <c r="C42" s="51" t="str">
        <f t="shared" si="50"/>
        <v xml:space="preserve"> - </v>
      </c>
      <c r="D42" s="51">
        <v>0</v>
      </c>
      <c r="E42" s="51">
        <v>0</v>
      </c>
      <c r="F42" s="51">
        <v>0</v>
      </c>
      <c r="G42" s="51">
        <v>0</v>
      </c>
      <c r="H42" s="51" t="e">
        <f t="shared" si="51"/>
        <v>#DIV/0!</v>
      </c>
      <c r="I42" s="51" t="e">
        <f t="shared" si="52"/>
        <v>#DIV/0!</v>
      </c>
      <c r="J42" s="51">
        <f t="shared" si="53"/>
        <v>0</v>
      </c>
      <c r="K42" s="51" t="e">
        <f t="shared" si="54"/>
        <v>#DIV/0!</v>
      </c>
      <c r="L42" s="51">
        <v>0</v>
      </c>
      <c r="M42" s="51" t="str">
        <f t="shared" si="55"/>
        <v>-</v>
      </c>
      <c r="N42" s="51">
        <v>0</v>
      </c>
      <c r="O42" s="51">
        <f t="shared" ref="O42:P42" si="62">D42/7</f>
        <v>0</v>
      </c>
      <c r="P42" s="51">
        <f t="shared" si="62"/>
        <v>0</v>
      </c>
      <c r="Q42" s="51" t="e">
        <f t="shared" si="57"/>
        <v>#DIV/0!</v>
      </c>
      <c r="R42" s="55" t="str">
        <f ca="1">IFERROR(__xludf.DUMMYFUNCTION("IFERROR(VLOOKUP($B$2,IMPORTRANGE(""https://docs.google.com/spreadsheets/d/1iVgg6Mw12RULLujzHmfOFIY8Q_KaAD8anoZzgtVAQ74/edit#gid=1503384807"",""Second Star - Summary!A1:AD2000""),9,FALSE),"""")"),"")</f>
        <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0</v>
      </c>
      <c r="V42" s="55">
        <f t="shared" si="58"/>
        <v>0</v>
      </c>
      <c r="W42" s="55">
        <f t="shared" si="59"/>
        <v>0</v>
      </c>
      <c r="X42" s="55">
        <v>0</v>
      </c>
      <c r="Y42" s="55" t="e">
        <v>#N/A</v>
      </c>
      <c r="Z42" s="56" t="e">
        <f t="shared" si="60"/>
        <v>#N/A</v>
      </c>
      <c r="AA42" s="55" t="e">
        <v>#N/A</v>
      </c>
      <c r="AB42" s="55">
        <f t="shared" si="61"/>
        <v>0</v>
      </c>
      <c r="AC42" s="55">
        <v>0</v>
      </c>
      <c r="AD42" s="55">
        <v>-16.446754090909</v>
      </c>
      <c r="AE42" s="55">
        <v>0</v>
      </c>
      <c r="AF42" s="55" t="e">
        <v>#N/A</v>
      </c>
    </row>
    <row r="43" spans="1:32" s="57" customFormat="1" ht="15.75" customHeight="1">
      <c r="A43" s="2" t="s">
        <v>107</v>
      </c>
      <c r="B43" s="2"/>
      <c r="C43" s="51" t="str">
        <f t="shared" si="50"/>
        <v xml:space="preserve"> - </v>
      </c>
      <c r="D43" s="51">
        <v>0</v>
      </c>
      <c r="E43" s="51">
        <v>0</v>
      </c>
      <c r="F43" s="51">
        <v>0</v>
      </c>
      <c r="G43" s="51">
        <v>0</v>
      </c>
      <c r="H43" s="51" t="e">
        <f t="shared" si="51"/>
        <v>#DIV/0!</v>
      </c>
      <c r="I43" s="51" t="e">
        <f t="shared" si="52"/>
        <v>#DIV/0!</v>
      </c>
      <c r="J43" s="51">
        <f t="shared" si="53"/>
        <v>0</v>
      </c>
      <c r="K43" s="51" t="e">
        <f t="shared" si="54"/>
        <v>#DIV/0!</v>
      </c>
      <c r="L43" s="51">
        <v>0</v>
      </c>
      <c r="M43" s="51" t="str">
        <f t="shared" si="55"/>
        <v>-</v>
      </c>
      <c r="N43" s="51">
        <v>0</v>
      </c>
      <c r="O43" s="51">
        <f t="shared" ref="O43:P43" si="63">D43/7</f>
        <v>0</v>
      </c>
      <c r="P43" s="51">
        <f t="shared" si="63"/>
        <v>0</v>
      </c>
      <c r="Q43" s="51" t="e">
        <f t="shared" si="57"/>
        <v>#DIV/0!</v>
      </c>
      <c r="R43" s="55" t="s">
        <v>34</v>
      </c>
      <c r="S43" s="53" t="s">
        <v>34</v>
      </c>
      <c r="T43" s="54" t="s">
        <v>34</v>
      </c>
      <c r="U43" s="55">
        <v>0</v>
      </c>
      <c r="V43" s="55">
        <f t="shared" si="58"/>
        <v>0</v>
      </c>
      <c r="W43" s="55">
        <f t="shared" si="59"/>
        <v>0</v>
      </c>
      <c r="X43" s="55">
        <v>0</v>
      </c>
      <c r="Y43" s="55" t="e">
        <v>#N/A</v>
      </c>
      <c r="Z43" s="56" t="e">
        <f t="shared" si="60"/>
        <v>#N/A</v>
      </c>
      <c r="AA43" s="55" t="e">
        <v>#N/A</v>
      </c>
      <c r="AB43" s="55">
        <f t="shared" si="61"/>
        <v>0</v>
      </c>
      <c r="AC43" s="55">
        <v>0</v>
      </c>
      <c r="AD43" s="55">
        <v>-16.446754090909</v>
      </c>
      <c r="AE43" s="55">
        <v>0</v>
      </c>
      <c r="AF43" s="55" t="e">
        <v>#N/A</v>
      </c>
    </row>
    <row r="44" spans="1:32" s="57" customFormat="1" ht="15.75" customHeight="1">
      <c r="A44" s="2" t="s">
        <v>108</v>
      </c>
      <c r="B44" s="2"/>
      <c r="C44" s="51" t="str">
        <f t="shared" si="50"/>
        <v xml:space="preserve"> - </v>
      </c>
      <c r="D44" s="51">
        <v>0</v>
      </c>
      <c r="E44" s="51">
        <v>0</v>
      </c>
      <c r="F44" s="51">
        <v>0</v>
      </c>
      <c r="G44" s="51">
        <v>0</v>
      </c>
      <c r="H44" s="51" t="e">
        <f t="shared" si="51"/>
        <v>#DIV/0!</v>
      </c>
      <c r="I44" s="51" t="e">
        <f t="shared" si="52"/>
        <v>#DIV/0!</v>
      </c>
      <c r="J44" s="51">
        <f t="shared" si="53"/>
        <v>0</v>
      </c>
      <c r="K44" s="51" t="e">
        <f t="shared" si="54"/>
        <v>#DIV/0!</v>
      </c>
      <c r="L44" s="51">
        <v>0</v>
      </c>
      <c r="M44" s="51" t="str">
        <f t="shared" si="55"/>
        <v>-</v>
      </c>
      <c r="N44" s="51">
        <v>0</v>
      </c>
      <c r="O44" s="51">
        <f t="shared" ref="O44:P44" si="64">D44/7</f>
        <v>0</v>
      </c>
      <c r="P44" s="51">
        <f t="shared" si="64"/>
        <v>0</v>
      </c>
      <c r="Q44" s="51" t="e">
        <f t="shared" si="57"/>
        <v>#DIV/0!</v>
      </c>
      <c r="R44" s="55" t="s">
        <v>34</v>
      </c>
      <c r="S44" s="53" t="s">
        <v>34</v>
      </c>
      <c r="T44" s="54" t="s">
        <v>34</v>
      </c>
      <c r="U44" s="55">
        <v>0</v>
      </c>
      <c r="V44" s="55">
        <f t="shared" si="58"/>
        <v>0</v>
      </c>
      <c r="W44" s="55">
        <f t="shared" si="59"/>
        <v>0</v>
      </c>
      <c r="X44" s="55">
        <v>0</v>
      </c>
      <c r="Y44" s="55" t="e">
        <v>#N/A</v>
      </c>
      <c r="Z44" s="56" t="e">
        <f t="shared" ref="Z44:Z56" si="65">IF(OR(Y44="UsLargeStandardSize",Y44="UsSmallStandardSize"),-2.4,-1.2)</f>
        <v>#N/A</v>
      </c>
      <c r="AA44" s="55" t="e">
        <v>#N/A</v>
      </c>
      <c r="AB44" s="55">
        <f t="shared" si="61"/>
        <v>0</v>
      </c>
      <c r="AC44" s="55">
        <v>0</v>
      </c>
      <c r="AD44" s="55">
        <v>-16.446754090909</v>
      </c>
      <c r="AE44" s="55">
        <v>0</v>
      </c>
      <c r="AF44" s="55" t="e">
        <v>#N/A</v>
      </c>
    </row>
    <row r="45" spans="1:32" s="57" customFormat="1" ht="15.75" customHeight="1">
      <c r="A45" s="2" t="s">
        <v>109</v>
      </c>
      <c r="B45" s="2"/>
      <c r="C45" s="51" t="str">
        <f t="shared" si="50"/>
        <v xml:space="preserve"> - </v>
      </c>
      <c r="D45" s="51">
        <v>0</v>
      </c>
      <c r="E45" s="51">
        <v>0</v>
      </c>
      <c r="F45" s="51">
        <v>0</v>
      </c>
      <c r="G45" s="51">
        <v>0</v>
      </c>
      <c r="H45" s="51" t="e">
        <f t="shared" si="51"/>
        <v>#DIV/0!</v>
      </c>
      <c r="I45" s="51" t="e">
        <f t="shared" si="52"/>
        <v>#DIV/0!</v>
      </c>
      <c r="J45" s="51">
        <f t="shared" si="53"/>
        <v>0</v>
      </c>
      <c r="K45" s="51" t="e">
        <f t="shared" si="54"/>
        <v>#DIV/0!</v>
      </c>
      <c r="L45" s="51">
        <v>0</v>
      </c>
      <c r="M45" s="51" t="str">
        <f t="shared" si="55"/>
        <v>-</v>
      </c>
      <c r="N45" s="51">
        <v>0</v>
      </c>
      <c r="O45" s="51">
        <f t="shared" ref="O45:P45" si="66">D45/7</f>
        <v>0</v>
      </c>
      <c r="P45" s="51">
        <f t="shared" si="66"/>
        <v>0</v>
      </c>
      <c r="Q45" s="51" t="e">
        <f t="shared" si="57"/>
        <v>#DIV/0!</v>
      </c>
      <c r="R45" s="55" t="s">
        <v>34</v>
      </c>
      <c r="S45" s="53" t="s">
        <v>34</v>
      </c>
      <c r="T45" s="54" t="s">
        <v>34</v>
      </c>
      <c r="U45" s="55">
        <v>0</v>
      </c>
      <c r="V45" s="55">
        <f t="shared" si="58"/>
        <v>0</v>
      </c>
      <c r="W45" s="55">
        <f t="shared" si="59"/>
        <v>0</v>
      </c>
      <c r="X45" s="55">
        <v>0</v>
      </c>
      <c r="Y45" s="55" t="e">
        <v>#N/A</v>
      </c>
      <c r="Z45" s="56" t="e">
        <f t="shared" si="65"/>
        <v>#N/A</v>
      </c>
      <c r="AA45" s="55" t="e">
        <v>#N/A</v>
      </c>
      <c r="AB45" s="55">
        <f t="shared" si="61"/>
        <v>0</v>
      </c>
      <c r="AC45" s="55">
        <v>0</v>
      </c>
      <c r="AD45" s="55">
        <v>-16.446754090909</v>
      </c>
      <c r="AE45" s="55">
        <v>0</v>
      </c>
      <c r="AF45" s="55" t="e">
        <v>#N/A</v>
      </c>
    </row>
    <row r="46" spans="1:32" s="57" customFormat="1" ht="15.75" customHeight="1">
      <c r="A46" s="2" t="s">
        <v>111</v>
      </c>
      <c r="B46" s="2"/>
      <c r="C46" s="51" t="str">
        <f t="shared" si="50"/>
        <v xml:space="preserve"> - </v>
      </c>
      <c r="D46" s="51">
        <v>0</v>
      </c>
      <c r="E46" s="51">
        <v>0</v>
      </c>
      <c r="F46" s="51">
        <v>0</v>
      </c>
      <c r="G46" s="51">
        <v>0</v>
      </c>
      <c r="H46" s="51" t="e">
        <f t="shared" si="51"/>
        <v>#DIV/0!</v>
      </c>
      <c r="I46" s="51" t="e">
        <f t="shared" si="52"/>
        <v>#DIV/0!</v>
      </c>
      <c r="J46" s="51">
        <f t="shared" si="53"/>
        <v>0</v>
      </c>
      <c r="K46" s="51" t="e">
        <f t="shared" si="54"/>
        <v>#DIV/0!</v>
      </c>
      <c r="L46" s="51">
        <v>0</v>
      </c>
      <c r="M46" s="51" t="str">
        <f t="shared" si="55"/>
        <v>-</v>
      </c>
      <c r="N46" s="51">
        <v>0</v>
      </c>
      <c r="O46" s="51">
        <f t="shared" ref="O46:P46" si="67">D46/7</f>
        <v>0</v>
      </c>
      <c r="P46" s="51">
        <f t="shared" si="67"/>
        <v>0</v>
      </c>
      <c r="Q46" s="51" t="e">
        <f t="shared" si="57"/>
        <v>#DIV/0!</v>
      </c>
      <c r="R46" s="55" t="s">
        <v>34</v>
      </c>
      <c r="S46" s="53" t="s">
        <v>34</v>
      </c>
      <c r="T46" s="54" t="s">
        <v>34</v>
      </c>
      <c r="U46" s="55">
        <v>0</v>
      </c>
      <c r="V46" s="55">
        <f t="shared" si="58"/>
        <v>0</v>
      </c>
      <c r="W46" s="55">
        <f t="shared" si="59"/>
        <v>0</v>
      </c>
      <c r="X46" s="55">
        <v>0</v>
      </c>
      <c r="Y46" s="55" t="e">
        <v>#N/A</v>
      </c>
      <c r="Z46" s="56" t="e">
        <f t="shared" si="65"/>
        <v>#N/A</v>
      </c>
      <c r="AA46" s="55" t="e">
        <v>#N/A</v>
      </c>
      <c r="AB46" s="55">
        <f t="shared" si="61"/>
        <v>0</v>
      </c>
      <c r="AC46" s="55">
        <v>0</v>
      </c>
      <c r="AD46" s="55">
        <v>-16.446754090909</v>
      </c>
      <c r="AE46" s="55">
        <v>0</v>
      </c>
      <c r="AF46" s="55" t="e">
        <v>#N/A</v>
      </c>
    </row>
    <row r="47" spans="1:32" s="57" customFormat="1" ht="15.75" customHeight="1">
      <c r="A47" s="2" t="s">
        <v>113</v>
      </c>
      <c r="B47" s="2"/>
      <c r="C47" s="51" t="str">
        <f t="shared" si="50"/>
        <v xml:space="preserve"> - </v>
      </c>
      <c r="D47" s="51">
        <v>0</v>
      </c>
      <c r="E47" s="51">
        <v>0</v>
      </c>
      <c r="F47" s="51">
        <v>0</v>
      </c>
      <c r="G47" s="51">
        <v>0</v>
      </c>
      <c r="H47" s="51" t="e">
        <f t="shared" si="51"/>
        <v>#DIV/0!</v>
      </c>
      <c r="I47" s="51" t="e">
        <f t="shared" si="52"/>
        <v>#DIV/0!</v>
      </c>
      <c r="J47" s="51">
        <f t="shared" si="53"/>
        <v>0</v>
      </c>
      <c r="K47" s="51" t="e">
        <f t="shared" si="54"/>
        <v>#DIV/0!</v>
      </c>
      <c r="L47" s="51">
        <v>0</v>
      </c>
      <c r="M47" s="51" t="str">
        <f t="shared" si="55"/>
        <v>-</v>
      </c>
      <c r="N47" s="51">
        <v>0</v>
      </c>
      <c r="O47" s="51">
        <f t="shared" ref="O47:P47" si="68">D47/7</f>
        <v>0</v>
      </c>
      <c r="P47" s="51">
        <f t="shared" si="68"/>
        <v>0</v>
      </c>
      <c r="Q47" s="51" t="e">
        <f t="shared" si="57"/>
        <v>#DIV/0!</v>
      </c>
      <c r="R47" s="55" t="s">
        <v>34</v>
      </c>
      <c r="S47" s="53" t="s">
        <v>34</v>
      </c>
      <c r="T47" s="54" t="s">
        <v>34</v>
      </c>
      <c r="U47" s="55">
        <v>0</v>
      </c>
      <c r="V47" s="55">
        <f t="shared" si="58"/>
        <v>0</v>
      </c>
      <c r="W47" s="55">
        <f t="shared" si="59"/>
        <v>0</v>
      </c>
      <c r="X47" s="55">
        <v>0</v>
      </c>
      <c r="Y47" s="55" t="e">
        <v>#N/A</v>
      </c>
      <c r="Z47" s="56" t="e">
        <f t="shared" si="65"/>
        <v>#N/A</v>
      </c>
      <c r="AA47" s="55" t="e">
        <v>#N/A</v>
      </c>
      <c r="AB47" s="55">
        <f t="shared" si="61"/>
        <v>0</v>
      </c>
      <c r="AC47" s="55">
        <v>0</v>
      </c>
      <c r="AD47" s="55">
        <v>-16.446754090909</v>
      </c>
      <c r="AE47" s="55">
        <v>0</v>
      </c>
      <c r="AF47" s="55" t="e">
        <v>#N/A</v>
      </c>
    </row>
    <row r="48" spans="1:32" s="57" customFormat="1" ht="15.75" customHeight="1">
      <c r="A48" s="2" t="s">
        <v>115</v>
      </c>
      <c r="B48" s="2"/>
      <c r="C48" s="51" t="str">
        <f t="shared" si="50"/>
        <v xml:space="preserve"> - </v>
      </c>
      <c r="D48" s="51">
        <v>0</v>
      </c>
      <c r="E48" s="51">
        <v>0</v>
      </c>
      <c r="F48" s="51">
        <v>0</v>
      </c>
      <c r="G48" s="51">
        <v>0</v>
      </c>
      <c r="H48" s="51" t="e">
        <f t="shared" si="51"/>
        <v>#DIV/0!</v>
      </c>
      <c r="I48" s="51" t="e">
        <f t="shared" si="52"/>
        <v>#DIV/0!</v>
      </c>
      <c r="J48" s="51">
        <f t="shared" si="53"/>
        <v>0</v>
      </c>
      <c r="K48" s="51" t="e">
        <f t="shared" si="54"/>
        <v>#DIV/0!</v>
      </c>
      <c r="L48" s="51">
        <v>0</v>
      </c>
      <c r="M48" s="51" t="str">
        <f t="shared" si="55"/>
        <v>-</v>
      </c>
      <c r="N48" s="51">
        <v>0</v>
      </c>
      <c r="O48" s="51">
        <f t="shared" ref="O48:P48" si="69">D48/7</f>
        <v>0</v>
      </c>
      <c r="P48" s="51">
        <f t="shared" si="69"/>
        <v>0</v>
      </c>
      <c r="Q48" s="51" t="e">
        <f t="shared" si="57"/>
        <v>#DIV/0!</v>
      </c>
      <c r="R48" s="55" t="str">
        <f ca="1">IFERROR(__xludf.DUMMYFUNCTION("IFERROR(VLOOKUP($B$2,IMPORTRANGE(""https://docs.google.com/spreadsheets/d/1iVgg6Mw12RULLujzHmfOFIY8Q_KaAD8anoZzgtVAQ74/edit#gid=1503384807"",""Second Star - Summary!A1:AD2000""),9,FALSE),"""")"),"")</f>
        <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si="58"/>
        <v>0</v>
      </c>
      <c r="W48" s="55">
        <f t="shared" si="59"/>
        <v>0</v>
      </c>
      <c r="X48" s="55">
        <v>0</v>
      </c>
      <c r="Y48" s="55" t="e">
        <v>#N/A</v>
      </c>
      <c r="Z48" s="56" t="e">
        <f t="shared" si="65"/>
        <v>#N/A</v>
      </c>
      <c r="AA48" s="55" t="e">
        <v>#N/A</v>
      </c>
      <c r="AB48" s="55">
        <f t="shared" si="61"/>
        <v>0</v>
      </c>
      <c r="AC48" s="55">
        <v>0</v>
      </c>
      <c r="AD48" s="55">
        <v>-16.446754090909</v>
      </c>
      <c r="AE48" s="55">
        <v>0</v>
      </c>
      <c r="AF48" s="55" t="e">
        <v>#N/A</v>
      </c>
    </row>
    <row r="49" spans="1:32" s="57" customFormat="1" ht="15.75" customHeight="1">
      <c r="A49" s="2" t="s">
        <v>117</v>
      </c>
      <c r="B49" s="2"/>
      <c r="C49" s="51" t="str">
        <f t="shared" si="50"/>
        <v xml:space="preserve"> - </v>
      </c>
      <c r="D49" s="51">
        <v>0</v>
      </c>
      <c r="E49" s="51">
        <v>0</v>
      </c>
      <c r="F49" s="51">
        <v>0</v>
      </c>
      <c r="G49" s="51">
        <v>0</v>
      </c>
      <c r="H49" s="51" t="e">
        <f t="shared" si="51"/>
        <v>#DIV/0!</v>
      </c>
      <c r="I49" s="51" t="e">
        <f t="shared" si="52"/>
        <v>#DIV/0!</v>
      </c>
      <c r="J49" s="51">
        <f t="shared" ref="J49:J56" si="70">F49*0.85+G49+AD49*D49+D49*AC49+AE49+AB49</f>
        <v>0</v>
      </c>
      <c r="K49" s="51" t="e">
        <f t="shared" si="54"/>
        <v>#DIV/0!</v>
      </c>
      <c r="L49" s="51">
        <v>0</v>
      </c>
      <c r="M49" s="51" t="str">
        <f t="shared" si="55"/>
        <v>-</v>
      </c>
      <c r="N49" s="51">
        <v>0</v>
      </c>
      <c r="O49" s="51">
        <f t="shared" ref="O49:P49" si="71">D49/7</f>
        <v>0</v>
      </c>
      <c r="P49" s="51">
        <f t="shared" si="71"/>
        <v>0</v>
      </c>
      <c r="Q49" s="51" t="e">
        <f t="shared" si="57"/>
        <v>#DIV/0!</v>
      </c>
      <c r="R49" s="55" t="str">
        <f ca="1">IFERROR(__xludf.DUMMYFUNCTION("IFERROR(VLOOKUP($B$2,IMPORTRANGE(""https://docs.google.com/spreadsheets/d/1iVgg6Mw12RULLujzHmfOFIY8Q_KaAD8anoZzgtVAQ74/edit#gid=1503384807"",""Second Star - Summary!A1:AD2000""),9,FALSE),"""")"),"")</f>
        <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58"/>
        <v>0</v>
      </c>
      <c r="W49" s="55">
        <f t="shared" si="59"/>
        <v>0</v>
      </c>
      <c r="X49" s="55">
        <v>0</v>
      </c>
      <c r="Y49" s="55" t="e">
        <v>#N/A</v>
      </c>
      <c r="Z49" s="56" t="e">
        <f t="shared" si="65"/>
        <v>#N/A</v>
      </c>
      <c r="AA49" s="55" t="e">
        <v>#N/A</v>
      </c>
      <c r="AB49" s="55">
        <f t="shared" si="61"/>
        <v>0</v>
      </c>
      <c r="AC49" s="55">
        <v>0</v>
      </c>
      <c r="AD49" s="55">
        <v>-16.446754090909</v>
      </c>
      <c r="AE49" s="55"/>
      <c r="AF49" s="55" t="e">
        <v>#N/A</v>
      </c>
    </row>
    <row r="50" spans="1:32" s="57" customFormat="1" ht="15.75" customHeight="1">
      <c r="A50" s="2" t="s">
        <v>119</v>
      </c>
      <c r="B50" s="2"/>
      <c r="C50" s="51" t="str">
        <f t="shared" si="50"/>
        <v xml:space="preserve"> - </v>
      </c>
      <c r="D50" s="51">
        <v>0</v>
      </c>
      <c r="E50" s="51">
        <v>0</v>
      </c>
      <c r="F50" s="51">
        <v>0</v>
      </c>
      <c r="G50" s="51">
        <v>0</v>
      </c>
      <c r="H50" s="51" t="e">
        <f t="shared" si="51"/>
        <v>#DIV/0!</v>
      </c>
      <c r="I50" s="51" t="e">
        <f t="shared" si="52"/>
        <v>#DIV/0!</v>
      </c>
      <c r="J50" s="51">
        <f t="shared" si="70"/>
        <v>0</v>
      </c>
      <c r="K50" s="51" t="e">
        <f t="shared" si="54"/>
        <v>#DIV/0!</v>
      </c>
      <c r="L50" s="51">
        <v>0</v>
      </c>
      <c r="M50" s="51" t="str">
        <f t="shared" si="55"/>
        <v>-</v>
      </c>
      <c r="N50" s="51">
        <v>0</v>
      </c>
      <c r="O50" s="51">
        <f t="shared" ref="O50:P50" si="72">D50/7</f>
        <v>0</v>
      </c>
      <c r="P50" s="51">
        <f t="shared" si="72"/>
        <v>0</v>
      </c>
      <c r="Q50" s="51" t="e">
        <f t="shared" si="57"/>
        <v>#DIV/0!</v>
      </c>
      <c r="R50" s="55" t="str">
        <f ca="1">IFERROR(__xludf.DUMMYFUNCTION("IFERROR(VLOOKUP($B$2,IMPORTRANGE(""https://docs.google.com/spreadsheets/d/1iVgg6Mw12RULLujzHmfOFIY8Q_KaAD8anoZzgtVAQ74/edit#gid=1503384807"",""Second Star - Summary!A1:AD2000""),9,FALSE),"""")"),"")</f>
        <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58"/>
        <v>0</v>
      </c>
      <c r="W50" s="55">
        <f t="shared" si="59"/>
        <v>0</v>
      </c>
      <c r="X50" s="55">
        <v>0</v>
      </c>
      <c r="Y50" s="55" t="e">
        <v>#N/A</v>
      </c>
      <c r="Z50" s="56" t="e">
        <f t="shared" si="65"/>
        <v>#N/A</v>
      </c>
      <c r="AA50" s="55" t="e">
        <v>#N/A</v>
      </c>
      <c r="AB50" s="55">
        <f t="shared" si="61"/>
        <v>0</v>
      </c>
      <c r="AC50" s="55">
        <v>0</v>
      </c>
      <c r="AD50" s="55">
        <v>-16.446754090909</v>
      </c>
      <c r="AE50" s="55">
        <v>0</v>
      </c>
      <c r="AF50" s="55" t="e">
        <v>#N/A</v>
      </c>
    </row>
    <row r="51" spans="1:32" s="57" customFormat="1" ht="15.75" customHeight="1">
      <c r="A51" s="2" t="s">
        <v>121</v>
      </c>
      <c r="B51" s="2"/>
      <c r="C51" s="51" t="str">
        <f t="shared" si="50"/>
        <v xml:space="preserve"> - </v>
      </c>
      <c r="D51" s="51">
        <v>0</v>
      </c>
      <c r="E51" s="51">
        <v>0</v>
      </c>
      <c r="F51" s="51">
        <v>0</v>
      </c>
      <c r="G51" s="51">
        <v>0</v>
      </c>
      <c r="H51" s="51" t="e">
        <f t="shared" si="51"/>
        <v>#DIV/0!</v>
      </c>
      <c r="I51" s="51" t="e">
        <f t="shared" si="52"/>
        <v>#DIV/0!</v>
      </c>
      <c r="J51" s="51">
        <f t="shared" si="70"/>
        <v>0</v>
      </c>
      <c r="K51" s="51" t="e">
        <f t="shared" si="54"/>
        <v>#DIV/0!</v>
      </c>
      <c r="L51" s="51">
        <v>0</v>
      </c>
      <c r="M51" s="51" t="str">
        <f t="shared" si="55"/>
        <v>-</v>
      </c>
      <c r="N51" s="51">
        <v>0</v>
      </c>
      <c r="O51" s="51">
        <f t="shared" ref="O51:P51" si="73">D51/7</f>
        <v>0</v>
      </c>
      <c r="P51" s="51">
        <f t="shared" si="73"/>
        <v>0</v>
      </c>
      <c r="Q51" s="51" t="e">
        <f t="shared" si="57"/>
        <v>#DIV/0!</v>
      </c>
      <c r="R51" s="55" t="str">
        <f ca="1">IFERROR(__xludf.DUMMYFUNCTION("IFERROR(VLOOKUP($B$2,IMPORTRANGE(""https://docs.google.com/spreadsheets/d/1iVgg6Mw12RULLujzHmfOFIY8Q_KaAD8anoZzgtVAQ74/edit#gid=1503384807"",""Second Star - Summary!A1:AD2000""),9,FALSE),"""")"),"")</f>
        <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58"/>
        <v>0</v>
      </c>
      <c r="W51" s="55">
        <f t="shared" si="59"/>
        <v>0</v>
      </c>
      <c r="X51" s="55">
        <v>0</v>
      </c>
      <c r="Y51" s="55" t="e">
        <v>#N/A</v>
      </c>
      <c r="Z51" s="56" t="e">
        <f t="shared" si="65"/>
        <v>#N/A</v>
      </c>
      <c r="AA51" s="55" t="e">
        <v>#N/A</v>
      </c>
      <c r="AB51" s="55">
        <f t="shared" si="61"/>
        <v>0</v>
      </c>
      <c r="AC51" s="55">
        <v>0</v>
      </c>
      <c r="AD51" s="55">
        <v>-16.446754090909</v>
      </c>
      <c r="AE51" s="55">
        <v>0</v>
      </c>
      <c r="AF51" s="55" t="e">
        <v>#N/A</v>
      </c>
    </row>
    <row r="52" spans="1:32" s="57" customFormat="1" ht="15.75" customHeight="1">
      <c r="A52" s="2" t="s">
        <v>123</v>
      </c>
      <c r="B52" s="2"/>
      <c r="C52" s="51" t="str">
        <f t="shared" si="50"/>
        <v xml:space="preserve"> - </v>
      </c>
      <c r="D52" s="51">
        <v>0</v>
      </c>
      <c r="E52" s="51">
        <v>0</v>
      </c>
      <c r="F52" s="51">
        <v>0</v>
      </c>
      <c r="G52" s="51">
        <v>0</v>
      </c>
      <c r="H52" s="51" t="e">
        <f t="shared" si="51"/>
        <v>#DIV/0!</v>
      </c>
      <c r="I52" s="51" t="e">
        <f t="shared" si="52"/>
        <v>#DIV/0!</v>
      </c>
      <c r="J52" s="51">
        <f t="shared" si="70"/>
        <v>0</v>
      </c>
      <c r="K52" s="51" t="e">
        <f t="shared" si="54"/>
        <v>#DIV/0!</v>
      </c>
      <c r="L52" s="51">
        <v>0</v>
      </c>
      <c r="M52" s="51" t="str">
        <f t="shared" si="55"/>
        <v>-</v>
      </c>
      <c r="N52" s="51">
        <v>0</v>
      </c>
      <c r="O52" s="51">
        <f t="shared" ref="O52:P52" si="74">D52/7</f>
        <v>0</v>
      </c>
      <c r="P52" s="51">
        <f t="shared" si="74"/>
        <v>0</v>
      </c>
      <c r="Q52" s="51" t="e">
        <f t="shared" si="57"/>
        <v>#DIV/0!</v>
      </c>
      <c r="R52" s="55" t="str">
        <f ca="1">IFERROR(__xludf.DUMMYFUNCTION("IFERROR(VLOOKUP($B$2,IMPORTRANGE(""https://docs.google.com/spreadsheets/d/1iVgg6Mw12RULLujzHmfOFIY8Q_KaAD8anoZzgtVAQ74/edit#gid=1503384807"",""Second Star - Summary!A1:AD2000""),9,FALSE),"""")"),"")</f>
        <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58"/>
        <v>0</v>
      </c>
      <c r="W52" s="55">
        <f t="shared" si="59"/>
        <v>0</v>
      </c>
      <c r="X52" s="55">
        <v>0</v>
      </c>
      <c r="Y52" s="55" t="e">
        <v>#N/A</v>
      </c>
      <c r="Z52" s="56" t="e">
        <f t="shared" si="65"/>
        <v>#N/A</v>
      </c>
      <c r="AA52" s="55" t="e">
        <v>#N/A</v>
      </c>
      <c r="AB52" s="55">
        <f t="shared" si="61"/>
        <v>0</v>
      </c>
      <c r="AC52" s="55">
        <v>0</v>
      </c>
      <c r="AD52" s="55">
        <v>-16.446754090909</v>
      </c>
      <c r="AE52" s="55">
        <v>0</v>
      </c>
      <c r="AF52" s="55">
        <v>0</v>
      </c>
    </row>
    <row r="53" spans="1:32" s="57" customFormat="1">
      <c r="A53" s="2" t="s">
        <v>38</v>
      </c>
      <c r="B53" s="2"/>
      <c r="C53" s="51" t="str">
        <f t="shared" si="50"/>
        <v xml:space="preserve"> - </v>
      </c>
      <c r="D53" s="51">
        <v>0</v>
      </c>
      <c r="E53" s="51">
        <v>0</v>
      </c>
      <c r="F53" s="51">
        <v>0</v>
      </c>
      <c r="G53" s="51">
        <v>0</v>
      </c>
      <c r="H53" s="51" t="e">
        <f t="shared" si="51"/>
        <v>#DIV/0!</v>
      </c>
      <c r="I53" s="51" t="e">
        <f t="shared" si="52"/>
        <v>#DIV/0!</v>
      </c>
      <c r="J53" s="51">
        <f t="shared" si="70"/>
        <v>0</v>
      </c>
      <c r="K53" s="51" t="e">
        <f t="shared" si="54"/>
        <v>#DIV/0!</v>
      </c>
      <c r="L53" s="51">
        <v>0</v>
      </c>
      <c r="M53" s="51" t="str">
        <f t="shared" si="55"/>
        <v>-</v>
      </c>
      <c r="N53" s="51">
        <v>0</v>
      </c>
      <c r="O53" s="51">
        <f t="shared" ref="O53:P53" si="75">D53/7</f>
        <v>0</v>
      </c>
      <c r="P53" s="51">
        <f t="shared" si="75"/>
        <v>0</v>
      </c>
      <c r="Q53" s="51" t="e">
        <f t="shared" si="57"/>
        <v>#DIV/0!</v>
      </c>
      <c r="R53" s="55" t="str">
        <f ca="1">IFERROR(__xludf.DUMMYFUNCTION("IFERROR(VLOOKUP($B$2,IMPORTRANGE(""https://docs.google.com/spreadsheets/d/1iVgg6Mw12RULLujzHmfOFIY8Q_KaAD8anoZzgtVAQ74/edit#gid=1503384807"",""Second Star - Summary!A1:AD2000""),9,FALSE),"""")"),"")</f>
        <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58"/>
        <v>0</v>
      </c>
      <c r="W53" s="55">
        <f t="shared" si="59"/>
        <v>0</v>
      </c>
      <c r="X53" s="55">
        <v>0</v>
      </c>
      <c r="Y53" s="55" t="e">
        <v>#N/A</v>
      </c>
      <c r="Z53" s="56" t="e">
        <f t="shared" si="65"/>
        <v>#N/A</v>
      </c>
      <c r="AA53" s="55" t="e">
        <v>#N/A</v>
      </c>
      <c r="AB53" s="55">
        <f t="shared" si="61"/>
        <v>0</v>
      </c>
      <c r="AC53" s="55">
        <v>0</v>
      </c>
      <c r="AD53" s="55">
        <v>-16.446754090909</v>
      </c>
      <c r="AE53" s="55">
        <v>0</v>
      </c>
      <c r="AF53" s="55">
        <v>0</v>
      </c>
    </row>
    <row r="54" spans="1:32" s="57" customFormat="1">
      <c r="A54" s="2" t="s">
        <v>40</v>
      </c>
      <c r="B54" s="2"/>
      <c r="C54" s="51" t="str">
        <f t="shared" si="50"/>
        <v xml:space="preserve"> - </v>
      </c>
      <c r="D54" s="51">
        <v>0</v>
      </c>
      <c r="E54" s="51">
        <v>0</v>
      </c>
      <c r="F54" s="51">
        <v>0</v>
      </c>
      <c r="G54" s="51">
        <v>0</v>
      </c>
      <c r="H54" s="51" t="e">
        <f t="shared" si="51"/>
        <v>#DIV/0!</v>
      </c>
      <c r="I54" s="51" t="e">
        <f t="shared" si="52"/>
        <v>#DIV/0!</v>
      </c>
      <c r="J54" s="51">
        <f t="shared" si="70"/>
        <v>0</v>
      </c>
      <c r="K54" s="51" t="e">
        <f t="shared" si="54"/>
        <v>#DIV/0!</v>
      </c>
      <c r="L54" s="51">
        <v>0</v>
      </c>
      <c r="M54" s="51" t="str">
        <f t="shared" si="55"/>
        <v>-</v>
      </c>
      <c r="N54" s="51">
        <v>0</v>
      </c>
      <c r="O54" s="51">
        <f t="shared" ref="O54:P54" si="76">D54/7</f>
        <v>0</v>
      </c>
      <c r="P54" s="51">
        <f t="shared" si="76"/>
        <v>0</v>
      </c>
      <c r="Q54" s="51" t="e">
        <f t="shared" si="57"/>
        <v>#DIV/0!</v>
      </c>
      <c r="R54" s="55" t="str">
        <f ca="1">IFERROR(__xludf.DUMMYFUNCTION("IFERROR(VLOOKUP($B$2,IMPORTRANGE(""https://docs.google.com/spreadsheets/d/1iVgg6Mw12RULLujzHmfOFIY8Q_KaAD8anoZzgtVAQ74/edit#gid=1503384807"",""Second Star - Summary!A1:AD2000""),9,FALSE),"""")"),"")</f>
        <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58"/>
        <v>0</v>
      </c>
      <c r="W54" s="55">
        <f t="shared" si="59"/>
        <v>0</v>
      </c>
      <c r="X54" s="55">
        <v>0</v>
      </c>
      <c r="Y54" s="55" t="e">
        <v>#N/A</v>
      </c>
      <c r="Z54" s="56" t="e">
        <f t="shared" si="65"/>
        <v>#N/A</v>
      </c>
      <c r="AA54" s="55" t="e">
        <v>#N/A</v>
      </c>
      <c r="AB54" s="55">
        <f t="shared" si="61"/>
        <v>0</v>
      </c>
      <c r="AC54" s="55">
        <v>0</v>
      </c>
      <c r="AD54" s="55">
        <v>-16.446754090909</v>
      </c>
      <c r="AE54" s="55">
        <v>0</v>
      </c>
      <c r="AF54" s="55">
        <v>0</v>
      </c>
    </row>
    <row r="55" spans="1:32" s="57" customFormat="1" ht="15.75" customHeight="1">
      <c r="A55" s="2" t="s">
        <v>32</v>
      </c>
      <c r="B55" s="2"/>
      <c r="C55" s="51" t="str">
        <f t="shared" si="50"/>
        <v xml:space="preserve"> - </v>
      </c>
      <c r="D55" s="51">
        <v>0</v>
      </c>
      <c r="E55" s="51">
        <v>0</v>
      </c>
      <c r="F55" s="51">
        <v>0</v>
      </c>
      <c r="G55" s="51">
        <v>0</v>
      </c>
      <c r="H55" s="51" t="e">
        <f t="shared" si="51"/>
        <v>#DIV/0!</v>
      </c>
      <c r="I55" s="51" t="e">
        <f t="shared" si="52"/>
        <v>#DIV/0!</v>
      </c>
      <c r="J55" s="51">
        <f t="shared" si="70"/>
        <v>0</v>
      </c>
      <c r="K55" s="51" t="e">
        <f t="shared" si="54"/>
        <v>#DIV/0!</v>
      </c>
      <c r="L55" s="51">
        <v>0</v>
      </c>
      <c r="M55" s="51" t="str">
        <f t="shared" si="55"/>
        <v>-</v>
      </c>
      <c r="N55" s="51">
        <v>0</v>
      </c>
      <c r="O55" s="51">
        <f t="shared" ref="O55:P55" si="77">D55/7</f>
        <v>0</v>
      </c>
      <c r="P55" s="51">
        <f t="shared" si="77"/>
        <v>0</v>
      </c>
      <c r="Q55" s="51" t="e">
        <f t="shared" si="57"/>
        <v>#DIV/0!</v>
      </c>
      <c r="R55" s="55" t="s">
        <v>34</v>
      </c>
      <c r="S55" s="53" t="s">
        <v>34</v>
      </c>
      <c r="T55" s="54" t="s">
        <v>34</v>
      </c>
      <c r="U55" s="55">
        <v>0</v>
      </c>
      <c r="V55" s="55">
        <f t="shared" si="58"/>
        <v>0</v>
      </c>
      <c r="W55" s="55">
        <f t="shared" si="59"/>
        <v>0</v>
      </c>
      <c r="X55" s="55">
        <v>0</v>
      </c>
      <c r="Y55" s="55" t="e">
        <v>#N/A</v>
      </c>
      <c r="Z55" s="56" t="e">
        <f t="shared" si="65"/>
        <v>#N/A</v>
      </c>
      <c r="AA55" s="55" t="e">
        <v>#N/A</v>
      </c>
      <c r="AB55" s="55">
        <f t="shared" si="61"/>
        <v>0</v>
      </c>
      <c r="AC55" s="55">
        <v>0</v>
      </c>
      <c r="AD55" s="55">
        <v>-16.446754090909</v>
      </c>
      <c r="AE55" s="55">
        <v>0</v>
      </c>
      <c r="AF55" s="55" t="e">
        <v>#N/A</v>
      </c>
    </row>
    <row r="56" spans="1:32" s="57" customFormat="1" ht="15.75" customHeight="1">
      <c r="A56" s="2" t="s">
        <v>36</v>
      </c>
      <c r="B56" s="2"/>
      <c r="C56" s="51" t="str">
        <f t="shared" si="50"/>
        <v xml:space="preserve"> - </v>
      </c>
      <c r="D56" s="51">
        <v>0</v>
      </c>
      <c r="E56" s="51">
        <v>0</v>
      </c>
      <c r="F56" s="51">
        <v>0</v>
      </c>
      <c r="G56" s="51">
        <v>0</v>
      </c>
      <c r="H56" s="51" t="e">
        <f t="shared" si="51"/>
        <v>#DIV/0!</v>
      </c>
      <c r="I56" s="51" t="e">
        <f t="shared" si="52"/>
        <v>#DIV/0!</v>
      </c>
      <c r="J56" s="51">
        <f t="shared" si="70"/>
        <v>0</v>
      </c>
      <c r="K56" s="51" t="e">
        <f t="shared" si="54"/>
        <v>#DIV/0!</v>
      </c>
      <c r="L56" s="51">
        <v>0</v>
      </c>
      <c r="M56" s="51" t="str">
        <f t="shared" si="55"/>
        <v>-</v>
      </c>
      <c r="N56" s="51">
        <v>0</v>
      </c>
      <c r="O56" s="51">
        <f t="shared" ref="O56:P56" si="78">D56/7</f>
        <v>0</v>
      </c>
      <c r="P56" s="51">
        <f t="shared" si="78"/>
        <v>0</v>
      </c>
      <c r="Q56" s="51" t="e">
        <f t="shared" si="57"/>
        <v>#DIV/0!</v>
      </c>
      <c r="R56" s="55" t="str">
        <f ca="1">IFERROR(__xludf.DUMMYFUNCTION("IFERROR(VLOOKUP($B$2,IMPORTRANGE(""https://docs.google.com/spreadsheets/d/1iVgg6Mw12RULLujzHmfOFIY8Q_KaAD8anoZzgtVAQ74/edit#gid=1503384807"",""Second Star - Summary!A1:AD2000""),9,FALSE),"""")"),"")</f>
        <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58"/>
        <v>0</v>
      </c>
      <c r="W56" s="55">
        <f t="shared" si="59"/>
        <v>0</v>
      </c>
      <c r="X56" s="55">
        <v>0</v>
      </c>
      <c r="Y56" s="55" t="e">
        <v>#N/A</v>
      </c>
      <c r="Z56" s="56" t="e">
        <f t="shared" si="65"/>
        <v>#N/A</v>
      </c>
      <c r="AA56" s="55" t="e">
        <v>#N/A</v>
      </c>
      <c r="AB56" s="55">
        <f t="shared" si="61"/>
        <v>0</v>
      </c>
      <c r="AC56" s="55">
        <v>0</v>
      </c>
      <c r="AD56" s="55">
        <v>-16.446754090909</v>
      </c>
      <c r="AE56" s="55">
        <v>0</v>
      </c>
      <c r="AF56" s="55" t="e">
        <v>#N/A</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E170" s="2"/>
      <c r="P170" s="2"/>
      <c r="AF170" s="23"/>
    </row>
    <row r="171" spans="1:32" ht="15.75" customHeight="1">
      <c r="E171" s="2"/>
      <c r="P171" s="2"/>
      <c r="AF171" s="23"/>
    </row>
    <row r="172" spans="1:32" ht="15.75" customHeight="1">
      <c r="E172" s="2"/>
      <c r="P172" s="2"/>
      <c r="AF172" s="23"/>
    </row>
    <row r="173" spans="1:32" ht="15.75" customHeight="1">
      <c r="E173" s="2"/>
      <c r="P173" s="2"/>
      <c r="AF173" s="23"/>
    </row>
    <row r="174" spans="1:32" ht="15.75" customHeight="1">
      <c r="E174" s="2"/>
      <c r="P174" s="2"/>
      <c r="AF174" s="23"/>
    </row>
    <row r="175" spans="1:32" ht="15.75" customHeight="1">
      <c r="E175" s="2"/>
      <c r="P175" s="2"/>
      <c r="AF175" s="23"/>
    </row>
    <row r="176" spans="1:32" ht="15.75" customHeight="1">
      <c r="E176" s="2"/>
      <c r="P176" s="2"/>
      <c r="AF176" s="23"/>
    </row>
    <row r="177" spans="5:32" ht="15.75" customHeight="1">
      <c r="E177" s="2"/>
      <c r="P177" s="2"/>
      <c r="AF177" s="23"/>
    </row>
    <row r="178" spans="5:32" ht="15.75" customHeight="1">
      <c r="E178" s="2"/>
      <c r="P178" s="2"/>
      <c r="AF178" s="23"/>
    </row>
    <row r="179" spans="5:32" ht="15.75" customHeight="1">
      <c r="E179" s="2"/>
      <c r="P179" s="2"/>
      <c r="AF179" s="23"/>
    </row>
    <row r="180" spans="5:32" ht="15.75" customHeight="1">
      <c r="E180" s="2"/>
      <c r="P180" s="2"/>
      <c r="AF180" s="23"/>
    </row>
    <row r="181" spans="5:32" ht="15.75" customHeight="1">
      <c r="E181" s="2"/>
      <c r="P181" s="2"/>
      <c r="AF181" s="23"/>
    </row>
    <row r="182" spans="5:32" ht="15.75" customHeight="1">
      <c r="E182" s="2"/>
      <c r="P182" s="2"/>
      <c r="AF182" s="23"/>
    </row>
    <row r="183" spans="5:32" ht="15.75" customHeight="1">
      <c r="E183" s="2"/>
      <c r="P183" s="2"/>
      <c r="AF183" s="23"/>
    </row>
    <row r="184" spans="5:32" ht="15.75" customHeight="1">
      <c r="E184" s="2"/>
      <c r="P184" s="2"/>
      <c r="AF184" s="23"/>
    </row>
    <row r="185" spans="5:32" ht="15.75" customHeight="1">
      <c r="E185" s="2"/>
      <c r="P185" s="2"/>
      <c r="AF185" s="23"/>
    </row>
    <row r="186" spans="5:32" ht="15.75" customHeight="1">
      <c r="E186" s="2"/>
      <c r="P186" s="2"/>
      <c r="AF186" s="23"/>
    </row>
    <row r="187" spans="5:32" ht="15.75" customHeight="1">
      <c r="E187" s="2"/>
      <c r="P187" s="2"/>
      <c r="AF187" s="23"/>
    </row>
    <row r="188" spans="5:32" ht="15.75" customHeight="1">
      <c r="E188" s="2"/>
      <c r="P188" s="2"/>
      <c r="AF188" s="23"/>
    </row>
    <row r="189" spans="5:32" ht="15.75" customHeight="1">
      <c r="E189" s="2"/>
      <c r="P189" s="2"/>
      <c r="AF189" s="23"/>
    </row>
    <row r="190" spans="5:32" ht="15.75" customHeight="1">
      <c r="E190" s="2"/>
      <c r="P190" s="2"/>
      <c r="AF190" s="23"/>
    </row>
    <row r="191" spans="5:32" ht="15.75" customHeight="1">
      <c r="E191" s="2"/>
      <c r="P191" s="2"/>
      <c r="AF191" s="23"/>
    </row>
    <row r="192" spans="5: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20" priority="1" operator="lessThan">
      <formula>100</formula>
    </cfRule>
  </conditionalFormatting>
  <conditionalFormatting sqref="Q1:Q3 Q57:Q1000">
    <cfRule type="cellIs" dxfId="19" priority="2" operator="lessThan">
      <formula>100</formula>
    </cfRule>
  </conditionalFormatting>
  <conditionalFormatting sqref="I1:I3 I57:I1000">
    <cfRule type="cellIs" dxfId="18" priority="3" operator="lessThan">
      <formula>0.05</formula>
    </cfRule>
  </conditionalFormatting>
  <conditionalFormatting sqref="I4:I17">
    <cfRule type="cellIs" dxfId="17" priority="4" operator="lessThan">
      <formula>0.05</formula>
    </cfRule>
  </conditionalFormatting>
  <conditionalFormatting sqref="I18:I56">
    <cfRule type="cellIs" dxfId="16" priority="5" operator="lessThan">
      <formula>0.05</formula>
    </cfRule>
  </conditionalFormatting>
  <conditionalFormatting sqref="Q4:Q56">
    <cfRule type="cellIs" dxfId="15" priority="6" operator="lessThan">
      <formula>100</formula>
    </cfRule>
  </conditionalFormatting>
  <conditionalFormatting sqref="Q4:Q56">
    <cfRule type="cellIs" dxfId="14" priority="7" operator="lessThan">
      <formula>100</formula>
    </cfRule>
  </conditionalFormatting>
  <pageMargins left="0.7" right="0.7" top="0.75" bottom="0.75" header="0" footer="0"/>
  <pageSetup orientation="portrait"/>
  <legacyDrawing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1" width="17.5" customWidth="1"/>
    <col min="2" max="2" width="31.164062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Info!B1:BJ5000""),4,FALSE),"""")"),"Organic, Cotton Quilted Pack 'n Play Size Fitted Mattress Pad Cover, Natural")</f>
        <v>Organic, Cotton Quilted Pack 'n Play Size Fitted Mattress Pad Cover, Natural</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Info!B1:BJ5000""),3,FALSE),"""")"),"B01865W8OG")</f>
        <v>B01865W8OG</v>
      </c>
      <c r="B2" s="4" t="s">
        <v>1252</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10.208362996480636</v>
      </c>
      <c r="D3" s="8">
        <f>SUM(D4:D99819)</f>
        <v>12</v>
      </c>
      <c r="E3" s="8"/>
      <c r="F3" s="9">
        <f t="shared" ref="F3:G3" si="0">SUM(F4:F99819)</f>
        <v>294.88</v>
      </c>
      <c r="G3" s="9">
        <f t="shared" si="0"/>
        <v>-19.43</v>
      </c>
      <c r="H3" s="10">
        <f>G3/F3*-1</f>
        <v>6.5891209983722193E-2</v>
      </c>
      <c r="I3" s="11">
        <f>J3/F3</f>
        <v>0.28401509782037587</v>
      </c>
      <c r="J3" s="9">
        <f>SUM(J4:J99819)</f>
        <v>83.750372045272428</v>
      </c>
      <c r="K3" s="9">
        <f>J3/D3</f>
        <v>6.979197670439369</v>
      </c>
      <c r="L3" s="8"/>
      <c r="M3" s="12"/>
      <c r="N3" s="13"/>
      <c r="O3" s="8" t="str">
        <f ca="1">IFERROR(__xludf.DUMMYFUNCTION("IFERROR(VLOOKUP(B2,IMPORTRANGE(""https://docs.google.com/spreadsheets/d/1owCo6kL_VFQ5nPTdNogErmCBLjNiktT1m3SzTrxu3R0/edit#gid=2146806407"",""Second Star - Compiled!b1:g5000""),2,FALSE),"""")"),"")</f>
        <v/>
      </c>
      <c r="P3" s="8"/>
      <c r="Q3" s="14"/>
      <c r="R3" s="13"/>
      <c r="S3" s="13"/>
      <c r="T3" s="13"/>
      <c r="U3" s="8">
        <f>SUM(U4:U99819)</f>
        <v>1</v>
      </c>
      <c r="V3" s="10">
        <f>AVERAGE(V4:V99819)</f>
        <v>2.3809523809523808E-2</v>
      </c>
      <c r="W3" s="9">
        <f>ROUND(AVERAGE(W4:W99819),2)</f>
        <v>0.26</v>
      </c>
      <c r="X3" s="8"/>
      <c r="Y3" s="8"/>
      <c r="Z3" s="8"/>
      <c r="AA3" s="8"/>
      <c r="AB3" s="8"/>
      <c r="AC3" s="15"/>
      <c r="AD3" s="9"/>
      <c r="AE3" s="9">
        <f>SUM(AE4:AE99819)</f>
        <v>0</v>
      </c>
      <c r="AF3" s="16"/>
    </row>
    <row r="4" spans="1:32" s="57" customFormat="1" hidden="1">
      <c r="A4" s="17" t="s">
        <v>48</v>
      </c>
      <c r="B4" s="17"/>
      <c r="C4" s="50"/>
      <c r="D4" s="51"/>
      <c r="E4" s="51">
        <v>0</v>
      </c>
      <c r="F4" s="51"/>
      <c r="G4" s="51"/>
      <c r="H4" s="51"/>
      <c r="I4" s="51"/>
      <c r="J4" s="51"/>
      <c r="K4" s="51"/>
      <c r="L4" s="51"/>
      <c r="M4" s="51"/>
      <c r="N4" s="51"/>
      <c r="O4" s="51"/>
      <c r="P4" s="51">
        <f t="shared" ref="P4:P14" si="1">E4/7</f>
        <v>0</v>
      </c>
      <c r="Q4" s="51" t="e">
        <f t="shared" ref="Q4:Q39" si="2">ROUNDDOWN(N4/(O4+P4),0)</f>
        <v>#DIV/0!</v>
      </c>
      <c r="R4" s="52"/>
      <c r="S4" s="53"/>
      <c r="T4" s="54"/>
      <c r="U4" s="52"/>
      <c r="V4" s="55"/>
      <c r="W4" s="55"/>
      <c r="X4" s="52"/>
      <c r="Y4" s="56"/>
      <c r="Z4" s="56"/>
      <c r="AA4" s="55"/>
      <c r="AB4" s="55"/>
      <c r="AC4" s="55"/>
      <c r="AD4" s="55"/>
      <c r="AE4" s="55"/>
      <c r="AF4" s="55"/>
    </row>
    <row r="5" spans="1:32" s="57" customFormat="1" ht="15.75" hidden="1" customHeight="1">
      <c r="A5" s="2" t="s">
        <v>49</v>
      </c>
      <c r="B5" s="2"/>
      <c r="C5" s="51"/>
      <c r="D5" s="51"/>
      <c r="E5" s="51">
        <v>0</v>
      </c>
      <c r="F5" s="51"/>
      <c r="G5" s="51"/>
      <c r="H5" s="51"/>
      <c r="I5" s="51"/>
      <c r="J5" s="51"/>
      <c r="K5" s="51"/>
      <c r="L5" s="51"/>
      <c r="M5" s="51"/>
      <c r="N5" s="51"/>
      <c r="O5" s="51"/>
      <c r="P5" s="51">
        <f t="shared" si="1"/>
        <v>0</v>
      </c>
      <c r="Q5" s="51" t="e">
        <f t="shared" si="2"/>
        <v>#DIV/0!</v>
      </c>
      <c r="R5" s="55"/>
      <c r="S5" s="53"/>
      <c r="T5" s="54"/>
      <c r="U5" s="55"/>
      <c r="V5" s="55"/>
      <c r="W5" s="55"/>
      <c r="X5" s="55"/>
      <c r="Y5" s="55"/>
      <c r="Z5" s="56"/>
      <c r="AA5" s="55"/>
      <c r="AB5" s="55"/>
      <c r="AC5" s="55"/>
      <c r="AD5" s="55"/>
      <c r="AE5" s="55"/>
      <c r="AF5" s="55"/>
    </row>
    <row r="6" spans="1:32" s="57" customFormat="1" ht="15.75" hidden="1" customHeight="1">
      <c r="A6" s="2" t="s">
        <v>51</v>
      </c>
      <c r="B6" s="2"/>
      <c r="C6" s="51"/>
      <c r="D6" s="51"/>
      <c r="E6" s="51">
        <v>0</v>
      </c>
      <c r="F6" s="51"/>
      <c r="G6" s="51"/>
      <c r="H6" s="51"/>
      <c r="I6" s="51"/>
      <c r="J6" s="51"/>
      <c r="K6" s="51"/>
      <c r="L6" s="51"/>
      <c r="M6" s="51"/>
      <c r="N6" s="51"/>
      <c r="O6" s="51"/>
      <c r="P6" s="51">
        <f t="shared" si="1"/>
        <v>0</v>
      </c>
      <c r="Q6" s="51" t="e">
        <f t="shared" si="2"/>
        <v>#DIV/0!</v>
      </c>
      <c r="R6" s="55"/>
      <c r="S6" s="53"/>
      <c r="T6" s="54"/>
      <c r="U6" s="55"/>
      <c r="V6" s="55"/>
      <c r="W6" s="55"/>
      <c r="X6" s="55"/>
      <c r="Y6" s="55"/>
      <c r="Z6" s="56"/>
      <c r="AA6" s="55"/>
      <c r="AB6" s="55"/>
      <c r="AC6" s="55"/>
      <c r="AD6" s="55"/>
      <c r="AE6" s="55"/>
      <c r="AF6" s="55"/>
    </row>
    <row r="7" spans="1:32" s="57" customFormat="1" ht="15.75" hidden="1" customHeight="1">
      <c r="A7" s="2" t="s">
        <v>53</v>
      </c>
      <c r="B7" s="2"/>
      <c r="C7" s="51"/>
      <c r="D7" s="51"/>
      <c r="E7" s="51">
        <v>0</v>
      </c>
      <c r="F7" s="51"/>
      <c r="G7" s="51"/>
      <c r="H7" s="51"/>
      <c r="I7" s="51"/>
      <c r="J7" s="51"/>
      <c r="K7" s="51"/>
      <c r="L7" s="51"/>
      <c r="M7" s="51"/>
      <c r="N7" s="51"/>
      <c r="O7" s="51"/>
      <c r="P7" s="51">
        <f t="shared" si="1"/>
        <v>0</v>
      </c>
      <c r="Q7" s="51" t="e">
        <f t="shared" si="2"/>
        <v>#DIV/0!</v>
      </c>
      <c r="R7" s="55"/>
      <c r="S7" s="53"/>
      <c r="T7" s="54"/>
      <c r="U7" s="55"/>
      <c r="V7" s="55"/>
      <c r="W7" s="55"/>
      <c r="X7" s="55"/>
      <c r="Y7" s="55"/>
      <c r="Z7" s="56"/>
      <c r="AA7" s="55"/>
      <c r="AB7" s="55"/>
      <c r="AC7" s="55"/>
      <c r="AD7" s="55"/>
      <c r="AE7" s="55"/>
      <c r="AF7" s="55"/>
    </row>
    <row r="8" spans="1:32" s="57" customFormat="1" ht="15.75" hidden="1" customHeight="1">
      <c r="A8" s="2" t="s">
        <v>54</v>
      </c>
      <c r="B8" s="2"/>
      <c r="C8" s="51"/>
      <c r="D8" s="51"/>
      <c r="E8" s="51">
        <v>0</v>
      </c>
      <c r="F8" s="51"/>
      <c r="G8" s="51"/>
      <c r="H8" s="51"/>
      <c r="I8" s="51"/>
      <c r="J8" s="51"/>
      <c r="K8" s="51"/>
      <c r="L8" s="51"/>
      <c r="M8" s="51"/>
      <c r="N8" s="51"/>
      <c r="O8" s="51"/>
      <c r="P8" s="51">
        <f t="shared" si="1"/>
        <v>0</v>
      </c>
      <c r="Q8" s="51" t="e">
        <f t="shared" si="2"/>
        <v>#DIV/0!</v>
      </c>
      <c r="R8" s="55"/>
      <c r="S8" s="53"/>
      <c r="T8" s="54"/>
      <c r="U8" s="55"/>
      <c r="V8" s="55"/>
      <c r="W8" s="55"/>
      <c r="X8" s="55"/>
      <c r="Y8" s="55"/>
      <c r="Z8" s="56"/>
      <c r="AA8" s="55"/>
      <c r="AB8" s="55"/>
      <c r="AC8" s="55"/>
      <c r="AD8" s="55"/>
      <c r="AE8" s="55"/>
      <c r="AF8" s="55"/>
    </row>
    <row r="9" spans="1:32" s="57" customFormat="1" ht="15.75" hidden="1" customHeight="1">
      <c r="A9" s="2" t="s">
        <v>56</v>
      </c>
      <c r="B9" s="2"/>
      <c r="C9" s="51"/>
      <c r="D9" s="51"/>
      <c r="E9" s="51">
        <v>0</v>
      </c>
      <c r="F9" s="51"/>
      <c r="G9" s="51"/>
      <c r="H9" s="51"/>
      <c r="I9" s="51"/>
      <c r="J9" s="51"/>
      <c r="K9" s="51"/>
      <c r="L9" s="51"/>
      <c r="M9" s="51"/>
      <c r="N9" s="51"/>
      <c r="O9" s="51"/>
      <c r="P9" s="51">
        <f t="shared" si="1"/>
        <v>0</v>
      </c>
      <c r="Q9" s="51" t="e">
        <f t="shared" si="2"/>
        <v>#DIV/0!</v>
      </c>
      <c r="R9" s="55"/>
      <c r="S9" s="53"/>
      <c r="T9" s="54"/>
      <c r="U9" s="55"/>
      <c r="V9" s="55"/>
      <c r="W9" s="55"/>
      <c r="X9" s="55"/>
      <c r="Y9" s="55"/>
      <c r="Z9" s="56"/>
      <c r="AA9" s="55"/>
      <c r="AB9" s="55"/>
      <c r="AC9" s="55"/>
      <c r="AD9" s="55"/>
      <c r="AE9" s="55"/>
      <c r="AF9" s="55"/>
    </row>
    <row r="10" spans="1:32" s="57" customFormat="1" ht="15.75" hidden="1" customHeight="1">
      <c r="A10" s="2" t="s">
        <v>58</v>
      </c>
      <c r="B10" s="2"/>
      <c r="C10" s="51"/>
      <c r="D10" s="51"/>
      <c r="E10" s="51">
        <v>0</v>
      </c>
      <c r="F10" s="51"/>
      <c r="G10" s="51"/>
      <c r="H10" s="51"/>
      <c r="I10" s="51"/>
      <c r="J10" s="51"/>
      <c r="K10" s="51"/>
      <c r="L10" s="51"/>
      <c r="M10" s="51"/>
      <c r="N10" s="51"/>
      <c r="O10" s="51"/>
      <c r="P10" s="51">
        <f t="shared" si="1"/>
        <v>0</v>
      </c>
      <c r="Q10" s="51" t="e">
        <f t="shared" si="2"/>
        <v>#DIV/0!</v>
      </c>
      <c r="R10" s="55"/>
      <c r="S10" s="53"/>
      <c r="T10" s="54"/>
      <c r="U10" s="55"/>
      <c r="V10" s="55"/>
      <c r="W10" s="55"/>
      <c r="X10" s="55"/>
      <c r="Y10" s="55"/>
      <c r="Z10" s="56"/>
      <c r="AA10" s="55"/>
      <c r="AB10" s="55"/>
      <c r="AC10" s="55"/>
      <c r="AD10" s="55"/>
      <c r="AE10" s="55"/>
      <c r="AF10" s="55"/>
    </row>
    <row r="11" spans="1:32" s="57" customFormat="1" ht="15.75" hidden="1" customHeight="1">
      <c r="A11" s="2" t="s">
        <v>60</v>
      </c>
      <c r="B11" s="2"/>
      <c r="C11" s="51"/>
      <c r="D11" s="51"/>
      <c r="E11" s="51">
        <v>0</v>
      </c>
      <c r="F11" s="51"/>
      <c r="G11" s="51"/>
      <c r="H11" s="51"/>
      <c r="I11" s="51"/>
      <c r="J11" s="51"/>
      <c r="K11" s="51"/>
      <c r="L11" s="51"/>
      <c r="M11" s="51"/>
      <c r="N11" s="51"/>
      <c r="O11" s="51"/>
      <c r="P11" s="51">
        <f t="shared" si="1"/>
        <v>0</v>
      </c>
      <c r="Q11" s="51" t="e">
        <f t="shared" si="2"/>
        <v>#DIV/0!</v>
      </c>
      <c r="R11" s="55"/>
      <c r="S11" s="53"/>
      <c r="T11" s="54"/>
      <c r="U11" s="55"/>
      <c r="V11" s="55"/>
      <c r="W11" s="55"/>
      <c r="X11" s="55"/>
      <c r="Y11" s="55"/>
      <c r="Z11" s="56"/>
      <c r="AA11" s="55"/>
      <c r="AB11" s="55"/>
      <c r="AC11" s="55"/>
      <c r="AD11" s="55"/>
      <c r="AE11" s="55"/>
      <c r="AF11" s="55"/>
    </row>
    <row r="12" spans="1:32" s="57" customFormat="1" ht="15.75" hidden="1" customHeight="1">
      <c r="A12" s="2" t="s">
        <v>62</v>
      </c>
      <c r="B12" s="2"/>
      <c r="C12" s="51"/>
      <c r="D12" s="51"/>
      <c r="E12" s="51">
        <v>0</v>
      </c>
      <c r="F12" s="51"/>
      <c r="G12" s="51"/>
      <c r="H12" s="51"/>
      <c r="I12" s="51"/>
      <c r="J12" s="51"/>
      <c r="K12" s="51"/>
      <c r="L12" s="51"/>
      <c r="M12" s="51"/>
      <c r="N12" s="51"/>
      <c r="O12" s="51"/>
      <c r="P12" s="51">
        <f t="shared" si="1"/>
        <v>0</v>
      </c>
      <c r="Q12" s="51" t="e">
        <f t="shared" si="2"/>
        <v>#DIV/0!</v>
      </c>
      <c r="R12" s="55"/>
      <c r="S12" s="53"/>
      <c r="T12" s="54"/>
      <c r="U12" s="55"/>
      <c r="V12" s="55"/>
      <c r="W12" s="55"/>
      <c r="X12" s="55"/>
      <c r="Y12" s="55"/>
      <c r="Z12" s="56"/>
      <c r="AA12" s="55"/>
      <c r="AB12" s="55"/>
      <c r="AC12" s="55"/>
      <c r="AD12" s="55"/>
      <c r="AE12" s="55"/>
      <c r="AF12" s="55"/>
    </row>
    <row r="13" spans="1:32" s="57" customFormat="1" ht="15.75" hidden="1" customHeight="1">
      <c r="A13" s="2" t="s">
        <v>63</v>
      </c>
      <c r="B13" s="2"/>
      <c r="C13" s="51"/>
      <c r="D13" s="51"/>
      <c r="E13" s="51">
        <v>0</v>
      </c>
      <c r="F13" s="51"/>
      <c r="G13" s="51"/>
      <c r="H13" s="51"/>
      <c r="I13" s="51"/>
      <c r="J13" s="51"/>
      <c r="K13" s="51"/>
      <c r="L13" s="51"/>
      <c r="M13" s="51"/>
      <c r="N13" s="51"/>
      <c r="O13" s="51"/>
      <c r="P13" s="51">
        <f t="shared" si="1"/>
        <v>0</v>
      </c>
      <c r="Q13" s="51" t="e">
        <f t="shared" si="2"/>
        <v>#DIV/0!</v>
      </c>
      <c r="R13" s="55"/>
      <c r="S13" s="53"/>
      <c r="T13" s="54"/>
      <c r="U13" s="55"/>
      <c r="V13" s="55"/>
      <c r="W13" s="55"/>
      <c r="X13" s="55"/>
      <c r="Y13" s="55"/>
      <c r="Z13" s="56"/>
      <c r="AA13" s="55"/>
      <c r="AB13" s="55"/>
      <c r="AC13" s="55"/>
      <c r="AD13" s="55"/>
      <c r="AE13" s="55"/>
      <c r="AF13" s="55"/>
    </row>
    <row r="14" spans="1:32" s="57" customFormat="1" ht="15.75" hidden="1" customHeight="1">
      <c r="A14" s="2" t="s">
        <v>64</v>
      </c>
      <c r="B14" s="2"/>
      <c r="C14" s="51"/>
      <c r="D14" s="51"/>
      <c r="E14" s="51">
        <v>0</v>
      </c>
      <c r="F14" s="51"/>
      <c r="G14" s="51"/>
      <c r="H14" s="51"/>
      <c r="I14" s="51"/>
      <c r="J14" s="51"/>
      <c r="K14" s="51"/>
      <c r="L14" s="51"/>
      <c r="M14" s="51"/>
      <c r="N14" s="51"/>
      <c r="O14" s="51"/>
      <c r="P14" s="51">
        <f t="shared" si="1"/>
        <v>0</v>
      </c>
      <c r="Q14" s="51" t="e">
        <f t="shared" si="2"/>
        <v>#DIV/0!</v>
      </c>
      <c r="R14" s="55"/>
      <c r="S14" s="53"/>
      <c r="T14" s="54"/>
      <c r="U14" s="55"/>
      <c r="V14" s="55"/>
      <c r="W14" s="55"/>
      <c r="X14" s="55"/>
      <c r="Y14" s="55"/>
      <c r="Z14" s="56"/>
      <c r="AA14" s="55"/>
      <c r="AB14" s="55"/>
      <c r="AC14" s="55"/>
      <c r="AD14" s="55"/>
      <c r="AE14" s="55"/>
      <c r="AF14" s="55"/>
    </row>
    <row r="15" spans="1:32" s="57" customFormat="1" ht="15.75" customHeight="1">
      <c r="A15" s="2" t="s">
        <v>65</v>
      </c>
      <c r="B15" s="2" t="s">
        <v>1253</v>
      </c>
      <c r="C15" s="51">
        <v>24.99</v>
      </c>
      <c r="D15" s="51">
        <v>3</v>
      </c>
      <c r="E15" s="51">
        <v>0</v>
      </c>
      <c r="F15" s="51">
        <v>74.97</v>
      </c>
      <c r="G15" s="51">
        <v>-0.08</v>
      </c>
      <c r="H15" s="51">
        <f t="shared" ref="H15:H39" si="3">G15/F15*-1</f>
        <v>1.0670935040682941E-3</v>
      </c>
      <c r="I15" s="51">
        <f t="shared" ref="I15:I39" si="4">J15/F15</f>
        <v>0.36006897216685824</v>
      </c>
      <c r="J15" s="51">
        <f t="shared" ref="J15:J38" si="5">F15*0.85+G15+AD15*D15+D15*AC15+AE15+AB15</f>
        <v>26.994370843349362</v>
      </c>
      <c r="K15" s="51">
        <f t="shared" ref="K15:K39" si="6">J15/D15</f>
        <v>8.9981236144497867</v>
      </c>
      <c r="L15" s="51">
        <v>112</v>
      </c>
      <c r="M15" s="51">
        <f t="shared" ref="M15:M39" si="7">IFERROR(D15/L15,"-")</f>
        <v>2.6785714285714284E-2</v>
      </c>
      <c r="N15" s="51">
        <v>9</v>
      </c>
      <c r="O15" s="51">
        <f t="shared" ref="O15:P15" si="8">D15/7</f>
        <v>0.42857142857142855</v>
      </c>
      <c r="P15" s="51">
        <f t="shared" si="8"/>
        <v>0</v>
      </c>
      <c r="Q15" s="51">
        <f t="shared" si="2"/>
        <v>21</v>
      </c>
      <c r="R15" s="55">
        <v>0</v>
      </c>
      <c r="S15" s="53" t="s">
        <v>34</v>
      </c>
      <c r="T15" s="54" t="s">
        <v>34</v>
      </c>
      <c r="U15" s="55">
        <v>0</v>
      </c>
      <c r="V15" s="55">
        <f t="shared" ref="V15:V39" si="9">IFERROR(U15/D15,0)</f>
        <v>0</v>
      </c>
      <c r="W15" s="55">
        <f t="shared" ref="W15:W39" si="10">IFERROR(G15/(U15+X15)*-1,0)</f>
        <v>0</v>
      </c>
      <c r="X15" s="55">
        <v>0</v>
      </c>
      <c r="Y15" s="55" t="s">
        <v>35</v>
      </c>
      <c r="Z15" s="56">
        <f t="shared" ref="Z15:Z39" si="11">IF(OR(Y15="UsLargeStandardSize",Y15="UsSmallStandardSize"),-0.75,-0.48)</f>
        <v>-0.75</v>
      </c>
      <c r="AA15" s="55">
        <v>0.15946875000000002</v>
      </c>
      <c r="AB15" s="55">
        <f t="shared" ref="AB15:AB17" si="12">IFERROR((Z15*AA15*N15)/4,0)</f>
        <v>-0.26910351562500001</v>
      </c>
      <c r="AC15" s="55">
        <v>-3.48</v>
      </c>
      <c r="AD15" s="55">
        <v>-8.6470085470085465</v>
      </c>
      <c r="AE15" s="55">
        <v>0</v>
      </c>
      <c r="AF15" s="55"/>
    </row>
    <row r="16" spans="1:32" s="57" customFormat="1" ht="15.75" customHeight="1">
      <c r="A16" s="2" t="s">
        <v>66</v>
      </c>
      <c r="B16" s="2" t="s">
        <v>1254</v>
      </c>
      <c r="C16" s="51">
        <v>25.99</v>
      </c>
      <c r="D16" s="51">
        <v>2</v>
      </c>
      <c r="E16" s="51">
        <v>0</v>
      </c>
      <c r="F16" s="51">
        <v>51.98</v>
      </c>
      <c r="G16" s="51">
        <v>-0.08</v>
      </c>
      <c r="H16" s="51">
        <f t="shared" si="3"/>
        <v>1.5390534821085034E-3</v>
      </c>
      <c r="I16" s="51">
        <f t="shared" si="4"/>
        <v>0.37955716320667371</v>
      </c>
      <c r="J16" s="51">
        <f t="shared" si="5"/>
        <v>19.729381343482899</v>
      </c>
      <c r="K16" s="51">
        <f t="shared" si="6"/>
        <v>9.8646906717414495</v>
      </c>
      <c r="L16" s="51">
        <v>100</v>
      </c>
      <c r="M16" s="51">
        <f t="shared" si="7"/>
        <v>0.02</v>
      </c>
      <c r="N16" s="51">
        <v>4</v>
      </c>
      <c r="O16" s="51">
        <f t="shared" ref="O16:P16" si="13">D16/7</f>
        <v>0.2857142857142857</v>
      </c>
      <c r="P16" s="51">
        <f t="shared" si="13"/>
        <v>0</v>
      </c>
      <c r="Q16" s="51">
        <f t="shared" si="2"/>
        <v>14</v>
      </c>
      <c r="R16" s="55">
        <v>0</v>
      </c>
      <c r="S16" s="53" t="s">
        <v>34</v>
      </c>
      <c r="T16" s="54" t="s">
        <v>34</v>
      </c>
      <c r="U16" s="55">
        <v>0</v>
      </c>
      <c r="V16" s="55">
        <f t="shared" si="9"/>
        <v>0</v>
      </c>
      <c r="W16" s="55">
        <f t="shared" si="10"/>
        <v>0</v>
      </c>
      <c r="X16" s="55">
        <v>0</v>
      </c>
      <c r="Y16" s="55" t="s">
        <v>35</v>
      </c>
      <c r="Z16" s="56">
        <f t="shared" si="11"/>
        <v>-0.75</v>
      </c>
      <c r="AA16" s="55">
        <v>0.15946875000000002</v>
      </c>
      <c r="AB16" s="55">
        <f t="shared" si="12"/>
        <v>-0.11960156250000001</v>
      </c>
      <c r="AC16" s="55">
        <v>-3.48</v>
      </c>
      <c r="AD16" s="55">
        <v>-8.6470085470085465</v>
      </c>
      <c r="AE16" s="55">
        <v>0</v>
      </c>
      <c r="AF16" s="55"/>
    </row>
    <row r="17" spans="1:32" s="57" customFormat="1" ht="15.75" customHeight="1">
      <c r="A17" s="2" t="s">
        <v>67</v>
      </c>
      <c r="B17" s="2" t="s">
        <v>1255</v>
      </c>
      <c r="C17" s="51">
        <v>24.99</v>
      </c>
      <c r="D17" s="51">
        <v>3</v>
      </c>
      <c r="E17" s="51">
        <v>0</v>
      </c>
      <c r="F17" s="51">
        <v>75.97</v>
      </c>
      <c r="G17" s="51">
        <v>0</v>
      </c>
      <c r="H17" s="51">
        <f t="shared" si="3"/>
        <v>0</v>
      </c>
      <c r="I17" s="51">
        <f t="shared" si="4"/>
        <v>0.36953893374324553</v>
      </c>
      <c r="J17" s="51">
        <f t="shared" si="5"/>
        <v>28.073872796474362</v>
      </c>
      <c r="K17" s="51">
        <f t="shared" si="6"/>
        <v>9.3579575988247878</v>
      </c>
      <c r="L17" s="51">
        <v>84</v>
      </c>
      <c r="M17" s="51">
        <f t="shared" si="7"/>
        <v>3.5714285714285712E-2</v>
      </c>
      <c r="N17" s="51">
        <v>4</v>
      </c>
      <c r="O17" s="51">
        <f t="shared" ref="O17:P17" si="14">D17/7</f>
        <v>0.42857142857142855</v>
      </c>
      <c r="P17" s="51">
        <f t="shared" si="14"/>
        <v>0</v>
      </c>
      <c r="Q17" s="51">
        <f t="shared" si="2"/>
        <v>9</v>
      </c>
      <c r="R17" s="55">
        <v>0</v>
      </c>
      <c r="S17" s="53" t="s">
        <v>34</v>
      </c>
      <c r="T17" s="54" t="s">
        <v>34</v>
      </c>
      <c r="U17" s="55">
        <v>0</v>
      </c>
      <c r="V17" s="55">
        <f t="shared" si="9"/>
        <v>0</v>
      </c>
      <c r="W17" s="55">
        <f t="shared" si="10"/>
        <v>0</v>
      </c>
      <c r="X17" s="55">
        <v>0</v>
      </c>
      <c r="Y17" s="55" t="s">
        <v>35</v>
      </c>
      <c r="Z17" s="56">
        <f t="shared" si="11"/>
        <v>-0.75</v>
      </c>
      <c r="AA17" s="55">
        <v>0.15946875000000002</v>
      </c>
      <c r="AB17" s="55">
        <f t="shared" si="12"/>
        <v>-0.11960156250000001</v>
      </c>
      <c r="AC17" s="55">
        <v>-3.48</v>
      </c>
      <c r="AD17" s="55">
        <v>-8.6470085470085465</v>
      </c>
      <c r="AE17" s="55">
        <v>0</v>
      </c>
      <c r="AF17" s="55"/>
    </row>
    <row r="18" spans="1:32" s="57" customFormat="1" ht="15.75" customHeight="1">
      <c r="A18" s="2" t="s">
        <v>69</v>
      </c>
      <c r="B18" s="2" t="s">
        <v>178</v>
      </c>
      <c r="C18" s="51">
        <v>24.99</v>
      </c>
      <c r="D18" s="51">
        <v>1</v>
      </c>
      <c r="E18" s="51">
        <v>0</v>
      </c>
      <c r="F18" s="51">
        <v>24.99</v>
      </c>
      <c r="G18" s="51">
        <v>-8.51</v>
      </c>
      <c r="H18" s="51">
        <f t="shared" si="3"/>
        <v>0.34053621448579435</v>
      </c>
      <c r="I18" s="51">
        <f t="shared" si="4"/>
        <v>9.8314031809304606E-3</v>
      </c>
      <c r="J18" s="51">
        <f t="shared" si="5"/>
        <v>0.24568676549145219</v>
      </c>
      <c r="K18" s="51">
        <f t="shared" si="6"/>
        <v>0.24568676549145219</v>
      </c>
      <c r="L18" s="51">
        <v>135</v>
      </c>
      <c r="M18" s="51">
        <f t="shared" si="7"/>
        <v>7.4074074074074077E-3</v>
      </c>
      <c r="N18" s="51">
        <v>1</v>
      </c>
      <c r="O18" s="51">
        <f t="shared" ref="O18:P18" si="15">D18/7</f>
        <v>0.14285714285714285</v>
      </c>
      <c r="P18" s="51">
        <f t="shared" si="15"/>
        <v>0</v>
      </c>
      <c r="Q18" s="51">
        <f t="shared" si="2"/>
        <v>7</v>
      </c>
      <c r="R18" s="55">
        <v>0</v>
      </c>
      <c r="S18" s="53" t="s">
        <v>34</v>
      </c>
      <c r="T18" s="54" t="s">
        <v>34</v>
      </c>
      <c r="U18" s="55">
        <v>0</v>
      </c>
      <c r="V18" s="55">
        <f t="shared" si="9"/>
        <v>0</v>
      </c>
      <c r="W18" s="55">
        <f t="shared" si="10"/>
        <v>0</v>
      </c>
      <c r="X18" s="55">
        <v>0</v>
      </c>
      <c r="Y18" s="55" t="s">
        <v>35</v>
      </c>
      <c r="Z18" s="56">
        <f t="shared" si="11"/>
        <v>-0.75</v>
      </c>
      <c r="AA18" s="55">
        <v>0.15946875000000002</v>
      </c>
      <c r="AB18" s="58">
        <f t="shared" ref="AB18:AB39" si="16">IFERROR(Z18*AA18*D18*3,0)</f>
        <v>-0.35880468750000005</v>
      </c>
      <c r="AC18" s="55">
        <v>-3.48</v>
      </c>
      <c r="AD18" s="55">
        <v>-8.6470085470085465</v>
      </c>
      <c r="AE18" s="55">
        <v>0</v>
      </c>
      <c r="AF18" s="55"/>
    </row>
    <row r="19" spans="1:32" s="57" customFormat="1" ht="15.75" customHeight="1">
      <c r="A19" s="2" t="s">
        <v>71</v>
      </c>
      <c r="B19" s="2" t="s">
        <v>1256</v>
      </c>
      <c r="C19" s="51">
        <v>22.99</v>
      </c>
      <c r="D19" s="51">
        <v>1</v>
      </c>
      <c r="E19" s="51">
        <v>0</v>
      </c>
      <c r="F19" s="51">
        <v>22.99</v>
      </c>
      <c r="G19" s="51">
        <v>-10.760000000000002</v>
      </c>
      <c r="H19" s="51">
        <f t="shared" si="3"/>
        <v>0.46802957807742507</v>
      </c>
      <c r="I19" s="51">
        <f t="shared" si="4"/>
        <v>-0.16112715243621353</v>
      </c>
      <c r="J19" s="51">
        <f t="shared" si="5"/>
        <v>-3.704313234508549</v>
      </c>
      <c r="K19" s="51">
        <f t="shared" si="6"/>
        <v>-3.704313234508549</v>
      </c>
      <c r="L19" s="51">
        <v>137</v>
      </c>
      <c r="M19" s="51">
        <f t="shared" si="7"/>
        <v>7.2992700729927005E-3</v>
      </c>
      <c r="N19" s="51">
        <v>1</v>
      </c>
      <c r="O19" s="51">
        <f t="shared" ref="O19:P19" si="17">D19/7</f>
        <v>0.14285714285714285</v>
      </c>
      <c r="P19" s="51">
        <f t="shared" si="17"/>
        <v>0</v>
      </c>
      <c r="Q19" s="51">
        <f t="shared" si="2"/>
        <v>7</v>
      </c>
      <c r="R19" s="55">
        <v>0</v>
      </c>
      <c r="S19" s="53" t="s">
        <v>34</v>
      </c>
      <c r="T19" s="54" t="s">
        <v>34</v>
      </c>
      <c r="U19" s="55">
        <v>1</v>
      </c>
      <c r="V19" s="55">
        <f t="shared" si="9"/>
        <v>1</v>
      </c>
      <c r="W19" s="55">
        <f t="shared" si="10"/>
        <v>10.760000000000002</v>
      </c>
      <c r="X19" s="55">
        <v>0</v>
      </c>
      <c r="Y19" s="55" t="s">
        <v>35</v>
      </c>
      <c r="Z19" s="56">
        <f t="shared" si="11"/>
        <v>-0.75</v>
      </c>
      <c r="AA19" s="55">
        <v>0.15946875000000002</v>
      </c>
      <c r="AB19" s="55">
        <f t="shared" si="16"/>
        <v>-0.35880468750000005</v>
      </c>
      <c r="AC19" s="55">
        <v>-3.48</v>
      </c>
      <c r="AD19" s="55">
        <v>-8.6470085470085465</v>
      </c>
      <c r="AE19" s="55">
        <v>0</v>
      </c>
      <c r="AF19" s="55"/>
    </row>
    <row r="20" spans="1:32" s="57" customFormat="1" ht="15.75" customHeight="1">
      <c r="A20" s="2" t="s">
        <v>73</v>
      </c>
      <c r="B20" s="2"/>
      <c r="C20" s="51">
        <v>22.99</v>
      </c>
      <c r="D20" s="51">
        <v>0</v>
      </c>
      <c r="E20" s="51">
        <v>0</v>
      </c>
      <c r="F20" s="51">
        <v>0</v>
      </c>
      <c r="G20" s="51">
        <v>0</v>
      </c>
      <c r="H20" s="51" t="e">
        <f t="shared" si="3"/>
        <v>#DIV/0!</v>
      </c>
      <c r="I20" s="51" t="e">
        <f t="shared" si="4"/>
        <v>#DIV/0!</v>
      </c>
      <c r="J20" s="51">
        <f t="shared" si="5"/>
        <v>0</v>
      </c>
      <c r="K20" s="51" t="e">
        <f t="shared" si="6"/>
        <v>#DIV/0!</v>
      </c>
      <c r="L20" s="51">
        <v>122</v>
      </c>
      <c r="M20" s="51">
        <f t="shared" si="7"/>
        <v>0</v>
      </c>
      <c r="N20" s="51">
        <v>0</v>
      </c>
      <c r="O20" s="51">
        <f t="shared" ref="O20:P20" si="18">D20/7</f>
        <v>0</v>
      </c>
      <c r="P20" s="51">
        <f t="shared" si="18"/>
        <v>0</v>
      </c>
      <c r="Q20" s="51" t="e">
        <f t="shared" si="2"/>
        <v>#DIV/0!</v>
      </c>
      <c r="R20" s="55">
        <v>0</v>
      </c>
      <c r="S20" s="53" t="s">
        <v>34</v>
      </c>
      <c r="T20" s="54" t="s">
        <v>34</v>
      </c>
      <c r="U20" s="55">
        <v>0</v>
      </c>
      <c r="V20" s="55">
        <f t="shared" si="9"/>
        <v>0</v>
      </c>
      <c r="W20" s="55">
        <f t="shared" si="10"/>
        <v>0</v>
      </c>
      <c r="X20" s="55">
        <v>0</v>
      </c>
      <c r="Y20" s="55" t="s">
        <v>35</v>
      </c>
      <c r="Z20" s="56">
        <f t="shared" si="11"/>
        <v>-0.75</v>
      </c>
      <c r="AA20" s="55">
        <v>0.15946875000000002</v>
      </c>
      <c r="AB20" s="55">
        <f t="shared" si="16"/>
        <v>0</v>
      </c>
      <c r="AC20" s="55">
        <v>-3.48</v>
      </c>
      <c r="AD20" s="55">
        <v>-8.6470085470085465</v>
      </c>
      <c r="AE20" s="55">
        <v>0</v>
      </c>
      <c r="AF20" s="55"/>
    </row>
    <row r="21" spans="1:32" s="57" customFormat="1" ht="15.75" customHeight="1">
      <c r="A21" s="2" t="s">
        <v>75</v>
      </c>
      <c r="B21" s="2"/>
      <c r="C21" s="51">
        <v>22.99</v>
      </c>
      <c r="D21" s="51">
        <v>0</v>
      </c>
      <c r="E21" s="51">
        <v>0</v>
      </c>
      <c r="F21" s="51">
        <v>0</v>
      </c>
      <c r="G21" s="51">
        <v>0</v>
      </c>
      <c r="H21" s="51" t="e">
        <f t="shared" si="3"/>
        <v>#DIV/0!</v>
      </c>
      <c r="I21" s="51" t="e">
        <f t="shared" si="4"/>
        <v>#DIV/0!</v>
      </c>
      <c r="J21" s="51">
        <f t="shared" si="5"/>
        <v>0</v>
      </c>
      <c r="K21" s="51" t="e">
        <f t="shared" si="6"/>
        <v>#DIV/0!</v>
      </c>
      <c r="L21" s="51">
        <v>0</v>
      </c>
      <c r="M21" s="51" t="str">
        <f t="shared" si="7"/>
        <v>-</v>
      </c>
      <c r="N21" s="51">
        <v>1</v>
      </c>
      <c r="O21" s="51">
        <f t="shared" ref="O21:P21" si="19">D21/7</f>
        <v>0</v>
      </c>
      <c r="P21" s="51">
        <f t="shared" si="19"/>
        <v>0</v>
      </c>
      <c r="Q21" s="51" t="e">
        <f t="shared" si="2"/>
        <v>#DIV/0!</v>
      </c>
      <c r="R21" s="55">
        <v>0</v>
      </c>
      <c r="S21" s="53" t="s">
        <v>34</v>
      </c>
      <c r="T21" s="54" t="s">
        <v>34</v>
      </c>
      <c r="U21" s="55">
        <v>0</v>
      </c>
      <c r="V21" s="55">
        <f t="shared" si="9"/>
        <v>0</v>
      </c>
      <c r="W21" s="55">
        <f t="shared" si="10"/>
        <v>0</v>
      </c>
      <c r="X21" s="55">
        <v>0</v>
      </c>
      <c r="Y21" s="55" t="s">
        <v>35</v>
      </c>
      <c r="Z21" s="56">
        <f t="shared" si="11"/>
        <v>-0.75</v>
      </c>
      <c r="AA21" s="55">
        <v>0.15946875000000002</v>
      </c>
      <c r="AB21" s="55">
        <f t="shared" si="16"/>
        <v>0</v>
      </c>
      <c r="AC21" s="55">
        <v>-3.48</v>
      </c>
      <c r="AD21" s="55">
        <v>-8.6470085470085465</v>
      </c>
      <c r="AE21" s="55">
        <v>0</v>
      </c>
      <c r="AF21" s="55"/>
    </row>
    <row r="22" spans="1:32" s="57" customFormat="1" ht="15.75" customHeight="1">
      <c r="A22" s="2" t="s">
        <v>77</v>
      </c>
      <c r="B22" s="2"/>
      <c r="C22" s="51">
        <v>22.99</v>
      </c>
      <c r="D22" s="51">
        <v>2</v>
      </c>
      <c r="E22" s="51">
        <v>0</v>
      </c>
      <c r="F22" s="51">
        <v>43.98</v>
      </c>
      <c r="G22" s="51">
        <v>0</v>
      </c>
      <c r="H22" s="51">
        <f t="shared" si="3"/>
        <v>0</v>
      </c>
      <c r="I22" s="51">
        <f t="shared" si="4"/>
        <v>0.28220494613421787</v>
      </c>
      <c r="J22" s="51">
        <f t="shared" si="5"/>
        <v>12.411373530982901</v>
      </c>
      <c r="K22" s="51">
        <f t="shared" si="6"/>
        <v>6.2056867654914507</v>
      </c>
      <c r="L22" s="51">
        <v>0</v>
      </c>
      <c r="M22" s="51" t="str">
        <f t="shared" si="7"/>
        <v>-</v>
      </c>
      <c r="N22" s="51">
        <v>0</v>
      </c>
      <c r="O22" s="51">
        <f t="shared" ref="O22:P22" si="20">D22/7</f>
        <v>0.2857142857142857</v>
      </c>
      <c r="P22" s="51">
        <f t="shared" si="20"/>
        <v>0</v>
      </c>
      <c r="Q22" s="51">
        <f t="shared" si="2"/>
        <v>0</v>
      </c>
      <c r="R22" s="55">
        <v>0</v>
      </c>
      <c r="S22" s="53" t="s">
        <v>34</v>
      </c>
      <c r="T22" s="54" t="s">
        <v>34</v>
      </c>
      <c r="U22" s="55">
        <v>0</v>
      </c>
      <c r="V22" s="55">
        <f t="shared" si="9"/>
        <v>0</v>
      </c>
      <c r="W22" s="55">
        <f t="shared" si="10"/>
        <v>0</v>
      </c>
      <c r="X22" s="55">
        <v>0</v>
      </c>
      <c r="Y22" s="55" t="s">
        <v>35</v>
      </c>
      <c r="Z22" s="56">
        <f t="shared" si="11"/>
        <v>-0.75</v>
      </c>
      <c r="AA22" s="55">
        <v>0.15946875000000002</v>
      </c>
      <c r="AB22" s="55">
        <f t="shared" si="16"/>
        <v>-0.7176093750000001</v>
      </c>
      <c r="AC22" s="55">
        <v>-3.48</v>
      </c>
      <c r="AD22" s="55">
        <v>-8.6470085470085465</v>
      </c>
      <c r="AE22" s="55">
        <v>0</v>
      </c>
      <c r="AF22" s="55"/>
    </row>
    <row r="23" spans="1:32" s="57" customFormat="1" ht="15.75" customHeight="1">
      <c r="A23" s="2" t="s">
        <v>79</v>
      </c>
      <c r="B23" s="2"/>
      <c r="C23" s="51" t="s">
        <v>397</v>
      </c>
      <c r="D23" s="51">
        <v>0</v>
      </c>
      <c r="E23" s="51">
        <v>0</v>
      </c>
      <c r="F23" s="51">
        <v>0</v>
      </c>
      <c r="G23" s="51">
        <v>0</v>
      </c>
      <c r="H23" s="51" t="e">
        <f t="shared" si="3"/>
        <v>#DIV/0!</v>
      </c>
      <c r="I23" s="51" t="e">
        <f t="shared" si="4"/>
        <v>#DIV/0!</v>
      </c>
      <c r="J23" s="51">
        <f t="shared" si="5"/>
        <v>0</v>
      </c>
      <c r="K23" s="51" t="e">
        <f t="shared" si="6"/>
        <v>#DIV/0!</v>
      </c>
      <c r="L23" s="51">
        <v>0</v>
      </c>
      <c r="M23" s="51" t="str">
        <f t="shared" si="7"/>
        <v>-</v>
      </c>
      <c r="N23" s="51">
        <v>0</v>
      </c>
      <c r="O23" s="51">
        <f t="shared" ref="O23:P23" si="21">D23/7</f>
        <v>0</v>
      </c>
      <c r="P23" s="51">
        <f t="shared" si="21"/>
        <v>0</v>
      </c>
      <c r="Q23" s="51" t="e">
        <f t="shared" si="2"/>
        <v>#DIV/0!</v>
      </c>
      <c r="R23" s="55">
        <v>0</v>
      </c>
      <c r="S23" s="53" t="s">
        <v>34</v>
      </c>
      <c r="T23" s="54" t="s">
        <v>34</v>
      </c>
      <c r="U23" s="55">
        <v>0</v>
      </c>
      <c r="V23" s="55">
        <f t="shared" si="9"/>
        <v>0</v>
      </c>
      <c r="W23" s="55">
        <f t="shared" si="10"/>
        <v>0</v>
      </c>
      <c r="X23" s="55">
        <v>0</v>
      </c>
      <c r="Y23" s="55" t="e">
        <v>#N/A</v>
      </c>
      <c r="Z23" s="56" t="e">
        <f t="shared" si="11"/>
        <v>#N/A</v>
      </c>
      <c r="AA23" s="55" t="e">
        <v>#N/A</v>
      </c>
      <c r="AB23" s="55">
        <f t="shared" si="16"/>
        <v>0</v>
      </c>
      <c r="AC23" s="55">
        <v>0</v>
      </c>
      <c r="AD23" s="55">
        <v>-8.6470085470085465</v>
      </c>
      <c r="AE23" s="55">
        <v>0</v>
      </c>
      <c r="AF23" s="55"/>
    </row>
    <row r="24" spans="1:32" s="57" customFormat="1" ht="15.75" customHeight="1">
      <c r="A24" s="2" t="s">
        <v>80</v>
      </c>
      <c r="B24" s="2"/>
      <c r="C24" s="51"/>
      <c r="D24" s="51">
        <v>0</v>
      </c>
      <c r="E24" s="51">
        <v>0</v>
      </c>
      <c r="F24" s="51">
        <v>0</v>
      </c>
      <c r="G24" s="51">
        <v>0</v>
      </c>
      <c r="H24" s="51" t="e">
        <f t="shared" si="3"/>
        <v>#DIV/0!</v>
      </c>
      <c r="I24" s="51" t="e">
        <f t="shared" si="4"/>
        <v>#DIV/0!</v>
      </c>
      <c r="J24" s="51">
        <f t="shared" si="5"/>
        <v>0</v>
      </c>
      <c r="K24" s="51" t="e">
        <f t="shared" si="6"/>
        <v>#DIV/0!</v>
      </c>
      <c r="L24" s="51">
        <v>0</v>
      </c>
      <c r="M24" s="51" t="str">
        <f t="shared" si="7"/>
        <v>-</v>
      </c>
      <c r="N24" s="51">
        <v>0</v>
      </c>
      <c r="O24" s="51">
        <f t="shared" ref="O24:P24" si="22">D24/7</f>
        <v>0</v>
      </c>
      <c r="P24" s="51">
        <f t="shared" si="22"/>
        <v>0</v>
      </c>
      <c r="Q24" s="51" t="e">
        <f t="shared" si="2"/>
        <v>#DIV/0!</v>
      </c>
      <c r="R24" s="55">
        <v>0</v>
      </c>
      <c r="S24" s="53" t="s">
        <v>34</v>
      </c>
      <c r="T24" s="54" t="s">
        <v>34</v>
      </c>
      <c r="U24" s="55">
        <v>0</v>
      </c>
      <c r="V24" s="55">
        <f t="shared" si="9"/>
        <v>0</v>
      </c>
      <c r="W24" s="55">
        <f t="shared" si="10"/>
        <v>0</v>
      </c>
      <c r="X24" s="55">
        <v>0</v>
      </c>
      <c r="Y24" s="55" t="e">
        <v>#N/A</v>
      </c>
      <c r="Z24" s="56" t="e">
        <f t="shared" si="11"/>
        <v>#N/A</v>
      </c>
      <c r="AA24" s="55" t="e">
        <v>#N/A</v>
      </c>
      <c r="AB24" s="55">
        <f t="shared" si="16"/>
        <v>0</v>
      </c>
      <c r="AC24" s="55">
        <v>0</v>
      </c>
      <c r="AD24" s="55">
        <v>-8.6470085470085465</v>
      </c>
      <c r="AE24" s="55">
        <v>0</v>
      </c>
      <c r="AF24" s="55"/>
    </row>
    <row r="25" spans="1:32" s="57" customFormat="1" ht="15.75" customHeight="1">
      <c r="A25" s="2" t="s">
        <v>81</v>
      </c>
      <c r="B25" s="2"/>
      <c r="C25" s="51"/>
      <c r="D25" s="51">
        <v>0</v>
      </c>
      <c r="E25" s="51">
        <v>0</v>
      </c>
      <c r="F25" s="51">
        <v>0</v>
      </c>
      <c r="G25" s="51">
        <v>0</v>
      </c>
      <c r="H25" s="51" t="e">
        <f t="shared" si="3"/>
        <v>#DIV/0!</v>
      </c>
      <c r="I25" s="51" t="e">
        <f t="shared" si="4"/>
        <v>#DIV/0!</v>
      </c>
      <c r="J25" s="51">
        <f t="shared" si="5"/>
        <v>0</v>
      </c>
      <c r="K25" s="51" t="e">
        <f t="shared" si="6"/>
        <v>#DIV/0!</v>
      </c>
      <c r="L25" s="51">
        <v>0</v>
      </c>
      <c r="M25" s="51" t="str">
        <f t="shared" si="7"/>
        <v>-</v>
      </c>
      <c r="N25" s="51">
        <v>0</v>
      </c>
      <c r="O25" s="51">
        <f t="shared" ref="O25:P25" si="23">D25/7</f>
        <v>0</v>
      </c>
      <c r="P25" s="51">
        <f t="shared" si="23"/>
        <v>0</v>
      </c>
      <c r="Q25" s="51" t="e">
        <f t="shared" si="2"/>
        <v>#DIV/0!</v>
      </c>
      <c r="R25" s="55">
        <v>0</v>
      </c>
      <c r="S25" s="53" t="s">
        <v>34</v>
      </c>
      <c r="T25" s="54" t="s">
        <v>34</v>
      </c>
      <c r="U25" s="55">
        <v>0</v>
      </c>
      <c r="V25" s="55">
        <f t="shared" si="9"/>
        <v>0</v>
      </c>
      <c r="W25" s="55">
        <f t="shared" si="10"/>
        <v>0</v>
      </c>
      <c r="X25" s="55">
        <v>0</v>
      </c>
      <c r="Y25" s="55" t="e">
        <v>#N/A</v>
      </c>
      <c r="Z25" s="56" t="e">
        <f t="shared" si="11"/>
        <v>#N/A</v>
      </c>
      <c r="AA25" s="55" t="e">
        <v>#N/A</v>
      </c>
      <c r="AB25" s="55">
        <f t="shared" si="16"/>
        <v>0</v>
      </c>
      <c r="AC25" s="55">
        <v>0</v>
      </c>
      <c r="AD25" s="55">
        <v>-8.6470085470085465</v>
      </c>
      <c r="AE25" s="55">
        <v>0</v>
      </c>
      <c r="AF25" s="55"/>
    </row>
    <row r="26" spans="1:32" s="57" customFormat="1" ht="15.75" customHeight="1">
      <c r="A26" s="2" t="s">
        <v>83</v>
      </c>
      <c r="B26" s="2"/>
      <c r="C26" s="51" t="str">
        <f t="shared" ref="C26:C39" si="24">IFERROR(F26/D26," - ")</f>
        <v xml:space="preserve"> - </v>
      </c>
      <c r="D26" s="51">
        <v>0</v>
      </c>
      <c r="E26" s="51">
        <v>0</v>
      </c>
      <c r="F26" s="51">
        <v>0</v>
      </c>
      <c r="G26" s="51">
        <v>0</v>
      </c>
      <c r="H26" s="51" t="e">
        <f t="shared" si="3"/>
        <v>#DIV/0!</v>
      </c>
      <c r="I26" s="51" t="e">
        <f t="shared" si="4"/>
        <v>#DIV/0!</v>
      </c>
      <c r="J26" s="51">
        <f t="shared" si="5"/>
        <v>0</v>
      </c>
      <c r="K26" s="51" t="e">
        <f t="shared" si="6"/>
        <v>#DIV/0!</v>
      </c>
      <c r="L26" s="51">
        <v>0</v>
      </c>
      <c r="M26" s="51" t="str">
        <f t="shared" si="7"/>
        <v>-</v>
      </c>
      <c r="N26" s="51">
        <v>0</v>
      </c>
      <c r="O26" s="51">
        <f t="shared" ref="O26:P26" si="25">D26/7</f>
        <v>0</v>
      </c>
      <c r="P26" s="51">
        <f t="shared" si="25"/>
        <v>0</v>
      </c>
      <c r="Q26" s="51" t="e">
        <f t="shared" si="2"/>
        <v>#DIV/0!</v>
      </c>
      <c r="R26" s="55" t="s">
        <v>34</v>
      </c>
      <c r="S26" s="53" t="s">
        <v>34</v>
      </c>
      <c r="T26" s="54" t="s">
        <v>34</v>
      </c>
      <c r="U26" s="55">
        <v>0</v>
      </c>
      <c r="V26" s="55">
        <f t="shared" si="9"/>
        <v>0</v>
      </c>
      <c r="W26" s="55">
        <f t="shared" si="10"/>
        <v>0</v>
      </c>
      <c r="X26" s="55">
        <v>0</v>
      </c>
      <c r="Y26" s="55" t="e">
        <v>#N/A</v>
      </c>
      <c r="Z26" s="56" t="e">
        <f t="shared" si="11"/>
        <v>#N/A</v>
      </c>
      <c r="AA26" s="55" t="e">
        <v>#N/A</v>
      </c>
      <c r="AB26" s="55">
        <f t="shared" si="16"/>
        <v>0</v>
      </c>
      <c r="AC26" s="55">
        <v>0</v>
      </c>
      <c r="AD26" s="55">
        <v>-8.6470085470085465</v>
      </c>
      <c r="AE26" s="55">
        <v>0</v>
      </c>
      <c r="AF26" s="55"/>
    </row>
    <row r="27" spans="1:32" s="57" customFormat="1" ht="15.75" customHeight="1">
      <c r="A27" s="2" t="s">
        <v>84</v>
      </c>
      <c r="B27" s="2"/>
      <c r="C27" s="51" t="str">
        <f t="shared" si="24"/>
        <v xml:space="preserve"> - </v>
      </c>
      <c r="D27" s="51">
        <v>0</v>
      </c>
      <c r="E27" s="51">
        <v>0</v>
      </c>
      <c r="F27" s="51">
        <v>0</v>
      </c>
      <c r="G27" s="51">
        <v>0</v>
      </c>
      <c r="H27" s="51" t="e">
        <f t="shared" si="3"/>
        <v>#DIV/0!</v>
      </c>
      <c r="I27" s="51" t="e">
        <f t="shared" si="4"/>
        <v>#DIV/0!</v>
      </c>
      <c r="J27" s="51">
        <f t="shared" si="5"/>
        <v>0</v>
      </c>
      <c r="K27" s="51" t="e">
        <f t="shared" si="6"/>
        <v>#DIV/0!</v>
      </c>
      <c r="L27" s="51">
        <v>0</v>
      </c>
      <c r="M27" s="51" t="str">
        <f t="shared" si="7"/>
        <v>-</v>
      </c>
      <c r="N27" s="51">
        <v>0</v>
      </c>
      <c r="O27" s="51">
        <f t="shared" ref="O27:P27" si="26">D27/7</f>
        <v>0</v>
      </c>
      <c r="P27" s="51">
        <f t="shared" si="26"/>
        <v>0</v>
      </c>
      <c r="Q27" s="51" t="e">
        <f t="shared" si="2"/>
        <v>#DIV/0!</v>
      </c>
      <c r="R27" s="55" t="s">
        <v>34</v>
      </c>
      <c r="S27" s="53" t="s">
        <v>34</v>
      </c>
      <c r="T27" s="54" t="s">
        <v>34</v>
      </c>
      <c r="U27" s="55">
        <v>0</v>
      </c>
      <c r="V27" s="55">
        <f t="shared" si="9"/>
        <v>0</v>
      </c>
      <c r="W27" s="55">
        <f t="shared" si="10"/>
        <v>0</v>
      </c>
      <c r="X27" s="55">
        <v>0</v>
      </c>
      <c r="Y27" s="55" t="e">
        <v>#N/A</v>
      </c>
      <c r="Z27" s="56" t="e">
        <f t="shared" si="11"/>
        <v>#N/A</v>
      </c>
      <c r="AA27" s="55" t="e">
        <v>#N/A</v>
      </c>
      <c r="AB27" s="55">
        <f t="shared" si="16"/>
        <v>0</v>
      </c>
      <c r="AC27" s="55">
        <v>0</v>
      </c>
      <c r="AD27" s="55">
        <v>-8.6470085470085465</v>
      </c>
      <c r="AE27" s="55">
        <v>0</v>
      </c>
      <c r="AF27" s="55"/>
    </row>
    <row r="28" spans="1:32" s="57" customFormat="1" ht="15.75" customHeight="1">
      <c r="A28" s="2" t="s">
        <v>86</v>
      </c>
      <c r="B28" s="2"/>
      <c r="C28" s="51" t="str">
        <f t="shared" si="24"/>
        <v xml:space="preserve"> - </v>
      </c>
      <c r="D28" s="51">
        <v>0</v>
      </c>
      <c r="E28" s="51">
        <v>0</v>
      </c>
      <c r="F28" s="51">
        <v>0</v>
      </c>
      <c r="G28" s="51">
        <v>0</v>
      </c>
      <c r="H28" s="51" t="e">
        <f t="shared" si="3"/>
        <v>#DIV/0!</v>
      </c>
      <c r="I28" s="51" t="e">
        <f t="shared" si="4"/>
        <v>#DIV/0!</v>
      </c>
      <c r="J28" s="51">
        <f t="shared" si="5"/>
        <v>0</v>
      </c>
      <c r="K28" s="51" t="e">
        <f t="shared" si="6"/>
        <v>#DIV/0!</v>
      </c>
      <c r="L28" s="51">
        <v>0</v>
      </c>
      <c r="M28" s="51" t="str">
        <f t="shared" si="7"/>
        <v>-</v>
      </c>
      <c r="N28" s="51">
        <v>0</v>
      </c>
      <c r="O28" s="51">
        <f t="shared" ref="O28:P28" si="27">D28/7</f>
        <v>0</v>
      </c>
      <c r="P28" s="51">
        <f t="shared" si="27"/>
        <v>0</v>
      </c>
      <c r="Q28" s="51" t="e">
        <f t="shared" si="2"/>
        <v>#DIV/0!</v>
      </c>
      <c r="R28" s="55" t="s">
        <v>34</v>
      </c>
      <c r="S28" s="53" t="s">
        <v>34</v>
      </c>
      <c r="T28" s="54" t="s">
        <v>34</v>
      </c>
      <c r="U28" s="55">
        <v>0</v>
      </c>
      <c r="V28" s="55">
        <f t="shared" si="9"/>
        <v>0</v>
      </c>
      <c r="W28" s="55">
        <f t="shared" si="10"/>
        <v>0</v>
      </c>
      <c r="X28" s="55">
        <v>0</v>
      </c>
      <c r="Y28" s="55" t="e">
        <v>#N/A</v>
      </c>
      <c r="Z28" s="56" t="e">
        <f t="shared" si="11"/>
        <v>#N/A</v>
      </c>
      <c r="AA28" s="55" t="e">
        <v>#N/A</v>
      </c>
      <c r="AB28" s="55">
        <f t="shared" si="16"/>
        <v>0</v>
      </c>
      <c r="AC28" s="55">
        <v>0</v>
      </c>
      <c r="AD28" s="55">
        <v>-8.6470085470085465</v>
      </c>
      <c r="AE28" s="55">
        <v>0</v>
      </c>
      <c r="AF28" s="55"/>
    </row>
    <row r="29" spans="1:32" s="57" customFormat="1" ht="15.75" customHeight="1">
      <c r="A29" s="2" t="s">
        <v>87</v>
      </c>
      <c r="B29" s="2"/>
      <c r="C29" s="51" t="str">
        <f t="shared" si="24"/>
        <v xml:space="preserve"> - </v>
      </c>
      <c r="D29" s="51">
        <v>0</v>
      </c>
      <c r="E29" s="51">
        <v>0</v>
      </c>
      <c r="F29" s="51">
        <v>0</v>
      </c>
      <c r="G29" s="51">
        <v>0</v>
      </c>
      <c r="H29" s="51" t="e">
        <f t="shared" si="3"/>
        <v>#DIV/0!</v>
      </c>
      <c r="I29" s="51" t="e">
        <f t="shared" si="4"/>
        <v>#DIV/0!</v>
      </c>
      <c r="J29" s="51">
        <f t="shared" si="5"/>
        <v>0</v>
      </c>
      <c r="K29" s="51" t="e">
        <f t="shared" si="6"/>
        <v>#DIV/0!</v>
      </c>
      <c r="L29" s="51">
        <v>0</v>
      </c>
      <c r="M29" s="51" t="str">
        <f t="shared" si="7"/>
        <v>-</v>
      </c>
      <c r="N29" s="51">
        <v>0</v>
      </c>
      <c r="O29" s="51">
        <f t="shared" ref="O29:P29" si="28">D29/7</f>
        <v>0</v>
      </c>
      <c r="P29" s="51">
        <f t="shared" si="28"/>
        <v>0</v>
      </c>
      <c r="Q29" s="51" t="e">
        <f t="shared" si="2"/>
        <v>#DIV/0!</v>
      </c>
      <c r="R29" s="55" t="s">
        <v>34</v>
      </c>
      <c r="S29" s="53" t="s">
        <v>34</v>
      </c>
      <c r="T29" s="54" t="s">
        <v>34</v>
      </c>
      <c r="U29" s="55">
        <v>0</v>
      </c>
      <c r="V29" s="55">
        <f t="shared" si="9"/>
        <v>0</v>
      </c>
      <c r="W29" s="55">
        <f t="shared" si="10"/>
        <v>0</v>
      </c>
      <c r="X29" s="55">
        <v>0</v>
      </c>
      <c r="Y29" s="55" t="e">
        <v>#N/A</v>
      </c>
      <c r="Z29" s="56" t="e">
        <f t="shared" si="11"/>
        <v>#N/A</v>
      </c>
      <c r="AA29" s="55" t="e">
        <v>#N/A</v>
      </c>
      <c r="AB29" s="55">
        <f t="shared" si="16"/>
        <v>0</v>
      </c>
      <c r="AC29" s="55">
        <v>0</v>
      </c>
      <c r="AD29" s="55">
        <v>-8.6470085470085465</v>
      </c>
      <c r="AE29" s="55">
        <v>0</v>
      </c>
      <c r="AF29" s="55"/>
    </row>
    <row r="30" spans="1:32" s="57" customFormat="1" ht="15.75" customHeight="1">
      <c r="A30" s="2" t="s">
        <v>89</v>
      </c>
      <c r="B30" s="2"/>
      <c r="C30" s="51" t="str">
        <f t="shared" si="24"/>
        <v xml:space="preserve"> - </v>
      </c>
      <c r="D30" s="51">
        <v>0</v>
      </c>
      <c r="E30" s="51">
        <v>0</v>
      </c>
      <c r="F30" s="51">
        <v>0</v>
      </c>
      <c r="G30" s="51">
        <v>0</v>
      </c>
      <c r="H30" s="51" t="e">
        <f t="shared" si="3"/>
        <v>#DIV/0!</v>
      </c>
      <c r="I30" s="51" t="e">
        <f t="shared" si="4"/>
        <v>#DIV/0!</v>
      </c>
      <c r="J30" s="51">
        <f t="shared" si="5"/>
        <v>0</v>
      </c>
      <c r="K30" s="51" t="e">
        <f t="shared" si="6"/>
        <v>#DIV/0!</v>
      </c>
      <c r="L30" s="51">
        <v>0</v>
      </c>
      <c r="M30" s="51" t="str">
        <f t="shared" si="7"/>
        <v>-</v>
      </c>
      <c r="N30" s="51">
        <v>0</v>
      </c>
      <c r="O30" s="51">
        <f t="shared" ref="O30:P30" si="29">D30/7</f>
        <v>0</v>
      </c>
      <c r="P30" s="51">
        <f t="shared" si="29"/>
        <v>0</v>
      </c>
      <c r="Q30" s="51" t="e">
        <f t="shared" si="2"/>
        <v>#DIV/0!</v>
      </c>
      <c r="R30" s="55" t="s">
        <v>34</v>
      </c>
      <c r="S30" s="53" t="s">
        <v>34</v>
      </c>
      <c r="T30" s="54" t="s">
        <v>34</v>
      </c>
      <c r="U30" s="55">
        <v>0</v>
      </c>
      <c r="V30" s="55">
        <f t="shared" si="9"/>
        <v>0</v>
      </c>
      <c r="W30" s="55">
        <f t="shared" si="10"/>
        <v>0</v>
      </c>
      <c r="X30" s="55">
        <v>0</v>
      </c>
      <c r="Y30" s="55" t="e">
        <v>#N/A</v>
      </c>
      <c r="Z30" s="56" t="e">
        <f t="shared" si="11"/>
        <v>#N/A</v>
      </c>
      <c r="AA30" s="55" t="e">
        <v>#N/A</v>
      </c>
      <c r="AB30" s="55">
        <f t="shared" si="16"/>
        <v>0</v>
      </c>
      <c r="AC30" s="55">
        <v>0</v>
      </c>
      <c r="AD30" s="55">
        <v>-8.6470085470085465</v>
      </c>
      <c r="AE30" s="55">
        <v>0</v>
      </c>
      <c r="AF30" s="55"/>
    </row>
    <row r="31" spans="1:32" s="57" customFormat="1" ht="15.75" customHeight="1">
      <c r="A31" s="2" t="s">
        <v>90</v>
      </c>
      <c r="B31" s="2"/>
      <c r="C31" s="51" t="str">
        <f t="shared" si="24"/>
        <v xml:space="preserve"> - </v>
      </c>
      <c r="D31" s="51">
        <v>0</v>
      </c>
      <c r="E31" s="51">
        <v>0</v>
      </c>
      <c r="F31" s="51">
        <v>0</v>
      </c>
      <c r="G31" s="51">
        <v>0</v>
      </c>
      <c r="H31" s="51" t="e">
        <f t="shared" si="3"/>
        <v>#DIV/0!</v>
      </c>
      <c r="I31" s="51" t="e">
        <f t="shared" si="4"/>
        <v>#DIV/0!</v>
      </c>
      <c r="J31" s="51">
        <f t="shared" si="5"/>
        <v>0</v>
      </c>
      <c r="K31" s="51" t="e">
        <f t="shared" si="6"/>
        <v>#DIV/0!</v>
      </c>
      <c r="L31" s="51">
        <v>0</v>
      </c>
      <c r="M31" s="51" t="str">
        <f t="shared" si="7"/>
        <v>-</v>
      </c>
      <c r="N31" s="51">
        <v>0</v>
      </c>
      <c r="O31" s="51">
        <f t="shared" ref="O31:P31" si="30">D31/7</f>
        <v>0</v>
      </c>
      <c r="P31" s="51">
        <f t="shared" si="30"/>
        <v>0</v>
      </c>
      <c r="Q31" s="51" t="e">
        <f t="shared" si="2"/>
        <v>#DIV/0!</v>
      </c>
      <c r="R31" s="55" t="s">
        <v>34</v>
      </c>
      <c r="S31" s="53" t="s">
        <v>34</v>
      </c>
      <c r="T31" s="54" t="s">
        <v>34</v>
      </c>
      <c r="U31" s="55">
        <v>0</v>
      </c>
      <c r="V31" s="55">
        <f t="shared" si="9"/>
        <v>0</v>
      </c>
      <c r="W31" s="55">
        <f t="shared" si="10"/>
        <v>0</v>
      </c>
      <c r="X31" s="55">
        <v>0</v>
      </c>
      <c r="Y31" s="55" t="e">
        <v>#N/A</v>
      </c>
      <c r="Z31" s="56" t="e">
        <f t="shared" si="11"/>
        <v>#N/A</v>
      </c>
      <c r="AA31" s="55" t="e">
        <v>#N/A</v>
      </c>
      <c r="AB31" s="55">
        <f t="shared" si="16"/>
        <v>0</v>
      </c>
      <c r="AC31" s="55">
        <v>0</v>
      </c>
      <c r="AD31" s="55">
        <v>-8.6470085470085465</v>
      </c>
      <c r="AE31" s="55">
        <v>0</v>
      </c>
      <c r="AF31" s="55"/>
    </row>
    <row r="32" spans="1:32" s="57" customFormat="1" ht="15.75" customHeight="1">
      <c r="A32" s="2" t="s">
        <v>92</v>
      </c>
      <c r="B32" s="2"/>
      <c r="C32" s="51" t="str">
        <f t="shared" si="24"/>
        <v xml:space="preserve"> - </v>
      </c>
      <c r="D32" s="51">
        <v>0</v>
      </c>
      <c r="E32" s="51">
        <v>0</v>
      </c>
      <c r="F32" s="51">
        <v>0</v>
      </c>
      <c r="G32" s="51">
        <v>0</v>
      </c>
      <c r="H32" s="51" t="e">
        <f t="shared" si="3"/>
        <v>#DIV/0!</v>
      </c>
      <c r="I32" s="51" t="e">
        <f t="shared" si="4"/>
        <v>#DIV/0!</v>
      </c>
      <c r="J32" s="51">
        <f t="shared" si="5"/>
        <v>0</v>
      </c>
      <c r="K32" s="51" t="e">
        <f t="shared" si="6"/>
        <v>#DIV/0!</v>
      </c>
      <c r="L32" s="51">
        <v>0</v>
      </c>
      <c r="M32" s="51" t="str">
        <f t="shared" si="7"/>
        <v>-</v>
      </c>
      <c r="N32" s="51">
        <v>0</v>
      </c>
      <c r="O32" s="51">
        <f t="shared" ref="O32:P32" si="31">D32/7</f>
        <v>0</v>
      </c>
      <c r="P32" s="51">
        <f t="shared" si="31"/>
        <v>0</v>
      </c>
      <c r="Q32" s="51" t="e">
        <f t="shared" si="2"/>
        <v>#DIV/0!</v>
      </c>
      <c r="R32" s="55" t="s">
        <v>34</v>
      </c>
      <c r="S32" s="53" t="s">
        <v>34</v>
      </c>
      <c r="T32" s="54" t="s">
        <v>34</v>
      </c>
      <c r="U32" s="55">
        <v>0</v>
      </c>
      <c r="V32" s="55">
        <f t="shared" si="9"/>
        <v>0</v>
      </c>
      <c r="W32" s="55">
        <f t="shared" si="10"/>
        <v>0</v>
      </c>
      <c r="X32" s="55">
        <v>0</v>
      </c>
      <c r="Y32" s="55" t="e">
        <v>#N/A</v>
      </c>
      <c r="Z32" s="56" t="e">
        <f t="shared" si="11"/>
        <v>#N/A</v>
      </c>
      <c r="AA32" s="55" t="e">
        <v>#N/A</v>
      </c>
      <c r="AB32" s="55">
        <f t="shared" si="16"/>
        <v>0</v>
      </c>
      <c r="AC32" s="55">
        <v>0</v>
      </c>
      <c r="AD32" s="55">
        <v>-8.6470085470085465</v>
      </c>
      <c r="AE32" s="55">
        <v>0</v>
      </c>
      <c r="AF32" s="52" t="e">
        <v>#N/A</v>
      </c>
    </row>
    <row r="33" spans="1:32" s="57" customFormat="1" ht="15.75" customHeight="1">
      <c r="A33" s="2" t="s">
        <v>94</v>
      </c>
      <c r="B33" s="2"/>
      <c r="C33" s="51" t="str">
        <f t="shared" si="24"/>
        <v xml:space="preserve"> - </v>
      </c>
      <c r="D33" s="51">
        <v>0</v>
      </c>
      <c r="E33" s="51">
        <v>0</v>
      </c>
      <c r="F33" s="51">
        <v>0</v>
      </c>
      <c r="G33" s="51">
        <v>0</v>
      </c>
      <c r="H33" s="51" t="e">
        <f t="shared" si="3"/>
        <v>#DIV/0!</v>
      </c>
      <c r="I33" s="51" t="e">
        <f t="shared" si="4"/>
        <v>#DIV/0!</v>
      </c>
      <c r="J33" s="51">
        <f t="shared" si="5"/>
        <v>0</v>
      </c>
      <c r="K33" s="51" t="e">
        <f t="shared" si="6"/>
        <v>#DIV/0!</v>
      </c>
      <c r="L33" s="51">
        <v>0</v>
      </c>
      <c r="M33" s="51" t="str">
        <f t="shared" si="7"/>
        <v>-</v>
      </c>
      <c r="N33" s="51">
        <v>0</v>
      </c>
      <c r="O33" s="51">
        <f t="shared" ref="O33:P33" si="32">D33/7</f>
        <v>0</v>
      </c>
      <c r="P33" s="51">
        <f t="shared" si="32"/>
        <v>0</v>
      </c>
      <c r="Q33" s="51" t="e">
        <f t="shared" si="2"/>
        <v>#DIV/0!</v>
      </c>
      <c r="R33" s="55" t="s">
        <v>34</v>
      </c>
      <c r="S33" s="53" t="s">
        <v>34</v>
      </c>
      <c r="T33" s="54" t="s">
        <v>34</v>
      </c>
      <c r="U33" s="55">
        <v>0</v>
      </c>
      <c r="V33" s="55">
        <f t="shared" si="9"/>
        <v>0</v>
      </c>
      <c r="W33" s="55">
        <f t="shared" si="10"/>
        <v>0</v>
      </c>
      <c r="X33" s="55">
        <v>0</v>
      </c>
      <c r="Y33" s="55" t="e">
        <v>#N/A</v>
      </c>
      <c r="Z33" s="56" t="e">
        <f t="shared" si="11"/>
        <v>#N/A</v>
      </c>
      <c r="AA33" s="55" t="e">
        <v>#N/A</v>
      </c>
      <c r="AB33" s="55">
        <f t="shared" si="16"/>
        <v>0</v>
      </c>
      <c r="AC33" s="55">
        <v>0</v>
      </c>
      <c r="AD33" s="55">
        <v>-8.6470085470085465</v>
      </c>
      <c r="AE33" s="55">
        <v>0</v>
      </c>
      <c r="AF33" s="55" t="e">
        <v>#N/A</v>
      </c>
    </row>
    <row r="34" spans="1:32" s="57" customFormat="1" ht="15.75" customHeight="1">
      <c r="A34" s="2" t="s">
        <v>95</v>
      </c>
      <c r="B34" s="2"/>
      <c r="C34" s="51" t="str">
        <f t="shared" si="24"/>
        <v xml:space="preserve"> - </v>
      </c>
      <c r="D34" s="51">
        <v>0</v>
      </c>
      <c r="E34" s="51">
        <v>0</v>
      </c>
      <c r="F34" s="51">
        <v>0</v>
      </c>
      <c r="G34" s="51">
        <v>0</v>
      </c>
      <c r="H34" s="51" t="e">
        <f t="shared" si="3"/>
        <v>#DIV/0!</v>
      </c>
      <c r="I34" s="51" t="e">
        <f t="shared" si="4"/>
        <v>#DIV/0!</v>
      </c>
      <c r="J34" s="51">
        <f t="shared" si="5"/>
        <v>0</v>
      </c>
      <c r="K34" s="51" t="e">
        <f t="shared" si="6"/>
        <v>#DIV/0!</v>
      </c>
      <c r="L34" s="51">
        <v>0</v>
      </c>
      <c r="M34" s="51" t="str">
        <f t="shared" si="7"/>
        <v>-</v>
      </c>
      <c r="N34" s="51">
        <v>0</v>
      </c>
      <c r="O34" s="51">
        <f t="shared" ref="O34:P34" si="33">D34/7</f>
        <v>0</v>
      </c>
      <c r="P34" s="51">
        <f t="shared" si="33"/>
        <v>0</v>
      </c>
      <c r="Q34" s="51" t="e">
        <f t="shared" si="2"/>
        <v>#DIV/0!</v>
      </c>
      <c r="R34" s="55" t="s">
        <v>34</v>
      </c>
      <c r="S34" s="53" t="s">
        <v>34</v>
      </c>
      <c r="T34" s="54" t="s">
        <v>34</v>
      </c>
      <c r="U34" s="55">
        <v>0</v>
      </c>
      <c r="V34" s="55">
        <f t="shared" si="9"/>
        <v>0</v>
      </c>
      <c r="W34" s="55">
        <f t="shared" si="10"/>
        <v>0</v>
      </c>
      <c r="X34" s="55">
        <v>0</v>
      </c>
      <c r="Y34" s="55" t="e">
        <v>#N/A</v>
      </c>
      <c r="Z34" s="56" t="e">
        <f t="shared" si="11"/>
        <v>#N/A</v>
      </c>
      <c r="AA34" s="55" t="e">
        <v>#N/A</v>
      </c>
      <c r="AB34" s="55">
        <f t="shared" si="16"/>
        <v>0</v>
      </c>
      <c r="AC34" s="55">
        <v>0</v>
      </c>
      <c r="AD34" s="55">
        <v>-8.6470085470085465</v>
      </c>
      <c r="AE34" s="55">
        <v>0</v>
      </c>
      <c r="AF34" s="55" t="e">
        <v>#N/A</v>
      </c>
    </row>
    <row r="35" spans="1:32" s="57" customFormat="1" ht="15.75" customHeight="1">
      <c r="A35" s="2" t="s">
        <v>96</v>
      </c>
      <c r="B35" s="2"/>
      <c r="C35" s="51" t="str">
        <f t="shared" si="24"/>
        <v xml:space="preserve"> - </v>
      </c>
      <c r="D35" s="51">
        <v>0</v>
      </c>
      <c r="E35" s="51">
        <v>0</v>
      </c>
      <c r="F35" s="51">
        <v>0</v>
      </c>
      <c r="G35" s="51">
        <v>0</v>
      </c>
      <c r="H35" s="51" t="e">
        <f t="shared" si="3"/>
        <v>#DIV/0!</v>
      </c>
      <c r="I35" s="51" t="e">
        <f t="shared" si="4"/>
        <v>#DIV/0!</v>
      </c>
      <c r="J35" s="51">
        <f t="shared" si="5"/>
        <v>0</v>
      </c>
      <c r="K35" s="51" t="e">
        <f t="shared" si="6"/>
        <v>#DIV/0!</v>
      </c>
      <c r="L35" s="51">
        <v>0</v>
      </c>
      <c r="M35" s="51" t="str">
        <f t="shared" si="7"/>
        <v>-</v>
      </c>
      <c r="N35" s="51">
        <v>0</v>
      </c>
      <c r="O35" s="51">
        <f t="shared" ref="O35:P35" si="34">D35/7</f>
        <v>0</v>
      </c>
      <c r="P35" s="51">
        <f t="shared" si="34"/>
        <v>0</v>
      </c>
      <c r="Q35" s="51" t="e">
        <f t="shared" si="2"/>
        <v>#DIV/0!</v>
      </c>
      <c r="R35" s="55" t="s">
        <v>34</v>
      </c>
      <c r="S35" s="53" t="s">
        <v>34</v>
      </c>
      <c r="T35" s="54" t="s">
        <v>34</v>
      </c>
      <c r="U35" s="55">
        <v>0</v>
      </c>
      <c r="V35" s="55">
        <f t="shared" si="9"/>
        <v>0</v>
      </c>
      <c r="W35" s="55">
        <f t="shared" si="10"/>
        <v>0</v>
      </c>
      <c r="X35" s="55">
        <v>0</v>
      </c>
      <c r="Y35" s="55" t="e">
        <v>#N/A</v>
      </c>
      <c r="Z35" s="56" t="e">
        <f t="shared" si="11"/>
        <v>#N/A</v>
      </c>
      <c r="AA35" s="55" t="e">
        <v>#N/A</v>
      </c>
      <c r="AB35" s="55">
        <f t="shared" si="16"/>
        <v>0</v>
      </c>
      <c r="AC35" s="55">
        <v>0</v>
      </c>
      <c r="AD35" s="55">
        <v>-8.6470085470085465</v>
      </c>
      <c r="AE35" s="55">
        <v>0</v>
      </c>
      <c r="AF35" s="55" t="e">
        <v>#N/A</v>
      </c>
    </row>
    <row r="36" spans="1:32" s="57" customFormat="1" ht="15.75" customHeight="1">
      <c r="A36" s="2" t="s">
        <v>98</v>
      </c>
      <c r="B36" s="2"/>
      <c r="C36" s="51" t="str">
        <f t="shared" si="24"/>
        <v xml:space="preserve"> - </v>
      </c>
      <c r="D36" s="51">
        <v>0</v>
      </c>
      <c r="E36" s="51">
        <v>0</v>
      </c>
      <c r="F36" s="51">
        <v>0</v>
      </c>
      <c r="G36" s="51">
        <v>0</v>
      </c>
      <c r="H36" s="51" t="e">
        <f t="shared" si="3"/>
        <v>#DIV/0!</v>
      </c>
      <c r="I36" s="51" t="e">
        <f t="shared" si="4"/>
        <v>#DIV/0!</v>
      </c>
      <c r="J36" s="51">
        <f t="shared" si="5"/>
        <v>0</v>
      </c>
      <c r="K36" s="51" t="e">
        <f t="shared" si="6"/>
        <v>#DIV/0!</v>
      </c>
      <c r="L36" s="51">
        <v>0</v>
      </c>
      <c r="M36" s="51" t="str">
        <f t="shared" si="7"/>
        <v>-</v>
      </c>
      <c r="N36" s="51">
        <v>0</v>
      </c>
      <c r="O36" s="51">
        <f t="shared" ref="O36:P36" si="35">D36/7</f>
        <v>0</v>
      </c>
      <c r="P36" s="51">
        <f t="shared" si="35"/>
        <v>0</v>
      </c>
      <c r="Q36" s="51" t="e">
        <f t="shared" si="2"/>
        <v>#DIV/0!</v>
      </c>
      <c r="R36" s="55" t="s">
        <v>34</v>
      </c>
      <c r="S36" s="53"/>
      <c r="T36" s="54" t="s">
        <v>34</v>
      </c>
      <c r="U36" s="55"/>
      <c r="V36" s="55">
        <f t="shared" si="9"/>
        <v>0</v>
      </c>
      <c r="W36" s="55">
        <f t="shared" si="10"/>
        <v>0</v>
      </c>
      <c r="X36" s="55"/>
      <c r="Y36" s="55" t="e">
        <v>#N/A</v>
      </c>
      <c r="Z36" s="56" t="e">
        <f t="shared" si="11"/>
        <v>#N/A</v>
      </c>
      <c r="AA36" s="55" t="e">
        <v>#N/A</v>
      </c>
      <c r="AB36" s="55">
        <f t="shared" si="16"/>
        <v>0</v>
      </c>
      <c r="AC36" s="55">
        <v>0</v>
      </c>
      <c r="AD36" s="55">
        <v>-8.6470085470085465</v>
      </c>
      <c r="AE36" s="55">
        <v>0</v>
      </c>
      <c r="AF36" s="55" t="e">
        <v>#N/A</v>
      </c>
    </row>
    <row r="37" spans="1:32" s="57" customFormat="1" ht="15.75" customHeight="1">
      <c r="A37" s="2" t="s">
        <v>99</v>
      </c>
      <c r="B37" s="2"/>
      <c r="C37" s="51" t="str">
        <f t="shared" si="24"/>
        <v xml:space="preserve"> - </v>
      </c>
      <c r="D37" s="51">
        <v>0</v>
      </c>
      <c r="E37" s="51">
        <v>0</v>
      </c>
      <c r="F37" s="51">
        <v>0</v>
      </c>
      <c r="G37" s="51">
        <v>0</v>
      </c>
      <c r="H37" s="51" t="e">
        <f t="shared" si="3"/>
        <v>#DIV/0!</v>
      </c>
      <c r="I37" s="51" t="e">
        <f t="shared" si="4"/>
        <v>#DIV/0!</v>
      </c>
      <c r="J37" s="51">
        <f t="shared" si="5"/>
        <v>0</v>
      </c>
      <c r="K37" s="51" t="e">
        <f t="shared" si="6"/>
        <v>#DIV/0!</v>
      </c>
      <c r="L37" s="51">
        <v>0</v>
      </c>
      <c r="M37" s="51" t="str">
        <f t="shared" si="7"/>
        <v>-</v>
      </c>
      <c r="N37" s="51">
        <v>0</v>
      </c>
      <c r="O37" s="51">
        <f t="shared" ref="O37:P37" si="36">D37/7</f>
        <v>0</v>
      </c>
      <c r="P37" s="51">
        <f t="shared" si="36"/>
        <v>0</v>
      </c>
      <c r="Q37" s="51" t="e">
        <f t="shared" si="2"/>
        <v>#DIV/0!</v>
      </c>
      <c r="R37" s="55" t="s">
        <v>34</v>
      </c>
      <c r="S37" s="53" t="s">
        <v>34</v>
      </c>
      <c r="T37" s="54" t="s">
        <v>34</v>
      </c>
      <c r="U37" s="55">
        <v>0</v>
      </c>
      <c r="V37" s="55">
        <f t="shared" si="9"/>
        <v>0</v>
      </c>
      <c r="W37" s="55">
        <f t="shared" si="10"/>
        <v>0</v>
      </c>
      <c r="X37" s="55">
        <v>0</v>
      </c>
      <c r="Y37" s="55" t="e">
        <v>#N/A</v>
      </c>
      <c r="Z37" s="56" t="e">
        <f t="shared" si="11"/>
        <v>#N/A</v>
      </c>
      <c r="AA37" s="55" t="e">
        <v>#N/A</v>
      </c>
      <c r="AB37" s="55">
        <f t="shared" si="16"/>
        <v>0</v>
      </c>
      <c r="AC37" s="55">
        <v>0</v>
      </c>
      <c r="AD37" s="55">
        <v>-8.6470085470085465</v>
      </c>
      <c r="AE37" s="55">
        <v>0</v>
      </c>
      <c r="AF37" s="55" t="e">
        <v>#N/A</v>
      </c>
    </row>
    <row r="38" spans="1:32" s="57" customFormat="1" ht="15.75" customHeight="1">
      <c r="A38" s="2" t="s">
        <v>100</v>
      </c>
      <c r="B38" s="2"/>
      <c r="C38" s="51" t="str">
        <f t="shared" si="24"/>
        <v xml:space="preserve"> - </v>
      </c>
      <c r="D38" s="51">
        <v>0</v>
      </c>
      <c r="E38" s="51">
        <v>0</v>
      </c>
      <c r="F38" s="51">
        <v>0</v>
      </c>
      <c r="G38" s="51">
        <v>0</v>
      </c>
      <c r="H38" s="51" t="e">
        <f t="shared" si="3"/>
        <v>#DIV/0!</v>
      </c>
      <c r="I38" s="51" t="e">
        <f t="shared" si="4"/>
        <v>#DIV/0!</v>
      </c>
      <c r="J38" s="51">
        <f t="shared" si="5"/>
        <v>0</v>
      </c>
      <c r="K38" s="51" t="e">
        <f t="shared" si="6"/>
        <v>#DIV/0!</v>
      </c>
      <c r="L38" s="51">
        <v>0</v>
      </c>
      <c r="M38" s="51" t="str">
        <f t="shared" si="7"/>
        <v>-</v>
      </c>
      <c r="N38" s="51">
        <v>0</v>
      </c>
      <c r="O38" s="51">
        <f t="shared" ref="O38:P38" si="37">D38/7</f>
        <v>0</v>
      </c>
      <c r="P38" s="51">
        <f t="shared" si="37"/>
        <v>0</v>
      </c>
      <c r="Q38" s="51" t="e">
        <f t="shared" si="2"/>
        <v>#DIV/0!</v>
      </c>
      <c r="R38" s="55" t="s">
        <v>34</v>
      </c>
      <c r="S38" s="53"/>
      <c r="T38" s="54" t="s">
        <v>34</v>
      </c>
      <c r="U38" s="55">
        <v>0</v>
      </c>
      <c r="V38" s="55">
        <f t="shared" si="9"/>
        <v>0</v>
      </c>
      <c r="W38" s="55">
        <f t="shared" si="10"/>
        <v>0</v>
      </c>
      <c r="X38" s="55">
        <v>0</v>
      </c>
      <c r="Y38" s="55" t="e">
        <v>#N/A</v>
      </c>
      <c r="Z38" s="56" t="e">
        <f t="shared" si="11"/>
        <v>#N/A</v>
      </c>
      <c r="AA38" s="55" t="e">
        <v>#N/A</v>
      </c>
      <c r="AB38" s="55">
        <f t="shared" si="16"/>
        <v>0</v>
      </c>
      <c r="AC38" s="55">
        <v>0</v>
      </c>
      <c r="AD38" s="55">
        <v>-8.6470085470085465</v>
      </c>
      <c r="AE38" s="55">
        <v>0</v>
      </c>
      <c r="AF38" s="55" t="e">
        <v>#N/A</v>
      </c>
    </row>
    <row r="39" spans="1:32" s="57" customFormat="1" ht="15.75" customHeight="1">
      <c r="A39" s="2" t="s">
        <v>101</v>
      </c>
      <c r="B39" s="2"/>
      <c r="C39" s="51" t="str">
        <f t="shared" si="24"/>
        <v xml:space="preserve"> - </v>
      </c>
      <c r="D39" s="51">
        <v>0</v>
      </c>
      <c r="E39" s="51">
        <v>0</v>
      </c>
      <c r="F39" s="51">
        <v>0</v>
      </c>
      <c r="G39" s="51">
        <v>0</v>
      </c>
      <c r="H39" s="51" t="e">
        <f t="shared" si="3"/>
        <v>#DIV/0!</v>
      </c>
      <c r="I39" s="51" t="e">
        <f t="shared" si="4"/>
        <v>#DIV/0!</v>
      </c>
      <c r="J39" s="51">
        <f>F39*0.85+G39+AD39*D39+D39*AC39+AE40+AB39</f>
        <v>0</v>
      </c>
      <c r="K39" s="51" t="e">
        <f t="shared" si="6"/>
        <v>#DIV/0!</v>
      </c>
      <c r="L39" s="51">
        <v>0</v>
      </c>
      <c r="M39" s="51" t="str">
        <f t="shared" si="7"/>
        <v>-</v>
      </c>
      <c r="N39" s="51">
        <v>0</v>
      </c>
      <c r="O39" s="51">
        <f t="shared" ref="O39:P39" si="38">D39/7</f>
        <v>0</v>
      </c>
      <c r="P39" s="51">
        <f t="shared" si="38"/>
        <v>0</v>
      </c>
      <c r="Q39" s="51" t="e">
        <f t="shared" si="2"/>
        <v>#DIV/0!</v>
      </c>
      <c r="R39" s="55" t="s">
        <v>34</v>
      </c>
      <c r="S39" s="53" t="s">
        <v>34</v>
      </c>
      <c r="T39" s="54" t="s">
        <v>34</v>
      </c>
      <c r="U39" s="55">
        <v>0</v>
      </c>
      <c r="V39" s="55">
        <f t="shared" si="9"/>
        <v>0</v>
      </c>
      <c r="W39" s="55">
        <f t="shared" si="10"/>
        <v>0</v>
      </c>
      <c r="X39" s="55">
        <v>0</v>
      </c>
      <c r="Y39" s="55" t="e">
        <v>#N/A</v>
      </c>
      <c r="Z39" s="56" t="e">
        <f t="shared" si="11"/>
        <v>#N/A</v>
      </c>
      <c r="AA39" s="55" t="e">
        <v>#N/A</v>
      </c>
      <c r="AB39" s="55">
        <f t="shared" si="16"/>
        <v>0</v>
      </c>
      <c r="AC39" s="55">
        <v>0</v>
      </c>
      <c r="AD39" s="55">
        <v>-8.6470085470085394</v>
      </c>
      <c r="AE39" s="55">
        <v>0</v>
      </c>
      <c r="AF39" s="55" t="e">
        <v>#N/A</v>
      </c>
    </row>
    <row r="40" spans="1:32" s="57" customFormat="1" ht="15.75" customHeight="1">
      <c r="A40" s="2" t="s">
        <v>102</v>
      </c>
      <c r="B40" s="2"/>
      <c r="C40" s="51" t="s">
        <v>103</v>
      </c>
      <c r="D40" s="51">
        <v>0</v>
      </c>
      <c r="E40" s="51">
        <v>0</v>
      </c>
      <c r="F40" s="51">
        <v>0</v>
      </c>
      <c r="G40" s="51">
        <v>0</v>
      </c>
      <c r="H40" s="51" t="e">
        <v>#DIV/0!</v>
      </c>
      <c r="I40" s="51" t="e">
        <v>#DIV/0!</v>
      </c>
      <c r="J40" s="51">
        <v>0</v>
      </c>
      <c r="K40" s="51" t="e">
        <v>#DIV/0!</v>
      </c>
      <c r="L40" s="51">
        <v>0</v>
      </c>
      <c r="M40" s="51" t="s">
        <v>104</v>
      </c>
      <c r="N40" s="51">
        <v>0</v>
      </c>
      <c r="O40" s="51">
        <v>0</v>
      </c>
      <c r="P40" s="51">
        <v>0</v>
      </c>
      <c r="Q40" s="51" t="e">
        <v>#DIV/0!</v>
      </c>
      <c r="R40" s="55" t="s">
        <v>34</v>
      </c>
      <c r="S40" s="53" t="s">
        <v>34</v>
      </c>
      <c r="T40" s="54" t="s">
        <v>34</v>
      </c>
      <c r="U40" s="55">
        <v>0</v>
      </c>
      <c r="V40" s="55">
        <v>0</v>
      </c>
      <c r="W40" s="55">
        <v>0</v>
      </c>
      <c r="X40" s="55">
        <v>0</v>
      </c>
      <c r="Y40" s="55" t="e">
        <v>#N/A</v>
      </c>
      <c r="Z40" s="56" t="e">
        <v>#N/A</v>
      </c>
      <c r="AA40" s="55" t="e">
        <v>#N/A</v>
      </c>
      <c r="AB40" s="55">
        <v>0</v>
      </c>
      <c r="AC40" s="55">
        <v>0</v>
      </c>
      <c r="AD40" s="55">
        <v>-8.6470085470085394</v>
      </c>
      <c r="AE40" s="55">
        <v>0</v>
      </c>
      <c r="AF40" s="55" t="e">
        <v>#N/A</v>
      </c>
    </row>
    <row r="41" spans="1:32" s="57" customFormat="1" ht="15.75" customHeight="1">
      <c r="A41" s="2" t="s">
        <v>105</v>
      </c>
      <c r="B41" s="2"/>
      <c r="C41" s="51" t="str">
        <f t="shared" ref="C41:C56" si="39">IFERROR(F41/D41," - ")</f>
        <v xml:space="preserve"> - </v>
      </c>
      <c r="D41" s="51">
        <v>0</v>
      </c>
      <c r="E41" s="51">
        <v>0</v>
      </c>
      <c r="F41" s="51">
        <v>0</v>
      </c>
      <c r="G41" s="51">
        <v>0</v>
      </c>
      <c r="H41" s="51" t="e">
        <f t="shared" ref="H41:H56" si="40">G41/F41*-1</f>
        <v>#DIV/0!</v>
      </c>
      <c r="I41" s="51" t="e">
        <f t="shared" ref="I41:I56" si="41">J41/F41</f>
        <v>#DIV/0!</v>
      </c>
      <c r="J41" s="51">
        <f t="shared" ref="J41:J48" si="42">F41*0.85+G41+AD41*D41+D41*AC41+AE42+AB41</f>
        <v>0</v>
      </c>
      <c r="K41" s="51" t="e">
        <f t="shared" ref="K41:K56" si="43">J41/D41</f>
        <v>#DIV/0!</v>
      </c>
      <c r="L41" s="51">
        <v>0</v>
      </c>
      <c r="M41" s="51" t="str">
        <f t="shared" ref="M41:M56" si="44">IFERROR(D41/L41,"-")</f>
        <v>-</v>
      </c>
      <c r="N41" s="51">
        <v>0</v>
      </c>
      <c r="O41" s="51">
        <f t="shared" ref="O41:P41" si="45">D41/7</f>
        <v>0</v>
      </c>
      <c r="P41" s="51">
        <f t="shared" si="45"/>
        <v>0</v>
      </c>
      <c r="Q41" s="51" t="e">
        <f t="shared" ref="Q41:Q56" si="46">ROUNDDOWN(N41/(O41+P41),0)</f>
        <v>#DIV/0!</v>
      </c>
      <c r="R41" s="55" t="s">
        <v>34</v>
      </c>
      <c r="S41" s="53" t="s">
        <v>34</v>
      </c>
      <c r="T41" s="54" t="s">
        <v>34</v>
      </c>
      <c r="U41" s="55">
        <v>0</v>
      </c>
      <c r="V41" s="55">
        <f t="shared" ref="V41:V56" si="47">IFERROR(U41/D41,0)</f>
        <v>0</v>
      </c>
      <c r="W41" s="55">
        <f t="shared" ref="W41:W56" si="48">IFERROR(G41/(U41+X41)*-1,0)</f>
        <v>0</v>
      </c>
      <c r="X41" s="55">
        <v>0</v>
      </c>
      <c r="Y41" s="52" t="e">
        <v>#N/A</v>
      </c>
      <c r="Z41" s="56" t="e">
        <f t="shared" ref="Z41:Z43" si="49">IF(OR(Y41="UsLargeStandardSize",Y41="UsSmallStandardSize"),-0.75,-0.48)</f>
        <v>#N/A</v>
      </c>
      <c r="AA41" s="55" t="e">
        <v>#N/A</v>
      </c>
      <c r="AB41" s="55">
        <f t="shared" ref="AB41:AB56" si="50">IFERROR(Z41*AA41*D41*3,0)</f>
        <v>0</v>
      </c>
      <c r="AC41" s="55">
        <v>0</v>
      </c>
      <c r="AD41" s="55">
        <v>-8.6470085470085394</v>
      </c>
      <c r="AE41" s="55">
        <v>0</v>
      </c>
      <c r="AF41" s="55" t="e">
        <v>#N/A</v>
      </c>
    </row>
    <row r="42" spans="1:32" s="57" customFormat="1" ht="15.75" customHeight="1">
      <c r="A42" s="2" t="s">
        <v>106</v>
      </c>
      <c r="B42" s="2"/>
      <c r="C42" s="51" t="str">
        <f t="shared" si="39"/>
        <v xml:space="preserve"> - </v>
      </c>
      <c r="D42" s="51">
        <v>0</v>
      </c>
      <c r="E42" s="51">
        <v>0</v>
      </c>
      <c r="F42" s="51">
        <v>0</v>
      </c>
      <c r="G42" s="51">
        <v>0</v>
      </c>
      <c r="H42" s="51" t="e">
        <f t="shared" si="40"/>
        <v>#DIV/0!</v>
      </c>
      <c r="I42" s="51" t="e">
        <f t="shared" si="41"/>
        <v>#DIV/0!</v>
      </c>
      <c r="J42" s="51">
        <f t="shared" si="42"/>
        <v>0</v>
      </c>
      <c r="K42" s="51" t="e">
        <f t="shared" si="43"/>
        <v>#DIV/0!</v>
      </c>
      <c r="L42" s="51">
        <v>0</v>
      </c>
      <c r="M42" s="51" t="str">
        <f t="shared" si="44"/>
        <v>-</v>
      </c>
      <c r="N42" s="51">
        <v>0</v>
      </c>
      <c r="O42" s="51">
        <f t="shared" ref="O42:P42" si="51">D42/7</f>
        <v>0</v>
      </c>
      <c r="P42" s="51">
        <f t="shared" si="51"/>
        <v>0</v>
      </c>
      <c r="Q42" s="51" t="e">
        <f t="shared" si="46"/>
        <v>#DIV/0!</v>
      </c>
      <c r="R42" s="55" t="str">
        <f ca="1">IFERROR(__xludf.DUMMYFUNCTION("IFERROR(VLOOKUP($B$2,IMPORTRANGE(""https://docs.google.com/spreadsheets/d/1iVgg6Mw12RULLujzHmfOFIY8Q_KaAD8anoZzgtVAQ74/edit#gid=1503384807"",""Second Star - Summary!A1:AD2000""),9,FALSE),"""")"),"")</f>
        <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5">
        <v>0</v>
      </c>
      <c r="V42" s="55">
        <f t="shared" si="47"/>
        <v>0</v>
      </c>
      <c r="W42" s="55">
        <f t="shared" si="48"/>
        <v>0</v>
      </c>
      <c r="X42" s="55">
        <v>0</v>
      </c>
      <c r="Y42" s="55" t="e">
        <v>#N/A</v>
      </c>
      <c r="Z42" s="56" t="e">
        <f t="shared" si="49"/>
        <v>#N/A</v>
      </c>
      <c r="AA42" s="55" t="e">
        <v>#N/A</v>
      </c>
      <c r="AB42" s="55">
        <f t="shared" si="50"/>
        <v>0</v>
      </c>
      <c r="AC42" s="55">
        <v>0</v>
      </c>
      <c r="AD42" s="55">
        <v>-8.6470085470085394</v>
      </c>
      <c r="AE42" s="55">
        <v>0</v>
      </c>
      <c r="AF42" s="55" t="e">
        <v>#N/A</v>
      </c>
    </row>
    <row r="43" spans="1:32" s="57" customFormat="1" ht="15.75" customHeight="1">
      <c r="A43" s="2" t="s">
        <v>107</v>
      </c>
      <c r="B43" s="2"/>
      <c r="C43" s="51" t="str">
        <f t="shared" si="39"/>
        <v xml:space="preserve"> - </v>
      </c>
      <c r="D43" s="51">
        <v>0</v>
      </c>
      <c r="E43" s="51">
        <v>0</v>
      </c>
      <c r="F43" s="51">
        <v>0</v>
      </c>
      <c r="G43" s="51">
        <v>0</v>
      </c>
      <c r="H43" s="51" t="e">
        <f t="shared" si="40"/>
        <v>#DIV/0!</v>
      </c>
      <c r="I43" s="51" t="e">
        <f t="shared" si="41"/>
        <v>#DIV/0!</v>
      </c>
      <c r="J43" s="51">
        <f t="shared" si="42"/>
        <v>0</v>
      </c>
      <c r="K43" s="51" t="e">
        <f t="shared" si="43"/>
        <v>#DIV/0!</v>
      </c>
      <c r="L43" s="51">
        <v>0</v>
      </c>
      <c r="M43" s="51" t="str">
        <f t="shared" si="44"/>
        <v>-</v>
      </c>
      <c r="N43" s="51">
        <v>0</v>
      </c>
      <c r="O43" s="51">
        <f t="shared" ref="O43:P43" si="52">D43/7</f>
        <v>0</v>
      </c>
      <c r="P43" s="51">
        <f t="shared" si="52"/>
        <v>0</v>
      </c>
      <c r="Q43" s="51" t="e">
        <f t="shared" si="46"/>
        <v>#DIV/0!</v>
      </c>
      <c r="R43" s="55" t="s">
        <v>34</v>
      </c>
      <c r="S43" s="53" t="s">
        <v>34</v>
      </c>
      <c r="T43" s="54" t="s">
        <v>34</v>
      </c>
      <c r="U43" s="55">
        <v>0</v>
      </c>
      <c r="V43" s="55">
        <f t="shared" si="47"/>
        <v>0</v>
      </c>
      <c r="W43" s="55">
        <f t="shared" si="48"/>
        <v>0</v>
      </c>
      <c r="X43" s="55">
        <v>0</v>
      </c>
      <c r="Y43" s="55" t="e">
        <v>#N/A</v>
      </c>
      <c r="Z43" s="56" t="e">
        <f t="shared" si="49"/>
        <v>#N/A</v>
      </c>
      <c r="AA43" s="55" t="e">
        <v>#N/A</v>
      </c>
      <c r="AB43" s="55">
        <f t="shared" si="50"/>
        <v>0</v>
      </c>
      <c r="AC43" s="55">
        <v>0</v>
      </c>
      <c r="AD43" s="55">
        <v>-8.6470085470085394</v>
      </c>
      <c r="AE43" s="55">
        <v>0</v>
      </c>
      <c r="AF43" s="55" t="e">
        <v>#N/A</v>
      </c>
    </row>
    <row r="44" spans="1:32" s="57" customFormat="1" ht="15.75" customHeight="1">
      <c r="A44" s="2" t="s">
        <v>108</v>
      </c>
      <c r="B44" s="2"/>
      <c r="C44" s="51" t="str">
        <f t="shared" si="39"/>
        <v xml:space="preserve"> - </v>
      </c>
      <c r="D44" s="51">
        <v>0</v>
      </c>
      <c r="E44" s="51">
        <v>0</v>
      </c>
      <c r="F44" s="51">
        <v>0</v>
      </c>
      <c r="G44" s="51">
        <v>0</v>
      </c>
      <c r="H44" s="51" t="e">
        <f t="shared" si="40"/>
        <v>#DIV/0!</v>
      </c>
      <c r="I44" s="51" t="e">
        <f t="shared" si="41"/>
        <v>#DIV/0!</v>
      </c>
      <c r="J44" s="51">
        <f t="shared" si="42"/>
        <v>0</v>
      </c>
      <c r="K44" s="51" t="e">
        <f t="shared" si="43"/>
        <v>#DIV/0!</v>
      </c>
      <c r="L44" s="51">
        <v>0</v>
      </c>
      <c r="M44" s="51" t="str">
        <f t="shared" si="44"/>
        <v>-</v>
      </c>
      <c r="N44" s="51">
        <v>0</v>
      </c>
      <c r="O44" s="51">
        <f t="shared" ref="O44:P44" si="53">D44/7</f>
        <v>0</v>
      </c>
      <c r="P44" s="51">
        <f t="shared" si="53"/>
        <v>0</v>
      </c>
      <c r="Q44" s="51" t="e">
        <f t="shared" si="46"/>
        <v>#DIV/0!</v>
      </c>
      <c r="R44" s="55" t="s">
        <v>34</v>
      </c>
      <c r="S44" s="53" t="s">
        <v>34</v>
      </c>
      <c r="T44" s="54" t="s">
        <v>34</v>
      </c>
      <c r="U44" s="55">
        <v>0</v>
      </c>
      <c r="V44" s="55">
        <f t="shared" si="47"/>
        <v>0</v>
      </c>
      <c r="W44" s="55">
        <f t="shared" si="48"/>
        <v>0</v>
      </c>
      <c r="X44" s="55">
        <v>0</v>
      </c>
      <c r="Y44" s="55" t="e">
        <v>#N/A</v>
      </c>
      <c r="Z44" s="56" t="e">
        <f t="shared" ref="Z44:Z56" si="54">IF(OR(Y44="UsLargeStandardSize",Y44="UsSmallStandardSize"),-2.4,-1.2)</f>
        <v>#N/A</v>
      </c>
      <c r="AA44" s="55" t="e">
        <v>#N/A</v>
      </c>
      <c r="AB44" s="55">
        <f t="shared" si="50"/>
        <v>0</v>
      </c>
      <c r="AC44" s="55">
        <v>0</v>
      </c>
      <c r="AD44" s="55">
        <v>-8.6470085470085394</v>
      </c>
      <c r="AE44" s="55">
        <v>0</v>
      </c>
      <c r="AF44" s="55" t="e">
        <v>#N/A</v>
      </c>
    </row>
    <row r="45" spans="1:32" s="57" customFormat="1" ht="15.75" customHeight="1">
      <c r="A45" s="2" t="s">
        <v>109</v>
      </c>
      <c r="B45" s="2"/>
      <c r="C45" s="51" t="str">
        <f t="shared" si="39"/>
        <v xml:space="preserve"> - </v>
      </c>
      <c r="D45" s="51">
        <v>0</v>
      </c>
      <c r="E45" s="51">
        <v>0</v>
      </c>
      <c r="F45" s="51">
        <v>0</v>
      </c>
      <c r="G45" s="51">
        <v>0</v>
      </c>
      <c r="H45" s="51" t="e">
        <f t="shared" si="40"/>
        <v>#DIV/0!</v>
      </c>
      <c r="I45" s="51" t="e">
        <f t="shared" si="41"/>
        <v>#DIV/0!</v>
      </c>
      <c r="J45" s="51">
        <f t="shared" si="42"/>
        <v>0</v>
      </c>
      <c r="K45" s="51" t="e">
        <f t="shared" si="43"/>
        <v>#DIV/0!</v>
      </c>
      <c r="L45" s="51">
        <v>0</v>
      </c>
      <c r="M45" s="51" t="str">
        <f t="shared" si="44"/>
        <v>-</v>
      </c>
      <c r="N45" s="51">
        <v>0</v>
      </c>
      <c r="O45" s="51">
        <f t="shared" ref="O45:P45" si="55">D45/7</f>
        <v>0</v>
      </c>
      <c r="P45" s="51">
        <f t="shared" si="55"/>
        <v>0</v>
      </c>
      <c r="Q45" s="51" t="e">
        <f t="shared" si="46"/>
        <v>#DIV/0!</v>
      </c>
      <c r="R45" s="55" t="s">
        <v>34</v>
      </c>
      <c r="S45" s="53" t="s">
        <v>34</v>
      </c>
      <c r="T45" s="54" t="s">
        <v>34</v>
      </c>
      <c r="U45" s="55">
        <v>0</v>
      </c>
      <c r="V45" s="55">
        <f t="shared" si="47"/>
        <v>0</v>
      </c>
      <c r="W45" s="55">
        <f t="shared" si="48"/>
        <v>0</v>
      </c>
      <c r="X45" s="55">
        <v>0</v>
      </c>
      <c r="Y45" s="55" t="e">
        <v>#N/A</v>
      </c>
      <c r="Z45" s="56" t="e">
        <f t="shared" si="54"/>
        <v>#N/A</v>
      </c>
      <c r="AA45" s="55" t="e">
        <v>#N/A</v>
      </c>
      <c r="AB45" s="55">
        <f t="shared" si="50"/>
        <v>0</v>
      </c>
      <c r="AC45" s="55">
        <v>0</v>
      </c>
      <c r="AD45" s="55">
        <v>-8.6470085470085394</v>
      </c>
      <c r="AE45" s="55">
        <v>0</v>
      </c>
      <c r="AF45" s="55" t="e">
        <v>#N/A</v>
      </c>
    </row>
    <row r="46" spans="1:32" s="57" customFormat="1" ht="15.75" customHeight="1">
      <c r="A46" s="2" t="s">
        <v>111</v>
      </c>
      <c r="B46" s="2"/>
      <c r="C46" s="51" t="str">
        <f t="shared" si="39"/>
        <v xml:space="preserve"> - </v>
      </c>
      <c r="D46" s="51">
        <v>0</v>
      </c>
      <c r="E46" s="51">
        <v>0</v>
      </c>
      <c r="F46" s="51">
        <v>0</v>
      </c>
      <c r="G46" s="51">
        <v>0</v>
      </c>
      <c r="H46" s="51" t="e">
        <f t="shared" si="40"/>
        <v>#DIV/0!</v>
      </c>
      <c r="I46" s="51" t="e">
        <f t="shared" si="41"/>
        <v>#DIV/0!</v>
      </c>
      <c r="J46" s="51">
        <f t="shared" si="42"/>
        <v>0</v>
      </c>
      <c r="K46" s="51" t="e">
        <f t="shared" si="43"/>
        <v>#DIV/0!</v>
      </c>
      <c r="L46" s="51">
        <v>0</v>
      </c>
      <c r="M46" s="51" t="str">
        <f t="shared" si="44"/>
        <v>-</v>
      </c>
      <c r="N46" s="51">
        <v>0</v>
      </c>
      <c r="O46" s="51">
        <f t="shared" ref="O46:P46" si="56">D46/7</f>
        <v>0</v>
      </c>
      <c r="P46" s="51">
        <f t="shared" si="56"/>
        <v>0</v>
      </c>
      <c r="Q46" s="51" t="e">
        <f t="shared" si="46"/>
        <v>#DIV/0!</v>
      </c>
      <c r="R46" s="55" t="s">
        <v>34</v>
      </c>
      <c r="S46" s="53" t="s">
        <v>34</v>
      </c>
      <c r="T46" s="54" t="s">
        <v>34</v>
      </c>
      <c r="U46" s="55">
        <v>0</v>
      </c>
      <c r="V46" s="55">
        <f t="shared" si="47"/>
        <v>0</v>
      </c>
      <c r="W46" s="55">
        <f t="shared" si="48"/>
        <v>0</v>
      </c>
      <c r="X46" s="55">
        <v>0</v>
      </c>
      <c r="Y46" s="55" t="e">
        <v>#N/A</v>
      </c>
      <c r="Z46" s="56" t="e">
        <f t="shared" si="54"/>
        <v>#N/A</v>
      </c>
      <c r="AA46" s="55" t="e">
        <v>#N/A</v>
      </c>
      <c r="AB46" s="55">
        <f t="shared" si="50"/>
        <v>0</v>
      </c>
      <c r="AC46" s="55">
        <v>0</v>
      </c>
      <c r="AD46" s="55">
        <v>-8.6470085470085394</v>
      </c>
      <c r="AE46" s="55">
        <v>0</v>
      </c>
      <c r="AF46" s="55" t="e">
        <v>#N/A</v>
      </c>
    </row>
    <row r="47" spans="1:32" s="57" customFormat="1" ht="15.75" customHeight="1">
      <c r="A47" s="2" t="s">
        <v>113</v>
      </c>
      <c r="B47" s="2"/>
      <c r="C47" s="51" t="str">
        <f t="shared" si="39"/>
        <v xml:space="preserve"> - </v>
      </c>
      <c r="D47" s="51">
        <v>0</v>
      </c>
      <c r="E47" s="51">
        <v>0</v>
      </c>
      <c r="F47" s="51">
        <v>0</v>
      </c>
      <c r="G47" s="51">
        <v>0</v>
      </c>
      <c r="H47" s="51" t="e">
        <f t="shared" si="40"/>
        <v>#DIV/0!</v>
      </c>
      <c r="I47" s="51" t="e">
        <f t="shared" si="41"/>
        <v>#DIV/0!</v>
      </c>
      <c r="J47" s="51">
        <f t="shared" si="42"/>
        <v>0</v>
      </c>
      <c r="K47" s="51" t="e">
        <f t="shared" si="43"/>
        <v>#DIV/0!</v>
      </c>
      <c r="L47" s="51">
        <v>0</v>
      </c>
      <c r="M47" s="51" t="str">
        <f t="shared" si="44"/>
        <v>-</v>
      </c>
      <c r="N47" s="51">
        <v>0</v>
      </c>
      <c r="O47" s="51">
        <f t="shared" ref="O47:P47" si="57">D47/7</f>
        <v>0</v>
      </c>
      <c r="P47" s="51">
        <f t="shared" si="57"/>
        <v>0</v>
      </c>
      <c r="Q47" s="51" t="e">
        <f t="shared" si="46"/>
        <v>#DIV/0!</v>
      </c>
      <c r="R47" s="55" t="s">
        <v>34</v>
      </c>
      <c r="S47" s="53" t="s">
        <v>34</v>
      </c>
      <c r="T47" s="54" t="s">
        <v>34</v>
      </c>
      <c r="U47" s="55">
        <v>0</v>
      </c>
      <c r="V47" s="55">
        <f t="shared" si="47"/>
        <v>0</v>
      </c>
      <c r="W47" s="55">
        <f t="shared" si="48"/>
        <v>0</v>
      </c>
      <c r="X47" s="55">
        <v>0</v>
      </c>
      <c r="Y47" s="55" t="e">
        <v>#N/A</v>
      </c>
      <c r="Z47" s="56" t="e">
        <f t="shared" si="54"/>
        <v>#N/A</v>
      </c>
      <c r="AA47" s="55" t="e">
        <v>#N/A</v>
      </c>
      <c r="AB47" s="55">
        <f t="shared" si="50"/>
        <v>0</v>
      </c>
      <c r="AC47" s="55">
        <v>0</v>
      </c>
      <c r="AD47" s="55">
        <v>-8.6470085470085394</v>
      </c>
      <c r="AE47" s="55">
        <v>0</v>
      </c>
      <c r="AF47" s="55" t="e">
        <v>#N/A</v>
      </c>
    </row>
    <row r="48" spans="1:32" s="57" customFormat="1" ht="15.75" customHeight="1">
      <c r="A48" s="2" t="s">
        <v>115</v>
      </c>
      <c r="B48" s="2"/>
      <c r="C48" s="51" t="str">
        <f t="shared" si="39"/>
        <v xml:space="preserve"> - </v>
      </c>
      <c r="D48" s="51">
        <v>0</v>
      </c>
      <c r="E48" s="51">
        <v>0</v>
      </c>
      <c r="F48" s="51">
        <v>0</v>
      </c>
      <c r="G48" s="51">
        <v>0</v>
      </c>
      <c r="H48" s="51" t="e">
        <f t="shared" si="40"/>
        <v>#DIV/0!</v>
      </c>
      <c r="I48" s="51" t="e">
        <f t="shared" si="41"/>
        <v>#DIV/0!</v>
      </c>
      <c r="J48" s="51">
        <f t="shared" si="42"/>
        <v>0</v>
      </c>
      <c r="K48" s="51" t="e">
        <f t="shared" si="43"/>
        <v>#DIV/0!</v>
      </c>
      <c r="L48" s="51">
        <v>0</v>
      </c>
      <c r="M48" s="51" t="str">
        <f t="shared" si="44"/>
        <v>-</v>
      </c>
      <c r="N48" s="51">
        <v>0</v>
      </c>
      <c r="O48" s="51">
        <f t="shared" ref="O48:P48" si="58">D48/7</f>
        <v>0</v>
      </c>
      <c r="P48" s="51">
        <f t="shared" si="58"/>
        <v>0</v>
      </c>
      <c r="Q48" s="51" t="e">
        <f t="shared" si="46"/>
        <v>#DIV/0!</v>
      </c>
      <c r="R48" s="55" t="str">
        <f ca="1">IFERROR(__xludf.DUMMYFUNCTION("IFERROR(VLOOKUP($B$2,IMPORTRANGE(""https://docs.google.com/spreadsheets/d/1iVgg6Mw12RULLujzHmfOFIY8Q_KaAD8anoZzgtVAQ74/edit#gid=1503384807"",""Second Star - Summary!A1:AD2000""),9,FALSE),"""")"),"")</f>
        <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5">
        <v>0</v>
      </c>
      <c r="V48" s="55">
        <f t="shared" si="47"/>
        <v>0</v>
      </c>
      <c r="W48" s="55">
        <f t="shared" si="48"/>
        <v>0</v>
      </c>
      <c r="X48" s="55">
        <v>0</v>
      </c>
      <c r="Y48" s="55" t="e">
        <v>#N/A</v>
      </c>
      <c r="Z48" s="56" t="e">
        <f t="shared" si="54"/>
        <v>#N/A</v>
      </c>
      <c r="AA48" s="55" t="e">
        <v>#N/A</v>
      </c>
      <c r="AB48" s="55">
        <f t="shared" si="50"/>
        <v>0</v>
      </c>
      <c r="AC48" s="55">
        <v>0</v>
      </c>
      <c r="AD48" s="55">
        <v>-8.6470085470085394</v>
      </c>
      <c r="AE48" s="55">
        <v>0</v>
      </c>
      <c r="AF48" s="55" t="e">
        <v>#N/A</v>
      </c>
    </row>
    <row r="49" spans="1:32" s="57" customFormat="1" ht="15.75" customHeight="1">
      <c r="A49" s="2" t="s">
        <v>117</v>
      </c>
      <c r="B49" s="2"/>
      <c r="C49" s="51" t="str">
        <f t="shared" si="39"/>
        <v xml:space="preserve"> - </v>
      </c>
      <c r="D49" s="51">
        <v>0</v>
      </c>
      <c r="E49" s="51">
        <v>0</v>
      </c>
      <c r="F49" s="51">
        <v>0</v>
      </c>
      <c r="G49" s="51">
        <v>0</v>
      </c>
      <c r="H49" s="51" t="e">
        <f t="shared" si="40"/>
        <v>#DIV/0!</v>
      </c>
      <c r="I49" s="51" t="e">
        <f t="shared" si="41"/>
        <v>#DIV/0!</v>
      </c>
      <c r="J49" s="51">
        <f t="shared" ref="J49:J56" si="59">F49*0.85+G49+AD49*D49+D49*AC49+AE49+AB49</f>
        <v>0</v>
      </c>
      <c r="K49" s="51" t="e">
        <f t="shared" si="43"/>
        <v>#DIV/0!</v>
      </c>
      <c r="L49" s="51">
        <v>0</v>
      </c>
      <c r="M49" s="51" t="str">
        <f t="shared" si="44"/>
        <v>-</v>
      </c>
      <c r="N49" s="51">
        <v>0</v>
      </c>
      <c r="O49" s="51">
        <f t="shared" ref="O49:P49" si="60">D49/7</f>
        <v>0</v>
      </c>
      <c r="P49" s="51">
        <f t="shared" si="60"/>
        <v>0</v>
      </c>
      <c r="Q49" s="51" t="e">
        <f t="shared" si="46"/>
        <v>#DIV/0!</v>
      </c>
      <c r="R49" s="55" t="str">
        <f ca="1">IFERROR(__xludf.DUMMYFUNCTION("IFERROR(VLOOKUP($B$2,IMPORTRANGE(""https://docs.google.com/spreadsheets/d/1iVgg6Mw12RULLujzHmfOFIY8Q_KaAD8anoZzgtVAQ74/edit#gid=1503384807"",""Second Star - Summary!A1:AD2000""),9,FALSE),"""")"),"")</f>
        <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5">
        <v>0</v>
      </c>
      <c r="V49" s="55">
        <f t="shared" si="47"/>
        <v>0</v>
      </c>
      <c r="W49" s="55">
        <f t="shared" si="48"/>
        <v>0</v>
      </c>
      <c r="X49" s="55">
        <v>0</v>
      </c>
      <c r="Y49" s="55" t="e">
        <v>#N/A</v>
      </c>
      <c r="Z49" s="56" t="e">
        <f t="shared" si="54"/>
        <v>#N/A</v>
      </c>
      <c r="AA49" s="55" t="e">
        <v>#N/A</v>
      </c>
      <c r="AB49" s="55">
        <f t="shared" si="50"/>
        <v>0</v>
      </c>
      <c r="AC49" s="55">
        <v>0</v>
      </c>
      <c r="AD49" s="55">
        <v>-8.6771085470085403</v>
      </c>
      <c r="AE49" s="55">
        <v>0</v>
      </c>
      <c r="AF49" s="55" t="e">
        <v>#N/A</v>
      </c>
    </row>
    <row r="50" spans="1:32" s="57" customFormat="1" ht="15.75" customHeight="1">
      <c r="A50" s="2" t="s">
        <v>119</v>
      </c>
      <c r="B50" s="2"/>
      <c r="C50" s="51" t="str">
        <f t="shared" si="39"/>
        <v xml:space="preserve"> - </v>
      </c>
      <c r="D50" s="51">
        <v>0</v>
      </c>
      <c r="E50" s="51">
        <v>0</v>
      </c>
      <c r="F50" s="51">
        <v>0</v>
      </c>
      <c r="G50" s="51">
        <v>0</v>
      </c>
      <c r="H50" s="51" t="e">
        <f t="shared" si="40"/>
        <v>#DIV/0!</v>
      </c>
      <c r="I50" s="51" t="e">
        <f t="shared" si="41"/>
        <v>#DIV/0!</v>
      </c>
      <c r="J50" s="51">
        <f t="shared" si="59"/>
        <v>0</v>
      </c>
      <c r="K50" s="51" t="e">
        <f t="shared" si="43"/>
        <v>#DIV/0!</v>
      </c>
      <c r="L50" s="51">
        <v>0</v>
      </c>
      <c r="M50" s="51" t="str">
        <f t="shared" si="44"/>
        <v>-</v>
      </c>
      <c r="N50" s="51">
        <v>0</v>
      </c>
      <c r="O50" s="51">
        <f t="shared" ref="O50:P50" si="61">D50/7</f>
        <v>0</v>
      </c>
      <c r="P50" s="51">
        <f t="shared" si="61"/>
        <v>0</v>
      </c>
      <c r="Q50" s="51" t="e">
        <f t="shared" si="46"/>
        <v>#DIV/0!</v>
      </c>
      <c r="R50" s="55" t="str">
        <f ca="1">IFERROR(__xludf.DUMMYFUNCTION("IFERROR(VLOOKUP($B$2,IMPORTRANGE(""https://docs.google.com/spreadsheets/d/1iVgg6Mw12RULLujzHmfOFIY8Q_KaAD8anoZzgtVAQ74/edit#gid=1503384807"",""Second Star - Summary!A1:AD2000""),9,FALSE),"""")"),"")</f>
        <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5">
        <v>0</v>
      </c>
      <c r="V50" s="55">
        <f t="shared" si="47"/>
        <v>0</v>
      </c>
      <c r="W50" s="55">
        <f t="shared" si="48"/>
        <v>0</v>
      </c>
      <c r="X50" s="55">
        <v>0</v>
      </c>
      <c r="Y50" s="55" t="e">
        <v>#N/A</v>
      </c>
      <c r="Z50" s="56" t="e">
        <f t="shared" si="54"/>
        <v>#N/A</v>
      </c>
      <c r="AA50" s="55" t="e">
        <v>#N/A</v>
      </c>
      <c r="AB50" s="55">
        <f t="shared" si="50"/>
        <v>0</v>
      </c>
      <c r="AC50" s="55">
        <v>0</v>
      </c>
      <c r="AD50" s="55">
        <v>-8.6771085470085403</v>
      </c>
      <c r="AE50" s="55">
        <v>0</v>
      </c>
      <c r="AF50" s="55" t="e">
        <v>#N/A</v>
      </c>
    </row>
    <row r="51" spans="1:32" s="57" customFormat="1" ht="15.75" customHeight="1">
      <c r="A51" s="2" t="s">
        <v>121</v>
      </c>
      <c r="B51" s="2"/>
      <c r="C51" s="51" t="str">
        <f t="shared" si="39"/>
        <v xml:space="preserve"> - </v>
      </c>
      <c r="D51" s="51">
        <v>0</v>
      </c>
      <c r="E51" s="51">
        <v>0</v>
      </c>
      <c r="F51" s="51">
        <v>0</v>
      </c>
      <c r="G51" s="51">
        <v>0</v>
      </c>
      <c r="H51" s="51" t="e">
        <f t="shared" si="40"/>
        <v>#DIV/0!</v>
      </c>
      <c r="I51" s="51" t="e">
        <f t="shared" si="41"/>
        <v>#DIV/0!</v>
      </c>
      <c r="J51" s="51">
        <f t="shared" si="59"/>
        <v>0</v>
      </c>
      <c r="K51" s="51" t="e">
        <f t="shared" si="43"/>
        <v>#DIV/0!</v>
      </c>
      <c r="L51" s="51">
        <v>0</v>
      </c>
      <c r="M51" s="51" t="str">
        <f t="shared" si="44"/>
        <v>-</v>
      </c>
      <c r="N51" s="51">
        <v>0</v>
      </c>
      <c r="O51" s="51">
        <f t="shared" ref="O51:P51" si="62">D51/7</f>
        <v>0</v>
      </c>
      <c r="P51" s="51">
        <f t="shared" si="62"/>
        <v>0</v>
      </c>
      <c r="Q51" s="51" t="e">
        <f t="shared" si="46"/>
        <v>#DIV/0!</v>
      </c>
      <c r="R51" s="55" t="str">
        <f ca="1">IFERROR(__xludf.DUMMYFUNCTION("IFERROR(VLOOKUP($B$2,IMPORTRANGE(""https://docs.google.com/spreadsheets/d/1iVgg6Mw12RULLujzHmfOFIY8Q_KaAD8anoZzgtVAQ74/edit#gid=1503384807"",""Second Star - Summary!A1:AD2000""),9,FALSE),"""")"),"")</f>
        <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5">
        <v>0</v>
      </c>
      <c r="V51" s="55">
        <f t="shared" si="47"/>
        <v>0</v>
      </c>
      <c r="W51" s="55">
        <f t="shared" si="48"/>
        <v>0</v>
      </c>
      <c r="X51" s="55">
        <v>0</v>
      </c>
      <c r="Y51" s="55" t="e">
        <v>#N/A</v>
      </c>
      <c r="Z51" s="56" t="e">
        <f t="shared" si="54"/>
        <v>#N/A</v>
      </c>
      <c r="AA51" s="55" t="e">
        <v>#N/A</v>
      </c>
      <c r="AB51" s="55">
        <f t="shared" si="50"/>
        <v>0</v>
      </c>
      <c r="AC51" s="55">
        <v>0</v>
      </c>
      <c r="AD51" s="55">
        <v>-8.6771085470085403</v>
      </c>
      <c r="AE51" s="55">
        <v>0</v>
      </c>
      <c r="AF51" s="55" t="e">
        <v>#N/A</v>
      </c>
    </row>
    <row r="52" spans="1:32" s="57" customFormat="1" ht="15.75" customHeight="1">
      <c r="A52" s="2" t="s">
        <v>123</v>
      </c>
      <c r="B52" s="2"/>
      <c r="C52" s="51" t="str">
        <f t="shared" si="39"/>
        <v xml:space="preserve"> - </v>
      </c>
      <c r="D52" s="51">
        <v>0</v>
      </c>
      <c r="E52" s="51">
        <v>0</v>
      </c>
      <c r="F52" s="51">
        <v>0</v>
      </c>
      <c r="G52" s="51">
        <v>0</v>
      </c>
      <c r="H52" s="51" t="e">
        <f t="shared" si="40"/>
        <v>#DIV/0!</v>
      </c>
      <c r="I52" s="51" t="e">
        <f t="shared" si="41"/>
        <v>#DIV/0!</v>
      </c>
      <c r="J52" s="51">
        <f t="shared" si="59"/>
        <v>0</v>
      </c>
      <c r="K52" s="51" t="e">
        <f t="shared" si="43"/>
        <v>#DIV/0!</v>
      </c>
      <c r="L52" s="51">
        <v>0</v>
      </c>
      <c r="M52" s="51" t="str">
        <f t="shared" si="44"/>
        <v>-</v>
      </c>
      <c r="N52" s="51">
        <v>0</v>
      </c>
      <c r="O52" s="51">
        <f t="shared" ref="O52:P52" si="63">D52/7</f>
        <v>0</v>
      </c>
      <c r="P52" s="51">
        <f t="shared" si="63"/>
        <v>0</v>
      </c>
      <c r="Q52" s="51" t="e">
        <f t="shared" si="46"/>
        <v>#DIV/0!</v>
      </c>
      <c r="R52" s="55" t="str">
        <f ca="1">IFERROR(__xludf.DUMMYFUNCTION("IFERROR(VLOOKUP($B$2,IMPORTRANGE(""https://docs.google.com/spreadsheets/d/1iVgg6Mw12RULLujzHmfOFIY8Q_KaAD8anoZzgtVAQ74/edit#gid=1503384807"",""Second Star - Summary!A1:AD2000""),9,FALSE),"""")"),"")</f>
        <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5">
        <v>0</v>
      </c>
      <c r="V52" s="55">
        <f t="shared" si="47"/>
        <v>0</v>
      </c>
      <c r="W52" s="55">
        <f t="shared" si="48"/>
        <v>0</v>
      </c>
      <c r="X52" s="55">
        <v>0</v>
      </c>
      <c r="Y52" s="55" t="e">
        <v>#N/A</v>
      </c>
      <c r="Z52" s="56" t="e">
        <f t="shared" si="54"/>
        <v>#N/A</v>
      </c>
      <c r="AA52" s="55" t="e">
        <v>#N/A</v>
      </c>
      <c r="AB52" s="55">
        <f t="shared" si="50"/>
        <v>0</v>
      </c>
      <c r="AC52" s="55">
        <v>0</v>
      </c>
      <c r="AD52" s="55">
        <v>-8.6771085470085403</v>
      </c>
      <c r="AE52" s="55">
        <v>0</v>
      </c>
      <c r="AF52" s="55">
        <v>0</v>
      </c>
    </row>
    <row r="53" spans="1:32" s="57" customFormat="1">
      <c r="A53" s="2" t="s">
        <v>38</v>
      </c>
      <c r="B53" s="2"/>
      <c r="C53" s="51" t="str">
        <f t="shared" si="39"/>
        <v xml:space="preserve"> - </v>
      </c>
      <c r="D53" s="51">
        <v>0</v>
      </c>
      <c r="E53" s="51">
        <v>0</v>
      </c>
      <c r="F53" s="51">
        <v>0</v>
      </c>
      <c r="G53" s="51">
        <v>0</v>
      </c>
      <c r="H53" s="51" t="e">
        <f t="shared" si="40"/>
        <v>#DIV/0!</v>
      </c>
      <c r="I53" s="51" t="e">
        <f t="shared" si="41"/>
        <v>#DIV/0!</v>
      </c>
      <c r="J53" s="51">
        <f t="shared" si="59"/>
        <v>0</v>
      </c>
      <c r="K53" s="51" t="e">
        <f t="shared" si="43"/>
        <v>#DIV/0!</v>
      </c>
      <c r="L53" s="51">
        <v>0</v>
      </c>
      <c r="M53" s="51" t="str">
        <f t="shared" si="44"/>
        <v>-</v>
      </c>
      <c r="N53" s="51">
        <v>0</v>
      </c>
      <c r="O53" s="51">
        <f t="shared" ref="O53:P53" si="64">D53/7</f>
        <v>0</v>
      </c>
      <c r="P53" s="51">
        <f t="shared" si="64"/>
        <v>0</v>
      </c>
      <c r="Q53" s="51" t="e">
        <f t="shared" si="46"/>
        <v>#DIV/0!</v>
      </c>
      <c r="R53" s="55" t="str">
        <f ca="1">IFERROR(__xludf.DUMMYFUNCTION("IFERROR(VLOOKUP($B$2,IMPORTRANGE(""https://docs.google.com/spreadsheets/d/1iVgg6Mw12RULLujzHmfOFIY8Q_KaAD8anoZzgtVAQ74/edit#gid=1503384807"",""Second Star - Summary!A1:AD2000""),9,FALSE),"""")"),"")</f>
        <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5">
        <v>0</v>
      </c>
      <c r="V53" s="55">
        <f t="shared" si="47"/>
        <v>0</v>
      </c>
      <c r="W53" s="55">
        <f t="shared" si="48"/>
        <v>0</v>
      </c>
      <c r="X53" s="55">
        <v>0</v>
      </c>
      <c r="Y53" s="55" t="e">
        <v>#N/A</v>
      </c>
      <c r="Z53" s="56" t="e">
        <f t="shared" si="54"/>
        <v>#N/A</v>
      </c>
      <c r="AA53" s="55" t="e">
        <v>#N/A</v>
      </c>
      <c r="AB53" s="55">
        <f t="shared" si="50"/>
        <v>0</v>
      </c>
      <c r="AC53" s="55">
        <v>0</v>
      </c>
      <c r="AD53" s="55">
        <v>-8.6771085470085403</v>
      </c>
      <c r="AE53" s="55">
        <v>0</v>
      </c>
      <c r="AF53" s="55">
        <v>0</v>
      </c>
    </row>
    <row r="54" spans="1:32" s="57" customFormat="1">
      <c r="A54" s="2" t="s">
        <v>40</v>
      </c>
      <c r="B54" s="2"/>
      <c r="C54" s="51" t="str">
        <f t="shared" si="39"/>
        <v xml:space="preserve"> - </v>
      </c>
      <c r="D54" s="51">
        <v>0</v>
      </c>
      <c r="E54" s="51">
        <v>0</v>
      </c>
      <c r="F54" s="51">
        <v>0</v>
      </c>
      <c r="G54" s="51">
        <v>0</v>
      </c>
      <c r="H54" s="51" t="e">
        <f t="shared" si="40"/>
        <v>#DIV/0!</v>
      </c>
      <c r="I54" s="51" t="e">
        <f t="shared" si="41"/>
        <v>#DIV/0!</v>
      </c>
      <c r="J54" s="51">
        <f t="shared" si="59"/>
        <v>0</v>
      </c>
      <c r="K54" s="51" t="e">
        <f t="shared" si="43"/>
        <v>#DIV/0!</v>
      </c>
      <c r="L54" s="51">
        <v>0</v>
      </c>
      <c r="M54" s="51" t="str">
        <f t="shared" si="44"/>
        <v>-</v>
      </c>
      <c r="N54" s="51">
        <v>0</v>
      </c>
      <c r="O54" s="51">
        <f t="shared" ref="O54:P54" si="65">D54/7</f>
        <v>0</v>
      </c>
      <c r="P54" s="51">
        <f t="shared" si="65"/>
        <v>0</v>
      </c>
      <c r="Q54" s="51" t="e">
        <f t="shared" si="46"/>
        <v>#DIV/0!</v>
      </c>
      <c r="R54" s="55" t="str">
        <f ca="1">IFERROR(__xludf.DUMMYFUNCTION("IFERROR(VLOOKUP($B$2,IMPORTRANGE(""https://docs.google.com/spreadsheets/d/1iVgg6Mw12RULLujzHmfOFIY8Q_KaAD8anoZzgtVAQ74/edit#gid=1503384807"",""Second Star - Summary!A1:AD2000""),9,FALSE),"""")"),"")</f>
        <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5">
        <v>0</v>
      </c>
      <c r="V54" s="55">
        <f t="shared" si="47"/>
        <v>0</v>
      </c>
      <c r="W54" s="55">
        <f t="shared" si="48"/>
        <v>0</v>
      </c>
      <c r="X54" s="55">
        <v>0</v>
      </c>
      <c r="Y54" s="55" t="e">
        <v>#N/A</v>
      </c>
      <c r="Z54" s="56" t="e">
        <f t="shared" si="54"/>
        <v>#N/A</v>
      </c>
      <c r="AA54" s="55" t="e">
        <v>#N/A</v>
      </c>
      <c r="AB54" s="55">
        <f t="shared" si="50"/>
        <v>0</v>
      </c>
      <c r="AC54" s="55">
        <v>0</v>
      </c>
      <c r="AD54" s="55">
        <v>-8.6771085470085403</v>
      </c>
      <c r="AE54" s="55">
        <v>0</v>
      </c>
      <c r="AF54" s="55">
        <v>0</v>
      </c>
    </row>
    <row r="55" spans="1:32" s="57" customFormat="1" ht="15.75" customHeight="1">
      <c r="A55" s="2" t="s">
        <v>32</v>
      </c>
      <c r="B55" s="2"/>
      <c r="C55" s="51" t="str">
        <f t="shared" si="39"/>
        <v xml:space="preserve"> - </v>
      </c>
      <c r="D55" s="51">
        <v>0</v>
      </c>
      <c r="E55" s="51">
        <v>0</v>
      </c>
      <c r="F55" s="51">
        <v>0</v>
      </c>
      <c r="G55" s="51">
        <v>0</v>
      </c>
      <c r="H55" s="51" t="e">
        <f t="shared" si="40"/>
        <v>#DIV/0!</v>
      </c>
      <c r="I55" s="51" t="e">
        <f t="shared" si="41"/>
        <v>#DIV/0!</v>
      </c>
      <c r="J55" s="51">
        <f t="shared" si="59"/>
        <v>0</v>
      </c>
      <c r="K55" s="51" t="e">
        <f t="shared" si="43"/>
        <v>#DIV/0!</v>
      </c>
      <c r="L55" s="51">
        <v>0</v>
      </c>
      <c r="M55" s="51" t="str">
        <f t="shared" si="44"/>
        <v>-</v>
      </c>
      <c r="N55" s="51">
        <v>0</v>
      </c>
      <c r="O55" s="51">
        <f t="shared" ref="O55:P55" si="66">D55/7</f>
        <v>0</v>
      </c>
      <c r="P55" s="51">
        <f t="shared" si="66"/>
        <v>0</v>
      </c>
      <c r="Q55" s="51" t="e">
        <f t="shared" si="46"/>
        <v>#DIV/0!</v>
      </c>
      <c r="R55" s="55" t="s">
        <v>34</v>
      </c>
      <c r="S55" s="53" t="s">
        <v>34</v>
      </c>
      <c r="T55" s="54" t="s">
        <v>34</v>
      </c>
      <c r="U55" s="55">
        <v>0</v>
      </c>
      <c r="V55" s="55">
        <f t="shared" si="47"/>
        <v>0</v>
      </c>
      <c r="W55" s="55">
        <f t="shared" si="48"/>
        <v>0</v>
      </c>
      <c r="X55" s="55">
        <v>0</v>
      </c>
      <c r="Y55" s="55" t="e">
        <v>#N/A</v>
      </c>
      <c r="Z55" s="56" t="e">
        <f t="shared" si="54"/>
        <v>#N/A</v>
      </c>
      <c r="AA55" s="55" t="e">
        <v>#N/A</v>
      </c>
      <c r="AB55" s="55">
        <f t="shared" si="50"/>
        <v>0</v>
      </c>
      <c r="AC55" s="55">
        <v>0</v>
      </c>
      <c r="AD55" s="55">
        <v>-8.6771085470085403</v>
      </c>
      <c r="AE55" s="55">
        <v>0</v>
      </c>
      <c r="AF55" s="55" t="e">
        <v>#N/A</v>
      </c>
    </row>
    <row r="56" spans="1:32" s="57" customFormat="1" ht="15.75" customHeight="1">
      <c r="A56" s="2" t="s">
        <v>36</v>
      </c>
      <c r="B56" s="2"/>
      <c r="C56" s="51" t="str">
        <f t="shared" si="39"/>
        <v xml:space="preserve"> - </v>
      </c>
      <c r="D56" s="51">
        <v>0</v>
      </c>
      <c r="E56" s="51">
        <v>0</v>
      </c>
      <c r="F56" s="51">
        <v>0</v>
      </c>
      <c r="G56" s="51">
        <v>0</v>
      </c>
      <c r="H56" s="51" t="e">
        <f t="shared" si="40"/>
        <v>#DIV/0!</v>
      </c>
      <c r="I56" s="51" t="e">
        <f t="shared" si="41"/>
        <v>#DIV/0!</v>
      </c>
      <c r="J56" s="51">
        <f t="shared" si="59"/>
        <v>0</v>
      </c>
      <c r="K56" s="51" t="e">
        <f t="shared" si="43"/>
        <v>#DIV/0!</v>
      </c>
      <c r="L56" s="51">
        <v>0</v>
      </c>
      <c r="M56" s="51" t="str">
        <f t="shared" si="44"/>
        <v>-</v>
      </c>
      <c r="N56" s="51">
        <v>0</v>
      </c>
      <c r="O56" s="51">
        <f t="shared" ref="O56:P56" si="67">D56/7</f>
        <v>0</v>
      </c>
      <c r="P56" s="51">
        <f t="shared" si="67"/>
        <v>0</v>
      </c>
      <c r="Q56" s="51" t="e">
        <f t="shared" si="46"/>
        <v>#DIV/0!</v>
      </c>
      <c r="R56" s="55" t="str">
        <f ca="1">IFERROR(__xludf.DUMMYFUNCTION("IFERROR(VLOOKUP($B$2,IMPORTRANGE(""https://docs.google.com/spreadsheets/d/1iVgg6Mw12RULLujzHmfOFIY8Q_KaAD8anoZzgtVAQ74/edit#gid=1503384807"",""Second Star - Summary!A1:AD2000""),9,FALSE),"""")"),"")</f>
        <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5">
        <v>0</v>
      </c>
      <c r="V56" s="55">
        <f t="shared" si="47"/>
        <v>0</v>
      </c>
      <c r="W56" s="55">
        <f t="shared" si="48"/>
        <v>0</v>
      </c>
      <c r="X56" s="55">
        <v>0</v>
      </c>
      <c r="Y56" s="55" t="e">
        <v>#N/A</v>
      </c>
      <c r="Z56" s="56" t="e">
        <f t="shared" si="54"/>
        <v>#N/A</v>
      </c>
      <c r="AA56" s="55" t="e">
        <v>#N/A</v>
      </c>
      <c r="AB56" s="55">
        <f t="shared" si="50"/>
        <v>0</v>
      </c>
      <c r="AC56" s="55">
        <v>0</v>
      </c>
      <c r="AD56" s="55">
        <v>-8.6771085470085403</v>
      </c>
      <c r="AE56" s="55">
        <v>0</v>
      </c>
      <c r="AF56" s="55" t="e">
        <v>#N/A</v>
      </c>
    </row>
    <row r="57" spans="1:32" ht="15.75" customHeight="1">
      <c r="A57" s="2"/>
      <c r="B57" s="2"/>
      <c r="C57" s="24"/>
      <c r="D57" s="18"/>
      <c r="E57" s="18"/>
      <c r="F57" s="19"/>
      <c r="G57" s="19"/>
      <c r="H57" s="19"/>
      <c r="I57" s="18"/>
      <c r="J57" s="18"/>
      <c r="K57" s="18"/>
      <c r="L57" s="18"/>
      <c r="M57" s="20"/>
      <c r="N57" s="18"/>
      <c r="O57" s="18"/>
      <c r="P57" s="18"/>
      <c r="Q57" s="18"/>
      <c r="R57" s="2"/>
      <c r="S57" s="21"/>
      <c r="T57" s="1"/>
      <c r="U57" s="2"/>
      <c r="V57" s="2"/>
      <c r="W57" s="2"/>
      <c r="X57" s="2"/>
      <c r="Y57" s="2"/>
      <c r="Z57" s="2"/>
      <c r="AA57" s="2"/>
      <c r="AB57" s="2"/>
      <c r="AC57" s="22"/>
      <c r="AD57" s="22"/>
      <c r="AE57" s="22"/>
      <c r="AF57" s="23"/>
    </row>
    <row r="58" spans="1:32" ht="15.75" customHeight="1">
      <c r="A58" s="2"/>
      <c r="B58" s="2"/>
      <c r="C58" s="24"/>
      <c r="D58" s="18"/>
      <c r="E58" s="18"/>
      <c r="F58" s="19"/>
      <c r="G58" s="19"/>
      <c r="H58" s="19"/>
      <c r="I58" s="18"/>
      <c r="J58" s="18"/>
      <c r="K58" s="18"/>
      <c r="L58" s="18"/>
      <c r="M58" s="20"/>
      <c r="N58" s="18"/>
      <c r="O58" s="18"/>
      <c r="P58" s="18"/>
      <c r="Q58" s="18"/>
      <c r="R58" s="2"/>
      <c r="S58" s="21"/>
      <c r="T58" s="1"/>
      <c r="U58" s="2"/>
      <c r="V58" s="2"/>
      <c r="W58" s="2"/>
      <c r="X58" s="2"/>
      <c r="Y58" s="2"/>
      <c r="Z58" s="2"/>
      <c r="AA58" s="2"/>
      <c r="AB58" s="2"/>
      <c r="AC58" s="22"/>
      <c r="AD58" s="22"/>
      <c r="AE58" s="22"/>
      <c r="AF58" s="23"/>
    </row>
    <row r="59" spans="1:32" ht="15.75" customHeight="1">
      <c r="A59" s="2"/>
      <c r="B59" s="2"/>
      <c r="C59" s="24"/>
      <c r="D59" s="18"/>
      <c r="E59" s="18"/>
      <c r="F59" s="19"/>
      <c r="G59" s="19"/>
      <c r="H59" s="19"/>
      <c r="I59" s="18"/>
      <c r="J59" s="18"/>
      <c r="K59" s="18"/>
      <c r="L59" s="18"/>
      <c r="M59" s="20"/>
      <c r="N59" s="18"/>
      <c r="O59" s="18"/>
      <c r="P59" s="18"/>
      <c r="Q59" s="18"/>
      <c r="R59" s="2"/>
      <c r="S59" s="21"/>
      <c r="T59" s="1"/>
      <c r="U59" s="2"/>
      <c r="V59" s="2"/>
      <c r="W59" s="2"/>
      <c r="X59" s="2"/>
      <c r="Y59" s="2"/>
      <c r="Z59" s="2"/>
      <c r="AA59" s="2"/>
      <c r="AB59" s="2"/>
      <c r="AC59" s="22"/>
      <c r="AD59" s="22"/>
      <c r="AE59" s="22"/>
      <c r="AF59" s="23"/>
    </row>
    <row r="60" spans="1:32" ht="15.75" customHeight="1">
      <c r="A60" s="2"/>
      <c r="B60" s="2"/>
      <c r="C60" s="24"/>
      <c r="D60" s="18"/>
      <c r="E60" s="18"/>
      <c r="F60" s="19"/>
      <c r="G60" s="19"/>
      <c r="H60" s="19"/>
      <c r="I60" s="18"/>
      <c r="J60" s="18"/>
      <c r="K60" s="18"/>
      <c r="L60" s="18"/>
      <c r="M60" s="20"/>
      <c r="N60" s="18"/>
      <c r="O60" s="18"/>
      <c r="P60" s="18"/>
      <c r="Q60" s="18"/>
      <c r="R60" s="2"/>
      <c r="S60" s="21"/>
      <c r="T60" s="1"/>
      <c r="U60" s="2"/>
      <c r="V60" s="2"/>
      <c r="W60" s="2"/>
      <c r="X60" s="2"/>
      <c r="Y60" s="2"/>
      <c r="Z60" s="2"/>
      <c r="AA60" s="2"/>
      <c r="AB60" s="2"/>
      <c r="AC60" s="22"/>
      <c r="AD60" s="22"/>
      <c r="AE60" s="22"/>
      <c r="AF60" s="23"/>
    </row>
    <row r="61" spans="1:32" ht="15.75" customHeight="1">
      <c r="A61" s="2"/>
      <c r="B61" s="2"/>
      <c r="C61" s="24"/>
      <c r="D61" s="18"/>
      <c r="E61" s="18"/>
      <c r="F61" s="19"/>
      <c r="G61" s="19"/>
      <c r="H61" s="19"/>
      <c r="I61" s="18"/>
      <c r="J61" s="18"/>
      <c r="K61" s="18"/>
      <c r="L61" s="18"/>
      <c r="M61" s="20"/>
      <c r="N61" s="18"/>
      <c r="O61" s="18"/>
      <c r="P61" s="18"/>
      <c r="Q61" s="18"/>
      <c r="R61" s="2"/>
      <c r="S61" s="21"/>
      <c r="T61" s="1"/>
      <c r="U61" s="2"/>
      <c r="V61" s="2"/>
      <c r="W61" s="2"/>
      <c r="X61" s="2"/>
      <c r="Y61" s="2"/>
      <c r="Z61" s="2"/>
      <c r="AA61" s="2"/>
      <c r="AB61" s="2"/>
      <c r="AC61" s="22"/>
      <c r="AD61" s="22"/>
      <c r="AE61" s="22"/>
      <c r="AF61" s="23"/>
    </row>
    <row r="62" spans="1:32" ht="15.75" customHeight="1">
      <c r="A62" s="2"/>
      <c r="B62" s="2"/>
      <c r="C62" s="24"/>
      <c r="D62" s="18"/>
      <c r="E62" s="18"/>
      <c r="F62" s="19"/>
      <c r="G62" s="19"/>
      <c r="H62" s="19"/>
      <c r="I62" s="18"/>
      <c r="J62" s="18"/>
      <c r="K62" s="18"/>
      <c r="L62" s="18"/>
      <c r="M62" s="20"/>
      <c r="N62" s="18"/>
      <c r="O62" s="18"/>
      <c r="P62" s="18"/>
      <c r="Q62" s="18"/>
      <c r="R62" s="2"/>
      <c r="S62" s="21"/>
      <c r="T62" s="1"/>
      <c r="U62" s="2"/>
      <c r="V62" s="2"/>
      <c r="W62" s="2"/>
      <c r="X62" s="2"/>
      <c r="Y62" s="2"/>
      <c r="Z62" s="2"/>
      <c r="AA62" s="2"/>
      <c r="AB62" s="2"/>
      <c r="AC62" s="22"/>
      <c r="AD62" s="22"/>
      <c r="AE62" s="22"/>
      <c r="AF62" s="23"/>
    </row>
    <row r="63" spans="1:32" ht="15.75" customHeight="1">
      <c r="A63" s="2"/>
      <c r="B63" s="2"/>
      <c r="C63" s="24"/>
      <c r="D63" s="18"/>
      <c r="E63" s="18"/>
      <c r="F63" s="19"/>
      <c r="G63" s="19"/>
      <c r="H63" s="19"/>
      <c r="I63" s="18"/>
      <c r="J63" s="18"/>
      <c r="K63" s="18"/>
      <c r="L63" s="18"/>
      <c r="M63" s="20"/>
      <c r="N63" s="18"/>
      <c r="O63" s="18"/>
      <c r="P63" s="18"/>
      <c r="Q63" s="18"/>
      <c r="R63" s="2"/>
      <c r="S63" s="21"/>
      <c r="T63" s="1"/>
      <c r="U63" s="2"/>
      <c r="V63" s="2"/>
      <c r="W63" s="2"/>
      <c r="X63" s="2"/>
      <c r="Y63" s="2"/>
      <c r="Z63" s="2"/>
      <c r="AA63" s="2"/>
      <c r="AB63" s="2"/>
      <c r="AC63" s="22"/>
      <c r="AD63" s="22"/>
      <c r="AE63" s="22"/>
      <c r="AF63" s="23"/>
    </row>
    <row r="64" spans="1:32" ht="15.75" customHeight="1">
      <c r="A64" s="2"/>
      <c r="B64" s="2"/>
      <c r="C64" s="24"/>
      <c r="D64" s="18"/>
      <c r="E64" s="18"/>
      <c r="F64" s="19"/>
      <c r="G64" s="19"/>
      <c r="H64" s="19"/>
      <c r="I64" s="18"/>
      <c r="J64" s="18"/>
      <c r="K64" s="18"/>
      <c r="L64" s="18"/>
      <c r="M64" s="20"/>
      <c r="N64" s="18"/>
      <c r="O64" s="18"/>
      <c r="P64" s="18"/>
      <c r="Q64" s="18"/>
      <c r="R64" s="2"/>
      <c r="S64" s="21"/>
      <c r="T64" s="1"/>
      <c r="U64" s="2"/>
      <c r="V64" s="2"/>
      <c r="W64" s="2"/>
      <c r="X64" s="2"/>
      <c r="Y64" s="2"/>
      <c r="Z64" s="2"/>
      <c r="AA64" s="2"/>
      <c r="AB64" s="2"/>
      <c r="AC64" s="22"/>
      <c r="AD64" s="22"/>
      <c r="AE64" s="22"/>
      <c r="AF64" s="23"/>
    </row>
    <row r="65" spans="1:32" ht="15.75" customHeight="1">
      <c r="A65" s="2"/>
      <c r="B65" s="2"/>
      <c r="C65" s="24"/>
      <c r="D65" s="18"/>
      <c r="E65" s="18"/>
      <c r="F65" s="19"/>
      <c r="G65" s="19"/>
      <c r="H65" s="19"/>
      <c r="I65" s="18"/>
      <c r="J65" s="18"/>
      <c r="K65" s="18"/>
      <c r="L65" s="18"/>
      <c r="M65" s="20"/>
      <c r="N65" s="18"/>
      <c r="O65" s="18"/>
      <c r="P65" s="18"/>
      <c r="Q65" s="18"/>
      <c r="R65" s="2"/>
      <c r="S65" s="21"/>
      <c r="T65" s="1"/>
      <c r="U65" s="2"/>
      <c r="V65" s="2"/>
      <c r="W65" s="2"/>
      <c r="X65" s="2"/>
      <c r="Y65" s="2"/>
      <c r="Z65" s="2"/>
      <c r="AA65" s="2"/>
      <c r="AB65" s="2"/>
      <c r="AC65" s="22"/>
      <c r="AD65" s="22"/>
      <c r="AE65" s="22"/>
      <c r="AF65" s="23"/>
    </row>
    <row r="66" spans="1:32" ht="15.75" customHeight="1">
      <c r="A66" s="2"/>
      <c r="B66" s="2"/>
      <c r="C66" s="24"/>
      <c r="D66" s="18"/>
      <c r="E66" s="18"/>
      <c r="F66" s="19"/>
      <c r="G66" s="19"/>
      <c r="H66" s="19"/>
      <c r="I66" s="18"/>
      <c r="J66" s="18"/>
      <c r="K66" s="18"/>
      <c r="L66" s="18"/>
      <c r="M66" s="20"/>
      <c r="N66" s="18"/>
      <c r="O66" s="18"/>
      <c r="P66" s="18"/>
      <c r="Q66" s="18"/>
      <c r="R66" s="2"/>
      <c r="S66" s="21"/>
      <c r="T66" s="1"/>
      <c r="U66" s="2"/>
      <c r="V66" s="2"/>
      <c r="W66" s="2"/>
      <c r="X66" s="2"/>
      <c r="Y66" s="2"/>
      <c r="Z66" s="2"/>
      <c r="AA66" s="2"/>
      <c r="AB66" s="2"/>
      <c r="AC66" s="22"/>
      <c r="AD66" s="22"/>
      <c r="AE66" s="22"/>
      <c r="AF66" s="23"/>
    </row>
    <row r="67" spans="1:32" ht="15.75" customHeight="1">
      <c r="A67" s="2"/>
      <c r="B67" s="2"/>
      <c r="C67" s="24"/>
      <c r="D67" s="18"/>
      <c r="E67" s="18"/>
      <c r="F67" s="19"/>
      <c r="G67" s="19"/>
      <c r="H67" s="19"/>
      <c r="I67" s="18"/>
      <c r="J67" s="18"/>
      <c r="K67" s="18"/>
      <c r="L67" s="18"/>
      <c r="M67" s="20"/>
      <c r="N67" s="18"/>
      <c r="O67" s="18"/>
      <c r="P67" s="18"/>
      <c r="Q67" s="18"/>
      <c r="R67" s="2"/>
      <c r="S67" s="21"/>
      <c r="T67" s="1"/>
      <c r="U67" s="2"/>
      <c r="V67" s="2"/>
      <c r="W67" s="2"/>
      <c r="X67" s="2"/>
      <c r="Y67" s="2"/>
      <c r="Z67" s="2"/>
      <c r="AA67" s="2"/>
      <c r="AB67" s="2"/>
      <c r="AC67" s="22"/>
      <c r="AD67" s="22"/>
      <c r="AE67" s="22"/>
      <c r="AF67" s="23"/>
    </row>
    <row r="68" spans="1:32" ht="15.75" customHeight="1">
      <c r="A68" s="2"/>
      <c r="B68" s="2"/>
      <c r="C68" s="24"/>
      <c r="D68" s="18"/>
      <c r="E68" s="18"/>
      <c r="F68" s="19"/>
      <c r="G68" s="19"/>
      <c r="H68" s="19"/>
      <c r="I68" s="18"/>
      <c r="J68" s="18"/>
      <c r="K68" s="18"/>
      <c r="L68" s="18"/>
      <c r="M68" s="20"/>
      <c r="N68" s="18"/>
      <c r="O68" s="18"/>
      <c r="P68" s="18"/>
      <c r="Q68" s="18"/>
      <c r="R68" s="2"/>
      <c r="S68" s="21"/>
      <c r="T68" s="1"/>
      <c r="U68" s="2"/>
      <c r="V68" s="2"/>
      <c r="W68" s="2"/>
      <c r="X68" s="2"/>
      <c r="Y68" s="2"/>
      <c r="Z68" s="2"/>
      <c r="AA68" s="2"/>
      <c r="AB68" s="2"/>
      <c r="AC68" s="22"/>
      <c r="AD68" s="22"/>
      <c r="AE68" s="22"/>
      <c r="AF68" s="23"/>
    </row>
    <row r="69" spans="1:32" ht="15.75" customHeight="1">
      <c r="A69" s="2"/>
      <c r="B69" s="2"/>
      <c r="C69" s="24"/>
      <c r="D69" s="18"/>
      <c r="E69" s="18"/>
      <c r="F69" s="19"/>
      <c r="G69" s="19"/>
      <c r="H69" s="19"/>
      <c r="I69" s="18"/>
      <c r="J69" s="18"/>
      <c r="K69" s="18"/>
      <c r="L69" s="18"/>
      <c r="M69" s="20"/>
      <c r="N69" s="18"/>
      <c r="O69" s="18"/>
      <c r="P69" s="18"/>
      <c r="Q69" s="18"/>
      <c r="R69" s="2"/>
      <c r="S69" s="21"/>
      <c r="T69" s="1"/>
      <c r="U69" s="2"/>
      <c r="V69" s="2"/>
      <c r="W69" s="2"/>
      <c r="X69" s="2"/>
      <c r="Y69" s="2"/>
      <c r="Z69" s="2"/>
      <c r="AA69" s="2"/>
      <c r="AB69" s="2"/>
      <c r="AC69" s="22"/>
      <c r="AD69" s="22"/>
      <c r="AE69" s="22"/>
      <c r="AF69" s="23"/>
    </row>
    <row r="70" spans="1:32" ht="15.75" customHeight="1">
      <c r="A70" s="2"/>
      <c r="B70" s="2"/>
      <c r="C70" s="24"/>
      <c r="D70" s="18"/>
      <c r="E70" s="18"/>
      <c r="F70" s="19"/>
      <c r="G70" s="19"/>
      <c r="H70" s="19"/>
      <c r="I70" s="18"/>
      <c r="J70" s="18"/>
      <c r="K70" s="18"/>
      <c r="L70" s="18"/>
      <c r="M70" s="20"/>
      <c r="N70" s="18"/>
      <c r="O70" s="18"/>
      <c r="P70" s="18"/>
      <c r="Q70" s="18"/>
      <c r="R70" s="2"/>
      <c r="S70" s="21"/>
      <c r="T70" s="1"/>
      <c r="U70" s="2"/>
      <c r="V70" s="2"/>
      <c r="W70" s="2"/>
      <c r="X70" s="2"/>
      <c r="Y70" s="2"/>
      <c r="Z70" s="2"/>
      <c r="AA70" s="2"/>
      <c r="AB70" s="2"/>
      <c r="AC70" s="22"/>
      <c r="AD70" s="22"/>
      <c r="AE70" s="22"/>
      <c r="AF70" s="23"/>
    </row>
    <row r="71" spans="1:32" ht="15.75" customHeight="1">
      <c r="A71" s="2"/>
      <c r="B71" s="2"/>
      <c r="C71" s="24"/>
      <c r="D71" s="18"/>
      <c r="E71" s="18"/>
      <c r="F71" s="19"/>
      <c r="G71" s="19"/>
      <c r="H71" s="19"/>
      <c r="I71" s="18"/>
      <c r="J71" s="18"/>
      <c r="K71" s="18"/>
      <c r="L71" s="18"/>
      <c r="M71" s="20"/>
      <c r="N71" s="18"/>
      <c r="O71" s="18"/>
      <c r="P71" s="18"/>
      <c r="Q71" s="18"/>
      <c r="R71" s="2"/>
      <c r="S71" s="21"/>
      <c r="T71" s="1"/>
      <c r="U71" s="2"/>
      <c r="V71" s="2"/>
      <c r="W71" s="2"/>
      <c r="X71" s="2"/>
      <c r="Y71" s="2"/>
      <c r="Z71" s="2"/>
      <c r="AA71" s="2"/>
      <c r="AB71" s="2"/>
      <c r="AC71" s="22"/>
      <c r="AD71" s="22"/>
      <c r="AE71" s="22"/>
      <c r="AF71" s="23"/>
    </row>
    <row r="72" spans="1:32" ht="15.75" customHeight="1">
      <c r="A72" s="2"/>
      <c r="B72" s="2"/>
      <c r="C72" s="24"/>
      <c r="D72" s="18"/>
      <c r="E72" s="18"/>
      <c r="F72" s="19"/>
      <c r="G72" s="19"/>
      <c r="H72" s="19"/>
      <c r="I72" s="18"/>
      <c r="J72" s="18"/>
      <c r="K72" s="18"/>
      <c r="L72" s="18"/>
      <c r="M72" s="20"/>
      <c r="N72" s="18"/>
      <c r="O72" s="18"/>
      <c r="P72" s="18"/>
      <c r="Q72" s="18"/>
      <c r="R72" s="2"/>
      <c r="S72" s="21"/>
      <c r="T72" s="1"/>
      <c r="U72" s="2"/>
      <c r="V72" s="2"/>
      <c r="W72" s="2"/>
      <c r="X72" s="2"/>
      <c r="Y72" s="2"/>
      <c r="Z72" s="2"/>
      <c r="AA72" s="2"/>
      <c r="AB72" s="2"/>
      <c r="AC72" s="22"/>
      <c r="AD72" s="22"/>
      <c r="AE72" s="22"/>
      <c r="AF72" s="23"/>
    </row>
    <row r="73" spans="1:32" ht="15.75" customHeight="1">
      <c r="A73" s="2"/>
      <c r="B73" s="2"/>
      <c r="C73" s="24"/>
      <c r="D73" s="18"/>
      <c r="E73" s="18"/>
      <c r="F73" s="19"/>
      <c r="G73" s="19"/>
      <c r="H73" s="19"/>
      <c r="I73" s="18"/>
      <c r="J73" s="18"/>
      <c r="K73" s="18"/>
      <c r="L73" s="18"/>
      <c r="M73" s="20"/>
      <c r="N73" s="18"/>
      <c r="O73" s="18"/>
      <c r="P73" s="18"/>
      <c r="Q73" s="18"/>
      <c r="R73" s="2"/>
      <c r="S73" s="21"/>
      <c r="T73" s="1"/>
      <c r="U73" s="2"/>
      <c r="V73" s="2"/>
      <c r="W73" s="2"/>
      <c r="X73" s="2"/>
      <c r="Y73" s="2"/>
      <c r="Z73" s="2"/>
      <c r="AA73" s="2"/>
      <c r="AB73" s="2"/>
      <c r="AC73" s="22"/>
      <c r="AD73" s="22"/>
      <c r="AE73" s="22"/>
      <c r="AF73" s="23"/>
    </row>
    <row r="74" spans="1:32" ht="15.75" customHeight="1">
      <c r="A74" s="2"/>
      <c r="B74" s="2"/>
      <c r="C74" s="24"/>
      <c r="D74" s="18"/>
      <c r="E74" s="18"/>
      <c r="F74" s="19"/>
      <c r="G74" s="19"/>
      <c r="H74" s="19"/>
      <c r="I74" s="18"/>
      <c r="J74" s="18"/>
      <c r="K74" s="18"/>
      <c r="L74" s="18"/>
      <c r="M74" s="20"/>
      <c r="N74" s="18"/>
      <c r="O74" s="18"/>
      <c r="P74" s="18"/>
      <c r="Q74" s="18"/>
      <c r="R74" s="2"/>
      <c r="S74" s="21"/>
      <c r="T74" s="1"/>
      <c r="U74" s="2"/>
      <c r="V74" s="2"/>
      <c r="W74" s="2"/>
      <c r="X74" s="2"/>
      <c r="Y74" s="2"/>
      <c r="Z74" s="2"/>
      <c r="AA74" s="2"/>
      <c r="AB74" s="2"/>
      <c r="AC74" s="22"/>
      <c r="AD74" s="22"/>
      <c r="AE74" s="22"/>
      <c r="AF74" s="23"/>
    </row>
    <row r="75" spans="1:32" ht="15.75" customHeight="1">
      <c r="A75" s="2"/>
      <c r="B75" s="2"/>
      <c r="C75" s="24"/>
      <c r="D75" s="18"/>
      <c r="E75" s="18"/>
      <c r="F75" s="19"/>
      <c r="G75" s="19"/>
      <c r="H75" s="19"/>
      <c r="I75" s="18"/>
      <c r="J75" s="18"/>
      <c r="K75" s="18"/>
      <c r="L75" s="18"/>
      <c r="M75" s="20"/>
      <c r="N75" s="18"/>
      <c r="O75" s="18"/>
      <c r="P75" s="18"/>
      <c r="Q75" s="18"/>
      <c r="R75" s="2"/>
      <c r="S75" s="21"/>
      <c r="T75" s="1"/>
      <c r="U75" s="2"/>
      <c r="V75" s="2"/>
      <c r="W75" s="2"/>
      <c r="X75" s="2"/>
      <c r="Y75" s="2"/>
      <c r="Z75" s="2"/>
      <c r="AA75" s="2"/>
      <c r="AB75" s="2"/>
      <c r="AC75" s="22"/>
      <c r="AD75" s="22"/>
      <c r="AE75" s="22"/>
      <c r="AF75" s="23"/>
    </row>
    <row r="76" spans="1:32" ht="15.75" customHeight="1">
      <c r="A76" s="2"/>
      <c r="B76" s="2"/>
      <c r="C76" s="24"/>
      <c r="D76" s="18"/>
      <c r="E76" s="18"/>
      <c r="F76" s="19"/>
      <c r="G76" s="19"/>
      <c r="H76" s="19"/>
      <c r="I76" s="18"/>
      <c r="J76" s="18"/>
      <c r="K76" s="18"/>
      <c r="L76" s="18"/>
      <c r="M76" s="20"/>
      <c r="N76" s="18"/>
      <c r="O76" s="18"/>
      <c r="P76" s="18"/>
      <c r="Q76" s="18"/>
      <c r="R76" s="2"/>
      <c r="S76" s="21"/>
      <c r="T76" s="1"/>
      <c r="U76" s="2"/>
      <c r="V76" s="2"/>
      <c r="W76" s="2"/>
      <c r="X76" s="2"/>
      <c r="Y76" s="2"/>
      <c r="Z76" s="2"/>
      <c r="AA76" s="2"/>
      <c r="AB76" s="2"/>
      <c r="AC76" s="22"/>
      <c r="AD76" s="22"/>
      <c r="AE76" s="22"/>
      <c r="AF76" s="23"/>
    </row>
    <row r="77" spans="1:32" ht="15.75" customHeight="1">
      <c r="A77" s="2"/>
      <c r="B77" s="2"/>
      <c r="C77" s="24"/>
      <c r="D77" s="18"/>
      <c r="E77" s="18"/>
      <c r="F77" s="19"/>
      <c r="G77" s="19"/>
      <c r="H77" s="19"/>
      <c r="I77" s="18"/>
      <c r="J77" s="18"/>
      <c r="K77" s="18"/>
      <c r="L77" s="18"/>
      <c r="M77" s="20"/>
      <c r="N77" s="18"/>
      <c r="O77" s="18"/>
      <c r="P77" s="18"/>
      <c r="Q77" s="18"/>
      <c r="R77" s="2"/>
      <c r="S77" s="21"/>
      <c r="T77" s="1"/>
      <c r="U77" s="2"/>
      <c r="V77" s="2"/>
      <c r="W77" s="2"/>
      <c r="X77" s="2"/>
      <c r="Y77" s="2"/>
      <c r="Z77" s="2"/>
      <c r="AA77" s="2"/>
      <c r="AB77" s="2"/>
      <c r="AC77" s="22"/>
      <c r="AD77" s="22"/>
      <c r="AE77" s="22"/>
      <c r="AF77" s="23"/>
    </row>
    <row r="78" spans="1:32" ht="15.75" customHeight="1">
      <c r="A78" s="2"/>
      <c r="B78" s="2"/>
      <c r="C78" s="24"/>
      <c r="D78" s="18"/>
      <c r="E78" s="18"/>
      <c r="F78" s="19"/>
      <c r="G78" s="19"/>
      <c r="H78" s="19"/>
      <c r="I78" s="18"/>
      <c r="J78" s="18"/>
      <c r="K78" s="18"/>
      <c r="L78" s="18"/>
      <c r="M78" s="20"/>
      <c r="N78" s="18"/>
      <c r="O78" s="18"/>
      <c r="P78" s="18"/>
      <c r="Q78" s="18"/>
      <c r="R78" s="2"/>
      <c r="S78" s="21"/>
      <c r="T78" s="1"/>
      <c r="U78" s="2"/>
      <c r="V78" s="2"/>
      <c r="W78" s="2"/>
      <c r="X78" s="2"/>
      <c r="Y78" s="2"/>
      <c r="Z78" s="2"/>
      <c r="AA78" s="2"/>
      <c r="AB78" s="2"/>
      <c r="AC78" s="22"/>
      <c r="AD78" s="22"/>
      <c r="AE78" s="22"/>
      <c r="AF78" s="23"/>
    </row>
    <row r="79" spans="1:32" ht="15.75" customHeight="1">
      <c r="A79" s="2"/>
      <c r="B79" s="2"/>
      <c r="C79" s="24"/>
      <c r="D79" s="18"/>
      <c r="E79" s="18"/>
      <c r="F79" s="19"/>
      <c r="G79" s="19"/>
      <c r="H79" s="19"/>
      <c r="I79" s="18"/>
      <c r="J79" s="18"/>
      <c r="K79" s="18"/>
      <c r="L79" s="18"/>
      <c r="M79" s="20"/>
      <c r="N79" s="18"/>
      <c r="O79" s="18"/>
      <c r="P79" s="18"/>
      <c r="Q79" s="18"/>
      <c r="R79" s="2"/>
      <c r="S79" s="21"/>
      <c r="T79" s="1"/>
      <c r="U79" s="2"/>
      <c r="V79" s="2"/>
      <c r="W79" s="2"/>
      <c r="X79" s="2"/>
      <c r="Y79" s="2"/>
      <c r="Z79" s="2"/>
      <c r="AA79" s="2"/>
      <c r="AB79" s="2"/>
      <c r="AC79" s="22"/>
      <c r="AD79" s="22"/>
      <c r="AE79" s="22"/>
      <c r="AF79" s="23"/>
    </row>
    <row r="80" spans="1:32" ht="15.75" customHeight="1">
      <c r="A80" s="2"/>
      <c r="B80" s="2"/>
      <c r="C80" s="24"/>
      <c r="D80" s="18"/>
      <c r="E80" s="18"/>
      <c r="F80" s="19"/>
      <c r="G80" s="19"/>
      <c r="H80" s="19"/>
      <c r="I80" s="18"/>
      <c r="J80" s="18"/>
      <c r="K80" s="18"/>
      <c r="L80" s="18"/>
      <c r="M80" s="20"/>
      <c r="N80" s="18"/>
      <c r="O80" s="18"/>
      <c r="P80" s="18"/>
      <c r="Q80" s="18"/>
      <c r="R80" s="2"/>
      <c r="S80" s="21"/>
      <c r="T80" s="1"/>
      <c r="U80" s="2"/>
      <c r="V80" s="2"/>
      <c r="W80" s="2"/>
      <c r="X80" s="2"/>
      <c r="Y80" s="2"/>
      <c r="Z80" s="2"/>
      <c r="AA80" s="2"/>
      <c r="AB80" s="2"/>
      <c r="AC80" s="22"/>
      <c r="AD80" s="22"/>
      <c r="AE80" s="22"/>
      <c r="AF80" s="23"/>
    </row>
    <row r="81" spans="1:32" ht="15.75" customHeight="1">
      <c r="A81" s="2"/>
      <c r="B81" s="2"/>
      <c r="C81" s="24"/>
      <c r="D81" s="18"/>
      <c r="E81" s="18"/>
      <c r="F81" s="19"/>
      <c r="G81" s="19"/>
      <c r="H81" s="19"/>
      <c r="I81" s="18"/>
      <c r="J81" s="18"/>
      <c r="K81" s="18"/>
      <c r="L81" s="18"/>
      <c r="M81" s="20"/>
      <c r="N81" s="18"/>
      <c r="O81" s="18"/>
      <c r="P81" s="18"/>
      <c r="Q81" s="18"/>
      <c r="R81" s="2"/>
      <c r="S81" s="21"/>
      <c r="T81" s="1"/>
      <c r="U81" s="2"/>
      <c r="V81" s="2"/>
      <c r="W81" s="2"/>
      <c r="X81" s="2"/>
      <c r="Y81" s="2"/>
      <c r="Z81" s="2"/>
      <c r="AA81" s="2"/>
      <c r="AB81" s="2"/>
      <c r="AC81" s="22"/>
      <c r="AD81" s="22"/>
      <c r="AE81" s="22"/>
      <c r="AF81" s="23"/>
    </row>
    <row r="82" spans="1:32" ht="15.75" customHeight="1">
      <c r="A82" s="2"/>
      <c r="B82" s="2"/>
      <c r="C82" s="24"/>
      <c r="D82" s="18"/>
      <c r="E82" s="18"/>
      <c r="F82" s="19"/>
      <c r="G82" s="19"/>
      <c r="H82" s="19"/>
      <c r="I82" s="18"/>
      <c r="J82" s="18"/>
      <c r="K82" s="18"/>
      <c r="L82" s="18"/>
      <c r="M82" s="20"/>
      <c r="N82" s="18"/>
      <c r="O82" s="18"/>
      <c r="P82" s="18"/>
      <c r="Q82" s="18"/>
      <c r="R82" s="2"/>
      <c r="S82" s="21"/>
      <c r="T82" s="1"/>
      <c r="U82" s="2"/>
      <c r="V82" s="2"/>
      <c r="W82" s="2"/>
      <c r="X82" s="2"/>
      <c r="Y82" s="2"/>
      <c r="Z82" s="2"/>
      <c r="AA82" s="2"/>
      <c r="AB82" s="2"/>
      <c r="AC82" s="22"/>
      <c r="AD82" s="22"/>
      <c r="AE82" s="22"/>
      <c r="AF82" s="23"/>
    </row>
    <row r="83" spans="1:32" ht="15.75" customHeight="1">
      <c r="A83" s="2"/>
      <c r="B83" s="2"/>
      <c r="C83" s="24"/>
      <c r="D83" s="18"/>
      <c r="E83" s="18"/>
      <c r="F83" s="19"/>
      <c r="G83" s="19"/>
      <c r="H83" s="19"/>
      <c r="I83" s="18"/>
      <c r="J83" s="18"/>
      <c r="K83" s="18"/>
      <c r="L83" s="18"/>
      <c r="M83" s="20"/>
      <c r="N83" s="18"/>
      <c r="O83" s="18"/>
      <c r="P83" s="18"/>
      <c r="Q83" s="18"/>
      <c r="R83" s="2"/>
      <c r="S83" s="21"/>
      <c r="T83" s="1"/>
      <c r="U83" s="2"/>
      <c r="V83" s="2"/>
      <c r="W83" s="2"/>
      <c r="X83" s="2"/>
      <c r="Y83" s="2"/>
      <c r="Z83" s="2"/>
      <c r="AA83" s="2"/>
      <c r="AB83" s="2"/>
      <c r="AC83" s="22"/>
      <c r="AD83" s="22"/>
      <c r="AE83" s="22"/>
      <c r="AF83" s="23"/>
    </row>
    <row r="84" spans="1:32" ht="15.75" customHeight="1">
      <c r="A84" s="2"/>
      <c r="B84" s="2"/>
      <c r="C84" s="24"/>
      <c r="D84" s="18"/>
      <c r="E84" s="18"/>
      <c r="F84" s="19"/>
      <c r="G84" s="19"/>
      <c r="H84" s="19"/>
      <c r="I84" s="18"/>
      <c r="J84" s="18"/>
      <c r="K84" s="18"/>
      <c r="L84" s="18"/>
      <c r="M84" s="20"/>
      <c r="N84" s="18"/>
      <c r="O84" s="18"/>
      <c r="P84" s="18"/>
      <c r="Q84" s="18"/>
      <c r="R84" s="2"/>
      <c r="S84" s="21"/>
      <c r="T84" s="1"/>
      <c r="U84" s="2"/>
      <c r="V84" s="2"/>
      <c r="W84" s="2"/>
      <c r="X84" s="2"/>
      <c r="Y84" s="2"/>
      <c r="Z84" s="2"/>
      <c r="AA84" s="2"/>
      <c r="AB84" s="2"/>
      <c r="AC84" s="22"/>
      <c r="AD84" s="22"/>
      <c r="AE84" s="22"/>
      <c r="AF84" s="23"/>
    </row>
    <row r="85" spans="1:32" ht="15.75" customHeight="1">
      <c r="A85" s="2"/>
      <c r="B85" s="2"/>
      <c r="C85" s="24"/>
      <c r="D85" s="18"/>
      <c r="E85" s="18"/>
      <c r="F85" s="19"/>
      <c r="G85" s="19"/>
      <c r="H85" s="19"/>
      <c r="I85" s="18"/>
      <c r="J85" s="18"/>
      <c r="K85" s="18"/>
      <c r="L85" s="18"/>
      <c r="M85" s="20"/>
      <c r="N85" s="18"/>
      <c r="O85" s="18"/>
      <c r="P85" s="18"/>
      <c r="Q85" s="18"/>
      <c r="R85" s="2"/>
      <c r="S85" s="21"/>
      <c r="T85" s="1"/>
      <c r="U85" s="2"/>
      <c r="V85" s="2"/>
      <c r="W85" s="2"/>
      <c r="X85" s="2"/>
      <c r="Y85" s="2"/>
      <c r="Z85" s="2"/>
      <c r="AA85" s="2"/>
      <c r="AB85" s="2"/>
      <c r="AC85" s="22"/>
      <c r="AD85" s="22"/>
      <c r="AE85" s="22"/>
      <c r="AF85" s="23"/>
    </row>
    <row r="86" spans="1:32" ht="15.75" customHeight="1">
      <c r="A86" s="2"/>
      <c r="B86" s="2"/>
      <c r="C86" s="24"/>
      <c r="D86" s="18"/>
      <c r="E86" s="18"/>
      <c r="F86" s="19"/>
      <c r="G86" s="19"/>
      <c r="H86" s="19"/>
      <c r="I86" s="18"/>
      <c r="J86" s="18"/>
      <c r="K86" s="18"/>
      <c r="L86" s="18"/>
      <c r="M86" s="20"/>
      <c r="N86" s="18"/>
      <c r="O86" s="18"/>
      <c r="P86" s="18"/>
      <c r="Q86" s="18"/>
      <c r="R86" s="2"/>
      <c r="S86" s="21"/>
      <c r="T86" s="1"/>
      <c r="U86" s="2"/>
      <c r="V86" s="2"/>
      <c r="W86" s="2"/>
      <c r="X86" s="2"/>
      <c r="Y86" s="2"/>
      <c r="Z86" s="2"/>
      <c r="AA86" s="2"/>
      <c r="AB86" s="2"/>
      <c r="AC86" s="22"/>
      <c r="AD86" s="22"/>
      <c r="AE86" s="22"/>
      <c r="AF86" s="23"/>
    </row>
    <row r="87" spans="1:32" ht="15.75" customHeight="1">
      <c r="A87" s="2"/>
      <c r="B87" s="2"/>
      <c r="C87" s="24"/>
      <c r="D87" s="18"/>
      <c r="E87" s="18"/>
      <c r="F87" s="19"/>
      <c r="G87" s="19"/>
      <c r="H87" s="19"/>
      <c r="I87" s="18"/>
      <c r="J87" s="18"/>
      <c r="K87" s="18"/>
      <c r="L87" s="18"/>
      <c r="M87" s="20"/>
      <c r="N87" s="18"/>
      <c r="O87" s="18"/>
      <c r="P87" s="18"/>
      <c r="Q87" s="18"/>
      <c r="R87" s="2"/>
      <c r="S87" s="21"/>
      <c r="T87" s="1"/>
      <c r="U87" s="2"/>
      <c r="V87" s="2"/>
      <c r="W87" s="2"/>
      <c r="X87" s="2"/>
      <c r="Y87" s="2"/>
      <c r="Z87" s="2"/>
      <c r="AA87" s="2"/>
      <c r="AB87" s="2"/>
      <c r="AC87" s="22"/>
      <c r="AD87" s="22"/>
      <c r="AE87" s="22"/>
      <c r="AF87" s="23"/>
    </row>
    <row r="88" spans="1:32" ht="15.75" customHeight="1">
      <c r="A88" s="2"/>
      <c r="B88" s="2"/>
      <c r="C88" s="24"/>
      <c r="D88" s="18"/>
      <c r="E88" s="18"/>
      <c r="F88" s="19"/>
      <c r="G88" s="19"/>
      <c r="H88" s="19"/>
      <c r="I88" s="18"/>
      <c r="J88" s="18"/>
      <c r="K88" s="18"/>
      <c r="L88" s="18"/>
      <c r="M88" s="20"/>
      <c r="N88" s="18"/>
      <c r="O88" s="18"/>
      <c r="P88" s="18"/>
      <c r="Q88" s="18"/>
      <c r="R88" s="2"/>
      <c r="S88" s="21"/>
      <c r="T88" s="1"/>
      <c r="U88" s="2"/>
      <c r="V88" s="2"/>
      <c r="W88" s="2"/>
      <c r="X88" s="2"/>
      <c r="Y88" s="2"/>
      <c r="Z88" s="2"/>
      <c r="AA88" s="2"/>
      <c r="AB88" s="2"/>
      <c r="AC88" s="22"/>
      <c r="AD88" s="22"/>
      <c r="AE88" s="22"/>
      <c r="AF88" s="23"/>
    </row>
    <row r="89" spans="1:32" ht="15.75" customHeight="1">
      <c r="A89" s="2"/>
      <c r="B89" s="2"/>
      <c r="C89" s="24"/>
      <c r="D89" s="18"/>
      <c r="E89" s="18"/>
      <c r="F89" s="19"/>
      <c r="G89" s="19"/>
      <c r="H89" s="19"/>
      <c r="I89" s="18"/>
      <c r="J89" s="18"/>
      <c r="K89" s="18"/>
      <c r="L89" s="18"/>
      <c r="M89" s="20"/>
      <c r="N89" s="18"/>
      <c r="O89" s="18"/>
      <c r="P89" s="18"/>
      <c r="Q89" s="18"/>
      <c r="R89" s="2"/>
      <c r="S89" s="21"/>
      <c r="T89" s="1"/>
      <c r="U89" s="2"/>
      <c r="V89" s="2"/>
      <c r="W89" s="2"/>
      <c r="X89" s="2"/>
      <c r="Y89" s="2"/>
      <c r="Z89" s="2"/>
      <c r="AA89" s="2"/>
      <c r="AB89" s="2"/>
      <c r="AC89" s="22"/>
      <c r="AD89" s="22"/>
      <c r="AE89" s="22"/>
      <c r="AF89" s="23"/>
    </row>
    <row r="90" spans="1:32" ht="15.75" customHeight="1">
      <c r="A90" s="2"/>
      <c r="B90" s="2"/>
      <c r="C90" s="24"/>
      <c r="D90" s="18"/>
      <c r="E90" s="18"/>
      <c r="F90" s="19"/>
      <c r="G90" s="19"/>
      <c r="H90" s="19"/>
      <c r="I90" s="18"/>
      <c r="J90" s="18"/>
      <c r="K90" s="18"/>
      <c r="L90" s="18"/>
      <c r="M90" s="20"/>
      <c r="N90" s="18"/>
      <c r="O90" s="18"/>
      <c r="P90" s="18"/>
      <c r="Q90" s="18"/>
      <c r="R90" s="2"/>
      <c r="S90" s="21"/>
      <c r="T90" s="1"/>
      <c r="U90" s="2"/>
      <c r="V90" s="2"/>
      <c r="W90" s="2"/>
      <c r="X90" s="2"/>
      <c r="Y90" s="2"/>
      <c r="Z90" s="2"/>
      <c r="AA90" s="2"/>
      <c r="AB90" s="2"/>
      <c r="AC90" s="22"/>
      <c r="AD90" s="22"/>
      <c r="AE90" s="22"/>
      <c r="AF90" s="23"/>
    </row>
    <row r="91" spans="1:32" ht="15.75" customHeight="1">
      <c r="A91" s="2"/>
      <c r="B91" s="2"/>
      <c r="C91" s="24"/>
      <c r="D91" s="18"/>
      <c r="E91" s="18"/>
      <c r="F91" s="19"/>
      <c r="G91" s="19"/>
      <c r="H91" s="19"/>
      <c r="I91" s="18"/>
      <c r="J91" s="18"/>
      <c r="K91" s="18"/>
      <c r="L91" s="18"/>
      <c r="M91" s="20"/>
      <c r="N91" s="18"/>
      <c r="O91" s="18"/>
      <c r="P91" s="18"/>
      <c r="Q91" s="18"/>
      <c r="R91" s="2"/>
      <c r="S91" s="21"/>
      <c r="T91" s="1"/>
      <c r="U91" s="2"/>
      <c r="V91" s="2"/>
      <c r="W91" s="2"/>
      <c r="X91" s="2"/>
      <c r="Y91" s="2"/>
      <c r="Z91" s="2"/>
      <c r="AA91" s="2"/>
      <c r="AB91" s="2"/>
      <c r="AC91" s="22"/>
      <c r="AD91" s="22"/>
      <c r="AE91" s="22"/>
      <c r="AF91" s="23"/>
    </row>
    <row r="92" spans="1:32" ht="15.75" customHeight="1">
      <c r="A92" s="2"/>
      <c r="B92" s="2"/>
      <c r="C92" s="24"/>
      <c r="D92" s="18"/>
      <c r="E92" s="18"/>
      <c r="F92" s="19"/>
      <c r="G92" s="19"/>
      <c r="H92" s="19"/>
      <c r="I92" s="18"/>
      <c r="J92" s="18"/>
      <c r="K92" s="18"/>
      <c r="L92" s="18"/>
      <c r="M92" s="20"/>
      <c r="N92" s="18"/>
      <c r="O92" s="18"/>
      <c r="P92" s="18"/>
      <c r="Q92" s="18"/>
      <c r="R92" s="2"/>
      <c r="S92" s="21"/>
      <c r="T92" s="1"/>
      <c r="U92" s="2"/>
      <c r="V92" s="2"/>
      <c r="W92" s="2"/>
      <c r="X92" s="2"/>
      <c r="Y92" s="2"/>
      <c r="Z92" s="2"/>
      <c r="AA92" s="2"/>
      <c r="AB92" s="2"/>
      <c r="AC92" s="22"/>
      <c r="AD92" s="22"/>
      <c r="AE92" s="22"/>
      <c r="AF92" s="23"/>
    </row>
    <row r="93" spans="1:32" ht="15.75" customHeight="1">
      <c r="A93" s="2"/>
      <c r="B93" s="2"/>
      <c r="C93" s="24"/>
      <c r="D93" s="18"/>
      <c r="E93" s="18"/>
      <c r="F93" s="19"/>
      <c r="G93" s="19"/>
      <c r="H93" s="19"/>
      <c r="I93" s="18"/>
      <c r="J93" s="18"/>
      <c r="K93" s="18"/>
      <c r="L93" s="18"/>
      <c r="M93" s="20"/>
      <c r="N93" s="18"/>
      <c r="O93" s="18"/>
      <c r="P93" s="18"/>
      <c r="Q93" s="18"/>
      <c r="R93" s="2"/>
      <c r="S93" s="21"/>
      <c r="T93" s="1"/>
      <c r="U93" s="2"/>
      <c r="V93" s="2"/>
      <c r="W93" s="2"/>
      <c r="X93" s="2"/>
      <c r="Y93" s="2"/>
      <c r="Z93" s="2"/>
      <c r="AA93" s="2"/>
      <c r="AB93" s="2"/>
      <c r="AC93" s="22"/>
      <c r="AD93" s="22"/>
      <c r="AE93" s="22"/>
      <c r="AF93" s="23"/>
    </row>
    <row r="94" spans="1:32" ht="15.75" customHeight="1">
      <c r="A94" s="2"/>
      <c r="B94" s="2"/>
      <c r="C94" s="24"/>
      <c r="D94" s="18"/>
      <c r="E94" s="18"/>
      <c r="F94" s="19"/>
      <c r="G94" s="19"/>
      <c r="H94" s="19"/>
      <c r="I94" s="18"/>
      <c r="J94" s="18"/>
      <c r="K94" s="18"/>
      <c r="L94" s="18"/>
      <c r="M94" s="20"/>
      <c r="N94" s="18"/>
      <c r="O94" s="18"/>
      <c r="P94" s="18"/>
      <c r="Q94" s="18"/>
      <c r="R94" s="2"/>
      <c r="S94" s="21"/>
      <c r="T94" s="1"/>
      <c r="U94" s="2"/>
      <c r="V94" s="2"/>
      <c r="W94" s="2"/>
      <c r="X94" s="2"/>
      <c r="Y94" s="2"/>
      <c r="Z94" s="2"/>
      <c r="AA94" s="2"/>
      <c r="AB94" s="2"/>
      <c r="AC94" s="22"/>
      <c r="AD94" s="22"/>
      <c r="AE94" s="22"/>
      <c r="AF94" s="23"/>
    </row>
    <row r="95" spans="1:32" ht="15.75" customHeight="1">
      <c r="A95" s="2"/>
      <c r="B95" s="2"/>
      <c r="C95" s="24"/>
      <c r="D95" s="18"/>
      <c r="E95" s="18"/>
      <c r="F95" s="19"/>
      <c r="G95" s="19"/>
      <c r="H95" s="19"/>
      <c r="I95" s="18"/>
      <c r="J95" s="18"/>
      <c r="K95" s="18"/>
      <c r="L95" s="18"/>
      <c r="M95" s="20"/>
      <c r="N95" s="18"/>
      <c r="O95" s="18"/>
      <c r="P95" s="18"/>
      <c r="Q95" s="18"/>
      <c r="R95" s="2"/>
      <c r="S95" s="21"/>
      <c r="T95" s="1"/>
      <c r="U95" s="2"/>
      <c r="V95" s="2"/>
      <c r="W95" s="2"/>
      <c r="X95" s="2"/>
      <c r="Y95" s="2"/>
      <c r="Z95" s="2"/>
      <c r="AA95" s="2"/>
      <c r="AB95" s="2"/>
      <c r="AC95" s="22"/>
      <c r="AD95" s="22"/>
      <c r="AE95" s="22"/>
      <c r="AF95" s="23"/>
    </row>
    <row r="96" spans="1:32" ht="15.75" customHeight="1">
      <c r="A96" s="2"/>
      <c r="B96" s="2"/>
      <c r="C96" s="24"/>
      <c r="D96" s="18"/>
      <c r="E96" s="18"/>
      <c r="F96" s="19"/>
      <c r="G96" s="19"/>
      <c r="H96" s="19"/>
      <c r="I96" s="18"/>
      <c r="J96" s="18"/>
      <c r="K96" s="18"/>
      <c r="L96" s="18"/>
      <c r="M96" s="20"/>
      <c r="N96" s="18"/>
      <c r="O96" s="18"/>
      <c r="P96" s="18"/>
      <c r="Q96" s="18"/>
      <c r="R96" s="2"/>
      <c r="S96" s="21"/>
      <c r="T96" s="1"/>
      <c r="U96" s="2"/>
      <c r="V96" s="2"/>
      <c r="W96" s="2"/>
      <c r="X96" s="2"/>
      <c r="Y96" s="2"/>
      <c r="Z96" s="2"/>
      <c r="AA96" s="2"/>
      <c r="AB96" s="2"/>
      <c r="AC96" s="22"/>
      <c r="AD96" s="22"/>
      <c r="AE96" s="22"/>
      <c r="AF96" s="23"/>
    </row>
    <row r="97" spans="1:32" ht="15.75" customHeight="1">
      <c r="A97" s="2"/>
      <c r="B97" s="2"/>
      <c r="C97" s="24"/>
      <c r="D97" s="18"/>
      <c r="E97" s="18"/>
      <c r="F97" s="19"/>
      <c r="G97" s="19"/>
      <c r="H97" s="19"/>
      <c r="I97" s="18"/>
      <c r="J97" s="18"/>
      <c r="K97" s="18"/>
      <c r="L97" s="18"/>
      <c r="M97" s="20"/>
      <c r="N97" s="18"/>
      <c r="O97" s="18"/>
      <c r="P97" s="18"/>
      <c r="Q97" s="18"/>
      <c r="R97" s="2"/>
      <c r="S97" s="21"/>
      <c r="T97" s="1"/>
      <c r="U97" s="2"/>
      <c r="V97" s="2"/>
      <c r="W97" s="2"/>
      <c r="X97" s="2"/>
      <c r="Y97" s="2"/>
      <c r="Z97" s="2"/>
      <c r="AA97" s="2"/>
      <c r="AB97" s="2"/>
      <c r="AC97" s="22"/>
      <c r="AD97" s="22"/>
      <c r="AE97" s="22"/>
      <c r="AF97" s="23"/>
    </row>
    <row r="98" spans="1:32" ht="15.75" customHeight="1">
      <c r="A98" s="2"/>
      <c r="B98" s="2"/>
      <c r="C98" s="24"/>
      <c r="D98" s="18"/>
      <c r="E98" s="18"/>
      <c r="F98" s="19"/>
      <c r="G98" s="19"/>
      <c r="H98" s="19"/>
      <c r="I98" s="18"/>
      <c r="J98" s="18"/>
      <c r="K98" s="18"/>
      <c r="L98" s="18"/>
      <c r="M98" s="20"/>
      <c r="N98" s="18"/>
      <c r="O98" s="18"/>
      <c r="P98" s="18"/>
      <c r="Q98" s="18"/>
      <c r="R98" s="2"/>
      <c r="S98" s="21"/>
      <c r="T98" s="1"/>
      <c r="U98" s="2"/>
      <c r="V98" s="2"/>
      <c r="W98" s="2"/>
      <c r="X98" s="2"/>
      <c r="Y98" s="2"/>
      <c r="Z98" s="2"/>
      <c r="AA98" s="2"/>
      <c r="AB98" s="2"/>
      <c r="AC98" s="22"/>
      <c r="AD98" s="22"/>
      <c r="AE98" s="22"/>
      <c r="AF98" s="23"/>
    </row>
    <row r="99" spans="1:32" ht="15.75" customHeight="1">
      <c r="A99" s="2"/>
      <c r="B99" s="2"/>
      <c r="C99" s="24"/>
      <c r="D99" s="18"/>
      <c r="E99" s="18"/>
      <c r="F99" s="19"/>
      <c r="G99" s="19"/>
      <c r="H99" s="19"/>
      <c r="I99" s="18"/>
      <c r="J99" s="18"/>
      <c r="K99" s="18"/>
      <c r="L99" s="18"/>
      <c r="M99" s="20"/>
      <c r="N99" s="18"/>
      <c r="O99" s="18"/>
      <c r="P99" s="18"/>
      <c r="Q99" s="18"/>
      <c r="R99" s="2"/>
      <c r="S99" s="21"/>
      <c r="T99" s="1"/>
      <c r="U99" s="2"/>
      <c r="V99" s="2"/>
      <c r="W99" s="2"/>
      <c r="X99" s="2"/>
      <c r="Y99" s="2"/>
      <c r="Z99" s="2"/>
      <c r="AA99" s="2"/>
      <c r="AB99" s="2"/>
      <c r="AC99" s="22"/>
      <c r="AD99" s="22"/>
      <c r="AE99" s="22"/>
      <c r="AF99" s="23"/>
    </row>
    <row r="100" spans="1:32" ht="15.75" customHeight="1">
      <c r="A100" s="2"/>
      <c r="B100" s="2"/>
      <c r="C100" s="24"/>
      <c r="D100" s="18"/>
      <c r="E100" s="18"/>
      <c r="F100" s="19"/>
      <c r="G100" s="19"/>
      <c r="H100" s="19"/>
      <c r="I100" s="18"/>
      <c r="J100" s="18"/>
      <c r="K100" s="18"/>
      <c r="L100" s="18"/>
      <c r="M100" s="20"/>
      <c r="N100" s="18"/>
      <c r="O100" s="18"/>
      <c r="P100" s="18"/>
      <c r="Q100" s="18"/>
      <c r="R100" s="2"/>
      <c r="S100" s="21"/>
      <c r="T100" s="1"/>
      <c r="U100" s="2"/>
      <c r="V100" s="2"/>
      <c r="W100" s="2"/>
      <c r="X100" s="2"/>
      <c r="Y100" s="2"/>
      <c r="Z100" s="2"/>
      <c r="AA100" s="2"/>
      <c r="AB100" s="2"/>
      <c r="AC100" s="22"/>
      <c r="AD100" s="22"/>
      <c r="AE100" s="22"/>
      <c r="AF100" s="23"/>
    </row>
    <row r="101" spans="1:32" ht="15.75" customHeight="1">
      <c r="A101" s="2"/>
      <c r="B101" s="2"/>
      <c r="C101" s="24"/>
      <c r="D101" s="18"/>
      <c r="E101" s="18"/>
      <c r="F101" s="19"/>
      <c r="G101" s="19"/>
      <c r="H101" s="19"/>
      <c r="I101" s="18"/>
      <c r="J101" s="18"/>
      <c r="K101" s="18"/>
      <c r="L101" s="18"/>
      <c r="M101" s="20"/>
      <c r="N101" s="18"/>
      <c r="O101" s="18"/>
      <c r="P101" s="18"/>
      <c r="Q101" s="18"/>
      <c r="R101" s="2"/>
      <c r="S101" s="21"/>
      <c r="T101" s="1"/>
      <c r="U101" s="2"/>
      <c r="V101" s="2"/>
      <c r="W101" s="2"/>
      <c r="X101" s="2"/>
      <c r="Y101" s="2"/>
      <c r="Z101" s="2"/>
      <c r="AA101" s="2"/>
      <c r="AB101" s="2"/>
      <c r="AC101" s="22"/>
      <c r="AD101" s="22"/>
      <c r="AE101" s="22"/>
      <c r="AF101" s="23"/>
    </row>
    <row r="102" spans="1:32" ht="15.75" customHeight="1">
      <c r="A102" s="2"/>
      <c r="B102" s="2"/>
      <c r="C102" s="24"/>
      <c r="D102" s="18"/>
      <c r="E102" s="18"/>
      <c r="F102" s="19"/>
      <c r="G102" s="19"/>
      <c r="H102" s="19"/>
      <c r="I102" s="18"/>
      <c r="J102" s="18"/>
      <c r="K102" s="18"/>
      <c r="L102" s="18"/>
      <c r="M102" s="20"/>
      <c r="N102" s="18"/>
      <c r="O102" s="18"/>
      <c r="P102" s="18"/>
      <c r="Q102" s="18"/>
      <c r="R102" s="2"/>
      <c r="S102" s="21"/>
      <c r="T102" s="1"/>
      <c r="U102" s="2"/>
      <c r="V102" s="2"/>
      <c r="W102" s="2"/>
      <c r="X102" s="2"/>
      <c r="Y102" s="2"/>
      <c r="Z102" s="2"/>
      <c r="AA102" s="2"/>
      <c r="AB102" s="2"/>
      <c r="AC102" s="22"/>
      <c r="AD102" s="22"/>
      <c r="AE102" s="22"/>
      <c r="AF102" s="23"/>
    </row>
    <row r="103" spans="1:32" ht="15.75" customHeight="1">
      <c r="A103" s="2"/>
      <c r="B103" s="2"/>
      <c r="C103" s="24"/>
      <c r="D103" s="18"/>
      <c r="E103" s="18"/>
      <c r="F103" s="19"/>
      <c r="G103" s="19"/>
      <c r="H103" s="19"/>
      <c r="I103" s="18"/>
      <c r="J103" s="18"/>
      <c r="K103" s="18"/>
      <c r="L103" s="18"/>
      <c r="M103" s="20"/>
      <c r="N103" s="18"/>
      <c r="O103" s="18"/>
      <c r="P103" s="18"/>
      <c r="Q103" s="18"/>
      <c r="R103" s="2"/>
      <c r="S103" s="21"/>
      <c r="T103" s="1"/>
      <c r="U103" s="2"/>
      <c r="V103" s="2"/>
      <c r="W103" s="2"/>
      <c r="X103" s="2"/>
      <c r="Y103" s="2"/>
      <c r="Z103" s="2"/>
      <c r="AA103" s="2"/>
      <c r="AB103" s="2"/>
      <c r="AC103" s="22"/>
      <c r="AD103" s="22"/>
      <c r="AE103" s="22"/>
      <c r="AF103" s="23"/>
    </row>
    <row r="104" spans="1:32" ht="15.75" customHeight="1">
      <c r="A104" s="2"/>
      <c r="B104" s="2"/>
      <c r="C104" s="24"/>
      <c r="D104" s="18"/>
      <c r="E104" s="18"/>
      <c r="F104" s="19"/>
      <c r="G104" s="19"/>
      <c r="H104" s="19"/>
      <c r="I104" s="18"/>
      <c r="J104" s="18"/>
      <c r="K104" s="18"/>
      <c r="L104" s="18"/>
      <c r="M104" s="20"/>
      <c r="N104" s="18"/>
      <c r="O104" s="18"/>
      <c r="P104" s="18"/>
      <c r="Q104" s="18"/>
      <c r="R104" s="2"/>
      <c r="S104" s="21"/>
      <c r="T104" s="1"/>
      <c r="U104" s="2"/>
      <c r="V104" s="2"/>
      <c r="W104" s="2"/>
      <c r="X104" s="2"/>
      <c r="Y104" s="2"/>
      <c r="Z104" s="2"/>
      <c r="AA104" s="2"/>
      <c r="AB104" s="2"/>
      <c r="AC104" s="22"/>
      <c r="AD104" s="22"/>
      <c r="AE104" s="22"/>
      <c r="AF104" s="23"/>
    </row>
    <row r="105" spans="1:32" ht="15.75" customHeight="1">
      <c r="A105" s="2"/>
      <c r="B105" s="2"/>
      <c r="C105" s="24"/>
      <c r="D105" s="18"/>
      <c r="E105" s="18"/>
      <c r="F105" s="19"/>
      <c r="G105" s="19"/>
      <c r="H105" s="19"/>
      <c r="I105" s="18"/>
      <c r="J105" s="18"/>
      <c r="K105" s="18"/>
      <c r="L105" s="18"/>
      <c r="M105" s="20"/>
      <c r="N105" s="18"/>
      <c r="O105" s="18"/>
      <c r="P105" s="18"/>
      <c r="Q105" s="18"/>
      <c r="R105" s="2"/>
      <c r="S105" s="21"/>
      <c r="T105" s="1"/>
      <c r="U105" s="2"/>
      <c r="V105" s="2"/>
      <c r="W105" s="2"/>
      <c r="X105" s="2"/>
      <c r="Y105" s="2"/>
      <c r="Z105" s="2"/>
      <c r="AA105" s="2"/>
      <c r="AB105" s="2"/>
      <c r="AC105" s="22"/>
      <c r="AD105" s="22"/>
      <c r="AE105" s="22"/>
      <c r="AF105" s="23"/>
    </row>
    <row r="106" spans="1:32" ht="15.75" customHeight="1">
      <c r="A106" s="2"/>
      <c r="B106" s="2"/>
      <c r="C106" s="24"/>
      <c r="D106" s="18"/>
      <c r="E106" s="18"/>
      <c r="F106" s="19"/>
      <c r="G106" s="19"/>
      <c r="H106" s="19"/>
      <c r="I106" s="18"/>
      <c r="J106" s="18"/>
      <c r="K106" s="18"/>
      <c r="L106" s="18"/>
      <c r="M106" s="20"/>
      <c r="N106" s="18"/>
      <c r="O106" s="18"/>
      <c r="P106" s="18"/>
      <c r="Q106" s="18"/>
      <c r="R106" s="2"/>
      <c r="S106" s="21"/>
      <c r="T106" s="1"/>
      <c r="U106" s="2"/>
      <c r="V106" s="2"/>
      <c r="W106" s="2"/>
      <c r="X106" s="2"/>
      <c r="Y106" s="2"/>
      <c r="Z106" s="2"/>
      <c r="AA106" s="2"/>
      <c r="AB106" s="2"/>
      <c r="AC106" s="22"/>
      <c r="AD106" s="22"/>
      <c r="AE106" s="22"/>
      <c r="AF106" s="23"/>
    </row>
    <row r="107" spans="1:32" ht="15.75" customHeight="1">
      <c r="A107" s="2"/>
      <c r="B107" s="2"/>
      <c r="C107" s="24"/>
      <c r="D107" s="18"/>
      <c r="E107" s="18"/>
      <c r="F107" s="19"/>
      <c r="G107" s="19"/>
      <c r="H107" s="19"/>
      <c r="I107" s="18"/>
      <c r="J107" s="18"/>
      <c r="K107" s="18"/>
      <c r="L107" s="18"/>
      <c r="M107" s="20"/>
      <c r="N107" s="18"/>
      <c r="O107" s="18"/>
      <c r="P107" s="18"/>
      <c r="Q107" s="18"/>
      <c r="R107" s="2"/>
      <c r="S107" s="21"/>
      <c r="T107" s="1"/>
      <c r="U107" s="2"/>
      <c r="V107" s="2"/>
      <c r="W107" s="2"/>
      <c r="X107" s="2"/>
      <c r="Y107" s="2"/>
      <c r="Z107" s="2"/>
      <c r="AA107" s="2"/>
      <c r="AB107" s="2"/>
      <c r="AC107" s="22"/>
      <c r="AD107" s="22"/>
      <c r="AE107" s="22"/>
      <c r="AF107" s="23"/>
    </row>
    <row r="108" spans="1:32" ht="15.75" customHeight="1">
      <c r="A108" s="2"/>
      <c r="B108" s="2"/>
      <c r="C108" s="24"/>
      <c r="D108" s="18"/>
      <c r="E108" s="18"/>
      <c r="F108" s="19"/>
      <c r="G108" s="19"/>
      <c r="H108" s="19"/>
      <c r="I108" s="18"/>
      <c r="J108" s="18"/>
      <c r="K108" s="18"/>
      <c r="L108" s="18"/>
      <c r="M108" s="20"/>
      <c r="N108" s="18"/>
      <c r="O108" s="18"/>
      <c r="P108" s="18"/>
      <c r="Q108" s="18"/>
      <c r="R108" s="2"/>
      <c r="S108" s="21"/>
      <c r="T108" s="1"/>
      <c r="U108" s="2"/>
      <c r="V108" s="2"/>
      <c r="W108" s="2"/>
      <c r="X108" s="2"/>
      <c r="Y108" s="2"/>
      <c r="Z108" s="2"/>
      <c r="AA108" s="2"/>
      <c r="AB108" s="2"/>
      <c r="AC108" s="22"/>
      <c r="AD108" s="22"/>
      <c r="AE108" s="22"/>
      <c r="AF108" s="23"/>
    </row>
    <row r="109" spans="1:32" ht="15.75" customHeight="1">
      <c r="A109" s="2"/>
      <c r="B109" s="2"/>
      <c r="C109" s="24"/>
      <c r="D109" s="18"/>
      <c r="E109" s="18"/>
      <c r="F109" s="19"/>
      <c r="G109" s="19"/>
      <c r="H109" s="19"/>
      <c r="I109" s="18"/>
      <c r="J109" s="18"/>
      <c r="K109" s="18"/>
      <c r="L109" s="18"/>
      <c r="M109" s="20"/>
      <c r="N109" s="18"/>
      <c r="O109" s="18"/>
      <c r="P109" s="18"/>
      <c r="Q109" s="18"/>
      <c r="R109" s="2"/>
      <c r="S109" s="21"/>
      <c r="T109" s="1"/>
      <c r="U109" s="2"/>
      <c r="V109" s="2"/>
      <c r="W109" s="2"/>
      <c r="X109" s="2"/>
      <c r="Y109" s="2"/>
      <c r="Z109" s="2"/>
      <c r="AA109" s="2"/>
      <c r="AB109" s="2"/>
      <c r="AC109" s="22"/>
      <c r="AD109" s="22"/>
      <c r="AE109" s="22"/>
      <c r="AF109" s="23"/>
    </row>
    <row r="110" spans="1:32" ht="15.75" customHeight="1">
      <c r="A110" s="2"/>
      <c r="B110" s="2"/>
      <c r="C110" s="24"/>
      <c r="D110" s="18"/>
      <c r="E110" s="18"/>
      <c r="F110" s="19"/>
      <c r="G110" s="19"/>
      <c r="H110" s="19"/>
      <c r="I110" s="18"/>
      <c r="J110" s="18"/>
      <c r="K110" s="18"/>
      <c r="L110" s="18"/>
      <c r="M110" s="20"/>
      <c r="N110" s="18"/>
      <c r="O110" s="18"/>
      <c r="P110" s="18"/>
      <c r="Q110" s="18"/>
      <c r="R110" s="2"/>
      <c r="S110" s="21"/>
      <c r="T110" s="1"/>
      <c r="U110" s="2"/>
      <c r="V110" s="2"/>
      <c r="W110" s="2"/>
      <c r="X110" s="2"/>
      <c r="Y110" s="2"/>
      <c r="Z110" s="2"/>
      <c r="AA110" s="2"/>
      <c r="AB110" s="2"/>
      <c r="AC110" s="22"/>
      <c r="AD110" s="22"/>
      <c r="AE110" s="22"/>
      <c r="AF110" s="23"/>
    </row>
    <row r="111" spans="1:32" ht="15.75" customHeight="1">
      <c r="A111" s="2"/>
      <c r="B111" s="2"/>
      <c r="C111" s="24"/>
      <c r="D111" s="18"/>
      <c r="E111" s="18"/>
      <c r="F111" s="19"/>
      <c r="G111" s="19"/>
      <c r="H111" s="19"/>
      <c r="I111" s="18"/>
      <c r="J111" s="18"/>
      <c r="K111" s="18"/>
      <c r="L111" s="18"/>
      <c r="M111" s="20"/>
      <c r="N111" s="18"/>
      <c r="O111" s="18"/>
      <c r="P111" s="18"/>
      <c r="Q111" s="18"/>
      <c r="R111" s="2"/>
      <c r="S111" s="21"/>
      <c r="T111" s="1"/>
      <c r="U111" s="2"/>
      <c r="V111" s="2"/>
      <c r="W111" s="2"/>
      <c r="X111" s="2"/>
      <c r="Y111" s="2"/>
      <c r="Z111" s="2"/>
      <c r="AA111" s="2"/>
      <c r="AB111" s="2"/>
      <c r="AC111" s="22"/>
      <c r="AD111" s="22"/>
      <c r="AE111" s="22"/>
      <c r="AF111" s="23"/>
    </row>
    <row r="112" spans="1:32" ht="15.75" customHeight="1">
      <c r="A112" s="2"/>
      <c r="B112" s="2"/>
      <c r="C112" s="24"/>
      <c r="D112" s="18"/>
      <c r="E112" s="18"/>
      <c r="F112" s="19"/>
      <c r="G112" s="19"/>
      <c r="H112" s="19"/>
      <c r="I112" s="18"/>
      <c r="J112" s="18"/>
      <c r="K112" s="18"/>
      <c r="L112" s="18"/>
      <c r="M112" s="20"/>
      <c r="N112" s="18"/>
      <c r="O112" s="18"/>
      <c r="P112" s="18"/>
      <c r="Q112" s="18"/>
      <c r="R112" s="2"/>
      <c r="S112" s="21"/>
      <c r="T112" s="1"/>
      <c r="U112" s="2"/>
      <c r="V112" s="2"/>
      <c r="W112" s="2"/>
      <c r="X112" s="2"/>
      <c r="Y112" s="2"/>
      <c r="Z112" s="2"/>
      <c r="AA112" s="2"/>
      <c r="AB112" s="2"/>
      <c r="AC112" s="22"/>
      <c r="AD112" s="22"/>
      <c r="AE112" s="22"/>
      <c r="AF112" s="23"/>
    </row>
    <row r="113" spans="1:32" ht="15.75" customHeight="1">
      <c r="A113" s="2"/>
      <c r="B113" s="2"/>
      <c r="C113" s="24"/>
      <c r="D113" s="18"/>
      <c r="E113" s="18"/>
      <c r="F113" s="19"/>
      <c r="G113" s="19"/>
      <c r="H113" s="19"/>
      <c r="I113" s="18"/>
      <c r="J113" s="18"/>
      <c r="K113" s="18"/>
      <c r="L113" s="18"/>
      <c r="M113" s="20"/>
      <c r="N113" s="18"/>
      <c r="O113" s="18"/>
      <c r="P113" s="18"/>
      <c r="Q113" s="18"/>
      <c r="R113" s="2"/>
      <c r="S113" s="21"/>
      <c r="T113" s="1"/>
      <c r="U113" s="2"/>
      <c r="V113" s="2"/>
      <c r="W113" s="2"/>
      <c r="X113" s="2"/>
      <c r="Y113" s="2"/>
      <c r="Z113" s="2"/>
      <c r="AA113" s="2"/>
      <c r="AB113" s="2"/>
      <c r="AC113" s="22"/>
      <c r="AD113" s="22"/>
      <c r="AE113" s="22"/>
      <c r="AF113" s="23"/>
    </row>
    <row r="114" spans="1:32" ht="15.75" customHeight="1">
      <c r="A114" s="2"/>
      <c r="B114" s="2"/>
      <c r="C114" s="24"/>
      <c r="D114" s="18"/>
      <c r="E114" s="18"/>
      <c r="F114" s="19"/>
      <c r="G114" s="19"/>
      <c r="H114" s="19"/>
      <c r="I114" s="18"/>
      <c r="J114" s="18"/>
      <c r="K114" s="18"/>
      <c r="L114" s="18"/>
      <c r="M114" s="20"/>
      <c r="N114" s="18"/>
      <c r="O114" s="18"/>
      <c r="P114" s="18"/>
      <c r="Q114" s="18"/>
      <c r="R114" s="2"/>
      <c r="S114" s="21"/>
      <c r="T114" s="1"/>
      <c r="U114" s="2"/>
      <c r="V114" s="2"/>
      <c r="W114" s="2"/>
      <c r="X114" s="2"/>
      <c r="Y114" s="2"/>
      <c r="Z114" s="2"/>
      <c r="AA114" s="2"/>
      <c r="AB114" s="2"/>
      <c r="AC114" s="22"/>
      <c r="AD114" s="22"/>
      <c r="AE114" s="22"/>
      <c r="AF114" s="23"/>
    </row>
    <row r="115" spans="1:32" ht="15.75" customHeight="1">
      <c r="A115" s="2"/>
      <c r="B115" s="2"/>
      <c r="C115" s="24"/>
      <c r="D115" s="18"/>
      <c r="E115" s="18"/>
      <c r="F115" s="19"/>
      <c r="G115" s="19"/>
      <c r="H115" s="19"/>
      <c r="I115" s="18"/>
      <c r="J115" s="18"/>
      <c r="K115" s="18"/>
      <c r="L115" s="18"/>
      <c r="M115" s="20"/>
      <c r="N115" s="18"/>
      <c r="O115" s="18"/>
      <c r="P115" s="18"/>
      <c r="Q115" s="18"/>
      <c r="R115" s="2"/>
      <c r="S115" s="21"/>
      <c r="T115" s="1"/>
      <c r="U115" s="2"/>
      <c r="V115" s="2"/>
      <c r="W115" s="2"/>
      <c r="X115" s="2"/>
      <c r="Y115" s="2"/>
      <c r="Z115" s="2"/>
      <c r="AA115" s="2"/>
      <c r="AB115" s="2"/>
      <c r="AC115" s="22"/>
      <c r="AD115" s="22"/>
      <c r="AE115" s="22"/>
      <c r="AF115" s="23"/>
    </row>
    <row r="116" spans="1:32" ht="15.75" customHeight="1">
      <c r="A116" s="2"/>
      <c r="B116" s="2"/>
      <c r="C116" s="24"/>
      <c r="D116" s="18"/>
      <c r="E116" s="18"/>
      <c r="F116" s="19"/>
      <c r="G116" s="19"/>
      <c r="H116" s="19"/>
      <c r="I116" s="18"/>
      <c r="J116" s="18"/>
      <c r="K116" s="18"/>
      <c r="L116" s="18"/>
      <c r="M116" s="20"/>
      <c r="N116" s="18"/>
      <c r="O116" s="18"/>
      <c r="P116" s="18"/>
      <c r="Q116" s="18"/>
      <c r="R116" s="2"/>
      <c r="S116" s="21"/>
      <c r="T116" s="1"/>
      <c r="U116" s="2"/>
      <c r="V116" s="2"/>
      <c r="W116" s="2"/>
      <c r="X116" s="2"/>
      <c r="Y116" s="2"/>
      <c r="Z116" s="2"/>
      <c r="AA116" s="2"/>
      <c r="AB116" s="2"/>
      <c r="AC116" s="22"/>
      <c r="AD116" s="22"/>
      <c r="AE116" s="22"/>
      <c r="AF116" s="23"/>
    </row>
    <row r="117" spans="1:32" ht="15.75" customHeight="1">
      <c r="A117" s="2"/>
      <c r="B117" s="2"/>
      <c r="C117" s="24"/>
      <c r="D117" s="18"/>
      <c r="E117" s="18"/>
      <c r="F117" s="19"/>
      <c r="G117" s="19"/>
      <c r="H117" s="19"/>
      <c r="I117" s="18"/>
      <c r="J117" s="18"/>
      <c r="K117" s="18"/>
      <c r="L117" s="18"/>
      <c r="M117" s="20"/>
      <c r="N117" s="18"/>
      <c r="O117" s="18"/>
      <c r="P117" s="18"/>
      <c r="Q117" s="18"/>
      <c r="R117" s="2"/>
      <c r="S117" s="21"/>
      <c r="T117" s="1"/>
      <c r="U117" s="2"/>
      <c r="V117" s="2"/>
      <c r="W117" s="2"/>
      <c r="X117" s="2"/>
      <c r="Y117" s="2"/>
      <c r="Z117" s="2"/>
      <c r="AA117" s="2"/>
      <c r="AB117" s="2"/>
      <c r="AC117" s="22"/>
      <c r="AD117" s="22"/>
      <c r="AE117" s="22"/>
      <c r="AF117" s="23"/>
    </row>
    <row r="118" spans="1:32" ht="15.75" customHeight="1">
      <c r="A118" s="2"/>
      <c r="B118" s="2"/>
      <c r="C118" s="24"/>
      <c r="D118" s="18"/>
      <c r="E118" s="18"/>
      <c r="F118" s="19"/>
      <c r="G118" s="19"/>
      <c r="H118" s="19"/>
      <c r="I118" s="18"/>
      <c r="J118" s="18"/>
      <c r="K118" s="18"/>
      <c r="L118" s="18"/>
      <c r="M118" s="20"/>
      <c r="N118" s="18"/>
      <c r="O118" s="18"/>
      <c r="P118" s="18"/>
      <c r="Q118" s="18"/>
      <c r="R118" s="2"/>
      <c r="S118" s="21"/>
      <c r="T118" s="1"/>
      <c r="U118" s="2"/>
      <c r="V118" s="2"/>
      <c r="W118" s="2"/>
      <c r="X118" s="2"/>
      <c r="Y118" s="2"/>
      <c r="Z118" s="2"/>
      <c r="AA118" s="2"/>
      <c r="AB118" s="2"/>
      <c r="AC118" s="22"/>
      <c r="AD118" s="22"/>
      <c r="AE118" s="22"/>
      <c r="AF118" s="23"/>
    </row>
    <row r="119" spans="1:32" ht="15.75" customHeight="1">
      <c r="A119" s="2"/>
      <c r="B119" s="2"/>
      <c r="C119" s="24"/>
      <c r="D119" s="18"/>
      <c r="E119" s="18"/>
      <c r="F119" s="19"/>
      <c r="G119" s="19"/>
      <c r="H119" s="19"/>
      <c r="I119" s="18"/>
      <c r="J119" s="18"/>
      <c r="K119" s="18"/>
      <c r="L119" s="18"/>
      <c r="M119" s="20"/>
      <c r="N119" s="18"/>
      <c r="O119" s="18"/>
      <c r="P119" s="18"/>
      <c r="Q119" s="18"/>
      <c r="R119" s="2"/>
      <c r="S119" s="21"/>
      <c r="T119" s="1"/>
      <c r="U119" s="2"/>
      <c r="V119" s="2"/>
      <c r="W119" s="2"/>
      <c r="X119" s="2"/>
      <c r="Y119" s="2"/>
      <c r="Z119" s="2"/>
      <c r="AA119" s="2"/>
      <c r="AB119" s="2"/>
      <c r="AC119" s="22"/>
      <c r="AD119" s="22"/>
      <c r="AE119" s="22"/>
      <c r="AF119" s="23"/>
    </row>
    <row r="120" spans="1:32" ht="15.75" customHeight="1">
      <c r="A120" s="2"/>
      <c r="B120" s="2"/>
      <c r="C120" s="24"/>
      <c r="D120" s="18"/>
      <c r="E120" s="18"/>
      <c r="F120" s="19"/>
      <c r="G120" s="19"/>
      <c r="H120" s="19"/>
      <c r="I120" s="18"/>
      <c r="J120" s="18"/>
      <c r="K120" s="18"/>
      <c r="L120" s="18"/>
      <c r="M120" s="20"/>
      <c r="N120" s="18"/>
      <c r="O120" s="18"/>
      <c r="P120" s="18"/>
      <c r="Q120" s="18"/>
      <c r="R120" s="2"/>
      <c r="S120" s="21"/>
      <c r="T120" s="1"/>
      <c r="U120" s="2"/>
      <c r="V120" s="2"/>
      <c r="W120" s="2"/>
      <c r="X120" s="2"/>
      <c r="Y120" s="2"/>
      <c r="Z120" s="2"/>
      <c r="AA120" s="2"/>
      <c r="AB120" s="2"/>
      <c r="AC120" s="22"/>
      <c r="AD120" s="22"/>
      <c r="AE120" s="22"/>
      <c r="AF120" s="23"/>
    </row>
    <row r="121" spans="1:32" ht="15.75" customHeight="1">
      <c r="A121" s="2"/>
      <c r="B121" s="2"/>
      <c r="C121" s="24"/>
      <c r="D121" s="18"/>
      <c r="E121" s="18"/>
      <c r="F121" s="19"/>
      <c r="G121" s="19"/>
      <c r="H121" s="19"/>
      <c r="I121" s="18"/>
      <c r="J121" s="18"/>
      <c r="K121" s="18"/>
      <c r="L121" s="18"/>
      <c r="M121" s="20"/>
      <c r="N121" s="18"/>
      <c r="O121" s="18"/>
      <c r="P121" s="18"/>
      <c r="Q121" s="18"/>
      <c r="R121" s="2"/>
      <c r="S121" s="21"/>
      <c r="T121" s="1"/>
      <c r="U121" s="2"/>
      <c r="V121" s="2"/>
      <c r="W121" s="2"/>
      <c r="X121" s="2"/>
      <c r="Y121" s="2"/>
      <c r="Z121" s="2"/>
      <c r="AA121" s="2"/>
      <c r="AB121" s="2"/>
      <c r="AC121" s="22"/>
      <c r="AD121" s="22"/>
      <c r="AE121" s="22"/>
      <c r="AF121" s="23"/>
    </row>
    <row r="122" spans="1:32" ht="15.75" customHeight="1">
      <c r="A122" s="2"/>
      <c r="B122" s="2"/>
      <c r="C122" s="24"/>
      <c r="D122" s="18"/>
      <c r="E122" s="18"/>
      <c r="F122" s="19"/>
      <c r="G122" s="19"/>
      <c r="H122" s="19"/>
      <c r="I122" s="18"/>
      <c r="J122" s="18"/>
      <c r="K122" s="18"/>
      <c r="L122" s="18"/>
      <c r="M122" s="20"/>
      <c r="N122" s="18"/>
      <c r="O122" s="18"/>
      <c r="P122" s="18"/>
      <c r="Q122" s="18"/>
      <c r="R122" s="2"/>
      <c r="S122" s="21"/>
      <c r="T122" s="1"/>
      <c r="U122" s="2"/>
      <c r="V122" s="2"/>
      <c r="W122" s="2"/>
      <c r="X122" s="2"/>
      <c r="Y122" s="2"/>
      <c r="Z122" s="2"/>
      <c r="AA122" s="2"/>
      <c r="AB122" s="2"/>
      <c r="AC122" s="22"/>
      <c r="AD122" s="22"/>
      <c r="AE122" s="22"/>
      <c r="AF122" s="23"/>
    </row>
    <row r="123" spans="1:32" ht="15.75" customHeight="1">
      <c r="A123" s="2"/>
      <c r="B123" s="2"/>
      <c r="C123" s="24"/>
      <c r="D123" s="18"/>
      <c r="E123" s="18"/>
      <c r="F123" s="19"/>
      <c r="G123" s="19"/>
      <c r="H123" s="19"/>
      <c r="I123" s="18"/>
      <c r="J123" s="18"/>
      <c r="K123" s="18"/>
      <c r="L123" s="18"/>
      <c r="M123" s="20"/>
      <c r="N123" s="18"/>
      <c r="O123" s="18"/>
      <c r="P123" s="18"/>
      <c r="Q123" s="18"/>
      <c r="R123" s="2"/>
      <c r="S123" s="21"/>
      <c r="T123" s="1"/>
      <c r="U123" s="2"/>
      <c r="V123" s="2"/>
      <c r="W123" s="2"/>
      <c r="X123" s="2"/>
      <c r="Y123" s="2"/>
      <c r="Z123" s="2"/>
      <c r="AA123" s="2"/>
      <c r="AB123" s="2"/>
      <c r="AC123" s="22"/>
      <c r="AD123" s="22"/>
      <c r="AE123" s="22"/>
      <c r="AF123" s="23"/>
    </row>
    <row r="124" spans="1:32" ht="15.75" customHeight="1">
      <c r="A124" s="2"/>
      <c r="B124" s="2"/>
      <c r="C124" s="24"/>
      <c r="D124" s="18"/>
      <c r="E124" s="18"/>
      <c r="F124" s="19"/>
      <c r="G124" s="19"/>
      <c r="H124" s="19"/>
      <c r="I124" s="18"/>
      <c r="J124" s="18"/>
      <c r="K124" s="18"/>
      <c r="L124" s="18"/>
      <c r="M124" s="20"/>
      <c r="N124" s="18"/>
      <c r="O124" s="18"/>
      <c r="P124" s="18"/>
      <c r="Q124" s="18"/>
      <c r="R124" s="2"/>
      <c r="S124" s="21"/>
      <c r="T124" s="1"/>
      <c r="U124" s="2"/>
      <c r="V124" s="2"/>
      <c r="W124" s="2"/>
      <c r="X124" s="2"/>
      <c r="Y124" s="2"/>
      <c r="Z124" s="2"/>
      <c r="AA124" s="2"/>
      <c r="AB124" s="2"/>
      <c r="AC124" s="22"/>
      <c r="AD124" s="22"/>
      <c r="AE124" s="22"/>
      <c r="AF124" s="23"/>
    </row>
    <row r="125" spans="1:32" ht="15.75" customHeight="1">
      <c r="A125" s="2"/>
      <c r="B125" s="2"/>
      <c r="C125" s="24"/>
      <c r="D125" s="18"/>
      <c r="E125" s="18"/>
      <c r="F125" s="19"/>
      <c r="G125" s="19"/>
      <c r="H125" s="19"/>
      <c r="I125" s="18"/>
      <c r="J125" s="18"/>
      <c r="K125" s="18"/>
      <c r="L125" s="18"/>
      <c r="M125" s="20"/>
      <c r="N125" s="18"/>
      <c r="O125" s="18"/>
      <c r="P125" s="18"/>
      <c r="Q125" s="18"/>
      <c r="R125" s="2"/>
      <c r="S125" s="21"/>
      <c r="T125" s="1"/>
      <c r="U125" s="2"/>
      <c r="V125" s="2"/>
      <c r="W125" s="2"/>
      <c r="X125" s="2"/>
      <c r="Y125" s="2"/>
      <c r="Z125" s="2"/>
      <c r="AA125" s="2"/>
      <c r="AB125" s="2"/>
      <c r="AC125" s="22"/>
      <c r="AD125" s="22"/>
      <c r="AE125" s="22"/>
      <c r="AF125" s="23"/>
    </row>
    <row r="126" spans="1:32" ht="15.75" customHeight="1">
      <c r="A126" s="2"/>
      <c r="B126" s="2"/>
      <c r="C126" s="24"/>
      <c r="D126" s="18"/>
      <c r="E126" s="18"/>
      <c r="F126" s="19"/>
      <c r="G126" s="19"/>
      <c r="H126" s="19"/>
      <c r="I126" s="18"/>
      <c r="J126" s="18"/>
      <c r="K126" s="18"/>
      <c r="L126" s="18"/>
      <c r="M126" s="20"/>
      <c r="N126" s="18"/>
      <c r="O126" s="18"/>
      <c r="P126" s="18"/>
      <c r="Q126" s="18"/>
      <c r="R126" s="2"/>
      <c r="S126" s="21"/>
      <c r="T126" s="1"/>
      <c r="U126" s="2"/>
      <c r="V126" s="2"/>
      <c r="W126" s="2"/>
      <c r="X126" s="2"/>
      <c r="Y126" s="2"/>
      <c r="Z126" s="2"/>
      <c r="AA126" s="2"/>
      <c r="AB126" s="2"/>
      <c r="AC126" s="22"/>
      <c r="AD126" s="22"/>
      <c r="AE126" s="22"/>
      <c r="AF126" s="23"/>
    </row>
    <row r="127" spans="1:32" ht="15.75" customHeight="1">
      <c r="A127" s="2"/>
      <c r="B127" s="2"/>
      <c r="C127" s="24"/>
      <c r="D127" s="18"/>
      <c r="E127" s="18"/>
      <c r="F127" s="19"/>
      <c r="G127" s="19"/>
      <c r="H127" s="19"/>
      <c r="I127" s="18"/>
      <c r="J127" s="18"/>
      <c r="K127" s="18"/>
      <c r="L127" s="18"/>
      <c r="M127" s="20"/>
      <c r="N127" s="18"/>
      <c r="O127" s="18"/>
      <c r="P127" s="18"/>
      <c r="Q127" s="18"/>
      <c r="R127" s="2"/>
      <c r="S127" s="21"/>
      <c r="T127" s="1"/>
      <c r="U127" s="2"/>
      <c r="V127" s="2"/>
      <c r="W127" s="2"/>
      <c r="X127" s="2"/>
      <c r="Y127" s="2"/>
      <c r="Z127" s="2"/>
      <c r="AA127" s="2"/>
      <c r="AB127" s="2"/>
      <c r="AC127" s="22"/>
      <c r="AD127" s="22"/>
      <c r="AE127" s="22"/>
      <c r="AF127" s="23"/>
    </row>
    <row r="128" spans="1:32" ht="15.75" customHeight="1">
      <c r="A128" s="2"/>
      <c r="B128" s="2"/>
      <c r="C128" s="24"/>
      <c r="D128" s="18"/>
      <c r="E128" s="18"/>
      <c r="F128" s="19"/>
      <c r="G128" s="19"/>
      <c r="H128" s="19"/>
      <c r="I128" s="18"/>
      <c r="J128" s="18"/>
      <c r="K128" s="18"/>
      <c r="L128" s="18"/>
      <c r="M128" s="20"/>
      <c r="N128" s="18"/>
      <c r="O128" s="18"/>
      <c r="P128" s="18"/>
      <c r="Q128" s="18"/>
      <c r="R128" s="2"/>
      <c r="S128" s="21"/>
      <c r="T128" s="1"/>
      <c r="U128" s="2"/>
      <c r="V128" s="2"/>
      <c r="W128" s="2"/>
      <c r="X128" s="2"/>
      <c r="Y128" s="2"/>
      <c r="Z128" s="2"/>
      <c r="AA128" s="2"/>
      <c r="AB128" s="2"/>
      <c r="AC128" s="22"/>
      <c r="AD128" s="22"/>
      <c r="AE128" s="22"/>
      <c r="AF128" s="23"/>
    </row>
    <row r="129" spans="1:32" ht="15.75" customHeight="1">
      <c r="A129" s="2"/>
      <c r="B129" s="2"/>
      <c r="C129" s="24"/>
      <c r="D129" s="18"/>
      <c r="E129" s="18"/>
      <c r="F129" s="19"/>
      <c r="G129" s="19"/>
      <c r="H129" s="19"/>
      <c r="I129" s="18"/>
      <c r="J129" s="18"/>
      <c r="K129" s="18"/>
      <c r="L129" s="18"/>
      <c r="M129" s="20"/>
      <c r="N129" s="18"/>
      <c r="O129" s="18"/>
      <c r="P129" s="18"/>
      <c r="Q129" s="18"/>
      <c r="R129" s="2"/>
      <c r="S129" s="21"/>
      <c r="T129" s="1"/>
      <c r="U129" s="2"/>
      <c r="V129" s="2"/>
      <c r="W129" s="2"/>
      <c r="X129" s="2"/>
      <c r="Y129" s="2"/>
      <c r="Z129" s="2"/>
      <c r="AA129" s="2"/>
      <c r="AB129" s="2"/>
      <c r="AC129" s="22"/>
      <c r="AD129" s="22"/>
      <c r="AE129" s="22"/>
      <c r="AF129" s="23"/>
    </row>
    <row r="130" spans="1:32" ht="15.75" customHeight="1">
      <c r="A130" s="2"/>
      <c r="B130" s="2"/>
      <c r="C130" s="24"/>
      <c r="D130" s="18"/>
      <c r="E130" s="18"/>
      <c r="F130" s="19"/>
      <c r="G130" s="19"/>
      <c r="H130" s="19"/>
      <c r="I130" s="18"/>
      <c r="J130" s="18"/>
      <c r="K130" s="18"/>
      <c r="L130" s="18"/>
      <c r="M130" s="20"/>
      <c r="N130" s="18"/>
      <c r="O130" s="18"/>
      <c r="P130" s="18"/>
      <c r="Q130" s="18"/>
      <c r="R130" s="2"/>
      <c r="S130" s="21"/>
      <c r="T130" s="1"/>
      <c r="U130" s="2"/>
      <c r="V130" s="2"/>
      <c r="W130" s="2"/>
      <c r="X130" s="2"/>
      <c r="Y130" s="2"/>
      <c r="Z130" s="2"/>
      <c r="AA130" s="2"/>
      <c r="AB130" s="2"/>
      <c r="AC130" s="22"/>
      <c r="AD130" s="22"/>
      <c r="AE130" s="22"/>
      <c r="AF130" s="23"/>
    </row>
    <row r="131" spans="1:32" ht="15.75" customHeight="1">
      <c r="A131" s="2"/>
      <c r="B131" s="2"/>
      <c r="C131" s="24"/>
      <c r="D131" s="18"/>
      <c r="E131" s="18"/>
      <c r="F131" s="19"/>
      <c r="G131" s="19"/>
      <c r="H131" s="19"/>
      <c r="I131" s="18"/>
      <c r="J131" s="18"/>
      <c r="K131" s="18"/>
      <c r="L131" s="18"/>
      <c r="M131" s="20"/>
      <c r="N131" s="18"/>
      <c r="O131" s="18"/>
      <c r="P131" s="18"/>
      <c r="Q131" s="18"/>
      <c r="R131" s="2"/>
      <c r="S131" s="21"/>
      <c r="T131" s="1"/>
      <c r="U131" s="2"/>
      <c r="V131" s="2"/>
      <c r="W131" s="2"/>
      <c r="X131" s="2"/>
      <c r="Y131" s="2"/>
      <c r="Z131" s="2"/>
      <c r="AA131" s="2"/>
      <c r="AB131" s="2"/>
      <c r="AC131" s="22"/>
      <c r="AD131" s="22"/>
      <c r="AE131" s="22"/>
      <c r="AF131" s="23"/>
    </row>
    <row r="132" spans="1:32" ht="15.75" customHeight="1">
      <c r="A132" s="2"/>
      <c r="B132" s="2"/>
      <c r="C132" s="24"/>
      <c r="D132" s="18"/>
      <c r="E132" s="18"/>
      <c r="F132" s="19"/>
      <c r="G132" s="19"/>
      <c r="H132" s="19"/>
      <c r="I132" s="18"/>
      <c r="J132" s="18"/>
      <c r="K132" s="18"/>
      <c r="L132" s="18"/>
      <c r="M132" s="20"/>
      <c r="N132" s="18"/>
      <c r="O132" s="18"/>
      <c r="P132" s="18"/>
      <c r="Q132" s="18"/>
      <c r="R132" s="2"/>
      <c r="S132" s="21"/>
      <c r="T132" s="1"/>
      <c r="U132" s="2"/>
      <c r="V132" s="2"/>
      <c r="W132" s="2"/>
      <c r="X132" s="2"/>
      <c r="Y132" s="2"/>
      <c r="Z132" s="2"/>
      <c r="AA132" s="2"/>
      <c r="AB132" s="2"/>
      <c r="AC132" s="22"/>
      <c r="AD132" s="22"/>
      <c r="AE132" s="22"/>
      <c r="AF132" s="23"/>
    </row>
    <row r="133" spans="1:32" ht="15.75" customHeight="1">
      <c r="A133" s="2"/>
      <c r="B133" s="2"/>
      <c r="C133" s="24"/>
      <c r="D133" s="18"/>
      <c r="E133" s="18"/>
      <c r="F133" s="19"/>
      <c r="G133" s="19"/>
      <c r="H133" s="19"/>
      <c r="I133" s="18"/>
      <c r="J133" s="18"/>
      <c r="K133" s="18"/>
      <c r="L133" s="18"/>
      <c r="M133" s="20"/>
      <c r="N133" s="18"/>
      <c r="O133" s="18"/>
      <c r="P133" s="18"/>
      <c r="Q133" s="18"/>
      <c r="R133" s="2"/>
      <c r="S133" s="21"/>
      <c r="T133" s="1"/>
      <c r="U133" s="2"/>
      <c r="V133" s="2"/>
      <c r="W133" s="2"/>
      <c r="X133" s="2"/>
      <c r="Y133" s="2"/>
      <c r="Z133" s="2"/>
      <c r="AA133" s="2"/>
      <c r="AB133" s="2"/>
      <c r="AC133" s="22"/>
      <c r="AD133" s="22"/>
      <c r="AE133" s="22"/>
      <c r="AF133" s="23"/>
    </row>
    <row r="134" spans="1:32" ht="15.75" customHeight="1">
      <c r="A134" s="2"/>
      <c r="B134" s="2"/>
      <c r="C134" s="24"/>
      <c r="D134" s="18"/>
      <c r="E134" s="18"/>
      <c r="F134" s="19"/>
      <c r="G134" s="19"/>
      <c r="H134" s="19"/>
      <c r="I134" s="18"/>
      <c r="J134" s="18"/>
      <c r="K134" s="18"/>
      <c r="L134" s="18"/>
      <c r="M134" s="20"/>
      <c r="N134" s="18"/>
      <c r="O134" s="18"/>
      <c r="P134" s="18"/>
      <c r="Q134" s="18"/>
      <c r="R134" s="2"/>
      <c r="S134" s="21"/>
      <c r="T134" s="1"/>
      <c r="U134" s="2"/>
      <c r="V134" s="2"/>
      <c r="W134" s="2"/>
      <c r="X134" s="2"/>
      <c r="Y134" s="2"/>
      <c r="Z134" s="2"/>
      <c r="AA134" s="2"/>
      <c r="AB134" s="2"/>
      <c r="AC134" s="22"/>
      <c r="AD134" s="22"/>
      <c r="AE134" s="22"/>
      <c r="AF134" s="23"/>
    </row>
    <row r="135" spans="1:32" ht="15.75" customHeight="1">
      <c r="A135" s="2"/>
      <c r="B135" s="2"/>
      <c r="C135" s="24"/>
      <c r="D135" s="18"/>
      <c r="E135" s="18"/>
      <c r="F135" s="19"/>
      <c r="G135" s="19"/>
      <c r="H135" s="19"/>
      <c r="I135" s="18"/>
      <c r="J135" s="18"/>
      <c r="K135" s="18"/>
      <c r="L135" s="18"/>
      <c r="M135" s="20"/>
      <c r="N135" s="18"/>
      <c r="O135" s="18"/>
      <c r="P135" s="18"/>
      <c r="Q135" s="18"/>
      <c r="R135" s="2"/>
      <c r="S135" s="21"/>
      <c r="T135" s="1"/>
      <c r="U135" s="2"/>
      <c r="V135" s="2"/>
      <c r="W135" s="2"/>
      <c r="X135" s="2"/>
      <c r="Y135" s="2"/>
      <c r="Z135" s="2"/>
      <c r="AA135" s="2"/>
      <c r="AB135" s="2"/>
      <c r="AC135" s="22"/>
      <c r="AD135" s="22"/>
      <c r="AE135" s="22"/>
      <c r="AF135" s="23"/>
    </row>
    <row r="136" spans="1:32" ht="15.75" customHeight="1">
      <c r="A136" s="2"/>
      <c r="B136" s="2"/>
      <c r="C136" s="24"/>
      <c r="D136" s="18"/>
      <c r="E136" s="18"/>
      <c r="F136" s="19"/>
      <c r="G136" s="19"/>
      <c r="H136" s="19"/>
      <c r="I136" s="18"/>
      <c r="J136" s="18"/>
      <c r="K136" s="18"/>
      <c r="L136" s="18"/>
      <c r="M136" s="20"/>
      <c r="N136" s="18"/>
      <c r="O136" s="18"/>
      <c r="P136" s="18"/>
      <c r="Q136" s="18"/>
      <c r="R136" s="2"/>
      <c r="S136" s="21"/>
      <c r="T136" s="1"/>
      <c r="U136" s="2"/>
      <c r="V136" s="2"/>
      <c r="W136" s="2"/>
      <c r="X136" s="2"/>
      <c r="Y136" s="2"/>
      <c r="Z136" s="2"/>
      <c r="AA136" s="2"/>
      <c r="AB136" s="2"/>
      <c r="AC136" s="22"/>
      <c r="AD136" s="22"/>
      <c r="AE136" s="22"/>
      <c r="AF136" s="23"/>
    </row>
    <row r="137" spans="1:32" ht="15.75" customHeight="1">
      <c r="A137" s="2"/>
      <c r="B137" s="2"/>
      <c r="C137" s="24"/>
      <c r="D137" s="18"/>
      <c r="E137" s="18"/>
      <c r="F137" s="19"/>
      <c r="G137" s="19"/>
      <c r="H137" s="19"/>
      <c r="I137" s="18"/>
      <c r="J137" s="18"/>
      <c r="K137" s="18"/>
      <c r="L137" s="18"/>
      <c r="M137" s="20"/>
      <c r="N137" s="18"/>
      <c r="O137" s="18"/>
      <c r="P137" s="18"/>
      <c r="Q137" s="18"/>
      <c r="R137" s="2"/>
      <c r="S137" s="21"/>
      <c r="T137" s="1"/>
      <c r="U137" s="2"/>
      <c r="V137" s="2"/>
      <c r="W137" s="2"/>
      <c r="X137" s="2"/>
      <c r="Y137" s="2"/>
      <c r="Z137" s="2"/>
      <c r="AA137" s="2"/>
      <c r="AB137" s="2"/>
      <c r="AC137" s="22"/>
      <c r="AD137" s="22"/>
      <c r="AE137" s="22"/>
      <c r="AF137" s="23"/>
    </row>
    <row r="138" spans="1:32" ht="15.75" customHeight="1">
      <c r="A138" s="2"/>
      <c r="B138" s="2"/>
      <c r="C138" s="24"/>
      <c r="D138" s="18"/>
      <c r="E138" s="18"/>
      <c r="F138" s="19"/>
      <c r="G138" s="19"/>
      <c r="H138" s="19"/>
      <c r="I138" s="18"/>
      <c r="J138" s="18"/>
      <c r="K138" s="18"/>
      <c r="L138" s="18"/>
      <c r="M138" s="20"/>
      <c r="N138" s="18"/>
      <c r="O138" s="18"/>
      <c r="P138" s="18"/>
      <c r="Q138" s="18"/>
      <c r="R138" s="2"/>
      <c r="S138" s="21"/>
      <c r="T138" s="1"/>
      <c r="U138" s="2"/>
      <c r="V138" s="2"/>
      <c r="W138" s="2"/>
      <c r="X138" s="2"/>
      <c r="Y138" s="2"/>
      <c r="Z138" s="2"/>
      <c r="AA138" s="2"/>
      <c r="AB138" s="2"/>
      <c r="AC138" s="22"/>
      <c r="AD138" s="22"/>
      <c r="AE138" s="22"/>
      <c r="AF138" s="23"/>
    </row>
    <row r="139" spans="1:32" ht="15.75" customHeight="1">
      <c r="A139" s="2"/>
      <c r="B139" s="2"/>
      <c r="C139" s="24"/>
      <c r="D139" s="18"/>
      <c r="E139" s="18"/>
      <c r="F139" s="19"/>
      <c r="G139" s="19"/>
      <c r="H139" s="19"/>
      <c r="I139" s="18"/>
      <c r="J139" s="18"/>
      <c r="K139" s="18"/>
      <c r="L139" s="18"/>
      <c r="M139" s="20"/>
      <c r="N139" s="18"/>
      <c r="O139" s="18"/>
      <c r="P139" s="18"/>
      <c r="Q139" s="18"/>
      <c r="R139" s="2"/>
      <c r="S139" s="21"/>
      <c r="T139" s="1"/>
      <c r="U139" s="2"/>
      <c r="V139" s="2"/>
      <c r="W139" s="2"/>
      <c r="X139" s="2"/>
      <c r="Y139" s="2"/>
      <c r="Z139" s="2"/>
      <c r="AA139" s="2"/>
      <c r="AB139" s="2"/>
      <c r="AC139" s="22"/>
      <c r="AD139" s="22"/>
      <c r="AE139" s="22"/>
      <c r="AF139" s="23"/>
    </row>
    <row r="140" spans="1:32" ht="15.75" customHeight="1">
      <c r="A140" s="2"/>
      <c r="B140" s="2"/>
      <c r="C140" s="24"/>
      <c r="D140" s="18"/>
      <c r="E140" s="18"/>
      <c r="F140" s="19"/>
      <c r="G140" s="19"/>
      <c r="H140" s="19"/>
      <c r="I140" s="18"/>
      <c r="J140" s="18"/>
      <c r="K140" s="18"/>
      <c r="L140" s="18"/>
      <c r="M140" s="20"/>
      <c r="N140" s="18"/>
      <c r="O140" s="18"/>
      <c r="P140" s="18"/>
      <c r="Q140" s="18"/>
      <c r="R140" s="2"/>
      <c r="S140" s="21"/>
      <c r="T140" s="1"/>
      <c r="U140" s="2"/>
      <c r="V140" s="2"/>
      <c r="W140" s="2"/>
      <c r="X140" s="2"/>
      <c r="Y140" s="2"/>
      <c r="Z140" s="2"/>
      <c r="AA140" s="2"/>
      <c r="AB140" s="2"/>
      <c r="AC140" s="22"/>
      <c r="AD140" s="22"/>
      <c r="AE140" s="22"/>
      <c r="AF140" s="23"/>
    </row>
    <row r="141" spans="1:32" ht="15.75" customHeight="1">
      <c r="A141" s="2"/>
      <c r="B141" s="2"/>
      <c r="C141" s="24"/>
      <c r="D141" s="18"/>
      <c r="E141" s="18"/>
      <c r="F141" s="19"/>
      <c r="G141" s="19"/>
      <c r="H141" s="19"/>
      <c r="I141" s="18"/>
      <c r="J141" s="18"/>
      <c r="K141" s="18"/>
      <c r="L141" s="18"/>
      <c r="M141" s="20"/>
      <c r="N141" s="18"/>
      <c r="O141" s="18"/>
      <c r="P141" s="18"/>
      <c r="Q141" s="18"/>
      <c r="R141" s="2"/>
      <c r="S141" s="21"/>
      <c r="T141" s="1"/>
      <c r="U141" s="2"/>
      <c r="V141" s="2"/>
      <c r="W141" s="2"/>
      <c r="X141" s="2"/>
      <c r="Y141" s="2"/>
      <c r="Z141" s="2"/>
      <c r="AA141" s="2"/>
      <c r="AB141" s="2"/>
      <c r="AC141" s="22"/>
      <c r="AD141" s="22"/>
      <c r="AE141" s="22"/>
      <c r="AF141" s="23"/>
    </row>
    <row r="142" spans="1:32" ht="15.75" customHeight="1">
      <c r="A142" s="2"/>
      <c r="B142" s="2"/>
      <c r="C142" s="24"/>
      <c r="D142" s="18"/>
      <c r="E142" s="18"/>
      <c r="F142" s="19"/>
      <c r="G142" s="19"/>
      <c r="H142" s="19"/>
      <c r="I142" s="18"/>
      <c r="J142" s="18"/>
      <c r="K142" s="18"/>
      <c r="L142" s="18"/>
      <c r="M142" s="20"/>
      <c r="N142" s="18"/>
      <c r="O142" s="18"/>
      <c r="P142" s="18"/>
      <c r="Q142" s="18"/>
      <c r="R142" s="2"/>
      <c r="S142" s="21"/>
      <c r="T142" s="1"/>
      <c r="U142" s="2"/>
      <c r="V142" s="2"/>
      <c r="W142" s="2"/>
      <c r="X142" s="2"/>
      <c r="Y142" s="2"/>
      <c r="Z142" s="2"/>
      <c r="AA142" s="2"/>
      <c r="AB142" s="2"/>
      <c r="AC142" s="22"/>
      <c r="AD142" s="22"/>
      <c r="AE142" s="22"/>
      <c r="AF142" s="23"/>
    </row>
    <row r="143" spans="1:32" ht="15.75" customHeight="1">
      <c r="A143" s="2"/>
      <c r="B143" s="2"/>
      <c r="C143" s="24"/>
      <c r="D143" s="18"/>
      <c r="E143" s="18"/>
      <c r="F143" s="19"/>
      <c r="G143" s="19"/>
      <c r="H143" s="19"/>
      <c r="I143" s="18"/>
      <c r="J143" s="18"/>
      <c r="K143" s="18"/>
      <c r="L143" s="18"/>
      <c r="M143" s="20"/>
      <c r="N143" s="18"/>
      <c r="O143" s="18"/>
      <c r="P143" s="18"/>
      <c r="Q143" s="18"/>
      <c r="R143" s="2"/>
      <c r="S143" s="21"/>
      <c r="T143" s="1"/>
      <c r="U143" s="2"/>
      <c r="V143" s="2"/>
      <c r="W143" s="2"/>
      <c r="X143" s="2"/>
      <c r="Y143" s="2"/>
      <c r="Z143" s="2"/>
      <c r="AA143" s="2"/>
      <c r="AB143" s="2"/>
      <c r="AC143" s="22"/>
      <c r="AD143" s="22"/>
      <c r="AE143" s="22"/>
      <c r="AF143" s="23"/>
    </row>
    <row r="144" spans="1:32" ht="15.75" customHeight="1">
      <c r="A144" s="2"/>
      <c r="B144" s="2"/>
      <c r="C144" s="24"/>
      <c r="D144" s="18"/>
      <c r="E144" s="18"/>
      <c r="F144" s="19"/>
      <c r="G144" s="19"/>
      <c r="H144" s="19"/>
      <c r="I144" s="18"/>
      <c r="J144" s="18"/>
      <c r="K144" s="18"/>
      <c r="L144" s="18"/>
      <c r="M144" s="20"/>
      <c r="N144" s="18"/>
      <c r="O144" s="18"/>
      <c r="P144" s="18"/>
      <c r="Q144" s="18"/>
      <c r="R144" s="2"/>
      <c r="S144" s="21"/>
      <c r="T144" s="1"/>
      <c r="U144" s="2"/>
      <c r="V144" s="2"/>
      <c r="W144" s="2"/>
      <c r="X144" s="2"/>
      <c r="Y144" s="2"/>
      <c r="Z144" s="2"/>
      <c r="AA144" s="2"/>
      <c r="AB144" s="2"/>
      <c r="AC144" s="22"/>
      <c r="AD144" s="22"/>
      <c r="AE144" s="22"/>
      <c r="AF144" s="23"/>
    </row>
    <row r="145" spans="1:32" ht="15.75" customHeight="1">
      <c r="A145" s="2"/>
      <c r="B145" s="2"/>
      <c r="C145" s="24"/>
      <c r="D145" s="18"/>
      <c r="E145" s="18"/>
      <c r="F145" s="19"/>
      <c r="G145" s="19"/>
      <c r="H145" s="19"/>
      <c r="I145" s="18"/>
      <c r="J145" s="18"/>
      <c r="K145" s="18"/>
      <c r="L145" s="18"/>
      <c r="M145" s="20"/>
      <c r="N145" s="18"/>
      <c r="O145" s="18"/>
      <c r="P145" s="18"/>
      <c r="Q145" s="18"/>
      <c r="R145" s="2"/>
      <c r="S145" s="21"/>
      <c r="T145" s="1"/>
      <c r="U145" s="2"/>
      <c r="V145" s="2"/>
      <c r="W145" s="2"/>
      <c r="X145" s="2"/>
      <c r="Y145" s="2"/>
      <c r="Z145" s="2"/>
      <c r="AA145" s="2"/>
      <c r="AB145" s="2"/>
      <c r="AC145" s="22"/>
      <c r="AD145" s="22"/>
      <c r="AE145" s="22"/>
      <c r="AF145" s="23"/>
    </row>
    <row r="146" spans="1:32" ht="15.75" customHeight="1">
      <c r="A146" s="2"/>
      <c r="B146" s="2"/>
      <c r="C146" s="24"/>
      <c r="D146" s="18"/>
      <c r="E146" s="18"/>
      <c r="F146" s="19"/>
      <c r="G146" s="19"/>
      <c r="H146" s="19"/>
      <c r="I146" s="18"/>
      <c r="J146" s="18"/>
      <c r="K146" s="18"/>
      <c r="L146" s="18"/>
      <c r="M146" s="20"/>
      <c r="N146" s="18"/>
      <c r="O146" s="18"/>
      <c r="P146" s="18"/>
      <c r="Q146" s="18"/>
      <c r="R146" s="2"/>
      <c r="S146" s="21"/>
      <c r="T146" s="1"/>
      <c r="U146" s="2"/>
      <c r="V146" s="2"/>
      <c r="W146" s="2"/>
      <c r="X146" s="2"/>
      <c r="Y146" s="2"/>
      <c r="Z146" s="2"/>
      <c r="AA146" s="2"/>
      <c r="AB146" s="2"/>
      <c r="AC146" s="22"/>
      <c r="AD146" s="22"/>
      <c r="AE146" s="22"/>
      <c r="AF146" s="23"/>
    </row>
    <row r="147" spans="1:32" ht="15.75" customHeight="1">
      <c r="A147" s="2"/>
      <c r="B147" s="2"/>
      <c r="C147" s="24"/>
      <c r="D147" s="18"/>
      <c r="E147" s="18"/>
      <c r="F147" s="19"/>
      <c r="G147" s="19"/>
      <c r="H147" s="19"/>
      <c r="I147" s="18"/>
      <c r="J147" s="18"/>
      <c r="K147" s="18"/>
      <c r="L147" s="18"/>
      <c r="M147" s="20"/>
      <c r="N147" s="18"/>
      <c r="O147" s="18"/>
      <c r="P147" s="18"/>
      <c r="Q147" s="18"/>
      <c r="R147" s="2"/>
      <c r="S147" s="21"/>
      <c r="T147" s="1"/>
      <c r="U147" s="2"/>
      <c r="V147" s="2"/>
      <c r="W147" s="2"/>
      <c r="X147" s="2"/>
      <c r="Y147" s="2"/>
      <c r="Z147" s="2"/>
      <c r="AA147" s="2"/>
      <c r="AB147" s="2"/>
      <c r="AC147" s="22"/>
      <c r="AD147" s="22"/>
      <c r="AE147" s="22"/>
      <c r="AF147" s="23"/>
    </row>
    <row r="148" spans="1:32" ht="15.75" customHeight="1">
      <c r="A148" s="2"/>
      <c r="B148" s="2"/>
      <c r="C148" s="24"/>
      <c r="D148" s="18"/>
      <c r="E148" s="18"/>
      <c r="F148" s="19"/>
      <c r="G148" s="19"/>
      <c r="H148" s="19"/>
      <c r="I148" s="18"/>
      <c r="J148" s="18"/>
      <c r="K148" s="18"/>
      <c r="L148" s="18"/>
      <c r="M148" s="20"/>
      <c r="N148" s="18"/>
      <c r="O148" s="18"/>
      <c r="P148" s="18"/>
      <c r="Q148" s="18"/>
      <c r="R148" s="2"/>
      <c r="S148" s="21"/>
      <c r="T148" s="1"/>
      <c r="U148" s="2"/>
      <c r="V148" s="2"/>
      <c r="W148" s="2"/>
      <c r="X148" s="2"/>
      <c r="Y148" s="2"/>
      <c r="Z148" s="2"/>
      <c r="AA148" s="2"/>
      <c r="AB148" s="2"/>
      <c r="AC148" s="22"/>
      <c r="AD148" s="22"/>
      <c r="AE148" s="22"/>
      <c r="AF148" s="23"/>
    </row>
    <row r="149" spans="1:32" ht="15.75" customHeight="1">
      <c r="A149" s="2"/>
      <c r="B149" s="2"/>
      <c r="C149" s="24"/>
      <c r="D149" s="18"/>
      <c r="E149" s="18"/>
      <c r="F149" s="19"/>
      <c r="G149" s="19"/>
      <c r="H149" s="19"/>
      <c r="I149" s="18"/>
      <c r="J149" s="18"/>
      <c r="K149" s="18"/>
      <c r="L149" s="18"/>
      <c r="M149" s="20"/>
      <c r="N149" s="18"/>
      <c r="O149" s="18"/>
      <c r="P149" s="18"/>
      <c r="Q149" s="18"/>
      <c r="R149" s="2"/>
      <c r="S149" s="21"/>
      <c r="T149" s="1"/>
      <c r="U149" s="2"/>
      <c r="V149" s="2"/>
      <c r="W149" s="2"/>
      <c r="X149" s="2"/>
      <c r="Y149" s="2"/>
      <c r="Z149" s="2"/>
      <c r="AA149" s="2"/>
      <c r="AB149" s="2"/>
      <c r="AC149" s="22"/>
      <c r="AD149" s="22"/>
      <c r="AE149" s="22"/>
      <c r="AF149" s="23"/>
    </row>
    <row r="150" spans="1:32" ht="15.75" customHeight="1">
      <c r="A150" s="2"/>
      <c r="B150" s="2"/>
      <c r="C150" s="24"/>
      <c r="D150" s="18"/>
      <c r="E150" s="18"/>
      <c r="F150" s="19"/>
      <c r="G150" s="19"/>
      <c r="H150" s="19"/>
      <c r="I150" s="18"/>
      <c r="J150" s="18"/>
      <c r="K150" s="18"/>
      <c r="L150" s="18"/>
      <c r="M150" s="20"/>
      <c r="N150" s="18"/>
      <c r="O150" s="18"/>
      <c r="P150" s="18"/>
      <c r="Q150" s="18"/>
      <c r="R150" s="2"/>
      <c r="S150" s="21"/>
      <c r="T150" s="1"/>
      <c r="U150" s="2"/>
      <c r="V150" s="2"/>
      <c r="W150" s="2"/>
      <c r="X150" s="2"/>
      <c r="Y150" s="2"/>
      <c r="Z150" s="2"/>
      <c r="AA150" s="2"/>
      <c r="AB150" s="2"/>
      <c r="AC150" s="22"/>
      <c r="AD150" s="22"/>
      <c r="AE150" s="22"/>
      <c r="AF150" s="23"/>
    </row>
    <row r="151" spans="1:32" ht="15.75" customHeight="1">
      <c r="A151" s="2"/>
      <c r="B151" s="2"/>
      <c r="C151" s="3"/>
      <c r="D151" s="3"/>
      <c r="E151" s="3"/>
      <c r="F151" s="3"/>
      <c r="G151" s="3"/>
      <c r="H151" s="3"/>
      <c r="I151" s="3"/>
      <c r="J151" s="3"/>
      <c r="K151" s="3"/>
      <c r="L151" s="3"/>
      <c r="M151" s="3"/>
      <c r="N151" s="3"/>
      <c r="O151" s="3"/>
      <c r="P151" s="3"/>
      <c r="Q151" s="2"/>
      <c r="R151" s="2"/>
      <c r="S151" s="2"/>
      <c r="T151" s="2"/>
      <c r="U151" s="2"/>
      <c r="V151" s="2"/>
      <c r="W151" s="2"/>
      <c r="X151" s="2"/>
      <c r="Y151" s="2"/>
      <c r="Z151" s="2"/>
      <c r="AA151" s="2"/>
      <c r="AB151" s="2"/>
      <c r="AC151" s="2"/>
      <c r="AD151" s="2"/>
      <c r="AE151" s="2"/>
      <c r="AF151" s="23"/>
    </row>
    <row r="152" spans="1:32" ht="15.75" customHeight="1">
      <c r="A152" s="2"/>
      <c r="B152" s="2"/>
      <c r="C152" s="3"/>
      <c r="D152" s="3"/>
      <c r="E152" s="3"/>
      <c r="F152" s="3"/>
      <c r="G152" s="3"/>
      <c r="H152" s="3"/>
      <c r="I152" s="3"/>
      <c r="J152" s="3"/>
      <c r="K152" s="3"/>
      <c r="L152" s="3"/>
      <c r="M152" s="3"/>
      <c r="N152" s="3"/>
      <c r="O152" s="3"/>
      <c r="P152" s="3"/>
      <c r="Q152" s="2"/>
      <c r="R152" s="2"/>
      <c r="S152" s="2"/>
      <c r="T152" s="2"/>
      <c r="U152" s="2"/>
      <c r="V152" s="2"/>
      <c r="W152" s="2"/>
      <c r="X152" s="2"/>
      <c r="Y152" s="2"/>
      <c r="Z152" s="2"/>
      <c r="AA152" s="2"/>
      <c r="AB152" s="2"/>
      <c r="AC152" s="2"/>
      <c r="AD152" s="2"/>
      <c r="AE152" s="2"/>
      <c r="AF152" s="23"/>
    </row>
    <row r="153" spans="1:32" ht="15.75" customHeight="1">
      <c r="A153" s="2"/>
      <c r="B153" s="2"/>
      <c r="C153" s="3"/>
      <c r="D153" s="3"/>
      <c r="E153" s="3"/>
      <c r="F153" s="3"/>
      <c r="G153" s="3"/>
      <c r="H153" s="3"/>
      <c r="I153" s="3"/>
      <c r="J153" s="3"/>
      <c r="K153" s="3"/>
      <c r="L153" s="3"/>
      <c r="M153" s="3"/>
      <c r="N153" s="3"/>
      <c r="O153" s="3"/>
      <c r="P153" s="3"/>
      <c r="Q153" s="2"/>
      <c r="R153" s="2"/>
      <c r="S153" s="2"/>
      <c r="T153" s="2"/>
      <c r="U153" s="2"/>
      <c r="V153" s="2"/>
      <c r="W153" s="2"/>
      <c r="X153" s="2"/>
      <c r="Y153" s="2"/>
      <c r="Z153" s="2"/>
      <c r="AA153" s="2"/>
      <c r="AB153" s="2"/>
      <c r="AC153" s="2"/>
      <c r="AD153" s="2"/>
      <c r="AE153" s="2"/>
      <c r="AF153" s="23"/>
    </row>
    <row r="154" spans="1:32" ht="15.75" customHeight="1">
      <c r="A154" s="2"/>
      <c r="B154" s="2"/>
      <c r="C154" s="3"/>
      <c r="D154" s="3"/>
      <c r="E154" s="3"/>
      <c r="F154" s="3"/>
      <c r="G154" s="3"/>
      <c r="H154" s="3"/>
      <c r="I154" s="3"/>
      <c r="J154" s="3"/>
      <c r="K154" s="3"/>
      <c r="L154" s="3"/>
      <c r="M154" s="3"/>
      <c r="N154" s="3"/>
      <c r="O154" s="3"/>
      <c r="P154" s="3"/>
      <c r="Q154" s="2"/>
      <c r="R154" s="2"/>
      <c r="S154" s="2"/>
      <c r="T154" s="2"/>
      <c r="U154" s="2"/>
      <c r="V154" s="2"/>
      <c r="W154" s="2"/>
      <c r="X154" s="2"/>
      <c r="Y154" s="2"/>
      <c r="Z154" s="2"/>
      <c r="AA154" s="2"/>
      <c r="AB154" s="2"/>
      <c r="AC154" s="2"/>
      <c r="AD154" s="2"/>
      <c r="AE154" s="2"/>
      <c r="AF154" s="23"/>
    </row>
    <row r="155" spans="1:32" ht="15.75" customHeight="1">
      <c r="A155" s="2"/>
      <c r="B155" s="2"/>
      <c r="C155" s="3"/>
      <c r="D155" s="3"/>
      <c r="E155" s="3"/>
      <c r="F155" s="3"/>
      <c r="G155" s="3"/>
      <c r="H155" s="3"/>
      <c r="I155" s="3"/>
      <c r="J155" s="3"/>
      <c r="K155" s="3"/>
      <c r="L155" s="3"/>
      <c r="M155" s="3"/>
      <c r="N155" s="3"/>
      <c r="O155" s="3"/>
      <c r="P155" s="3"/>
      <c r="Q155" s="2"/>
      <c r="R155" s="2"/>
      <c r="S155" s="2"/>
      <c r="T155" s="2"/>
      <c r="U155" s="2"/>
      <c r="V155" s="2"/>
      <c r="W155" s="2"/>
      <c r="X155" s="2"/>
      <c r="Y155" s="2"/>
      <c r="Z155" s="2"/>
      <c r="AA155" s="2"/>
      <c r="AB155" s="2"/>
      <c r="AC155" s="2"/>
      <c r="AD155" s="2"/>
      <c r="AE155" s="2"/>
      <c r="AF155" s="23"/>
    </row>
    <row r="156" spans="1:32" ht="15.75" customHeight="1">
      <c r="A156" s="2"/>
      <c r="B156" s="2"/>
      <c r="C156" s="3"/>
      <c r="D156" s="3"/>
      <c r="E156" s="3"/>
      <c r="F156" s="3"/>
      <c r="G156" s="3"/>
      <c r="H156" s="3"/>
      <c r="I156" s="3"/>
      <c r="J156" s="3"/>
      <c r="K156" s="3"/>
      <c r="L156" s="3"/>
      <c r="M156" s="3"/>
      <c r="N156" s="3"/>
      <c r="O156" s="3"/>
      <c r="P156" s="3"/>
      <c r="Q156" s="2"/>
      <c r="R156" s="2"/>
      <c r="S156" s="2"/>
      <c r="T156" s="2"/>
      <c r="U156" s="2"/>
      <c r="V156" s="2"/>
      <c r="W156" s="2"/>
      <c r="X156" s="2"/>
      <c r="Y156" s="2"/>
      <c r="Z156" s="2"/>
      <c r="AA156" s="2"/>
      <c r="AB156" s="2"/>
      <c r="AC156" s="2"/>
      <c r="AD156" s="2"/>
      <c r="AE156" s="2"/>
      <c r="AF156" s="23"/>
    </row>
    <row r="157" spans="1:32" ht="15.75" customHeight="1">
      <c r="A157" s="2"/>
      <c r="B157" s="2"/>
      <c r="C157" s="3"/>
      <c r="D157" s="3"/>
      <c r="E157" s="3"/>
      <c r="F157" s="3"/>
      <c r="G157" s="3"/>
      <c r="H157" s="3"/>
      <c r="I157" s="3"/>
      <c r="J157" s="3"/>
      <c r="K157" s="3"/>
      <c r="L157" s="3"/>
      <c r="M157" s="3"/>
      <c r="N157" s="3"/>
      <c r="O157" s="3"/>
      <c r="P157" s="3"/>
      <c r="Q157" s="2"/>
      <c r="R157" s="2"/>
      <c r="S157" s="2"/>
      <c r="T157" s="2"/>
      <c r="U157" s="2"/>
      <c r="V157" s="2"/>
      <c r="W157" s="2"/>
      <c r="X157" s="2"/>
      <c r="Y157" s="2"/>
      <c r="Z157" s="2"/>
      <c r="AA157" s="2"/>
      <c r="AB157" s="2"/>
      <c r="AC157" s="2"/>
      <c r="AD157" s="2"/>
      <c r="AE157" s="2"/>
      <c r="AF157" s="23"/>
    </row>
    <row r="158" spans="1:32" ht="15.75" customHeight="1">
      <c r="A158" s="2"/>
      <c r="B158" s="2"/>
      <c r="C158" s="3"/>
      <c r="D158" s="3"/>
      <c r="E158" s="3"/>
      <c r="F158" s="3"/>
      <c r="G158" s="3"/>
      <c r="H158" s="3"/>
      <c r="I158" s="3"/>
      <c r="J158" s="3"/>
      <c r="K158" s="3"/>
      <c r="L158" s="3"/>
      <c r="M158" s="3"/>
      <c r="N158" s="3"/>
      <c r="O158" s="3"/>
      <c r="P158" s="3"/>
      <c r="Q158" s="2"/>
      <c r="R158" s="2"/>
      <c r="S158" s="2"/>
      <c r="T158" s="2"/>
      <c r="U158" s="2"/>
      <c r="V158" s="2"/>
      <c r="W158" s="2"/>
      <c r="X158" s="2"/>
      <c r="Y158" s="2"/>
      <c r="Z158" s="2"/>
      <c r="AA158" s="2"/>
      <c r="AB158" s="2"/>
      <c r="AC158" s="2"/>
      <c r="AD158" s="2"/>
      <c r="AE158" s="2"/>
      <c r="AF158" s="23"/>
    </row>
    <row r="159" spans="1:32" ht="15.75" customHeight="1">
      <c r="A159" s="2"/>
      <c r="B159" s="2"/>
      <c r="C159" s="3"/>
      <c r="D159" s="3"/>
      <c r="E159" s="3"/>
      <c r="F159" s="3"/>
      <c r="G159" s="3"/>
      <c r="H159" s="3"/>
      <c r="I159" s="3"/>
      <c r="J159" s="3"/>
      <c r="K159" s="3"/>
      <c r="L159" s="3"/>
      <c r="M159" s="3"/>
      <c r="N159" s="3"/>
      <c r="O159" s="3"/>
      <c r="P159" s="3"/>
      <c r="Q159" s="2"/>
      <c r="R159" s="2"/>
      <c r="S159" s="2"/>
      <c r="T159" s="2"/>
      <c r="U159" s="2"/>
      <c r="V159" s="2"/>
      <c r="W159" s="2"/>
      <c r="X159" s="2"/>
      <c r="Y159" s="2"/>
      <c r="Z159" s="2"/>
      <c r="AA159" s="2"/>
      <c r="AB159" s="2"/>
      <c r="AC159" s="2"/>
      <c r="AD159" s="2"/>
      <c r="AE159" s="2"/>
      <c r="AF159" s="23"/>
    </row>
    <row r="160" spans="1:32" ht="15.75" customHeight="1">
      <c r="A160" s="2"/>
      <c r="B160" s="2"/>
      <c r="C160" s="3"/>
      <c r="D160" s="3"/>
      <c r="E160" s="3"/>
      <c r="F160" s="3"/>
      <c r="G160" s="3"/>
      <c r="H160" s="3"/>
      <c r="I160" s="3"/>
      <c r="J160" s="3"/>
      <c r="K160" s="3"/>
      <c r="L160" s="3"/>
      <c r="M160" s="3"/>
      <c r="N160" s="3"/>
      <c r="O160" s="3"/>
      <c r="P160" s="3"/>
      <c r="Q160" s="2"/>
      <c r="R160" s="2"/>
      <c r="S160" s="2"/>
      <c r="T160" s="2"/>
      <c r="U160" s="2"/>
      <c r="V160" s="2"/>
      <c r="W160" s="2"/>
      <c r="X160" s="2"/>
      <c r="Y160" s="2"/>
      <c r="Z160" s="2"/>
      <c r="AA160" s="2"/>
      <c r="AB160" s="2"/>
      <c r="AC160" s="2"/>
      <c r="AD160" s="2"/>
      <c r="AE160" s="2"/>
      <c r="AF160" s="23"/>
    </row>
    <row r="161" spans="1:32" ht="15.75" customHeight="1">
      <c r="A161" s="2"/>
      <c r="B161" s="2"/>
      <c r="C161" s="3"/>
      <c r="D161" s="3"/>
      <c r="E161" s="3"/>
      <c r="F161" s="3"/>
      <c r="G161" s="3"/>
      <c r="H161" s="3"/>
      <c r="I161" s="3"/>
      <c r="J161" s="3"/>
      <c r="K161" s="3"/>
      <c r="L161" s="3"/>
      <c r="M161" s="3"/>
      <c r="N161" s="3"/>
      <c r="O161" s="3"/>
      <c r="P161" s="3"/>
      <c r="Q161" s="2"/>
      <c r="R161" s="2"/>
      <c r="S161" s="2"/>
      <c r="T161" s="2"/>
      <c r="U161" s="2"/>
      <c r="V161" s="2"/>
      <c r="W161" s="2"/>
      <c r="X161" s="2"/>
      <c r="Y161" s="2"/>
      <c r="Z161" s="2"/>
      <c r="AA161" s="2"/>
      <c r="AB161" s="2"/>
      <c r="AC161" s="2"/>
      <c r="AD161" s="2"/>
      <c r="AE161" s="2"/>
      <c r="AF161" s="23"/>
    </row>
    <row r="162" spans="1:32" ht="15.75" customHeight="1">
      <c r="A162" s="2"/>
      <c r="B162" s="2"/>
      <c r="C162" s="3"/>
      <c r="D162" s="3"/>
      <c r="E162" s="3"/>
      <c r="F162" s="3"/>
      <c r="G162" s="3"/>
      <c r="H162" s="3"/>
      <c r="I162" s="3"/>
      <c r="J162" s="3"/>
      <c r="K162" s="3"/>
      <c r="L162" s="3"/>
      <c r="M162" s="3"/>
      <c r="N162" s="3"/>
      <c r="O162" s="3"/>
      <c r="P162" s="3"/>
      <c r="Q162" s="2"/>
      <c r="R162" s="2"/>
      <c r="S162" s="2"/>
      <c r="T162" s="2"/>
      <c r="U162" s="2"/>
      <c r="V162" s="2"/>
      <c r="W162" s="2"/>
      <c r="X162" s="2"/>
      <c r="Y162" s="2"/>
      <c r="Z162" s="2"/>
      <c r="AA162" s="2"/>
      <c r="AB162" s="2"/>
      <c r="AC162" s="2"/>
      <c r="AD162" s="2"/>
      <c r="AE162" s="2"/>
      <c r="AF162" s="23"/>
    </row>
    <row r="163" spans="1:32" ht="15.75" customHeight="1">
      <c r="A163" s="2"/>
      <c r="B163" s="2"/>
      <c r="C163" s="3"/>
      <c r="D163" s="3"/>
      <c r="E163" s="3"/>
      <c r="F163" s="3"/>
      <c r="G163" s="3"/>
      <c r="H163" s="3"/>
      <c r="I163" s="3"/>
      <c r="J163" s="3"/>
      <c r="K163" s="3"/>
      <c r="L163" s="3"/>
      <c r="M163" s="3"/>
      <c r="N163" s="3"/>
      <c r="O163" s="3"/>
      <c r="P163" s="3"/>
      <c r="Q163" s="2"/>
      <c r="R163" s="2"/>
      <c r="S163" s="2"/>
      <c r="T163" s="2"/>
      <c r="U163" s="2"/>
      <c r="V163" s="2"/>
      <c r="W163" s="2"/>
      <c r="X163" s="2"/>
      <c r="Y163" s="2"/>
      <c r="Z163" s="2"/>
      <c r="AA163" s="2"/>
      <c r="AB163" s="2"/>
      <c r="AC163" s="2"/>
      <c r="AD163" s="2"/>
      <c r="AE163" s="2"/>
      <c r="AF163" s="23"/>
    </row>
    <row r="164" spans="1:32" ht="15.75" customHeight="1">
      <c r="A164" s="2"/>
      <c r="B164" s="2"/>
      <c r="C164" s="3"/>
      <c r="D164" s="3"/>
      <c r="E164" s="3"/>
      <c r="F164" s="3"/>
      <c r="G164" s="3"/>
      <c r="H164" s="3"/>
      <c r="I164" s="3"/>
      <c r="J164" s="3"/>
      <c r="K164" s="3"/>
      <c r="L164" s="3"/>
      <c r="M164" s="3"/>
      <c r="N164" s="3"/>
      <c r="O164" s="3"/>
      <c r="P164" s="3"/>
      <c r="Q164" s="2"/>
      <c r="R164" s="2"/>
      <c r="S164" s="2"/>
      <c r="T164" s="2"/>
      <c r="U164" s="2"/>
      <c r="V164" s="2"/>
      <c r="W164" s="2"/>
      <c r="X164" s="2"/>
      <c r="Y164" s="2"/>
      <c r="Z164" s="2"/>
      <c r="AA164" s="2"/>
      <c r="AB164" s="2"/>
      <c r="AC164" s="2"/>
      <c r="AD164" s="2"/>
      <c r="AE164" s="2"/>
      <c r="AF164" s="23"/>
    </row>
    <row r="165" spans="1:32" ht="15.75" customHeight="1">
      <c r="A165" s="2"/>
      <c r="B165" s="2"/>
      <c r="C165" s="3"/>
      <c r="D165" s="3"/>
      <c r="E165" s="3"/>
      <c r="F165" s="3"/>
      <c r="G165" s="3"/>
      <c r="H165" s="3"/>
      <c r="I165" s="3"/>
      <c r="J165" s="3"/>
      <c r="K165" s="3"/>
      <c r="L165" s="3"/>
      <c r="M165" s="3"/>
      <c r="N165" s="3"/>
      <c r="O165" s="3"/>
      <c r="P165" s="3"/>
      <c r="Q165" s="2"/>
      <c r="R165" s="2"/>
      <c r="S165" s="2"/>
      <c r="T165" s="2"/>
      <c r="U165" s="2"/>
      <c r="V165" s="2"/>
      <c r="W165" s="2"/>
      <c r="X165" s="2"/>
      <c r="Y165" s="2"/>
      <c r="Z165" s="2"/>
      <c r="AA165" s="2"/>
      <c r="AB165" s="2"/>
      <c r="AC165" s="2"/>
      <c r="AD165" s="2"/>
      <c r="AE165" s="2"/>
      <c r="AF165" s="23"/>
    </row>
    <row r="166" spans="1:32" ht="15.75" customHeight="1">
      <c r="A166" s="2"/>
      <c r="B166" s="2"/>
      <c r="C166" s="3"/>
      <c r="D166" s="3"/>
      <c r="E166" s="3"/>
      <c r="F166" s="3"/>
      <c r="G166" s="3"/>
      <c r="H166" s="3"/>
      <c r="I166" s="3"/>
      <c r="J166" s="3"/>
      <c r="K166" s="3"/>
      <c r="L166" s="3"/>
      <c r="M166" s="3"/>
      <c r="N166" s="3"/>
      <c r="O166" s="3"/>
      <c r="P166" s="3"/>
      <c r="Q166" s="2"/>
      <c r="R166" s="2"/>
      <c r="S166" s="2"/>
      <c r="T166" s="2"/>
      <c r="U166" s="2"/>
      <c r="V166" s="2"/>
      <c r="W166" s="2"/>
      <c r="X166" s="2"/>
      <c r="Y166" s="2"/>
      <c r="Z166" s="2"/>
      <c r="AA166" s="2"/>
      <c r="AB166" s="2"/>
      <c r="AC166" s="2"/>
      <c r="AD166" s="2"/>
      <c r="AE166" s="2"/>
      <c r="AF166" s="23"/>
    </row>
    <row r="167" spans="1:32" ht="15.75" customHeight="1">
      <c r="A167" s="2"/>
      <c r="B167" s="2"/>
      <c r="C167" s="3"/>
      <c r="D167" s="3"/>
      <c r="E167" s="3"/>
      <c r="F167" s="3"/>
      <c r="G167" s="3"/>
      <c r="H167" s="3"/>
      <c r="I167" s="3"/>
      <c r="J167" s="3"/>
      <c r="K167" s="3"/>
      <c r="L167" s="3"/>
      <c r="M167" s="3"/>
      <c r="N167" s="3"/>
      <c r="O167" s="3"/>
      <c r="P167" s="3"/>
      <c r="Q167" s="2"/>
      <c r="R167" s="2"/>
      <c r="S167" s="2"/>
      <c r="T167" s="2"/>
      <c r="U167" s="2"/>
      <c r="V167" s="2"/>
      <c r="W167" s="2"/>
      <c r="X167" s="2"/>
      <c r="Y167" s="2"/>
      <c r="Z167" s="2"/>
      <c r="AA167" s="2"/>
      <c r="AB167" s="2"/>
      <c r="AC167" s="2"/>
      <c r="AD167" s="2"/>
      <c r="AE167" s="2"/>
      <c r="AF167" s="23"/>
    </row>
    <row r="168" spans="1:32" ht="15.75" customHeight="1">
      <c r="A168" s="2"/>
      <c r="B168" s="2"/>
      <c r="C168" s="3"/>
      <c r="D168" s="3"/>
      <c r="E168" s="3"/>
      <c r="F168" s="3"/>
      <c r="G168" s="3"/>
      <c r="H168" s="3"/>
      <c r="I168" s="3"/>
      <c r="J168" s="3"/>
      <c r="K168" s="3"/>
      <c r="L168" s="3"/>
      <c r="M168" s="3"/>
      <c r="N168" s="3"/>
      <c r="O168" s="3"/>
      <c r="P168" s="3"/>
      <c r="Q168" s="2"/>
      <c r="R168" s="2"/>
      <c r="S168" s="2"/>
      <c r="T168" s="2"/>
      <c r="U168" s="2"/>
      <c r="V168" s="2"/>
      <c r="W168" s="2"/>
      <c r="X168" s="2"/>
      <c r="Y168" s="2"/>
      <c r="Z168" s="2"/>
      <c r="AA168" s="2"/>
      <c r="AB168" s="2"/>
      <c r="AC168" s="2"/>
      <c r="AD168" s="2"/>
      <c r="AE168" s="2"/>
      <c r="AF168" s="23"/>
    </row>
    <row r="169" spans="1:32" ht="15.75" customHeight="1">
      <c r="A169" s="2"/>
      <c r="B169" s="2"/>
      <c r="C169" s="3"/>
      <c r="D169" s="3"/>
      <c r="E169" s="3"/>
      <c r="F169" s="3"/>
      <c r="G169" s="3"/>
      <c r="H169" s="3"/>
      <c r="I169" s="3"/>
      <c r="J169" s="3"/>
      <c r="K169" s="3"/>
      <c r="L169" s="3"/>
      <c r="M169" s="3"/>
      <c r="N169" s="3"/>
      <c r="O169" s="3"/>
      <c r="P169" s="3"/>
      <c r="Q169" s="2"/>
      <c r="R169" s="2"/>
      <c r="S169" s="2"/>
      <c r="T169" s="2"/>
      <c r="U169" s="2"/>
      <c r="V169" s="2"/>
      <c r="W169" s="2"/>
      <c r="X169" s="2"/>
      <c r="Y169" s="2"/>
      <c r="Z169" s="2"/>
      <c r="AA169" s="2"/>
      <c r="AB169" s="2"/>
      <c r="AC169" s="2"/>
      <c r="AD169" s="2"/>
      <c r="AE169" s="2"/>
      <c r="AF169" s="23"/>
    </row>
    <row r="170" spans="1:3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3"/>
    </row>
    <row r="171" spans="1:3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3"/>
    </row>
    <row r="172" spans="1:3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3"/>
    </row>
    <row r="173" spans="1:3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3"/>
    </row>
    <row r="174" spans="1:3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3"/>
    </row>
    <row r="175" spans="1:3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3"/>
    </row>
    <row r="176" spans="1:3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3"/>
    </row>
    <row r="177" spans="1:3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3"/>
    </row>
    <row r="178" spans="1:3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3"/>
    </row>
    <row r="179" spans="1:3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3"/>
    </row>
    <row r="180" spans="1:3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3"/>
    </row>
    <row r="181" spans="1:3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3"/>
    </row>
    <row r="182" spans="1:3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3"/>
    </row>
    <row r="183" spans="1:3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3"/>
    </row>
    <row r="184" spans="1:3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3"/>
    </row>
    <row r="185" spans="1:3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3"/>
    </row>
    <row r="186" spans="1:3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3"/>
    </row>
    <row r="187" spans="1:3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3"/>
    </row>
    <row r="188" spans="1:3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3"/>
    </row>
    <row r="189" spans="1:3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3"/>
    </row>
    <row r="190" spans="1:3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3"/>
    </row>
    <row r="191" spans="1:3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3"/>
    </row>
    <row r="192" spans="1:3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3"/>
    </row>
    <row r="193" spans="1:3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3"/>
    </row>
    <row r="194" spans="1:3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3"/>
    </row>
    <row r="195" spans="1:3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3"/>
    </row>
    <row r="196" spans="1:3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3"/>
    </row>
    <row r="197" spans="1:3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3"/>
    </row>
    <row r="198" spans="1:3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3"/>
    </row>
    <row r="199" spans="1:3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3"/>
    </row>
    <row r="200" spans="1:3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3"/>
    </row>
    <row r="201" spans="1:3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3"/>
    </row>
    <row r="202" spans="1:3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3"/>
    </row>
    <row r="203" spans="1:3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3"/>
    </row>
    <row r="204" spans="1:3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3"/>
    </row>
    <row r="205" spans="1:3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3"/>
    </row>
    <row r="206" spans="1:3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3"/>
    </row>
    <row r="207" spans="1:3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3"/>
    </row>
    <row r="208" spans="1:3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3"/>
    </row>
    <row r="209" spans="1:3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3"/>
    </row>
    <row r="210" spans="1:3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3"/>
    </row>
    <row r="211" spans="1:3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3"/>
    </row>
    <row r="212" spans="1:3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3"/>
    </row>
    <row r="213" spans="1:3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3"/>
    </row>
    <row r="214" spans="1:3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3"/>
    </row>
    <row r="215" spans="1:3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3"/>
    </row>
    <row r="216" spans="1:3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3"/>
    </row>
    <row r="217" spans="1:3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3"/>
    </row>
    <row r="218" spans="1:3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3"/>
    </row>
    <row r="219" spans="1:3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3"/>
    </row>
    <row r="220" spans="1:3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3"/>
    </row>
    <row r="221" spans="1:32" ht="15.75" customHeight="1">
      <c r="E221" s="2"/>
      <c r="P221" s="2"/>
      <c r="AF221" s="23"/>
    </row>
    <row r="222" spans="1:32" ht="15.75" customHeight="1">
      <c r="E222" s="2"/>
      <c r="P222" s="2"/>
      <c r="AF222" s="23"/>
    </row>
    <row r="223" spans="1:32" ht="15.75" customHeight="1">
      <c r="E223" s="2"/>
      <c r="P223" s="2"/>
      <c r="AF223" s="23"/>
    </row>
    <row r="224" spans="1: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13" priority="1" operator="lessThan">
      <formula>100</formula>
    </cfRule>
  </conditionalFormatting>
  <conditionalFormatting sqref="Q1:Q3 Q57:Q1000">
    <cfRule type="cellIs" dxfId="12" priority="2" operator="lessThan">
      <formula>100</formula>
    </cfRule>
  </conditionalFormatting>
  <conditionalFormatting sqref="I1:I3 I57:I1000">
    <cfRule type="cellIs" dxfId="11" priority="3" operator="lessThan">
      <formula>0.05</formula>
    </cfRule>
  </conditionalFormatting>
  <conditionalFormatting sqref="I4:I17">
    <cfRule type="cellIs" dxfId="10" priority="4" operator="lessThan">
      <formula>0.05</formula>
    </cfRule>
  </conditionalFormatting>
  <conditionalFormatting sqref="I18:I56">
    <cfRule type="cellIs" dxfId="9" priority="5" operator="lessThan">
      <formula>0.05</formula>
    </cfRule>
  </conditionalFormatting>
  <conditionalFormatting sqref="Q4:Q56">
    <cfRule type="cellIs" dxfId="8" priority="6" operator="lessThan">
      <formula>100</formula>
    </cfRule>
  </conditionalFormatting>
  <conditionalFormatting sqref="Q4:Q56">
    <cfRule type="cellIs" dxfId="7" priority="7" operator="lessThan">
      <formula>100</formula>
    </cfRule>
  </conditionalFormatting>
  <pageMargins left="0.7" right="0.7" top="0.75" bottom="0.75" header="0" footer="0"/>
  <pageSetup orientation="portrait"/>
  <legacyDrawing r:id="rId1"/>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AF1000"/>
  <sheetViews>
    <sheetView tabSelected="1" workbookViewId="0">
      <pane xSplit="2" ySplit="3" topLeftCell="C4" activePane="bottomRight" state="frozen"/>
      <selection activeCell="XEV45" sqref="XEV45"/>
      <selection pane="topRight" activeCell="XEV45" sqref="XEV45"/>
      <selection pane="bottomLeft" activeCell="XEV45" sqref="XEV45"/>
      <selection pane="bottomRight" activeCell="XEV45" sqref="XEV45"/>
    </sheetView>
  </sheetViews>
  <sheetFormatPr baseColWidth="10" defaultColWidth="14.5" defaultRowHeight="15" customHeight="1"/>
  <cols>
    <col min="1" max="2" width="17.5" customWidth="1"/>
    <col min="3" max="3" width="9.1640625" customWidth="1"/>
    <col min="4" max="4" width="6.5" customWidth="1"/>
    <col min="5" max="5" width="9.83203125" customWidth="1"/>
    <col min="6" max="6" width="12.1640625" customWidth="1"/>
    <col min="7" max="7" width="11.5" customWidth="1"/>
    <col min="8" max="8" width="10.33203125" customWidth="1"/>
    <col min="9" max="10" width="13.5" customWidth="1"/>
    <col min="11" max="12" width="10" customWidth="1"/>
    <col min="13" max="13" width="11" customWidth="1"/>
    <col min="14" max="14" width="5.5" customWidth="1"/>
    <col min="15" max="16" width="11" customWidth="1"/>
    <col min="17" max="17" width="8.5" customWidth="1"/>
    <col min="18" max="18" width="7.83203125" customWidth="1"/>
    <col min="19" max="19" width="8" customWidth="1"/>
    <col min="20" max="20" width="18.5" customWidth="1"/>
    <col min="21" max="21" width="8.83203125" customWidth="1"/>
    <col min="22" max="22" width="8.6640625" customWidth="1"/>
    <col min="23" max="23" width="9.33203125" customWidth="1"/>
    <col min="24" max="24" width="12.83203125" customWidth="1"/>
    <col min="25" max="25" width="19.5" customWidth="1"/>
    <col min="26" max="26" width="11.1640625" customWidth="1"/>
    <col min="27" max="27" width="8.1640625" customWidth="1"/>
    <col min="28" max="28" width="12.5" customWidth="1"/>
    <col min="29" max="29" width="7.6640625" customWidth="1"/>
    <col min="30" max="30" width="11.5" customWidth="1"/>
    <col min="31" max="31" width="10.1640625" customWidth="1"/>
    <col min="32" max="32" width="8.33203125" customWidth="1"/>
  </cols>
  <sheetData>
    <row r="1" spans="1:32" ht="18.75" customHeight="1">
      <c r="A1" s="1" t="str">
        <f ca="1">IFERROR(__xludf.DUMMYFUNCTION("IFERROR(VLOOKUP(B2,IMPORTRANGE(""https://docs.google.com/spreadsheets/d/1x0DhHglkXKoEBOD2MBsuK_EyIr1ouxD2ftIpqOYFa-k/edit?usp=sharing"",""SecondStar-SKU-Specific Info!B1:BJ5000""),4,FALSE),"""")"),"Dry Defender Puppy Pad (23"" x 35"") - Washable Puppy Training Pad for Housebreaking Your Pet")</f>
        <v>Dry Defender Puppy Pad (23" x 35") - Washable Puppy Training Pad for Housebreaking Your Pet</v>
      </c>
      <c r="B1" s="2"/>
      <c r="C1" s="33" t="s">
        <v>0</v>
      </c>
      <c r="D1" s="35" t="s">
        <v>1</v>
      </c>
      <c r="E1" s="35" t="s">
        <v>2</v>
      </c>
      <c r="F1" s="37" t="s">
        <v>3</v>
      </c>
      <c r="G1" s="37" t="s">
        <v>4</v>
      </c>
      <c r="H1" s="38" t="s">
        <v>5</v>
      </c>
      <c r="I1" s="35" t="s">
        <v>6</v>
      </c>
      <c r="J1" s="35" t="s">
        <v>7</v>
      </c>
      <c r="K1" s="35" t="s">
        <v>8</v>
      </c>
      <c r="L1" s="35" t="s">
        <v>9</v>
      </c>
      <c r="M1" s="40" t="s">
        <v>10</v>
      </c>
      <c r="N1" s="41" t="s">
        <v>11</v>
      </c>
      <c r="O1" s="35" t="s">
        <v>12</v>
      </c>
      <c r="P1" s="35" t="s">
        <v>13</v>
      </c>
      <c r="Q1" s="35" t="s">
        <v>14</v>
      </c>
      <c r="R1" s="42" t="s">
        <v>15</v>
      </c>
      <c r="S1" s="42" t="s">
        <v>16</v>
      </c>
      <c r="T1" s="42" t="s">
        <v>17</v>
      </c>
      <c r="U1" s="42" t="s">
        <v>18</v>
      </c>
      <c r="V1" s="42" t="s">
        <v>19</v>
      </c>
      <c r="W1" s="42" t="s">
        <v>20</v>
      </c>
      <c r="X1" s="42" t="s">
        <v>21</v>
      </c>
      <c r="Y1" s="42" t="s">
        <v>22</v>
      </c>
      <c r="Z1" s="42" t="s">
        <v>23</v>
      </c>
      <c r="AA1" s="42" t="s">
        <v>24</v>
      </c>
      <c r="AB1" s="48" t="s">
        <v>25</v>
      </c>
      <c r="AC1" s="45" t="s">
        <v>26</v>
      </c>
      <c r="AD1" s="49" t="s">
        <v>27</v>
      </c>
      <c r="AE1" s="45" t="s">
        <v>28</v>
      </c>
      <c r="AF1" s="47" t="s">
        <v>29</v>
      </c>
    </row>
    <row r="2" spans="1:32" ht="15.75" customHeight="1">
      <c r="A2" s="3" t="str">
        <f ca="1">IFERROR(__xludf.DUMMYFUNCTION("IFERROR(VLOOKUP(B2,IMPORTRANGE(""https://docs.google.com/spreadsheets/d/1x0DhHglkXKoEBOD2MBsuK_EyIr1ouxD2ftIpqOYFa-k/edit?usp=sharing"",""SecondStar-SKU-Specific Info!B1:BJ5000""),3,FALSE),"""")"),"B00IPKP804")</f>
        <v>B00IPKP804</v>
      </c>
      <c r="B2" s="4" t="s">
        <v>1257</v>
      </c>
      <c r="C2" s="34"/>
      <c r="D2" s="34"/>
      <c r="E2" s="36"/>
      <c r="F2" s="34"/>
      <c r="G2" s="34"/>
      <c r="H2" s="39"/>
      <c r="I2" s="34"/>
      <c r="J2" s="34"/>
      <c r="K2" s="39"/>
      <c r="L2" s="39"/>
      <c r="M2" s="39"/>
      <c r="N2" s="34"/>
      <c r="O2" s="34"/>
      <c r="P2" s="36"/>
      <c r="Q2" s="34"/>
      <c r="R2" s="43"/>
      <c r="S2" s="44"/>
      <c r="T2" s="44"/>
      <c r="U2" s="43"/>
      <c r="V2" s="43"/>
      <c r="W2" s="43"/>
      <c r="X2" s="43"/>
      <c r="Y2" s="44"/>
      <c r="Z2" s="44"/>
      <c r="AA2" s="44"/>
      <c r="AB2" s="44"/>
      <c r="AC2" s="43"/>
      <c r="AD2" s="43"/>
      <c r="AE2" s="46"/>
      <c r="AF2" s="43"/>
    </row>
    <row r="3" spans="1:32" ht="104.25" customHeight="1">
      <c r="A3" s="5" t="s">
        <v>31</v>
      </c>
      <c r="B3" s="6" t="str">
        <f ca="1">IFERROR(__xludf.DUMMYFUNCTION("CONCATENATE(IF(VLOOKUP(B2,IMPORTRANGE(""https://docs.google.com/spreadsheets/d/1x0DhHglkXKoEBOD2MBsuK_EyIr1ouxD2ftIpqOYFa-k/edit?usp=sharing"",""SecondStar-SKU-Specific Info!B1:BJ5000""),39,FALSE)=""x"",""15"",""0""),"" - "",IFERROR(VLOOKUP(B2,IMPORTRANGE"&amp;"(""https://docs.google.com/spreadsheets/d/1x0DhHglkXKoEBOD2MBsuK_EyIr1ouxD2ftIpqOYFa-k/edit?usp=sharing"",""SecondStar-SKU-Specific Info!B1:BJ5000""),38,FALSE),"""")*100)"),"0 - 0")</f>
        <v>0 - 0</v>
      </c>
      <c r="C3" s="7">
        <f>((AC56+AD56/0.85)*-1)</f>
        <v>9.0588235294117645</v>
      </c>
      <c r="D3" s="8">
        <f>SUM(D4:D99819)</f>
        <v>21</v>
      </c>
      <c r="E3" s="8"/>
      <c r="F3" s="9">
        <f t="shared" ref="F3:G3" si="0">SUM(F4:F99819)</f>
        <v>315.78999999999996</v>
      </c>
      <c r="G3" s="9">
        <f t="shared" si="0"/>
        <v>-0.16000000000000003</v>
      </c>
      <c r="H3" s="10">
        <f t="shared" ref="H3:H39" si="1">G3/F3*-1</f>
        <v>5.0666582222362979E-4</v>
      </c>
      <c r="I3" s="11">
        <f t="shared" ref="I3:I39" si="2">J3/F3</f>
        <v>0.11705397574337369</v>
      </c>
      <c r="J3" s="9">
        <f>SUM(J4:J99819)</f>
        <v>36.964474999999972</v>
      </c>
      <c r="K3" s="9">
        <f t="shared" ref="K3:K39" si="3">J3/D3</f>
        <v>1.7602130952380939</v>
      </c>
      <c r="L3" s="8"/>
      <c r="M3" s="12"/>
      <c r="N3" s="13"/>
      <c r="O3" s="8" t="str">
        <f ca="1">IFERROR(__xludf.DUMMYFUNCTION("IFERROR(VLOOKUP(B2,IMPORTRANGE(""https://docs.google.com/spreadsheets/d/1owCo6kL_VFQ5nPTdNogErmCBLjNiktT1m3SzTrxu3R0/edit#gid=2146806407"",""Second Star - Compiled!b1:g5000""),2,FALSE),"""")"),"0 - March
0 - April
0 - May
0 - Jun
0 - Jul
0 - Aug
0 - Sept
0 - Oct
0 - Nov
0 - Dec
0 - Jan
0 - Feb")</f>
        <v>0 - March
0 - April
0 - May
0 - Jun
0 - Jul
0 - Aug
0 - Sept
0 - Oct
0 - Nov
0 - Dec
0 - Jan
0 - Feb</v>
      </c>
      <c r="P3" s="8"/>
      <c r="Q3" s="14"/>
      <c r="R3" s="13"/>
      <c r="S3" s="13"/>
      <c r="T3" s="13"/>
      <c r="U3" s="8">
        <f>SUM(U4:U99819)</f>
        <v>0</v>
      </c>
      <c r="V3" s="10">
        <f>AVERAGE(V4:V99819)</f>
        <v>0</v>
      </c>
      <c r="W3" s="9">
        <f>ROUND(AVERAGE(W4:W99819),2)</f>
        <v>0</v>
      </c>
      <c r="X3" s="8"/>
      <c r="Y3" s="8"/>
      <c r="Z3" s="8"/>
      <c r="AA3" s="8"/>
      <c r="AB3" s="8"/>
      <c r="AC3" s="15"/>
      <c r="AD3" s="9"/>
      <c r="AE3" s="9">
        <f>SUM(AE4:AE99819)</f>
        <v>0</v>
      </c>
      <c r="AF3" s="16"/>
    </row>
    <row r="4" spans="1:32" s="57" customFormat="1">
      <c r="A4" s="17" t="s">
        <v>48</v>
      </c>
      <c r="B4" s="17"/>
      <c r="C4" s="50">
        <v>14.99</v>
      </c>
      <c r="D4" s="51">
        <v>3</v>
      </c>
      <c r="E4" s="51">
        <v>0</v>
      </c>
      <c r="F4" s="51">
        <v>41.97</v>
      </c>
      <c r="G4" s="51">
        <v>-7.0000000000000007E-2</v>
      </c>
      <c r="H4" s="51">
        <f t="shared" si="1"/>
        <v>1.667857993805099E-3</v>
      </c>
      <c r="I4" s="51">
        <f t="shared" si="2"/>
        <v>5.6334286395043918E-2</v>
      </c>
      <c r="J4" s="51">
        <f t="shared" ref="J4:J38" si="4">F4*0.85+G4+AD4*D4+D4*AC4+AE4+AB4</f>
        <v>2.3643499999999933</v>
      </c>
      <c r="K4" s="51">
        <f t="shared" si="3"/>
        <v>0.78811666666666447</v>
      </c>
      <c r="L4" s="51">
        <v>27</v>
      </c>
      <c r="M4" s="51">
        <f t="shared" ref="M4:M39" si="5">IFERROR(D4/L4,"-")</f>
        <v>0.1111111111111111</v>
      </c>
      <c r="N4" s="51">
        <v>18</v>
      </c>
      <c r="O4" s="51">
        <f t="shared" ref="O4:P4" si="6">D4/7</f>
        <v>0.42857142857142855</v>
      </c>
      <c r="P4" s="51">
        <f t="shared" si="6"/>
        <v>0</v>
      </c>
      <c r="Q4" s="51">
        <f t="shared" ref="Q4:Q39" si="7">ROUNDDOWN(N4/(O4+P4),0)</f>
        <v>42</v>
      </c>
      <c r="R4" s="52">
        <v>0</v>
      </c>
      <c r="S4" s="53" t="s">
        <v>34</v>
      </c>
      <c r="T4" s="54" t="s">
        <v>34</v>
      </c>
      <c r="U4" s="52">
        <v>0</v>
      </c>
      <c r="V4" s="55">
        <f t="shared" ref="V4:V39" si="8">IFERROR(U4/D4,0)</f>
        <v>0</v>
      </c>
      <c r="W4" s="55">
        <f t="shared" ref="W4:W39" si="9">IFERROR(G4/(U4+X4)*-1,0)</f>
        <v>0</v>
      </c>
      <c r="X4" s="52">
        <v>0</v>
      </c>
      <c r="Y4" s="56" t="s">
        <v>35</v>
      </c>
      <c r="Z4" s="56">
        <f t="shared" ref="Z4:Z10" si="10">IF(OR(Y4="UsLargeStandardSize",Y4="UsSmallStandardSize"),-0.69,-0.48)</f>
        <v>-0.69</v>
      </c>
      <c r="AA4" s="55">
        <v>9.6666666666666665E-2</v>
      </c>
      <c r="AB4" s="55">
        <f t="shared" ref="AB4:AB17" si="11">IFERROR((Z4*AA4*N4)/4,0)</f>
        <v>-0.30014999999999997</v>
      </c>
      <c r="AC4" s="55">
        <v>-3.28</v>
      </c>
      <c r="AD4" s="55">
        <v>-7.7</v>
      </c>
      <c r="AE4" s="55">
        <v>0</v>
      </c>
      <c r="AF4" s="55"/>
    </row>
    <row r="5" spans="1:32" s="57" customFormat="1" ht="15.75" customHeight="1">
      <c r="A5" s="17" t="s">
        <v>49</v>
      </c>
      <c r="B5" s="17" t="s">
        <v>45</v>
      </c>
      <c r="C5" s="51">
        <v>14.99</v>
      </c>
      <c r="D5" s="51">
        <v>2</v>
      </c>
      <c r="E5" s="51">
        <v>0</v>
      </c>
      <c r="F5" s="51">
        <v>29.98</v>
      </c>
      <c r="G5" s="51">
        <v>-0.02</v>
      </c>
      <c r="H5" s="51">
        <f t="shared" si="1"/>
        <v>6.671114076050701E-4</v>
      </c>
      <c r="I5" s="51">
        <f t="shared" si="2"/>
        <v>0.10794529686457642</v>
      </c>
      <c r="J5" s="51">
        <f t="shared" si="4"/>
        <v>3.2362000000000011</v>
      </c>
      <c r="K5" s="51">
        <f t="shared" si="3"/>
        <v>1.6181000000000005</v>
      </c>
      <c r="L5" s="51">
        <v>31</v>
      </c>
      <c r="M5" s="51">
        <f t="shared" si="5"/>
        <v>6.4516129032258063E-2</v>
      </c>
      <c r="N5" s="51">
        <v>16</v>
      </c>
      <c r="O5" s="51">
        <f t="shared" ref="O5:P5" si="12">D5/7</f>
        <v>0.2857142857142857</v>
      </c>
      <c r="P5" s="51">
        <f t="shared" si="12"/>
        <v>0</v>
      </c>
      <c r="Q5" s="51">
        <f t="shared" si="7"/>
        <v>56</v>
      </c>
      <c r="R5" s="52">
        <v>0</v>
      </c>
      <c r="S5" s="53" t="s">
        <v>34</v>
      </c>
      <c r="T5" s="54" t="s">
        <v>34</v>
      </c>
      <c r="U5" s="52">
        <v>0</v>
      </c>
      <c r="V5" s="55">
        <f t="shared" si="8"/>
        <v>0</v>
      </c>
      <c r="W5" s="55">
        <f t="shared" si="9"/>
        <v>0</v>
      </c>
      <c r="X5" s="52">
        <v>0</v>
      </c>
      <c r="Y5" s="52" t="s">
        <v>35</v>
      </c>
      <c r="Z5" s="56">
        <f t="shared" si="10"/>
        <v>-0.69</v>
      </c>
      <c r="AA5" s="55">
        <v>9.6666666666666665E-2</v>
      </c>
      <c r="AB5" s="55">
        <f t="shared" si="11"/>
        <v>-0.26679999999999998</v>
      </c>
      <c r="AC5" s="55">
        <v>-3.28</v>
      </c>
      <c r="AD5" s="55">
        <v>-7.7</v>
      </c>
      <c r="AE5" s="55">
        <v>0</v>
      </c>
      <c r="AF5" s="55"/>
    </row>
    <row r="6" spans="1:32" s="57" customFormat="1" ht="15.75" customHeight="1">
      <c r="A6" s="17" t="s">
        <v>51</v>
      </c>
      <c r="B6"/>
      <c r="C6" s="51">
        <v>14.99</v>
      </c>
      <c r="D6" s="51">
        <v>10</v>
      </c>
      <c r="E6" s="51">
        <v>0</v>
      </c>
      <c r="F6" s="51">
        <v>151.89999999999998</v>
      </c>
      <c r="G6" s="51">
        <v>-0.02</v>
      </c>
      <c r="H6" s="51">
        <f t="shared" si="1"/>
        <v>1.316655694535879E-4</v>
      </c>
      <c r="I6" s="51">
        <f t="shared" si="2"/>
        <v>0.12636570111915718</v>
      </c>
      <c r="J6" s="51">
        <f t="shared" si="4"/>
        <v>19.194949999999974</v>
      </c>
      <c r="K6" s="51">
        <f t="shared" si="3"/>
        <v>1.9194949999999973</v>
      </c>
      <c r="L6" s="51">
        <v>21</v>
      </c>
      <c r="M6" s="51">
        <f t="shared" si="5"/>
        <v>0.47619047619047616</v>
      </c>
      <c r="N6" s="51">
        <v>6</v>
      </c>
      <c r="O6" s="51">
        <f t="shared" ref="O6:P6" si="13">D6/7</f>
        <v>1.4285714285714286</v>
      </c>
      <c r="P6" s="51">
        <f t="shared" si="13"/>
        <v>0</v>
      </c>
      <c r="Q6" s="51">
        <f t="shared" si="7"/>
        <v>4</v>
      </c>
      <c r="R6" s="52">
        <v>0</v>
      </c>
      <c r="S6" s="53" t="s">
        <v>34</v>
      </c>
      <c r="T6" s="54" t="s">
        <v>34</v>
      </c>
      <c r="U6" s="52">
        <v>0</v>
      </c>
      <c r="V6" s="55">
        <f t="shared" si="8"/>
        <v>0</v>
      </c>
      <c r="W6" s="55">
        <f t="shared" si="9"/>
        <v>0</v>
      </c>
      <c r="X6" s="52">
        <v>0</v>
      </c>
      <c r="Y6" s="52" t="s">
        <v>35</v>
      </c>
      <c r="Z6" s="56">
        <f t="shared" si="10"/>
        <v>-0.69</v>
      </c>
      <c r="AA6" s="55">
        <v>9.6666666666666665E-2</v>
      </c>
      <c r="AB6" s="55">
        <f t="shared" si="11"/>
        <v>-0.10005</v>
      </c>
      <c r="AC6" s="55">
        <v>-3.28</v>
      </c>
      <c r="AD6" s="55">
        <v>-7.7</v>
      </c>
      <c r="AE6" s="55">
        <v>0</v>
      </c>
      <c r="AF6" s="55"/>
    </row>
    <row r="7" spans="1:32" s="57" customFormat="1" ht="15.75" customHeight="1">
      <c r="A7" s="17" t="s">
        <v>53</v>
      </c>
      <c r="B7"/>
      <c r="C7" s="51">
        <v>14.99</v>
      </c>
      <c r="D7" s="51">
        <v>4</v>
      </c>
      <c r="E7" s="51">
        <v>0</v>
      </c>
      <c r="F7" s="51">
        <v>59.96</v>
      </c>
      <c r="G7" s="51">
        <v>-0.05</v>
      </c>
      <c r="H7" s="51">
        <f t="shared" si="1"/>
        <v>8.3388925950633763E-4</v>
      </c>
      <c r="I7" s="51">
        <f t="shared" si="2"/>
        <v>0.11612158105403608</v>
      </c>
      <c r="J7" s="51">
        <f t="shared" si="4"/>
        <v>6.9626500000000036</v>
      </c>
      <c r="K7" s="51">
        <f t="shared" si="3"/>
        <v>1.7406625000000009</v>
      </c>
      <c r="L7" s="51">
        <v>34</v>
      </c>
      <c r="M7" s="51">
        <f t="shared" si="5"/>
        <v>0.11764705882352941</v>
      </c>
      <c r="N7" s="51">
        <v>2</v>
      </c>
      <c r="O7" s="51">
        <f t="shared" ref="O7:P7" si="14">D7/7</f>
        <v>0.5714285714285714</v>
      </c>
      <c r="P7" s="51">
        <f t="shared" si="14"/>
        <v>0</v>
      </c>
      <c r="Q7" s="51">
        <f t="shared" si="7"/>
        <v>3</v>
      </c>
      <c r="R7" s="52">
        <v>0</v>
      </c>
      <c r="S7" s="53" t="s">
        <v>34</v>
      </c>
      <c r="T7" s="54" t="s">
        <v>34</v>
      </c>
      <c r="U7" s="52">
        <v>0</v>
      </c>
      <c r="V7" s="55">
        <f t="shared" si="8"/>
        <v>0</v>
      </c>
      <c r="W7" s="55">
        <f t="shared" si="9"/>
        <v>0</v>
      </c>
      <c r="X7" s="52">
        <v>0</v>
      </c>
      <c r="Y7" s="52" t="s">
        <v>35</v>
      </c>
      <c r="Z7" s="56">
        <f t="shared" si="10"/>
        <v>-0.69</v>
      </c>
      <c r="AA7" s="55">
        <v>9.6666666666666665E-2</v>
      </c>
      <c r="AB7" s="55">
        <f t="shared" si="11"/>
        <v>-3.3349999999999998E-2</v>
      </c>
      <c r="AC7" s="55">
        <v>-3.28</v>
      </c>
      <c r="AD7" s="55">
        <v>-7.7</v>
      </c>
      <c r="AE7" s="55">
        <v>0</v>
      </c>
      <c r="AF7" s="55"/>
    </row>
    <row r="8" spans="1:32" s="57" customFormat="1" ht="15.75" customHeight="1">
      <c r="A8" s="17" t="s">
        <v>54</v>
      </c>
      <c r="B8"/>
      <c r="C8" s="51">
        <v>14.99</v>
      </c>
      <c r="D8" s="51">
        <v>1</v>
      </c>
      <c r="E8" s="51">
        <v>0</v>
      </c>
      <c r="F8" s="51">
        <v>14.99</v>
      </c>
      <c r="G8" s="51">
        <v>0</v>
      </c>
      <c r="H8" s="51">
        <f t="shared" si="1"/>
        <v>0</v>
      </c>
      <c r="I8" s="51">
        <f t="shared" si="2"/>
        <v>0.11751167444963311</v>
      </c>
      <c r="J8" s="51">
        <f t="shared" si="4"/>
        <v>1.7615000000000003</v>
      </c>
      <c r="K8" s="51">
        <f t="shared" si="3"/>
        <v>1.7615000000000003</v>
      </c>
      <c r="L8" s="51">
        <v>18</v>
      </c>
      <c r="M8" s="51">
        <f t="shared" si="5"/>
        <v>5.5555555555555552E-2</v>
      </c>
      <c r="N8" s="51">
        <v>0</v>
      </c>
      <c r="O8" s="51">
        <f t="shared" ref="O8:P8" si="15">D8/7</f>
        <v>0.14285714285714285</v>
      </c>
      <c r="P8" s="51">
        <f t="shared" si="15"/>
        <v>0</v>
      </c>
      <c r="Q8" s="51">
        <f t="shared" si="7"/>
        <v>0</v>
      </c>
      <c r="R8" s="52">
        <v>0</v>
      </c>
      <c r="S8" s="53" t="s">
        <v>34</v>
      </c>
      <c r="T8" s="54" t="s">
        <v>34</v>
      </c>
      <c r="U8" s="52">
        <v>0</v>
      </c>
      <c r="V8" s="55">
        <f t="shared" si="8"/>
        <v>0</v>
      </c>
      <c r="W8" s="55">
        <f t="shared" si="9"/>
        <v>0</v>
      </c>
      <c r="X8" s="52">
        <v>0</v>
      </c>
      <c r="Y8" s="52" t="s">
        <v>35</v>
      </c>
      <c r="Z8" s="56">
        <f t="shared" si="10"/>
        <v>-0.69</v>
      </c>
      <c r="AA8" s="55">
        <v>9.6666666666666665E-2</v>
      </c>
      <c r="AB8" s="55">
        <f t="shared" si="11"/>
        <v>0</v>
      </c>
      <c r="AC8" s="55">
        <v>-3.28</v>
      </c>
      <c r="AD8" s="55">
        <v>-7.7</v>
      </c>
      <c r="AE8" s="55">
        <v>0</v>
      </c>
      <c r="AF8" s="55"/>
    </row>
    <row r="9" spans="1:32" s="57" customFormat="1" ht="15.75" customHeight="1">
      <c r="A9" s="17" t="s">
        <v>56</v>
      </c>
      <c r="B9" s="17" t="s">
        <v>1258</v>
      </c>
      <c r="C9" s="51">
        <v>16.989999999999998</v>
      </c>
      <c r="D9" s="51">
        <v>0</v>
      </c>
      <c r="E9" s="51">
        <v>0</v>
      </c>
      <c r="F9" s="51">
        <v>0</v>
      </c>
      <c r="G9" s="51">
        <v>0</v>
      </c>
      <c r="H9" s="51" t="e">
        <f t="shared" si="1"/>
        <v>#DIV/0!</v>
      </c>
      <c r="I9" s="51" t="e">
        <f t="shared" si="2"/>
        <v>#DIV/0!</v>
      </c>
      <c r="J9" s="51">
        <f t="shared" si="4"/>
        <v>-1.6674999999999999E-2</v>
      </c>
      <c r="K9" s="51" t="e">
        <f t="shared" si="3"/>
        <v>#DIV/0!</v>
      </c>
      <c r="L9" s="51">
        <v>0</v>
      </c>
      <c r="M9" s="51" t="str">
        <f t="shared" si="5"/>
        <v>-</v>
      </c>
      <c r="N9" s="51">
        <v>1</v>
      </c>
      <c r="O9" s="51">
        <f t="shared" ref="O9:P9" si="16">D9/7</f>
        <v>0</v>
      </c>
      <c r="P9" s="51">
        <f t="shared" si="16"/>
        <v>0</v>
      </c>
      <c r="Q9" s="51" t="e">
        <f t="shared" si="7"/>
        <v>#DIV/0!</v>
      </c>
      <c r="R9" s="52">
        <v>0</v>
      </c>
      <c r="S9" s="53" t="s">
        <v>34</v>
      </c>
      <c r="T9" s="54" t="s">
        <v>34</v>
      </c>
      <c r="U9" s="52">
        <v>0</v>
      </c>
      <c r="V9" s="55">
        <f t="shared" si="8"/>
        <v>0</v>
      </c>
      <c r="W9" s="55">
        <f t="shared" si="9"/>
        <v>0</v>
      </c>
      <c r="X9" s="52">
        <v>0</v>
      </c>
      <c r="Y9" s="52" t="s">
        <v>35</v>
      </c>
      <c r="Z9" s="56">
        <f t="shared" si="10"/>
        <v>-0.69</v>
      </c>
      <c r="AA9" s="55">
        <v>9.6666666666666665E-2</v>
      </c>
      <c r="AB9" s="55">
        <f t="shared" si="11"/>
        <v>-1.6674999999999999E-2</v>
      </c>
      <c r="AC9" s="55">
        <v>-3.28</v>
      </c>
      <c r="AD9" s="55">
        <v>-7.7</v>
      </c>
      <c r="AE9" s="55">
        <v>0</v>
      </c>
      <c r="AF9" s="55"/>
    </row>
    <row r="10" spans="1:32" s="57" customFormat="1" ht="15.75" customHeight="1">
      <c r="A10" s="17" t="s">
        <v>58</v>
      </c>
      <c r="B10"/>
      <c r="C10" s="51">
        <v>16.989999999999998</v>
      </c>
      <c r="D10" s="51">
        <v>1</v>
      </c>
      <c r="E10" s="51">
        <v>0</v>
      </c>
      <c r="F10" s="51">
        <v>16.989999999999998</v>
      </c>
      <c r="G10" s="51">
        <v>0</v>
      </c>
      <c r="H10" s="51">
        <f t="shared" si="1"/>
        <v>0</v>
      </c>
      <c r="I10" s="51">
        <f t="shared" si="2"/>
        <v>0.20373749264273092</v>
      </c>
      <c r="J10" s="51">
        <f t="shared" si="4"/>
        <v>3.4614999999999978</v>
      </c>
      <c r="K10" s="51">
        <f t="shared" si="3"/>
        <v>3.4614999999999978</v>
      </c>
      <c r="L10" s="51">
        <v>3</v>
      </c>
      <c r="M10" s="51">
        <f t="shared" si="5"/>
        <v>0.33333333333333331</v>
      </c>
      <c r="N10" s="51">
        <v>0</v>
      </c>
      <c r="O10" s="51">
        <f t="shared" ref="O10:P10" si="17">D10/7</f>
        <v>0.14285714285714285</v>
      </c>
      <c r="P10" s="51">
        <f t="shared" si="17"/>
        <v>0</v>
      </c>
      <c r="Q10" s="51">
        <f t="shared" si="7"/>
        <v>0</v>
      </c>
      <c r="R10" s="52">
        <v>0</v>
      </c>
      <c r="S10" s="53" t="s">
        <v>34</v>
      </c>
      <c r="T10" s="54" t="s">
        <v>34</v>
      </c>
      <c r="U10" s="52">
        <v>0</v>
      </c>
      <c r="V10" s="55">
        <f t="shared" si="8"/>
        <v>0</v>
      </c>
      <c r="W10" s="55">
        <f t="shared" si="9"/>
        <v>0</v>
      </c>
      <c r="X10" s="52">
        <v>0</v>
      </c>
      <c r="Y10" s="52" t="s">
        <v>35</v>
      </c>
      <c r="Z10" s="56">
        <f t="shared" si="10"/>
        <v>-0.69</v>
      </c>
      <c r="AA10" s="55">
        <v>9.6666666666666665E-2</v>
      </c>
      <c r="AB10" s="55">
        <f t="shared" si="11"/>
        <v>0</v>
      </c>
      <c r="AC10" s="55">
        <v>-3.28</v>
      </c>
      <c r="AD10" s="55">
        <v>-7.7</v>
      </c>
      <c r="AE10" s="55">
        <v>0</v>
      </c>
      <c r="AF10" s="55"/>
    </row>
    <row r="11" spans="1:32" s="57" customFormat="1" ht="15.75" customHeight="1">
      <c r="A11" s="17" t="s">
        <v>60</v>
      </c>
      <c r="B11"/>
      <c r="C11" s="51" t="s">
        <v>397</v>
      </c>
      <c r="D11" s="51">
        <v>0</v>
      </c>
      <c r="E11" s="51">
        <v>0</v>
      </c>
      <c r="F11" s="51">
        <v>0</v>
      </c>
      <c r="G11" s="51">
        <v>0</v>
      </c>
      <c r="H11" s="51" t="e">
        <f t="shared" si="1"/>
        <v>#DIV/0!</v>
      </c>
      <c r="I11" s="51" t="e">
        <f t="shared" si="2"/>
        <v>#DIV/0!</v>
      </c>
      <c r="J11" s="51">
        <f t="shared" si="4"/>
        <v>0</v>
      </c>
      <c r="K11" s="51" t="e">
        <f t="shared" si="3"/>
        <v>#DIV/0!</v>
      </c>
      <c r="L11" s="51">
        <v>0</v>
      </c>
      <c r="M11" s="51" t="str">
        <f t="shared" si="5"/>
        <v>-</v>
      </c>
      <c r="N11" s="51">
        <v>0</v>
      </c>
      <c r="O11" s="51">
        <f t="shared" ref="O11:P11" si="18">D11/7</f>
        <v>0</v>
      </c>
      <c r="P11" s="51">
        <f t="shared" si="18"/>
        <v>0</v>
      </c>
      <c r="Q11" s="51" t="e">
        <f t="shared" si="7"/>
        <v>#DIV/0!</v>
      </c>
      <c r="R11" s="52">
        <v>0</v>
      </c>
      <c r="S11" s="53" t="s">
        <v>34</v>
      </c>
      <c r="T11" s="54" t="s">
        <v>34</v>
      </c>
      <c r="U11" s="52">
        <v>0</v>
      </c>
      <c r="V11" s="55">
        <f t="shared" si="8"/>
        <v>0</v>
      </c>
      <c r="W11" s="55">
        <f t="shared" si="9"/>
        <v>0</v>
      </c>
      <c r="X11" s="52">
        <v>0</v>
      </c>
      <c r="Y11" s="52" t="e">
        <v>#N/A</v>
      </c>
      <c r="Z11" s="56" t="e">
        <f t="shared" ref="Z11:Z39" si="19">IF(OR(Y11="UsLargeStandardSize",Y11="UsSmallStandardSize"),-0.75,-0.48)</f>
        <v>#N/A</v>
      </c>
      <c r="AA11" s="55" t="e">
        <v>#N/A</v>
      </c>
      <c r="AB11" s="55">
        <f t="shared" si="11"/>
        <v>0</v>
      </c>
      <c r="AC11" s="55">
        <v>0</v>
      </c>
      <c r="AD11" s="55">
        <v>-7.7</v>
      </c>
      <c r="AE11" s="55">
        <v>0</v>
      </c>
      <c r="AF11" s="55"/>
    </row>
    <row r="12" spans="1:32" s="57" customFormat="1" ht="15.75" customHeight="1">
      <c r="A12" s="17" t="s">
        <v>62</v>
      </c>
      <c r="B12"/>
      <c r="C12" s="51" t="s">
        <v>397</v>
      </c>
      <c r="D12" s="51">
        <v>0</v>
      </c>
      <c r="E12" s="51">
        <v>0</v>
      </c>
      <c r="F12" s="51">
        <v>0</v>
      </c>
      <c r="G12" s="51">
        <v>0</v>
      </c>
      <c r="H12" s="51" t="e">
        <f t="shared" si="1"/>
        <v>#DIV/0!</v>
      </c>
      <c r="I12" s="51" t="e">
        <f t="shared" si="2"/>
        <v>#DIV/0!</v>
      </c>
      <c r="J12" s="51">
        <f t="shared" si="4"/>
        <v>0</v>
      </c>
      <c r="K12" s="51" t="e">
        <f t="shared" si="3"/>
        <v>#DIV/0!</v>
      </c>
      <c r="L12" s="51">
        <v>0</v>
      </c>
      <c r="M12" s="51" t="str">
        <f t="shared" si="5"/>
        <v>-</v>
      </c>
      <c r="N12" s="51">
        <v>0</v>
      </c>
      <c r="O12" s="51">
        <f t="shared" ref="O12:P12" si="20">D12/7</f>
        <v>0</v>
      </c>
      <c r="P12" s="51">
        <f t="shared" si="20"/>
        <v>0</v>
      </c>
      <c r="Q12" s="51" t="e">
        <f t="shared" si="7"/>
        <v>#DIV/0!</v>
      </c>
      <c r="R12" s="52">
        <v>0</v>
      </c>
      <c r="S12" s="53" t="s">
        <v>34</v>
      </c>
      <c r="T12" s="54" t="s">
        <v>34</v>
      </c>
      <c r="U12" s="52">
        <v>0</v>
      </c>
      <c r="V12" s="55">
        <f t="shared" si="8"/>
        <v>0</v>
      </c>
      <c r="W12" s="55">
        <f t="shared" si="9"/>
        <v>0</v>
      </c>
      <c r="X12" s="52">
        <v>0</v>
      </c>
      <c r="Y12" s="52" t="e">
        <v>#N/A</v>
      </c>
      <c r="Z12" s="56" t="e">
        <f t="shared" si="19"/>
        <v>#N/A</v>
      </c>
      <c r="AA12" s="55" t="e">
        <v>#N/A</v>
      </c>
      <c r="AB12" s="55">
        <f t="shared" si="11"/>
        <v>0</v>
      </c>
      <c r="AC12" s="55">
        <v>0</v>
      </c>
      <c r="AD12" s="55">
        <v>-7.7</v>
      </c>
      <c r="AE12" s="55">
        <v>0</v>
      </c>
      <c r="AF12" s="55"/>
    </row>
    <row r="13" spans="1:32" s="57" customFormat="1" ht="15.75" customHeight="1">
      <c r="A13" s="17" t="s">
        <v>63</v>
      </c>
      <c r="B13"/>
      <c r="C13" s="51" t="s">
        <v>397</v>
      </c>
      <c r="D13" s="51">
        <v>0</v>
      </c>
      <c r="E13" s="51">
        <v>0</v>
      </c>
      <c r="F13" s="51">
        <v>0</v>
      </c>
      <c r="G13" s="51">
        <v>0</v>
      </c>
      <c r="H13" s="51" t="e">
        <f t="shared" si="1"/>
        <v>#DIV/0!</v>
      </c>
      <c r="I13" s="51" t="e">
        <f t="shared" si="2"/>
        <v>#DIV/0!</v>
      </c>
      <c r="J13" s="51">
        <f t="shared" si="4"/>
        <v>0</v>
      </c>
      <c r="K13" s="51" t="e">
        <f t="shared" si="3"/>
        <v>#DIV/0!</v>
      </c>
      <c r="L13" s="51">
        <v>0</v>
      </c>
      <c r="M13" s="51" t="str">
        <f t="shared" si="5"/>
        <v>-</v>
      </c>
      <c r="N13" s="51">
        <v>0</v>
      </c>
      <c r="O13" s="51">
        <f t="shared" ref="O13:P13" si="21">D13/7</f>
        <v>0</v>
      </c>
      <c r="P13" s="51">
        <f t="shared" si="21"/>
        <v>0</v>
      </c>
      <c r="Q13" s="51" t="e">
        <f t="shared" si="7"/>
        <v>#DIV/0!</v>
      </c>
      <c r="R13" s="52">
        <v>0</v>
      </c>
      <c r="S13" s="53" t="s">
        <v>34</v>
      </c>
      <c r="T13" s="54" t="s">
        <v>34</v>
      </c>
      <c r="U13" s="52">
        <v>0</v>
      </c>
      <c r="V13" s="55">
        <f t="shared" si="8"/>
        <v>0</v>
      </c>
      <c r="W13" s="55">
        <f t="shared" si="9"/>
        <v>0</v>
      </c>
      <c r="X13" s="52">
        <v>0</v>
      </c>
      <c r="Y13" s="52" t="e">
        <v>#N/A</v>
      </c>
      <c r="Z13" s="56" t="e">
        <f t="shared" si="19"/>
        <v>#N/A</v>
      </c>
      <c r="AA13" s="55" t="e">
        <v>#N/A</v>
      </c>
      <c r="AB13" s="55">
        <f t="shared" si="11"/>
        <v>0</v>
      </c>
      <c r="AC13" s="55">
        <v>0</v>
      </c>
      <c r="AD13" s="55">
        <v>-7.7</v>
      </c>
      <c r="AE13" s="55">
        <v>0</v>
      </c>
      <c r="AF13" s="55"/>
    </row>
    <row r="14" spans="1:32" s="57" customFormat="1" ht="15.75" customHeight="1">
      <c r="A14" s="17" t="s">
        <v>64</v>
      </c>
      <c r="B14"/>
      <c r="C14" s="51" t="s">
        <v>397</v>
      </c>
      <c r="D14" s="51">
        <v>0</v>
      </c>
      <c r="E14" s="51">
        <v>0</v>
      </c>
      <c r="F14" s="51">
        <v>0</v>
      </c>
      <c r="G14" s="51">
        <v>0</v>
      </c>
      <c r="H14" s="51" t="e">
        <f t="shared" si="1"/>
        <v>#DIV/0!</v>
      </c>
      <c r="I14" s="51" t="e">
        <f t="shared" si="2"/>
        <v>#DIV/0!</v>
      </c>
      <c r="J14" s="51">
        <f t="shared" si="4"/>
        <v>0</v>
      </c>
      <c r="K14" s="51" t="e">
        <f t="shared" si="3"/>
        <v>#DIV/0!</v>
      </c>
      <c r="L14" s="51">
        <v>0</v>
      </c>
      <c r="M14" s="51" t="str">
        <f t="shared" si="5"/>
        <v>-</v>
      </c>
      <c r="N14" s="51">
        <v>0</v>
      </c>
      <c r="O14" s="51">
        <f t="shared" ref="O14:P14" si="22">D14/7</f>
        <v>0</v>
      </c>
      <c r="P14" s="51">
        <f t="shared" si="22"/>
        <v>0</v>
      </c>
      <c r="Q14" s="51" t="e">
        <f t="shared" si="7"/>
        <v>#DIV/0!</v>
      </c>
      <c r="R14" s="52">
        <v>0</v>
      </c>
      <c r="S14" s="53" t="s">
        <v>34</v>
      </c>
      <c r="T14" s="54" t="s">
        <v>34</v>
      </c>
      <c r="U14" s="52">
        <v>0</v>
      </c>
      <c r="V14" s="55">
        <f t="shared" si="8"/>
        <v>0</v>
      </c>
      <c r="W14" s="55">
        <f t="shared" si="9"/>
        <v>0</v>
      </c>
      <c r="X14" s="52">
        <v>0</v>
      </c>
      <c r="Y14" s="52" t="e">
        <v>#N/A</v>
      </c>
      <c r="Z14" s="56" t="e">
        <f t="shared" si="19"/>
        <v>#N/A</v>
      </c>
      <c r="AA14" s="55" t="e">
        <v>#N/A</v>
      </c>
      <c r="AB14" s="55">
        <f t="shared" si="11"/>
        <v>0</v>
      </c>
      <c r="AC14" s="55">
        <v>0</v>
      </c>
      <c r="AD14" s="55">
        <v>-7.7</v>
      </c>
      <c r="AE14" s="55">
        <v>0</v>
      </c>
      <c r="AF14" s="55"/>
    </row>
    <row r="15" spans="1:32" s="57" customFormat="1" ht="15.75" customHeight="1">
      <c r="A15" s="17" t="s">
        <v>65</v>
      </c>
      <c r="B15"/>
      <c r="C15" s="51" t="s">
        <v>397</v>
      </c>
      <c r="D15" s="51">
        <v>0</v>
      </c>
      <c r="E15" s="51">
        <v>0</v>
      </c>
      <c r="F15" s="51">
        <v>0</v>
      </c>
      <c r="G15" s="51">
        <v>0</v>
      </c>
      <c r="H15" s="51" t="e">
        <f t="shared" si="1"/>
        <v>#DIV/0!</v>
      </c>
      <c r="I15" s="51" t="e">
        <f t="shared" si="2"/>
        <v>#DIV/0!</v>
      </c>
      <c r="J15" s="51">
        <f t="shared" si="4"/>
        <v>0</v>
      </c>
      <c r="K15" s="51" t="e">
        <f t="shared" si="3"/>
        <v>#DIV/0!</v>
      </c>
      <c r="L15" s="51">
        <v>0</v>
      </c>
      <c r="M15" s="51" t="str">
        <f t="shared" si="5"/>
        <v>-</v>
      </c>
      <c r="N15" s="51">
        <v>0</v>
      </c>
      <c r="O15" s="51">
        <f t="shared" ref="O15:P15" si="23">D15/7</f>
        <v>0</v>
      </c>
      <c r="P15" s="51">
        <f t="shared" si="23"/>
        <v>0</v>
      </c>
      <c r="Q15" s="51" t="e">
        <f t="shared" si="7"/>
        <v>#DIV/0!</v>
      </c>
      <c r="R15" s="52">
        <v>0</v>
      </c>
      <c r="S15" s="53" t="s">
        <v>34</v>
      </c>
      <c r="T15" s="54" t="s">
        <v>34</v>
      </c>
      <c r="U15" s="52">
        <v>0</v>
      </c>
      <c r="V15" s="55">
        <f t="shared" si="8"/>
        <v>0</v>
      </c>
      <c r="W15" s="55">
        <f t="shared" si="9"/>
        <v>0</v>
      </c>
      <c r="X15" s="52">
        <v>0</v>
      </c>
      <c r="Y15" s="52" t="e">
        <v>#N/A</v>
      </c>
      <c r="Z15" s="56" t="e">
        <f t="shared" si="19"/>
        <v>#N/A</v>
      </c>
      <c r="AA15" s="55" t="e">
        <v>#N/A</v>
      </c>
      <c r="AB15" s="55">
        <f t="shared" si="11"/>
        <v>0</v>
      </c>
      <c r="AC15" s="55">
        <v>0</v>
      </c>
      <c r="AD15" s="55">
        <v>-7.7</v>
      </c>
      <c r="AE15" s="55">
        <v>0</v>
      </c>
      <c r="AF15" s="55"/>
    </row>
    <row r="16" spans="1:32" s="57" customFormat="1" ht="15.75" customHeight="1">
      <c r="A16" s="17" t="s">
        <v>66</v>
      </c>
      <c r="B16"/>
      <c r="C16" s="51" t="s">
        <v>397</v>
      </c>
      <c r="D16" s="51">
        <v>0</v>
      </c>
      <c r="E16" s="51">
        <v>0</v>
      </c>
      <c r="F16" s="51">
        <v>0</v>
      </c>
      <c r="G16" s="51">
        <v>0</v>
      </c>
      <c r="H16" s="51" t="e">
        <f t="shared" si="1"/>
        <v>#DIV/0!</v>
      </c>
      <c r="I16" s="51" t="e">
        <f t="shared" si="2"/>
        <v>#DIV/0!</v>
      </c>
      <c r="J16" s="51">
        <f t="shared" si="4"/>
        <v>0</v>
      </c>
      <c r="K16" s="51" t="e">
        <f t="shared" si="3"/>
        <v>#DIV/0!</v>
      </c>
      <c r="L16" s="51">
        <v>0</v>
      </c>
      <c r="M16" s="51" t="str">
        <f t="shared" si="5"/>
        <v>-</v>
      </c>
      <c r="N16" s="51">
        <v>0</v>
      </c>
      <c r="O16" s="51">
        <f t="shared" ref="O16:P16" si="24">D16/7</f>
        <v>0</v>
      </c>
      <c r="P16" s="51">
        <f t="shared" si="24"/>
        <v>0</v>
      </c>
      <c r="Q16" s="51" t="e">
        <f t="shared" si="7"/>
        <v>#DIV/0!</v>
      </c>
      <c r="R16" s="52">
        <v>0</v>
      </c>
      <c r="S16" s="53" t="s">
        <v>34</v>
      </c>
      <c r="T16" s="54" t="s">
        <v>34</v>
      </c>
      <c r="U16" s="52">
        <v>0</v>
      </c>
      <c r="V16" s="55">
        <f t="shared" si="8"/>
        <v>0</v>
      </c>
      <c r="W16" s="55">
        <f t="shared" si="9"/>
        <v>0</v>
      </c>
      <c r="X16" s="52">
        <v>0</v>
      </c>
      <c r="Y16" s="52" t="e">
        <v>#N/A</v>
      </c>
      <c r="Z16" s="56" t="e">
        <f t="shared" si="19"/>
        <v>#N/A</v>
      </c>
      <c r="AA16" s="55" t="e">
        <v>#N/A</v>
      </c>
      <c r="AB16" s="55">
        <f t="shared" si="11"/>
        <v>0</v>
      </c>
      <c r="AC16" s="55">
        <v>0</v>
      </c>
      <c r="AD16" s="55">
        <v>-7.7</v>
      </c>
      <c r="AE16" s="55">
        <v>0</v>
      </c>
      <c r="AF16" s="55"/>
    </row>
    <row r="17" spans="1:32" s="57" customFormat="1" ht="15.75" customHeight="1">
      <c r="A17" s="17" t="s">
        <v>67</v>
      </c>
      <c r="B17"/>
      <c r="C17" s="51" t="s">
        <v>397</v>
      </c>
      <c r="D17" s="51">
        <v>0</v>
      </c>
      <c r="E17" s="51">
        <v>0</v>
      </c>
      <c r="F17" s="51">
        <v>0</v>
      </c>
      <c r="G17" s="51">
        <v>0</v>
      </c>
      <c r="H17" s="51" t="e">
        <f t="shared" si="1"/>
        <v>#DIV/0!</v>
      </c>
      <c r="I17" s="51" t="e">
        <f t="shared" si="2"/>
        <v>#DIV/0!</v>
      </c>
      <c r="J17" s="51">
        <f t="shared" si="4"/>
        <v>0</v>
      </c>
      <c r="K17" s="51" t="e">
        <f t="shared" si="3"/>
        <v>#DIV/0!</v>
      </c>
      <c r="L17" s="51">
        <v>0</v>
      </c>
      <c r="M17" s="51" t="str">
        <f t="shared" si="5"/>
        <v>-</v>
      </c>
      <c r="N17" s="51">
        <v>0</v>
      </c>
      <c r="O17" s="51">
        <f t="shared" ref="O17:P17" si="25">D17/7</f>
        <v>0</v>
      </c>
      <c r="P17" s="51">
        <f t="shared" si="25"/>
        <v>0</v>
      </c>
      <c r="Q17" s="51" t="e">
        <f t="shared" si="7"/>
        <v>#DIV/0!</v>
      </c>
      <c r="R17" s="52">
        <v>0</v>
      </c>
      <c r="S17" s="53" t="s">
        <v>34</v>
      </c>
      <c r="T17" s="54" t="s">
        <v>34</v>
      </c>
      <c r="U17" s="52">
        <v>0</v>
      </c>
      <c r="V17" s="55">
        <f t="shared" si="8"/>
        <v>0</v>
      </c>
      <c r="W17" s="55">
        <f t="shared" si="9"/>
        <v>0</v>
      </c>
      <c r="X17" s="52">
        <v>0</v>
      </c>
      <c r="Y17" s="52" t="e">
        <v>#N/A</v>
      </c>
      <c r="Z17" s="56" t="e">
        <f t="shared" si="19"/>
        <v>#N/A</v>
      </c>
      <c r="AA17" s="55" t="e">
        <v>#N/A</v>
      </c>
      <c r="AB17" s="55">
        <f t="shared" si="11"/>
        <v>0</v>
      </c>
      <c r="AC17" s="55">
        <v>0</v>
      </c>
      <c r="AD17" s="55">
        <v>-7.7</v>
      </c>
      <c r="AE17" s="55">
        <v>0</v>
      </c>
      <c r="AF17" s="55"/>
    </row>
    <row r="18" spans="1:32" s="57" customFormat="1" ht="15.75" customHeight="1">
      <c r="A18" s="2" t="s">
        <v>69</v>
      </c>
      <c r="B18" s="2"/>
      <c r="C18" s="51" t="s">
        <v>397</v>
      </c>
      <c r="D18" s="51">
        <v>0</v>
      </c>
      <c r="E18" s="51">
        <v>0</v>
      </c>
      <c r="F18" s="51">
        <v>0</v>
      </c>
      <c r="G18" s="51">
        <v>0</v>
      </c>
      <c r="H18" s="51" t="e">
        <f t="shared" si="1"/>
        <v>#DIV/0!</v>
      </c>
      <c r="I18" s="51" t="e">
        <f t="shared" si="2"/>
        <v>#DIV/0!</v>
      </c>
      <c r="J18" s="51">
        <f t="shared" si="4"/>
        <v>0</v>
      </c>
      <c r="K18" s="51" t="e">
        <f t="shared" si="3"/>
        <v>#DIV/0!</v>
      </c>
      <c r="L18" s="51">
        <v>0</v>
      </c>
      <c r="M18" s="51" t="str">
        <f t="shared" si="5"/>
        <v>-</v>
      </c>
      <c r="N18" s="51">
        <v>0</v>
      </c>
      <c r="O18" s="51">
        <f t="shared" ref="O18:P18" si="26">D18/7</f>
        <v>0</v>
      </c>
      <c r="P18" s="51">
        <f t="shared" si="26"/>
        <v>0</v>
      </c>
      <c r="Q18" s="51" t="e">
        <f t="shared" si="7"/>
        <v>#DIV/0!</v>
      </c>
      <c r="R18" s="55">
        <v>0</v>
      </c>
      <c r="S18" s="53" t="s">
        <v>34</v>
      </c>
      <c r="T18" s="54" t="s">
        <v>34</v>
      </c>
      <c r="U18" s="55">
        <v>0</v>
      </c>
      <c r="V18" s="55">
        <f t="shared" si="8"/>
        <v>0</v>
      </c>
      <c r="W18" s="55">
        <f t="shared" si="9"/>
        <v>0</v>
      </c>
      <c r="X18" s="55">
        <v>0</v>
      </c>
      <c r="Y18" s="55" t="e">
        <v>#N/A</v>
      </c>
      <c r="Z18" s="56" t="e">
        <f t="shared" si="19"/>
        <v>#N/A</v>
      </c>
      <c r="AA18" s="55" t="e">
        <v>#N/A</v>
      </c>
      <c r="AB18" s="58">
        <f t="shared" ref="AB18:AB39" si="27">IFERROR(Z18*AA18*D18*3,0)</f>
        <v>0</v>
      </c>
      <c r="AC18" s="55">
        <v>0</v>
      </c>
      <c r="AD18" s="55">
        <v>-7.7</v>
      </c>
      <c r="AE18" s="55">
        <v>0</v>
      </c>
      <c r="AF18" s="55"/>
    </row>
    <row r="19" spans="1:32" s="57" customFormat="1" ht="15.75" customHeight="1">
      <c r="A19" s="17" t="s">
        <v>71</v>
      </c>
      <c r="B19"/>
      <c r="C19" s="51" t="s">
        <v>397</v>
      </c>
      <c r="D19" s="51">
        <v>0</v>
      </c>
      <c r="E19" s="51">
        <v>0</v>
      </c>
      <c r="F19" s="51">
        <v>0</v>
      </c>
      <c r="G19" s="51">
        <v>0</v>
      </c>
      <c r="H19" s="51" t="e">
        <f t="shared" si="1"/>
        <v>#DIV/0!</v>
      </c>
      <c r="I19" s="51" t="e">
        <f t="shared" si="2"/>
        <v>#DIV/0!</v>
      </c>
      <c r="J19" s="51">
        <f t="shared" si="4"/>
        <v>0</v>
      </c>
      <c r="K19" s="51" t="e">
        <f t="shared" si="3"/>
        <v>#DIV/0!</v>
      </c>
      <c r="L19" s="51">
        <v>0</v>
      </c>
      <c r="M19" s="51" t="str">
        <f t="shared" si="5"/>
        <v>-</v>
      </c>
      <c r="N19" s="51">
        <v>0</v>
      </c>
      <c r="O19" s="51">
        <f t="shared" ref="O19:P19" si="28">D19/7</f>
        <v>0</v>
      </c>
      <c r="P19" s="51">
        <f t="shared" si="28"/>
        <v>0</v>
      </c>
      <c r="Q19" s="51" t="e">
        <f t="shared" si="7"/>
        <v>#DIV/0!</v>
      </c>
      <c r="R19" s="52">
        <v>0</v>
      </c>
      <c r="S19" s="53" t="s">
        <v>34</v>
      </c>
      <c r="T19" s="54" t="s">
        <v>34</v>
      </c>
      <c r="U19" s="55">
        <v>0</v>
      </c>
      <c r="V19" s="55">
        <f t="shared" si="8"/>
        <v>0</v>
      </c>
      <c r="W19" s="55">
        <f t="shared" si="9"/>
        <v>0</v>
      </c>
      <c r="X19" s="52">
        <v>0</v>
      </c>
      <c r="Y19" s="52" t="e">
        <v>#N/A</v>
      </c>
      <c r="Z19" s="56" t="e">
        <f t="shared" si="19"/>
        <v>#N/A</v>
      </c>
      <c r="AA19" s="55" t="e">
        <v>#N/A</v>
      </c>
      <c r="AB19" s="55">
        <f t="shared" si="27"/>
        <v>0</v>
      </c>
      <c r="AC19" s="55">
        <v>0</v>
      </c>
      <c r="AD19" s="55">
        <v>-7.7</v>
      </c>
      <c r="AE19" s="55">
        <v>0</v>
      </c>
      <c r="AF19" s="55"/>
    </row>
    <row r="20" spans="1:32" s="57" customFormat="1" ht="15.75" customHeight="1">
      <c r="A20" s="17" t="s">
        <v>73</v>
      </c>
      <c r="B20"/>
      <c r="C20" s="51" t="s">
        <v>397</v>
      </c>
      <c r="D20" s="51">
        <v>0</v>
      </c>
      <c r="E20" s="51">
        <v>0</v>
      </c>
      <c r="F20" s="51">
        <v>0</v>
      </c>
      <c r="G20" s="51">
        <v>0</v>
      </c>
      <c r="H20" s="51" t="e">
        <f t="shared" si="1"/>
        <v>#DIV/0!</v>
      </c>
      <c r="I20" s="51" t="e">
        <f t="shared" si="2"/>
        <v>#DIV/0!</v>
      </c>
      <c r="J20" s="51">
        <f t="shared" si="4"/>
        <v>0</v>
      </c>
      <c r="K20" s="51" t="e">
        <f t="shared" si="3"/>
        <v>#DIV/0!</v>
      </c>
      <c r="L20" s="51">
        <v>0</v>
      </c>
      <c r="M20" s="51" t="str">
        <f t="shared" si="5"/>
        <v>-</v>
      </c>
      <c r="N20" s="51">
        <v>0</v>
      </c>
      <c r="O20" s="51">
        <f t="shared" ref="O20:P20" si="29">D20/7</f>
        <v>0</v>
      </c>
      <c r="P20" s="51">
        <f t="shared" si="29"/>
        <v>0</v>
      </c>
      <c r="Q20" s="51" t="e">
        <f t="shared" si="7"/>
        <v>#DIV/0!</v>
      </c>
      <c r="R20" s="52">
        <v>0</v>
      </c>
      <c r="S20" s="53" t="s">
        <v>34</v>
      </c>
      <c r="T20" s="54" t="s">
        <v>34</v>
      </c>
      <c r="U20" s="52">
        <v>0</v>
      </c>
      <c r="V20" s="55">
        <f t="shared" si="8"/>
        <v>0</v>
      </c>
      <c r="W20" s="55">
        <f t="shared" si="9"/>
        <v>0</v>
      </c>
      <c r="X20" s="52">
        <v>0</v>
      </c>
      <c r="Y20" s="52" t="e">
        <v>#N/A</v>
      </c>
      <c r="Z20" s="56" t="e">
        <f t="shared" si="19"/>
        <v>#N/A</v>
      </c>
      <c r="AA20" s="55" t="e">
        <v>#N/A</v>
      </c>
      <c r="AB20" s="55">
        <f t="shared" si="27"/>
        <v>0</v>
      </c>
      <c r="AC20" s="55">
        <v>0</v>
      </c>
      <c r="AD20" s="55">
        <v>-7.7</v>
      </c>
      <c r="AE20" s="55">
        <v>0</v>
      </c>
      <c r="AF20" s="55"/>
    </row>
    <row r="21" spans="1:32" s="57" customFormat="1" ht="15.75" customHeight="1">
      <c r="A21" s="17" t="s">
        <v>75</v>
      </c>
      <c r="B21"/>
      <c r="C21" s="51" t="s">
        <v>397</v>
      </c>
      <c r="D21" s="51">
        <v>0</v>
      </c>
      <c r="E21" s="51">
        <v>0</v>
      </c>
      <c r="F21" s="51">
        <v>0</v>
      </c>
      <c r="G21" s="51">
        <v>0</v>
      </c>
      <c r="H21" s="51" t="e">
        <f t="shared" si="1"/>
        <v>#DIV/0!</v>
      </c>
      <c r="I21" s="51" t="e">
        <f t="shared" si="2"/>
        <v>#DIV/0!</v>
      </c>
      <c r="J21" s="51">
        <f t="shared" si="4"/>
        <v>0</v>
      </c>
      <c r="K21" s="51" t="e">
        <f t="shared" si="3"/>
        <v>#DIV/0!</v>
      </c>
      <c r="L21" s="51">
        <v>0</v>
      </c>
      <c r="M21" s="51" t="str">
        <f t="shared" si="5"/>
        <v>-</v>
      </c>
      <c r="N21" s="51">
        <v>0</v>
      </c>
      <c r="O21" s="51">
        <f t="shared" ref="O21:P21" si="30">D21/7</f>
        <v>0</v>
      </c>
      <c r="P21" s="51">
        <f t="shared" si="30"/>
        <v>0</v>
      </c>
      <c r="Q21" s="51" t="e">
        <f t="shared" si="7"/>
        <v>#DIV/0!</v>
      </c>
      <c r="R21" s="52">
        <v>0</v>
      </c>
      <c r="S21" s="53" t="s">
        <v>34</v>
      </c>
      <c r="T21" s="54" t="s">
        <v>34</v>
      </c>
      <c r="U21" s="52">
        <v>0</v>
      </c>
      <c r="V21" s="55">
        <f t="shared" si="8"/>
        <v>0</v>
      </c>
      <c r="W21" s="55">
        <f t="shared" si="9"/>
        <v>0</v>
      </c>
      <c r="X21" s="52">
        <v>0</v>
      </c>
      <c r="Y21" s="52" t="e">
        <v>#N/A</v>
      </c>
      <c r="Z21" s="56" t="e">
        <f t="shared" si="19"/>
        <v>#N/A</v>
      </c>
      <c r="AA21" s="55" t="e">
        <v>#N/A</v>
      </c>
      <c r="AB21" s="55">
        <f t="shared" si="27"/>
        <v>0</v>
      </c>
      <c r="AC21" s="55">
        <v>0</v>
      </c>
      <c r="AD21" s="55">
        <v>-7.7</v>
      </c>
      <c r="AE21" s="55">
        <v>0</v>
      </c>
      <c r="AF21" s="55"/>
    </row>
    <row r="22" spans="1:32" s="57" customFormat="1" ht="15.75" customHeight="1">
      <c r="A22" s="17" t="s">
        <v>77</v>
      </c>
      <c r="B22"/>
      <c r="C22" s="51" t="s">
        <v>397</v>
      </c>
      <c r="D22" s="51">
        <v>0</v>
      </c>
      <c r="E22" s="51">
        <v>0</v>
      </c>
      <c r="F22" s="51">
        <v>0</v>
      </c>
      <c r="G22" s="51">
        <v>0</v>
      </c>
      <c r="H22" s="51" t="e">
        <f t="shared" si="1"/>
        <v>#DIV/0!</v>
      </c>
      <c r="I22" s="51" t="e">
        <f t="shared" si="2"/>
        <v>#DIV/0!</v>
      </c>
      <c r="J22" s="51">
        <f t="shared" si="4"/>
        <v>0</v>
      </c>
      <c r="K22" s="51" t="e">
        <f t="shared" si="3"/>
        <v>#DIV/0!</v>
      </c>
      <c r="L22" s="51">
        <v>0</v>
      </c>
      <c r="M22" s="51" t="str">
        <f t="shared" si="5"/>
        <v>-</v>
      </c>
      <c r="N22" s="51">
        <v>0</v>
      </c>
      <c r="O22" s="51">
        <f t="shared" ref="O22:P22" si="31">D22/7</f>
        <v>0</v>
      </c>
      <c r="P22" s="51">
        <f t="shared" si="31"/>
        <v>0</v>
      </c>
      <c r="Q22" s="51" t="e">
        <f t="shared" si="7"/>
        <v>#DIV/0!</v>
      </c>
      <c r="R22" s="52">
        <v>0</v>
      </c>
      <c r="S22" s="53" t="s">
        <v>34</v>
      </c>
      <c r="T22" s="54" t="s">
        <v>34</v>
      </c>
      <c r="U22" s="52">
        <v>0</v>
      </c>
      <c r="V22" s="55">
        <f t="shared" si="8"/>
        <v>0</v>
      </c>
      <c r="W22" s="55">
        <f t="shared" si="9"/>
        <v>0</v>
      </c>
      <c r="X22" s="52">
        <v>0</v>
      </c>
      <c r="Y22" s="52" t="e">
        <v>#N/A</v>
      </c>
      <c r="Z22" s="56" t="e">
        <f t="shared" si="19"/>
        <v>#N/A</v>
      </c>
      <c r="AA22" s="55" t="e">
        <v>#N/A</v>
      </c>
      <c r="AB22" s="55">
        <f t="shared" si="27"/>
        <v>0</v>
      </c>
      <c r="AC22" s="55">
        <v>0</v>
      </c>
      <c r="AD22" s="55">
        <v>-7.7</v>
      </c>
      <c r="AE22" s="55">
        <v>0</v>
      </c>
      <c r="AF22" s="55"/>
    </row>
    <row r="23" spans="1:32" s="57" customFormat="1" ht="15.75" customHeight="1">
      <c r="A23" s="17" t="s">
        <v>79</v>
      </c>
      <c r="B23"/>
      <c r="C23" s="51" t="s">
        <v>397</v>
      </c>
      <c r="D23" s="51">
        <v>0</v>
      </c>
      <c r="E23" s="51">
        <v>0</v>
      </c>
      <c r="F23" s="51">
        <v>0</v>
      </c>
      <c r="G23" s="51">
        <v>0</v>
      </c>
      <c r="H23" s="51" t="e">
        <f t="shared" si="1"/>
        <v>#DIV/0!</v>
      </c>
      <c r="I23" s="51" t="e">
        <f t="shared" si="2"/>
        <v>#DIV/0!</v>
      </c>
      <c r="J23" s="51">
        <f t="shared" si="4"/>
        <v>0</v>
      </c>
      <c r="K23" s="51" t="e">
        <f t="shared" si="3"/>
        <v>#DIV/0!</v>
      </c>
      <c r="L23" s="51">
        <v>0</v>
      </c>
      <c r="M23" s="51" t="str">
        <f t="shared" si="5"/>
        <v>-</v>
      </c>
      <c r="N23" s="51">
        <v>0</v>
      </c>
      <c r="O23" s="51">
        <f t="shared" ref="O23:P23" si="32">D23/7</f>
        <v>0</v>
      </c>
      <c r="P23" s="51">
        <f t="shared" si="32"/>
        <v>0</v>
      </c>
      <c r="Q23" s="51" t="e">
        <f t="shared" si="7"/>
        <v>#DIV/0!</v>
      </c>
      <c r="R23" s="52">
        <v>0</v>
      </c>
      <c r="S23" s="53" t="s">
        <v>34</v>
      </c>
      <c r="T23" s="54" t="s">
        <v>34</v>
      </c>
      <c r="U23" s="52">
        <v>0</v>
      </c>
      <c r="V23" s="55">
        <f t="shared" si="8"/>
        <v>0</v>
      </c>
      <c r="W23" s="55">
        <f t="shared" si="9"/>
        <v>0</v>
      </c>
      <c r="X23" s="52">
        <v>0</v>
      </c>
      <c r="Y23" s="52" t="e">
        <v>#N/A</v>
      </c>
      <c r="Z23" s="56" t="e">
        <f t="shared" si="19"/>
        <v>#N/A</v>
      </c>
      <c r="AA23" s="55" t="e">
        <v>#N/A</v>
      </c>
      <c r="AB23" s="55">
        <f t="shared" si="27"/>
        <v>0</v>
      </c>
      <c r="AC23" s="55">
        <v>0</v>
      </c>
      <c r="AD23" s="55">
        <v>-7.7</v>
      </c>
      <c r="AE23" s="55">
        <v>0</v>
      </c>
      <c r="AF23" s="55"/>
    </row>
    <row r="24" spans="1:32" s="57" customFormat="1" ht="15.75" customHeight="1">
      <c r="A24" s="17" t="s">
        <v>80</v>
      </c>
      <c r="B24"/>
      <c r="C24" s="51"/>
      <c r="D24" s="51">
        <v>0</v>
      </c>
      <c r="E24" s="51">
        <v>0</v>
      </c>
      <c r="F24" s="51">
        <v>0</v>
      </c>
      <c r="G24" s="51">
        <v>0</v>
      </c>
      <c r="H24" s="51" t="e">
        <f t="shared" si="1"/>
        <v>#DIV/0!</v>
      </c>
      <c r="I24" s="51" t="e">
        <f t="shared" si="2"/>
        <v>#DIV/0!</v>
      </c>
      <c r="J24" s="51">
        <f t="shared" si="4"/>
        <v>0</v>
      </c>
      <c r="K24" s="51" t="e">
        <f t="shared" si="3"/>
        <v>#DIV/0!</v>
      </c>
      <c r="L24" s="51">
        <v>0</v>
      </c>
      <c r="M24" s="51" t="str">
        <f t="shared" si="5"/>
        <v>-</v>
      </c>
      <c r="N24" s="51">
        <v>0</v>
      </c>
      <c r="O24" s="51">
        <f t="shared" ref="O24:P24" si="33">D24/7</f>
        <v>0</v>
      </c>
      <c r="P24" s="51">
        <f t="shared" si="33"/>
        <v>0</v>
      </c>
      <c r="Q24" s="51" t="e">
        <f t="shared" si="7"/>
        <v>#DIV/0!</v>
      </c>
      <c r="R24" s="52">
        <v>0</v>
      </c>
      <c r="S24" s="53" t="s">
        <v>34</v>
      </c>
      <c r="T24" s="54" t="s">
        <v>34</v>
      </c>
      <c r="U24" s="52">
        <v>0</v>
      </c>
      <c r="V24" s="55">
        <f t="shared" si="8"/>
        <v>0</v>
      </c>
      <c r="W24" s="55">
        <f t="shared" si="9"/>
        <v>0</v>
      </c>
      <c r="X24" s="52">
        <v>0</v>
      </c>
      <c r="Y24" s="52" t="e">
        <v>#N/A</v>
      </c>
      <c r="Z24" s="56" t="e">
        <f t="shared" si="19"/>
        <v>#N/A</v>
      </c>
      <c r="AA24" s="55" t="e">
        <v>#N/A</v>
      </c>
      <c r="AB24" s="55">
        <f t="shared" si="27"/>
        <v>0</v>
      </c>
      <c r="AC24" s="55">
        <v>0</v>
      </c>
      <c r="AD24" s="55">
        <v>-7.7</v>
      </c>
      <c r="AE24" s="55">
        <v>0</v>
      </c>
      <c r="AF24" s="55"/>
    </row>
    <row r="25" spans="1:32" s="57" customFormat="1" ht="15.75" customHeight="1">
      <c r="A25" s="17" t="s">
        <v>81</v>
      </c>
      <c r="B25"/>
      <c r="C25" s="51"/>
      <c r="D25" s="51">
        <v>0</v>
      </c>
      <c r="E25" s="51">
        <v>0</v>
      </c>
      <c r="F25" s="51">
        <v>0</v>
      </c>
      <c r="G25" s="51">
        <v>0</v>
      </c>
      <c r="H25" s="51" t="e">
        <f t="shared" si="1"/>
        <v>#DIV/0!</v>
      </c>
      <c r="I25" s="51" t="e">
        <f t="shared" si="2"/>
        <v>#DIV/0!</v>
      </c>
      <c r="J25" s="51">
        <f t="shared" si="4"/>
        <v>0</v>
      </c>
      <c r="K25" s="51" t="e">
        <f t="shared" si="3"/>
        <v>#DIV/0!</v>
      </c>
      <c r="L25" s="51">
        <v>0</v>
      </c>
      <c r="M25" s="51" t="str">
        <f t="shared" si="5"/>
        <v>-</v>
      </c>
      <c r="N25" s="51">
        <v>0</v>
      </c>
      <c r="O25" s="51">
        <f t="shared" ref="O25:P25" si="34">D25/7</f>
        <v>0</v>
      </c>
      <c r="P25" s="51">
        <f t="shared" si="34"/>
        <v>0</v>
      </c>
      <c r="Q25" s="51" t="e">
        <f t="shared" si="7"/>
        <v>#DIV/0!</v>
      </c>
      <c r="R25" s="52">
        <v>0</v>
      </c>
      <c r="S25" s="53" t="s">
        <v>34</v>
      </c>
      <c r="T25" s="54" t="s">
        <v>34</v>
      </c>
      <c r="U25" s="52">
        <v>0</v>
      </c>
      <c r="V25" s="55">
        <f t="shared" si="8"/>
        <v>0</v>
      </c>
      <c r="W25" s="55">
        <f t="shared" si="9"/>
        <v>0</v>
      </c>
      <c r="X25" s="52">
        <v>0</v>
      </c>
      <c r="Y25" s="52" t="e">
        <v>#N/A</v>
      </c>
      <c r="Z25" s="56" t="e">
        <f t="shared" si="19"/>
        <v>#N/A</v>
      </c>
      <c r="AA25" s="55" t="e">
        <v>#N/A</v>
      </c>
      <c r="AB25" s="55">
        <f t="shared" si="27"/>
        <v>0</v>
      </c>
      <c r="AC25" s="55">
        <v>0</v>
      </c>
      <c r="AD25" s="55">
        <v>-7.7</v>
      </c>
      <c r="AE25" s="55">
        <v>0</v>
      </c>
      <c r="AF25" s="55"/>
    </row>
    <row r="26" spans="1:32" s="57" customFormat="1" ht="15.75" customHeight="1">
      <c r="A26" s="17" t="s">
        <v>83</v>
      </c>
      <c r="B26"/>
      <c r="C26" s="51" t="str">
        <f t="shared" ref="C26:C39" si="35">IFERROR(F26/D26," - ")</f>
        <v xml:space="preserve"> - </v>
      </c>
      <c r="D26" s="51">
        <v>0</v>
      </c>
      <c r="E26" s="51">
        <v>0</v>
      </c>
      <c r="F26" s="51">
        <v>0</v>
      </c>
      <c r="G26" s="51">
        <v>0</v>
      </c>
      <c r="H26" s="51" t="e">
        <f t="shared" si="1"/>
        <v>#DIV/0!</v>
      </c>
      <c r="I26" s="51" t="e">
        <f t="shared" si="2"/>
        <v>#DIV/0!</v>
      </c>
      <c r="J26" s="51">
        <f t="shared" si="4"/>
        <v>0</v>
      </c>
      <c r="K26" s="51" t="e">
        <f t="shared" si="3"/>
        <v>#DIV/0!</v>
      </c>
      <c r="L26" s="51">
        <v>0</v>
      </c>
      <c r="M26" s="51" t="str">
        <f t="shared" si="5"/>
        <v>-</v>
      </c>
      <c r="N26" s="51">
        <v>0</v>
      </c>
      <c r="O26" s="51">
        <f t="shared" ref="O26:P26" si="36">D26/7</f>
        <v>0</v>
      </c>
      <c r="P26" s="51">
        <f t="shared" si="36"/>
        <v>0</v>
      </c>
      <c r="Q26" s="51" t="e">
        <f t="shared" si="7"/>
        <v>#DIV/0!</v>
      </c>
      <c r="R26" s="52">
        <v>0</v>
      </c>
      <c r="S26" s="53" t="s">
        <v>34</v>
      </c>
      <c r="T26" s="54" t="s">
        <v>34</v>
      </c>
      <c r="U26" s="52">
        <v>0</v>
      </c>
      <c r="V26" s="55">
        <f t="shared" si="8"/>
        <v>0</v>
      </c>
      <c r="W26" s="55">
        <f t="shared" si="9"/>
        <v>0</v>
      </c>
      <c r="X26" s="52">
        <v>0</v>
      </c>
      <c r="Y26" s="52" t="e">
        <v>#N/A</v>
      </c>
      <c r="Z26" s="56" t="e">
        <f t="shared" si="19"/>
        <v>#N/A</v>
      </c>
      <c r="AA26" s="55" t="e">
        <v>#N/A</v>
      </c>
      <c r="AB26" s="55">
        <f t="shared" si="27"/>
        <v>0</v>
      </c>
      <c r="AC26" s="55">
        <v>0</v>
      </c>
      <c r="AD26" s="55">
        <v>-7.7</v>
      </c>
      <c r="AE26" s="55">
        <v>0</v>
      </c>
      <c r="AF26" s="55"/>
    </row>
    <row r="27" spans="1:32" s="57" customFormat="1" ht="15.75" customHeight="1">
      <c r="A27" s="17" t="s">
        <v>84</v>
      </c>
      <c r="B27"/>
      <c r="C27" s="51" t="str">
        <f t="shared" si="35"/>
        <v xml:space="preserve"> - </v>
      </c>
      <c r="D27" s="51">
        <v>0</v>
      </c>
      <c r="E27" s="51">
        <v>0</v>
      </c>
      <c r="F27" s="51">
        <v>0</v>
      </c>
      <c r="G27" s="51">
        <v>0</v>
      </c>
      <c r="H27" s="51" t="e">
        <f t="shared" si="1"/>
        <v>#DIV/0!</v>
      </c>
      <c r="I27" s="51" t="e">
        <f t="shared" si="2"/>
        <v>#DIV/0!</v>
      </c>
      <c r="J27" s="51">
        <f t="shared" si="4"/>
        <v>0</v>
      </c>
      <c r="K27" s="51" t="e">
        <f t="shared" si="3"/>
        <v>#DIV/0!</v>
      </c>
      <c r="L27" s="51">
        <v>0</v>
      </c>
      <c r="M27" s="51" t="str">
        <f t="shared" si="5"/>
        <v>-</v>
      </c>
      <c r="N27" s="51">
        <v>0</v>
      </c>
      <c r="O27" s="51">
        <f t="shared" ref="O27:P27" si="37">D27/7</f>
        <v>0</v>
      </c>
      <c r="P27" s="51">
        <f t="shared" si="37"/>
        <v>0</v>
      </c>
      <c r="Q27" s="51" t="e">
        <f t="shared" si="7"/>
        <v>#DIV/0!</v>
      </c>
      <c r="R27" s="52">
        <v>0</v>
      </c>
      <c r="S27" s="53" t="s">
        <v>34</v>
      </c>
      <c r="T27" s="54" t="s">
        <v>34</v>
      </c>
      <c r="U27" s="52">
        <v>0</v>
      </c>
      <c r="V27" s="55">
        <f t="shared" si="8"/>
        <v>0</v>
      </c>
      <c r="W27" s="55">
        <f t="shared" si="9"/>
        <v>0</v>
      </c>
      <c r="X27" s="52">
        <v>0</v>
      </c>
      <c r="Y27" s="52" t="e">
        <v>#N/A</v>
      </c>
      <c r="Z27" s="56" t="e">
        <f t="shared" si="19"/>
        <v>#N/A</v>
      </c>
      <c r="AA27" s="55" t="e">
        <v>#N/A</v>
      </c>
      <c r="AB27" s="55">
        <f t="shared" si="27"/>
        <v>0</v>
      </c>
      <c r="AC27" s="55">
        <v>0</v>
      </c>
      <c r="AD27" s="55">
        <v>-7.7</v>
      </c>
      <c r="AE27" s="55">
        <v>0</v>
      </c>
      <c r="AF27" s="55"/>
    </row>
    <row r="28" spans="1:32" s="57" customFormat="1" ht="15.75" customHeight="1">
      <c r="A28" s="17" t="s">
        <v>86</v>
      </c>
      <c r="B28"/>
      <c r="C28" s="51" t="str">
        <f t="shared" si="35"/>
        <v xml:space="preserve"> - </v>
      </c>
      <c r="D28" s="51">
        <v>0</v>
      </c>
      <c r="E28" s="51">
        <v>0</v>
      </c>
      <c r="F28" s="51">
        <v>0</v>
      </c>
      <c r="G28" s="51">
        <v>0</v>
      </c>
      <c r="H28" s="51" t="e">
        <f t="shared" si="1"/>
        <v>#DIV/0!</v>
      </c>
      <c r="I28" s="51" t="e">
        <f t="shared" si="2"/>
        <v>#DIV/0!</v>
      </c>
      <c r="J28" s="51">
        <f t="shared" si="4"/>
        <v>0</v>
      </c>
      <c r="K28" s="51" t="e">
        <f t="shared" si="3"/>
        <v>#DIV/0!</v>
      </c>
      <c r="L28" s="51">
        <v>0</v>
      </c>
      <c r="M28" s="51" t="str">
        <f t="shared" si="5"/>
        <v>-</v>
      </c>
      <c r="N28" s="51">
        <v>0</v>
      </c>
      <c r="O28" s="51">
        <f t="shared" ref="O28:P28" si="38">D28/7</f>
        <v>0</v>
      </c>
      <c r="P28" s="51">
        <f t="shared" si="38"/>
        <v>0</v>
      </c>
      <c r="Q28" s="51" t="e">
        <f t="shared" si="7"/>
        <v>#DIV/0!</v>
      </c>
      <c r="R28" s="52">
        <v>0</v>
      </c>
      <c r="S28" s="53" t="s">
        <v>34</v>
      </c>
      <c r="T28" s="54" t="s">
        <v>34</v>
      </c>
      <c r="U28" s="52">
        <v>0</v>
      </c>
      <c r="V28" s="55">
        <f t="shared" si="8"/>
        <v>0</v>
      </c>
      <c r="W28" s="55">
        <f t="shared" si="9"/>
        <v>0</v>
      </c>
      <c r="X28" s="52">
        <v>0</v>
      </c>
      <c r="Y28" s="52" t="e">
        <v>#N/A</v>
      </c>
      <c r="Z28" s="56" t="e">
        <f t="shared" si="19"/>
        <v>#N/A</v>
      </c>
      <c r="AA28" s="55" t="e">
        <v>#N/A</v>
      </c>
      <c r="AB28" s="55">
        <f t="shared" si="27"/>
        <v>0</v>
      </c>
      <c r="AC28" s="55">
        <v>0</v>
      </c>
      <c r="AD28" s="55">
        <v>-7.7</v>
      </c>
      <c r="AE28" s="55">
        <v>0</v>
      </c>
      <c r="AF28" s="55"/>
    </row>
    <row r="29" spans="1:32" s="57" customFormat="1" ht="15.75" customHeight="1">
      <c r="A29" s="17" t="s">
        <v>87</v>
      </c>
      <c r="B29"/>
      <c r="C29" s="51" t="str">
        <f t="shared" si="35"/>
        <v xml:space="preserve"> - </v>
      </c>
      <c r="D29" s="51">
        <v>0</v>
      </c>
      <c r="E29" s="51">
        <v>0</v>
      </c>
      <c r="F29" s="51">
        <v>0</v>
      </c>
      <c r="G29" s="51">
        <v>0</v>
      </c>
      <c r="H29" s="51" t="e">
        <f t="shared" si="1"/>
        <v>#DIV/0!</v>
      </c>
      <c r="I29" s="51" t="e">
        <f t="shared" si="2"/>
        <v>#DIV/0!</v>
      </c>
      <c r="J29" s="51">
        <f t="shared" si="4"/>
        <v>0</v>
      </c>
      <c r="K29" s="51" t="e">
        <f t="shared" si="3"/>
        <v>#DIV/0!</v>
      </c>
      <c r="L29" s="51">
        <v>0</v>
      </c>
      <c r="M29" s="51" t="str">
        <f t="shared" si="5"/>
        <v>-</v>
      </c>
      <c r="N29" s="51">
        <v>0</v>
      </c>
      <c r="O29" s="51">
        <f t="shared" ref="O29:P29" si="39">D29/7</f>
        <v>0</v>
      </c>
      <c r="P29" s="51">
        <f t="shared" si="39"/>
        <v>0</v>
      </c>
      <c r="Q29" s="51" t="e">
        <f t="shared" si="7"/>
        <v>#DIV/0!</v>
      </c>
      <c r="R29" s="52">
        <v>0</v>
      </c>
      <c r="S29" s="53" t="s">
        <v>34</v>
      </c>
      <c r="T29" s="54" t="s">
        <v>34</v>
      </c>
      <c r="U29" s="52">
        <v>0</v>
      </c>
      <c r="V29" s="55">
        <f t="shared" si="8"/>
        <v>0</v>
      </c>
      <c r="W29" s="55">
        <f t="shared" si="9"/>
        <v>0</v>
      </c>
      <c r="X29" s="52">
        <v>0</v>
      </c>
      <c r="Y29" s="52" t="e">
        <v>#N/A</v>
      </c>
      <c r="Z29" s="56" t="e">
        <f t="shared" si="19"/>
        <v>#N/A</v>
      </c>
      <c r="AA29" s="55" t="e">
        <v>#N/A</v>
      </c>
      <c r="AB29" s="55">
        <f t="shared" si="27"/>
        <v>0</v>
      </c>
      <c r="AC29" s="55">
        <v>0</v>
      </c>
      <c r="AD29" s="55">
        <v>-7.7</v>
      </c>
      <c r="AE29" s="55">
        <v>0</v>
      </c>
      <c r="AF29" s="55"/>
    </row>
    <row r="30" spans="1:32" s="57" customFormat="1" ht="15.75" customHeight="1">
      <c r="A30" s="17" t="s">
        <v>89</v>
      </c>
      <c r="B30"/>
      <c r="C30" s="51" t="str">
        <f t="shared" si="35"/>
        <v xml:space="preserve"> - </v>
      </c>
      <c r="D30" s="51">
        <v>0</v>
      </c>
      <c r="E30" s="51">
        <v>0</v>
      </c>
      <c r="F30" s="51">
        <v>0</v>
      </c>
      <c r="G30" s="51">
        <v>0</v>
      </c>
      <c r="H30" s="51" t="e">
        <f t="shared" si="1"/>
        <v>#DIV/0!</v>
      </c>
      <c r="I30" s="51" t="e">
        <f t="shared" si="2"/>
        <v>#DIV/0!</v>
      </c>
      <c r="J30" s="51">
        <f t="shared" si="4"/>
        <v>0</v>
      </c>
      <c r="K30" s="51" t="e">
        <f t="shared" si="3"/>
        <v>#DIV/0!</v>
      </c>
      <c r="L30" s="51">
        <v>0</v>
      </c>
      <c r="M30" s="51" t="str">
        <f t="shared" si="5"/>
        <v>-</v>
      </c>
      <c r="N30" s="51">
        <v>0</v>
      </c>
      <c r="O30" s="51">
        <f t="shared" ref="O30:P30" si="40">D30/7</f>
        <v>0</v>
      </c>
      <c r="P30" s="51">
        <f t="shared" si="40"/>
        <v>0</v>
      </c>
      <c r="Q30" s="51" t="e">
        <f t="shared" si="7"/>
        <v>#DIV/0!</v>
      </c>
      <c r="R30" s="52">
        <v>0</v>
      </c>
      <c r="S30" s="53" t="s">
        <v>34</v>
      </c>
      <c r="T30" s="54" t="s">
        <v>34</v>
      </c>
      <c r="U30" s="52">
        <v>0</v>
      </c>
      <c r="V30" s="55">
        <f t="shared" si="8"/>
        <v>0</v>
      </c>
      <c r="W30" s="55">
        <f t="shared" si="9"/>
        <v>0</v>
      </c>
      <c r="X30" s="52">
        <v>0</v>
      </c>
      <c r="Y30" s="52" t="e">
        <v>#N/A</v>
      </c>
      <c r="Z30" s="56" t="e">
        <f t="shared" si="19"/>
        <v>#N/A</v>
      </c>
      <c r="AA30" s="55" t="e">
        <v>#N/A</v>
      </c>
      <c r="AB30" s="55">
        <f t="shared" si="27"/>
        <v>0</v>
      </c>
      <c r="AC30" s="55">
        <v>0</v>
      </c>
      <c r="AD30" s="55">
        <v>-7.7</v>
      </c>
      <c r="AE30" s="55">
        <v>0</v>
      </c>
      <c r="AF30" s="55"/>
    </row>
    <row r="31" spans="1:32" s="57" customFormat="1" ht="15.75" customHeight="1">
      <c r="A31" s="17" t="s">
        <v>90</v>
      </c>
      <c r="B31"/>
      <c r="C31" s="51" t="str">
        <f t="shared" si="35"/>
        <v xml:space="preserve"> - </v>
      </c>
      <c r="D31" s="51">
        <v>0</v>
      </c>
      <c r="E31" s="51">
        <v>0</v>
      </c>
      <c r="F31" s="51">
        <v>0</v>
      </c>
      <c r="G31" s="51">
        <v>0</v>
      </c>
      <c r="H31" s="51" t="e">
        <f t="shared" si="1"/>
        <v>#DIV/0!</v>
      </c>
      <c r="I31" s="51" t="e">
        <f t="shared" si="2"/>
        <v>#DIV/0!</v>
      </c>
      <c r="J31" s="51">
        <f t="shared" si="4"/>
        <v>0</v>
      </c>
      <c r="K31" s="51" t="e">
        <f t="shared" si="3"/>
        <v>#DIV/0!</v>
      </c>
      <c r="L31" s="51">
        <v>0</v>
      </c>
      <c r="M31" s="51" t="str">
        <f t="shared" si="5"/>
        <v>-</v>
      </c>
      <c r="N31" s="51">
        <v>0</v>
      </c>
      <c r="O31" s="51">
        <f t="shared" ref="O31:P31" si="41">D31/7</f>
        <v>0</v>
      </c>
      <c r="P31" s="51">
        <f t="shared" si="41"/>
        <v>0</v>
      </c>
      <c r="Q31" s="51" t="e">
        <f t="shared" si="7"/>
        <v>#DIV/0!</v>
      </c>
      <c r="R31" s="52">
        <v>0</v>
      </c>
      <c r="S31" s="53" t="s">
        <v>34</v>
      </c>
      <c r="T31" s="54" t="s">
        <v>34</v>
      </c>
      <c r="U31" s="52">
        <v>0</v>
      </c>
      <c r="V31" s="55">
        <f t="shared" si="8"/>
        <v>0</v>
      </c>
      <c r="W31" s="55">
        <f t="shared" si="9"/>
        <v>0</v>
      </c>
      <c r="X31" s="52">
        <v>0</v>
      </c>
      <c r="Y31" s="52" t="e">
        <v>#N/A</v>
      </c>
      <c r="Z31" s="56" t="e">
        <f t="shared" si="19"/>
        <v>#N/A</v>
      </c>
      <c r="AA31" s="55" t="e">
        <v>#N/A</v>
      </c>
      <c r="AB31" s="55">
        <f t="shared" si="27"/>
        <v>0</v>
      </c>
      <c r="AC31" s="55">
        <v>0</v>
      </c>
      <c r="AD31" s="55">
        <v>-7.7</v>
      </c>
      <c r="AE31" s="55">
        <v>0</v>
      </c>
      <c r="AF31" s="55"/>
    </row>
    <row r="32" spans="1:32" s="57" customFormat="1" ht="15.75" customHeight="1">
      <c r="A32" s="17" t="s">
        <v>92</v>
      </c>
      <c r="B32"/>
      <c r="C32" s="51" t="str">
        <f t="shared" si="35"/>
        <v xml:space="preserve"> - </v>
      </c>
      <c r="D32" s="51">
        <v>0</v>
      </c>
      <c r="E32" s="51">
        <v>0</v>
      </c>
      <c r="F32" s="51">
        <v>0</v>
      </c>
      <c r="G32" s="51">
        <v>0</v>
      </c>
      <c r="H32" s="51" t="e">
        <f t="shared" si="1"/>
        <v>#DIV/0!</v>
      </c>
      <c r="I32" s="51" t="e">
        <f t="shared" si="2"/>
        <v>#DIV/0!</v>
      </c>
      <c r="J32" s="51">
        <f t="shared" si="4"/>
        <v>0</v>
      </c>
      <c r="K32" s="51" t="e">
        <f t="shared" si="3"/>
        <v>#DIV/0!</v>
      </c>
      <c r="L32" s="51">
        <v>0</v>
      </c>
      <c r="M32" s="51" t="str">
        <f t="shared" si="5"/>
        <v>-</v>
      </c>
      <c r="N32" s="51">
        <v>0</v>
      </c>
      <c r="O32" s="51">
        <f t="shared" ref="O32:P32" si="42">D32/7</f>
        <v>0</v>
      </c>
      <c r="P32" s="51">
        <f t="shared" si="42"/>
        <v>0</v>
      </c>
      <c r="Q32" s="51" t="e">
        <f t="shared" si="7"/>
        <v>#DIV/0!</v>
      </c>
      <c r="R32" s="52">
        <v>0</v>
      </c>
      <c r="S32" s="53" t="s">
        <v>34</v>
      </c>
      <c r="T32" s="54" t="s">
        <v>34</v>
      </c>
      <c r="U32" s="52">
        <v>0</v>
      </c>
      <c r="V32" s="55">
        <f t="shared" si="8"/>
        <v>0</v>
      </c>
      <c r="W32" s="55">
        <f t="shared" si="9"/>
        <v>0</v>
      </c>
      <c r="X32" s="52">
        <v>0</v>
      </c>
      <c r="Y32" s="52" t="e">
        <v>#N/A</v>
      </c>
      <c r="Z32" s="56" t="e">
        <f t="shared" si="19"/>
        <v>#N/A</v>
      </c>
      <c r="AA32" s="55" t="e">
        <v>#N/A</v>
      </c>
      <c r="AB32" s="55">
        <f t="shared" si="27"/>
        <v>0</v>
      </c>
      <c r="AC32" s="55">
        <v>0</v>
      </c>
      <c r="AD32" s="55">
        <v>-7.7</v>
      </c>
      <c r="AE32" s="55">
        <v>0</v>
      </c>
      <c r="AF32" s="52" t="e">
        <v>#N/A</v>
      </c>
    </row>
    <row r="33" spans="1:32" s="57" customFormat="1" ht="15.75" customHeight="1">
      <c r="A33" s="17" t="s">
        <v>94</v>
      </c>
      <c r="B33"/>
      <c r="C33" s="51" t="str">
        <f t="shared" si="35"/>
        <v xml:space="preserve"> - </v>
      </c>
      <c r="D33" s="51">
        <v>0</v>
      </c>
      <c r="E33" s="51">
        <v>0</v>
      </c>
      <c r="F33" s="51">
        <v>0</v>
      </c>
      <c r="G33" s="51">
        <v>0</v>
      </c>
      <c r="H33" s="51" t="e">
        <f t="shared" si="1"/>
        <v>#DIV/0!</v>
      </c>
      <c r="I33" s="51" t="e">
        <f t="shared" si="2"/>
        <v>#DIV/0!</v>
      </c>
      <c r="J33" s="51">
        <f t="shared" si="4"/>
        <v>0</v>
      </c>
      <c r="K33" s="51" t="e">
        <f t="shared" si="3"/>
        <v>#DIV/0!</v>
      </c>
      <c r="L33" s="51">
        <v>0</v>
      </c>
      <c r="M33" s="51" t="str">
        <f t="shared" si="5"/>
        <v>-</v>
      </c>
      <c r="N33" s="51">
        <v>0</v>
      </c>
      <c r="O33" s="51">
        <f t="shared" ref="O33:P33" si="43">D33/7</f>
        <v>0</v>
      </c>
      <c r="P33" s="51">
        <f t="shared" si="43"/>
        <v>0</v>
      </c>
      <c r="Q33" s="51" t="e">
        <f t="shared" si="7"/>
        <v>#DIV/0!</v>
      </c>
      <c r="R33" s="52">
        <v>0</v>
      </c>
      <c r="S33" s="53" t="s">
        <v>34</v>
      </c>
      <c r="T33" s="54" t="s">
        <v>34</v>
      </c>
      <c r="U33" s="52">
        <v>0</v>
      </c>
      <c r="V33" s="55">
        <f t="shared" si="8"/>
        <v>0</v>
      </c>
      <c r="W33" s="55">
        <f t="shared" si="9"/>
        <v>0</v>
      </c>
      <c r="X33" s="52">
        <v>0</v>
      </c>
      <c r="Y33" s="52" t="e">
        <v>#N/A</v>
      </c>
      <c r="Z33" s="56" t="e">
        <f t="shared" si="19"/>
        <v>#N/A</v>
      </c>
      <c r="AA33" s="55" t="e">
        <v>#N/A</v>
      </c>
      <c r="AB33" s="55">
        <f t="shared" si="27"/>
        <v>0</v>
      </c>
      <c r="AC33" s="55">
        <v>0</v>
      </c>
      <c r="AD33" s="55">
        <v>-7.7</v>
      </c>
      <c r="AE33" s="55">
        <v>0</v>
      </c>
      <c r="AF33" s="55" t="e">
        <v>#N/A</v>
      </c>
    </row>
    <row r="34" spans="1:32" s="57" customFormat="1" ht="15.75" customHeight="1">
      <c r="A34" s="17" t="s">
        <v>95</v>
      </c>
      <c r="B34"/>
      <c r="C34" s="51" t="str">
        <f t="shared" si="35"/>
        <v xml:space="preserve"> - </v>
      </c>
      <c r="D34" s="51">
        <v>0</v>
      </c>
      <c r="E34" s="51">
        <v>0</v>
      </c>
      <c r="F34" s="51">
        <v>0</v>
      </c>
      <c r="G34" s="51">
        <v>0</v>
      </c>
      <c r="H34" s="51" t="e">
        <f t="shared" si="1"/>
        <v>#DIV/0!</v>
      </c>
      <c r="I34" s="51" t="e">
        <f t="shared" si="2"/>
        <v>#DIV/0!</v>
      </c>
      <c r="J34" s="51">
        <f t="shared" si="4"/>
        <v>0</v>
      </c>
      <c r="K34" s="51" t="e">
        <f t="shared" si="3"/>
        <v>#DIV/0!</v>
      </c>
      <c r="L34" s="51">
        <v>0</v>
      </c>
      <c r="M34" s="51" t="str">
        <f t="shared" si="5"/>
        <v>-</v>
      </c>
      <c r="N34" s="51">
        <v>0</v>
      </c>
      <c r="O34" s="51">
        <f t="shared" ref="O34:P34" si="44">D34/7</f>
        <v>0</v>
      </c>
      <c r="P34" s="51">
        <f t="shared" si="44"/>
        <v>0</v>
      </c>
      <c r="Q34" s="51" t="e">
        <f t="shared" si="7"/>
        <v>#DIV/0!</v>
      </c>
      <c r="R34" s="55">
        <v>0</v>
      </c>
      <c r="S34" s="53" t="s">
        <v>34</v>
      </c>
      <c r="T34" s="54" t="s">
        <v>34</v>
      </c>
      <c r="U34" s="52">
        <v>0</v>
      </c>
      <c r="V34" s="55">
        <f t="shared" si="8"/>
        <v>0</v>
      </c>
      <c r="W34" s="55">
        <f t="shared" si="9"/>
        <v>0</v>
      </c>
      <c r="X34" s="52">
        <v>0</v>
      </c>
      <c r="Y34" s="52" t="e">
        <v>#N/A</v>
      </c>
      <c r="Z34" s="56" t="e">
        <f t="shared" si="19"/>
        <v>#N/A</v>
      </c>
      <c r="AA34" s="55" t="e">
        <v>#N/A</v>
      </c>
      <c r="AB34" s="55">
        <f t="shared" si="27"/>
        <v>0</v>
      </c>
      <c r="AC34" s="55">
        <v>0</v>
      </c>
      <c r="AD34" s="55">
        <v>-7.7</v>
      </c>
      <c r="AE34" s="55">
        <v>0</v>
      </c>
      <c r="AF34" s="55" t="e">
        <v>#N/A</v>
      </c>
    </row>
    <row r="35" spans="1:32" s="57" customFormat="1" ht="15.75" customHeight="1">
      <c r="A35" s="17" t="s">
        <v>96</v>
      </c>
      <c r="B35"/>
      <c r="C35" s="51" t="str">
        <f t="shared" si="35"/>
        <v xml:space="preserve"> - </v>
      </c>
      <c r="D35" s="51">
        <v>0</v>
      </c>
      <c r="E35" s="51">
        <v>0</v>
      </c>
      <c r="F35" s="51">
        <v>0</v>
      </c>
      <c r="G35" s="51">
        <v>0</v>
      </c>
      <c r="H35" s="51" t="e">
        <f t="shared" si="1"/>
        <v>#DIV/0!</v>
      </c>
      <c r="I35" s="51" t="e">
        <f t="shared" si="2"/>
        <v>#DIV/0!</v>
      </c>
      <c r="J35" s="51">
        <f t="shared" si="4"/>
        <v>0</v>
      </c>
      <c r="K35" s="51" t="e">
        <f t="shared" si="3"/>
        <v>#DIV/0!</v>
      </c>
      <c r="L35" s="51">
        <v>0</v>
      </c>
      <c r="M35" s="51" t="str">
        <f t="shared" si="5"/>
        <v>-</v>
      </c>
      <c r="N35" s="51">
        <v>0</v>
      </c>
      <c r="O35" s="51">
        <f t="shared" ref="O35:P35" si="45">D35/7</f>
        <v>0</v>
      </c>
      <c r="P35" s="51">
        <f t="shared" si="45"/>
        <v>0</v>
      </c>
      <c r="Q35" s="51" t="e">
        <f t="shared" si="7"/>
        <v>#DIV/0!</v>
      </c>
      <c r="R35" s="55">
        <v>0</v>
      </c>
      <c r="S35" s="53" t="s">
        <v>34</v>
      </c>
      <c r="T35" s="54" t="s">
        <v>34</v>
      </c>
      <c r="U35" s="52">
        <v>0</v>
      </c>
      <c r="V35" s="55">
        <f t="shared" si="8"/>
        <v>0</v>
      </c>
      <c r="W35" s="55">
        <f t="shared" si="9"/>
        <v>0</v>
      </c>
      <c r="X35" s="52">
        <v>0</v>
      </c>
      <c r="Y35" s="52" t="e">
        <v>#N/A</v>
      </c>
      <c r="Z35" s="56" t="e">
        <f t="shared" si="19"/>
        <v>#N/A</v>
      </c>
      <c r="AA35" s="55" t="e">
        <v>#N/A</v>
      </c>
      <c r="AB35" s="55">
        <f t="shared" si="27"/>
        <v>0</v>
      </c>
      <c r="AC35" s="55">
        <v>0</v>
      </c>
      <c r="AD35" s="55">
        <v>-7.7</v>
      </c>
      <c r="AE35" s="55">
        <v>0</v>
      </c>
      <c r="AF35" s="55" t="e">
        <v>#N/A</v>
      </c>
    </row>
    <row r="36" spans="1:32" s="57" customFormat="1" ht="15.75" customHeight="1">
      <c r="A36" s="17" t="s">
        <v>98</v>
      </c>
      <c r="B36"/>
      <c r="C36" s="51" t="str">
        <f t="shared" si="35"/>
        <v xml:space="preserve"> - </v>
      </c>
      <c r="D36" s="51">
        <v>0</v>
      </c>
      <c r="E36" s="51">
        <v>0</v>
      </c>
      <c r="F36" s="51">
        <v>0</v>
      </c>
      <c r="G36" s="51">
        <v>0</v>
      </c>
      <c r="H36" s="51" t="e">
        <f t="shared" si="1"/>
        <v>#DIV/0!</v>
      </c>
      <c r="I36" s="51" t="e">
        <f t="shared" si="2"/>
        <v>#DIV/0!</v>
      </c>
      <c r="J36" s="51">
        <f t="shared" si="4"/>
        <v>0</v>
      </c>
      <c r="K36" s="51" t="e">
        <f t="shared" si="3"/>
        <v>#DIV/0!</v>
      </c>
      <c r="L36" s="51">
        <v>0</v>
      </c>
      <c r="M36" s="51" t="str">
        <f t="shared" si="5"/>
        <v>-</v>
      </c>
      <c r="N36" s="51">
        <v>0</v>
      </c>
      <c r="O36" s="51">
        <f t="shared" ref="O36:P36" si="46">D36/7</f>
        <v>0</v>
      </c>
      <c r="P36" s="51">
        <f t="shared" si="46"/>
        <v>0</v>
      </c>
      <c r="Q36" s="51" t="e">
        <f t="shared" si="7"/>
        <v>#DIV/0!</v>
      </c>
      <c r="R36" s="55">
        <v>0</v>
      </c>
      <c r="S36" s="53"/>
      <c r="T36" s="54" t="s">
        <v>34</v>
      </c>
      <c r="V36" s="55">
        <f t="shared" si="8"/>
        <v>0</v>
      </c>
      <c r="W36" s="55">
        <f t="shared" si="9"/>
        <v>0</v>
      </c>
      <c r="Y36" s="52" t="e">
        <v>#N/A</v>
      </c>
      <c r="Z36" s="56" t="e">
        <f t="shared" si="19"/>
        <v>#N/A</v>
      </c>
      <c r="AA36" s="55" t="e">
        <v>#N/A</v>
      </c>
      <c r="AB36" s="55">
        <f t="shared" si="27"/>
        <v>0</v>
      </c>
      <c r="AC36" s="55">
        <v>0</v>
      </c>
      <c r="AD36" s="55">
        <v>-7.7</v>
      </c>
      <c r="AE36" s="55">
        <v>0</v>
      </c>
      <c r="AF36" s="55" t="e">
        <v>#N/A</v>
      </c>
    </row>
    <row r="37" spans="1:32" s="57" customFormat="1" ht="15.75" customHeight="1">
      <c r="A37" s="17" t="s">
        <v>99</v>
      </c>
      <c r="B37"/>
      <c r="C37" s="51" t="str">
        <f t="shared" si="35"/>
        <v xml:space="preserve"> - </v>
      </c>
      <c r="D37" s="51">
        <v>0</v>
      </c>
      <c r="E37" s="51">
        <v>0</v>
      </c>
      <c r="F37" s="51">
        <v>0</v>
      </c>
      <c r="G37" s="51">
        <v>0</v>
      </c>
      <c r="H37" s="51" t="e">
        <f t="shared" si="1"/>
        <v>#DIV/0!</v>
      </c>
      <c r="I37" s="51" t="e">
        <f t="shared" si="2"/>
        <v>#DIV/0!</v>
      </c>
      <c r="J37" s="51">
        <f t="shared" si="4"/>
        <v>0</v>
      </c>
      <c r="K37" s="51" t="e">
        <f t="shared" si="3"/>
        <v>#DIV/0!</v>
      </c>
      <c r="L37" s="51">
        <v>0</v>
      </c>
      <c r="M37" s="51" t="str">
        <f t="shared" si="5"/>
        <v>-</v>
      </c>
      <c r="N37" s="51">
        <v>0</v>
      </c>
      <c r="O37" s="51">
        <f t="shared" ref="O37:P37" si="47">D37/7</f>
        <v>0</v>
      </c>
      <c r="P37" s="51">
        <f t="shared" si="47"/>
        <v>0</v>
      </c>
      <c r="Q37" s="51" t="e">
        <f t="shared" si="7"/>
        <v>#DIV/0!</v>
      </c>
      <c r="R37" s="55">
        <v>0</v>
      </c>
      <c r="S37" s="53" t="s">
        <v>34</v>
      </c>
      <c r="T37" s="54" t="s">
        <v>34</v>
      </c>
      <c r="U37" s="52">
        <v>0</v>
      </c>
      <c r="V37" s="55">
        <f t="shared" si="8"/>
        <v>0</v>
      </c>
      <c r="W37" s="55">
        <f t="shared" si="9"/>
        <v>0</v>
      </c>
      <c r="X37" s="52">
        <v>0</v>
      </c>
      <c r="Y37" s="52" t="e">
        <v>#N/A</v>
      </c>
      <c r="Z37" s="56" t="e">
        <f t="shared" si="19"/>
        <v>#N/A</v>
      </c>
      <c r="AA37" s="55" t="e">
        <v>#N/A</v>
      </c>
      <c r="AB37" s="55">
        <f t="shared" si="27"/>
        <v>0</v>
      </c>
      <c r="AC37" s="55">
        <v>0</v>
      </c>
      <c r="AD37" s="55">
        <v>-7.7</v>
      </c>
      <c r="AE37" s="55">
        <v>0</v>
      </c>
      <c r="AF37" s="55" t="e">
        <v>#N/A</v>
      </c>
    </row>
    <row r="38" spans="1:32" s="57" customFormat="1" ht="15.75" customHeight="1">
      <c r="A38" s="17" t="s">
        <v>100</v>
      </c>
      <c r="B38"/>
      <c r="C38" s="51" t="str">
        <f t="shared" si="35"/>
        <v xml:space="preserve"> - </v>
      </c>
      <c r="D38" s="51">
        <v>0</v>
      </c>
      <c r="E38" s="51">
        <v>0</v>
      </c>
      <c r="F38" s="51">
        <v>0</v>
      </c>
      <c r="G38" s="51">
        <v>0</v>
      </c>
      <c r="H38" s="51" t="e">
        <f t="shared" si="1"/>
        <v>#DIV/0!</v>
      </c>
      <c r="I38" s="51" t="e">
        <f t="shared" si="2"/>
        <v>#DIV/0!</v>
      </c>
      <c r="J38" s="51">
        <f t="shared" si="4"/>
        <v>0</v>
      </c>
      <c r="K38" s="51" t="e">
        <f t="shared" si="3"/>
        <v>#DIV/0!</v>
      </c>
      <c r="L38" s="51">
        <v>0</v>
      </c>
      <c r="M38" s="51" t="str">
        <f t="shared" si="5"/>
        <v>-</v>
      </c>
      <c r="N38" s="51">
        <v>0</v>
      </c>
      <c r="O38" s="51">
        <f t="shared" ref="O38:P38" si="48">D38/7</f>
        <v>0</v>
      </c>
      <c r="P38" s="51">
        <f t="shared" si="48"/>
        <v>0</v>
      </c>
      <c r="Q38" s="51" t="e">
        <f t="shared" si="7"/>
        <v>#DIV/0!</v>
      </c>
      <c r="R38" s="52">
        <v>0</v>
      </c>
      <c r="S38" s="53"/>
      <c r="T38" s="54" t="s">
        <v>34</v>
      </c>
      <c r="U38" s="52">
        <v>0</v>
      </c>
      <c r="V38" s="55">
        <f t="shared" si="8"/>
        <v>0</v>
      </c>
      <c r="W38" s="55">
        <f t="shared" si="9"/>
        <v>0</v>
      </c>
      <c r="X38" s="52">
        <v>0</v>
      </c>
      <c r="Y38" s="52" t="e">
        <v>#N/A</v>
      </c>
      <c r="Z38" s="56" t="e">
        <f t="shared" si="19"/>
        <v>#N/A</v>
      </c>
      <c r="AA38" s="55" t="e">
        <v>#N/A</v>
      </c>
      <c r="AB38" s="55">
        <f t="shared" si="27"/>
        <v>0</v>
      </c>
      <c r="AC38" s="55">
        <v>0</v>
      </c>
      <c r="AD38" s="55">
        <v>-7.7</v>
      </c>
      <c r="AE38" s="55">
        <v>0</v>
      </c>
      <c r="AF38" s="55" t="e">
        <v>#N/A</v>
      </c>
    </row>
    <row r="39" spans="1:32" s="57" customFormat="1" ht="15.75" customHeight="1">
      <c r="A39" s="17" t="s">
        <v>101</v>
      </c>
      <c r="B39"/>
      <c r="C39" s="51" t="str">
        <f t="shared" si="35"/>
        <v xml:space="preserve"> - </v>
      </c>
      <c r="D39" s="51">
        <v>0</v>
      </c>
      <c r="E39" s="51">
        <v>0</v>
      </c>
      <c r="F39" s="51">
        <v>0</v>
      </c>
      <c r="G39" s="51">
        <v>0</v>
      </c>
      <c r="H39" s="51" t="e">
        <f t="shared" si="1"/>
        <v>#DIV/0!</v>
      </c>
      <c r="I39" s="51" t="e">
        <f t="shared" si="2"/>
        <v>#DIV/0!</v>
      </c>
      <c r="J39" s="51">
        <f>F39*0.85+G39+AD39*D39+D39*AC39+AE40+AB39</f>
        <v>0</v>
      </c>
      <c r="K39" s="51" t="e">
        <f t="shared" si="3"/>
        <v>#DIV/0!</v>
      </c>
      <c r="L39" s="51">
        <v>0</v>
      </c>
      <c r="M39" s="51" t="str">
        <f t="shared" si="5"/>
        <v>-</v>
      </c>
      <c r="N39" s="51">
        <v>0</v>
      </c>
      <c r="O39" s="51">
        <f t="shared" ref="O39:P39" si="49">D39/7</f>
        <v>0</v>
      </c>
      <c r="P39" s="51">
        <f t="shared" si="49"/>
        <v>0</v>
      </c>
      <c r="Q39" s="51" t="e">
        <f t="shared" si="7"/>
        <v>#DIV/0!</v>
      </c>
      <c r="R39" s="55">
        <v>0</v>
      </c>
      <c r="S39" s="53" t="s">
        <v>34</v>
      </c>
      <c r="T39" s="54" t="s">
        <v>34</v>
      </c>
      <c r="U39" s="52">
        <v>0</v>
      </c>
      <c r="V39" s="55">
        <f t="shared" si="8"/>
        <v>0</v>
      </c>
      <c r="W39" s="55">
        <f t="shared" si="9"/>
        <v>0</v>
      </c>
      <c r="X39" s="52">
        <v>0</v>
      </c>
      <c r="Y39" s="52" t="e">
        <v>#N/A</v>
      </c>
      <c r="Z39" s="56" t="e">
        <f t="shared" si="19"/>
        <v>#N/A</v>
      </c>
      <c r="AA39" s="52" t="e">
        <v>#N/A</v>
      </c>
      <c r="AB39" s="55">
        <f t="shared" si="27"/>
        <v>0</v>
      </c>
      <c r="AC39" s="55">
        <v>0</v>
      </c>
      <c r="AD39" s="55">
        <v>-7.7</v>
      </c>
      <c r="AE39" s="55">
        <v>0</v>
      </c>
      <c r="AF39" s="55" t="e">
        <v>#N/A</v>
      </c>
    </row>
    <row r="40" spans="1:32" s="57" customFormat="1" ht="15.75" customHeight="1">
      <c r="A40" s="17" t="s">
        <v>102</v>
      </c>
      <c r="B40"/>
      <c r="C40" s="51" t="s">
        <v>103</v>
      </c>
      <c r="D40" s="51">
        <v>0</v>
      </c>
      <c r="E40" s="51">
        <v>0</v>
      </c>
      <c r="F40" s="51">
        <v>0</v>
      </c>
      <c r="G40" s="51">
        <v>0</v>
      </c>
      <c r="H40" s="51" t="e">
        <v>#DIV/0!</v>
      </c>
      <c r="I40" s="51" t="e">
        <v>#DIV/0!</v>
      </c>
      <c r="J40" s="51">
        <v>0</v>
      </c>
      <c r="K40" s="51" t="e">
        <v>#DIV/0!</v>
      </c>
      <c r="L40" s="51">
        <v>0</v>
      </c>
      <c r="M40" s="51" t="s">
        <v>104</v>
      </c>
      <c r="N40" s="51">
        <v>0</v>
      </c>
      <c r="O40" s="51">
        <v>0</v>
      </c>
      <c r="P40" s="51">
        <v>0</v>
      </c>
      <c r="Q40" s="51" t="e">
        <v>#DIV/0!</v>
      </c>
      <c r="R40" s="55">
        <v>0</v>
      </c>
      <c r="S40" s="53" t="s">
        <v>34</v>
      </c>
      <c r="T40" s="54" t="s">
        <v>34</v>
      </c>
      <c r="U40" s="52">
        <v>0</v>
      </c>
      <c r="V40" s="55">
        <v>0</v>
      </c>
      <c r="W40" s="55">
        <v>0</v>
      </c>
      <c r="X40" s="52">
        <v>0</v>
      </c>
      <c r="Y40" s="52" t="e">
        <v>#N/A</v>
      </c>
      <c r="Z40" s="56" t="e">
        <v>#N/A</v>
      </c>
      <c r="AA40" s="55" t="e">
        <v>#N/A</v>
      </c>
      <c r="AB40" s="55">
        <v>0</v>
      </c>
      <c r="AC40" s="55">
        <v>0</v>
      </c>
      <c r="AD40" s="55">
        <v>-7.7</v>
      </c>
      <c r="AE40" s="55">
        <v>0</v>
      </c>
      <c r="AF40" s="55" t="e">
        <v>#N/A</v>
      </c>
    </row>
    <row r="41" spans="1:32" s="57" customFormat="1" ht="15.75" customHeight="1">
      <c r="A41" s="17" t="s">
        <v>105</v>
      </c>
      <c r="B41"/>
      <c r="C41" s="51" t="str">
        <f t="shared" ref="C41:C56" si="50">IFERROR(F41/D41," - ")</f>
        <v xml:space="preserve"> - </v>
      </c>
      <c r="D41" s="51">
        <v>0</v>
      </c>
      <c r="E41" s="51">
        <v>0</v>
      </c>
      <c r="F41" s="51">
        <v>0</v>
      </c>
      <c r="G41" s="51">
        <v>0</v>
      </c>
      <c r="H41" s="51" t="e">
        <f t="shared" ref="H41:H56" si="51">G41/F41*-1</f>
        <v>#DIV/0!</v>
      </c>
      <c r="I41" s="51" t="e">
        <f t="shared" ref="I41:I56" si="52">J41/F41</f>
        <v>#DIV/0!</v>
      </c>
      <c r="J41" s="51">
        <f t="shared" ref="J41:J48" si="53">F41*0.85+G41+AD41*D41+D41*AC41+AE42+AB41</f>
        <v>0</v>
      </c>
      <c r="K41" s="51" t="e">
        <f t="shared" ref="K41:K56" si="54">J41/D41</f>
        <v>#DIV/0!</v>
      </c>
      <c r="L41" s="51">
        <v>0</v>
      </c>
      <c r="M41" s="51" t="str">
        <f t="shared" ref="M41:M56" si="55">IFERROR(D41/L41,"-")</f>
        <v>-</v>
      </c>
      <c r="N41" s="51">
        <v>0</v>
      </c>
      <c r="O41" s="51">
        <f t="shared" ref="O41:P41" si="56">D41/7</f>
        <v>0</v>
      </c>
      <c r="P41" s="51">
        <f t="shared" si="56"/>
        <v>0</v>
      </c>
      <c r="Q41" s="51" t="e">
        <f t="shared" ref="Q41:Q56" si="57">ROUNDDOWN(N41/(O41+P41),0)</f>
        <v>#DIV/0!</v>
      </c>
      <c r="R41" s="55">
        <v>0</v>
      </c>
      <c r="S41" s="53" t="s">
        <v>34</v>
      </c>
      <c r="T41" s="54" t="s">
        <v>34</v>
      </c>
      <c r="U41" s="52">
        <v>0</v>
      </c>
      <c r="V41" s="55">
        <f t="shared" ref="V41:V56" si="58">IFERROR(U41/D41,0)</f>
        <v>0</v>
      </c>
      <c r="W41" s="55">
        <f t="shared" ref="W41:W56" si="59">IFERROR(G41/(U41+X41)*-1,0)</f>
        <v>0</v>
      </c>
      <c r="X41" s="52">
        <v>0</v>
      </c>
      <c r="Y41" s="52" t="e">
        <v>#N/A</v>
      </c>
      <c r="Z41" s="56" t="e">
        <f t="shared" ref="Z41:Z43" si="60">IF(OR(Y41="UsLargeStandardSize",Y41="UsSmallStandardSize"),-0.75,-0.48)</f>
        <v>#N/A</v>
      </c>
      <c r="AA41" s="55" t="e">
        <v>#N/A</v>
      </c>
      <c r="AB41" s="55">
        <f t="shared" ref="AB41:AB56" si="61">IFERROR(Z41*AA41*D41*3,0)</f>
        <v>0</v>
      </c>
      <c r="AC41" s="55">
        <v>0</v>
      </c>
      <c r="AD41" s="55">
        <v>-7.7</v>
      </c>
      <c r="AE41" s="55">
        <v>0</v>
      </c>
      <c r="AF41" s="55" t="e">
        <v>#N/A</v>
      </c>
    </row>
    <row r="42" spans="1:32" s="57" customFormat="1" ht="15.75" customHeight="1">
      <c r="A42" s="17" t="s">
        <v>106</v>
      </c>
      <c r="B42"/>
      <c r="C42" s="51" t="str">
        <f t="shared" si="50"/>
        <v xml:space="preserve"> - </v>
      </c>
      <c r="D42" s="51">
        <v>0</v>
      </c>
      <c r="E42" s="51">
        <v>0</v>
      </c>
      <c r="F42" s="51">
        <v>0</v>
      </c>
      <c r="G42" s="51">
        <v>0</v>
      </c>
      <c r="H42" s="51" t="e">
        <f t="shared" si="51"/>
        <v>#DIV/0!</v>
      </c>
      <c r="I42" s="51" t="e">
        <f t="shared" si="52"/>
        <v>#DIV/0!</v>
      </c>
      <c r="J42" s="51">
        <f t="shared" si="53"/>
        <v>0</v>
      </c>
      <c r="K42" s="51" t="e">
        <f t="shared" si="54"/>
        <v>#DIV/0!</v>
      </c>
      <c r="L42" s="51">
        <v>0</v>
      </c>
      <c r="M42" s="51" t="str">
        <f t="shared" si="55"/>
        <v>-</v>
      </c>
      <c r="N42" s="51">
        <v>0</v>
      </c>
      <c r="O42" s="51">
        <f t="shared" ref="O42:P42" si="62">D42/7</f>
        <v>0</v>
      </c>
      <c r="P42" s="51">
        <f t="shared" si="62"/>
        <v>0</v>
      </c>
      <c r="Q42" s="51" t="e">
        <f t="shared" si="57"/>
        <v>#DIV/0!</v>
      </c>
      <c r="R42" s="55">
        <f ca="1">IFERROR(__xludf.DUMMYFUNCTION("IFERROR(VLOOKUP($B$2,IMPORTRANGE(""https://docs.google.com/spreadsheets/d/1iVgg6Mw12RULLujzHmfOFIY8Q_KaAD8anoZzgtVAQ74/edit#gid=1503384807"",""Second Star - Summary!A1:AD2000""),9,FALSE),"""")"),0)</f>
        <v>0</v>
      </c>
      <c r="S42" s="53" t="str">
        <f ca="1">IFERROR(__xludf.DUMMYFUNCTION("IFERROR(VLOOKUP($B$2,IMPORTRANGE(""https://docs.google.com/spreadsheets/d/1iVgg6Mw12RULLujzHmfOFIY8Q_KaAD8anoZzgtVAQ74/edit#gid=1503384807"",""Second Star - Summary!A1:AD2000""),28,FALSE),"""")"),"")</f>
        <v/>
      </c>
      <c r="T42" s="54" t="str">
        <f ca="1">IFERROR(__xludf.DUMMYFUNCTION("IFERROR(VLOOKUP($B$2,IMPORTRANGE(""https://docs.google.com/spreadsheets/d/1iVgg6Mw12RULLujzHmfOFIY8Q_KaAD8anoZzgtVAQ74/edit#gid=1503384807"",""Second Star - Summary!A1:AD2000""),29,FALSE),"""")"),"")</f>
        <v/>
      </c>
      <c r="U42" s="52">
        <v>0</v>
      </c>
      <c r="V42" s="55">
        <f t="shared" si="58"/>
        <v>0</v>
      </c>
      <c r="W42" s="55">
        <f t="shared" si="59"/>
        <v>0</v>
      </c>
      <c r="X42" s="52">
        <v>0</v>
      </c>
      <c r="Y42" s="52" t="e">
        <v>#N/A</v>
      </c>
      <c r="Z42" s="56" t="e">
        <f t="shared" si="60"/>
        <v>#N/A</v>
      </c>
      <c r="AA42" s="55" t="e">
        <v>#N/A</v>
      </c>
      <c r="AB42" s="55">
        <f t="shared" si="61"/>
        <v>0</v>
      </c>
      <c r="AC42" s="55">
        <v>0</v>
      </c>
      <c r="AD42" s="55">
        <v>-7.7</v>
      </c>
      <c r="AE42" s="55">
        <v>0</v>
      </c>
      <c r="AF42" s="55" t="e">
        <v>#N/A</v>
      </c>
    </row>
    <row r="43" spans="1:32" s="57" customFormat="1" ht="15.75" customHeight="1">
      <c r="A43" s="17" t="s">
        <v>107</v>
      </c>
      <c r="B43"/>
      <c r="C43" s="51" t="str">
        <f t="shared" si="50"/>
        <v xml:space="preserve"> - </v>
      </c>
      <c r="D43" s="51">
        <v>0</v>
      </c>
      <c r="E43" s="51">
        <v>0</v>
      </c>
      <c r="F43" s="51">
        <v>0</v>
      </c>
      <c r="G43" s="51">
        <v>0</v>
      </c>
      <c r="H43" s="51" t="e">
        <f t="shared" si="51"/>
        <v>#DIV/0!</v>
      </c>
      <c r="I43" s="51" t="e">
        <f t="shared" si="52"/>
        <v>#DIV/0!</v>
      </c>
      <c r="J43" s="51">
        <f t="shared" si="53"/>
        <v>0</v>
      </c>
      <c r="K43" s="51" t="e">
        <f t="shared" si="54"/>
        <v>#DIV/0!</v>
      </c>
      <c r="L43" s="51">
        <v>0</v>
      </c>
      <c r="M43" s="51" t="str">
        <f t="shared" si="55"/>
        <v>-</v>
      </c>
      <c r="N43" s="51">
        <v>0</v>
      </c>
      <c r="O43" s="51">
        <f t="shared" ref="O43:P43" si="63">D43/7</f>
        <v>0</v>
      </c>
      <c r="P43" s="51">
        <f t="shared" si="63"/>
        <v>0</v>
      </c>
      <c r="Q43" s="51" t="e">
        <f t="shared" si="57"/>
        <v>#DIV/0!</v>
      </c>
      <c r="R43" s="55">
        <v>0</v>
      </c>
      <c r="S43" s="53" t="s">
        <v>34</v>
      </c>
      <c r="T43" s="54" t="s">
        <v>34</v>
      </c>
      <c r="U43" s="52">
        <v>0</v>
      </c>
      <c r="V43" s="55">
        <f t="shared" si="58"/>
        <v>0</v>
      </c>
      <c r="W43" s="55">
        <f t="shared" si="59"/>
        <v>0</v>
      </c>
      <c r="X43" s="52">
        <v>0</v>
      </c>
      <c r="Y43" s="52" t="e">
        <v>#N/A</v>
      </c>
      <c r="Z43" s="56" t="e">
        <f t="shared" si="60"/>
        <v>#N/A</v>
      </c>
      <c r="AA43" s="55" t="e">
        <v>#N/A</v>
      </c>
      <c r="AB43" s="55">
        <f t="shared" si="61"/>
        <v>0</v>
      </c>
      <c r="AC43" s="55">
        <v>0</v>
      </c>
      <c r="AD43" s="55">
        <v>-7.7</v>
      </c>
      <c r="AE43" s="55">
        <v>0</v>
      </c>
      <c r="AF43" s="55" t="e">
        <v>#N/A</v>
      </c>
    </row>
    <row r="44" spans="1:32" s="57" customFormat="1" ht="15.75" customHeight="1">
      <c r="A44" s="17" t="s">
        <v>108</v>
      </c>
      <c r="B44"/>
      <c r="C44" s="51" t="str">
        <f t="shared" si="50"/>
        <v xml:space="preserve"> - </v>
      </c>
      <c r="D44" s="51">
        <v>0</v>
      </c>
      <c r="E44" s="51">
        <v>0</v>
      </c>
      <c r="F44" s="51">
        <v>0</v>
      </c>
      <c r="G44" s="51">
        <v>0</v>
      </c>
      <c r="H44" s="51" t="e">
        <f t="shared" si="51"/>
        <v>#DIV/0!</v>
      </c>
      <c r="I44" s="51" t="e">
        <f t="shared" si="52"/>
        <v>#DIV/0!</v>
      </c>
      <c r="J44" s="51">
        <f t="shared" si="53"/>
        <v>0</v>
      </c>
      <c r="K44" s="51" t="e">
        <f t="shared" si="54"/>
        <v>#DIV/0!</v>
      </c>
      <c r="L44" s="51">
        <v>0</v>
      </c>
      <c r="M44" s="51" t="str">
        <f t="shared" si="55"/>
        <v>-</v>
      </c>
      <c r="N44" s="51">
        <v>0</v>
      </c>
      <c r="O44" s="51">
        <f t="shared" ref="O44:P44" si="64">D44/7</f>
        <v>0</v>
      </c>
      <c r="P44" s="51">
        <f t="shared" si="64"/>
        <v>0</v>
      </c>
      <c r="Q44" s="51" t="e">
        <f t="shared" si="57"/>
        <v>#DIV/0!</v>
      </c>
      <c r="R44" s="55">
        <v>0</v>
      </c>
      <c r="S44" s="53" t="s">
        <v>34</v>
      </c>
      <c r="T44" s="54" t="s">
        <v>34</v>
      </c>
      <c r="U44" s="52">
        <v>0</v>
      </c>
      <c r="V44" s="55">
        <f t="shared" si="58"/>
        <v>0</v>
      </c>
      <c r="W44" s="55">
        <f t="shared" si="59"/>
        <v>0</v>
      </c>
      <c r="X44" s="52">
        <v>0</v>
      </c>
      <c r="Y44" s="52" t="e">
        <v>#N/A</v>
      </c>
      <c r="Z44" s="56" t="e">
        <f t="shared" ref="Z44:Z56" si="65">IF(OR(Y44="UsLargeStandardSize",Y44="UsSmallStandardSize"),-2.4,-1.2)</f>
        <v>#N/A</v>
      </c>
      <c r="AA44" s="55" t="e">
        <v>#N/A</v>
      </c>
      <c r="AB44" s="55">
        <f t="shared" si="61"/>
        <v>0</v>
      </c>
      <c r="AC44" s="55">
        <v>0</v>
      </c>
      <c r="AD44" s="55">
        <v>-7.7</v>
      </c>
      <c r="AE44" s="55">
        <v>0</v>
      </c>
      <c r="AF44" s="55" t="e">
        <v>#N/A</v>
      </c>
    </row>
    <row r="45" spans="1:32" s="57" customFormat="1" ht="15.75" customHeight="1">
      <c r="A45" s="17" t="s">
        <v>109</v>
      </c>
      <c r="B45"/>
      <c r="C45" s="51" t="str">
        <f t="shared" si="50"/>
        <v xml:space="preserve"> - </v>
      </c>
      <c r="D45" s="51">
        <v>0</v>
      </c>
      <c r="E45" s="51">
        <v>0</v>
      </c>
      <c r="F45" s="51">
        <v>0</v>
      </c>
      <c r="G45" s="51">
        <v>0</v>
      </c>
      <c r="H45" s="51" t="e">
        <f t="shared" si="51"/>
        <v>#DIV/0!</v>
      </c>
      <c r="I45" s="51" t="e">
        <f t="shared" si="52"/>
        <v>#DIV/0!</v>
      </c>
      <c r="J45" s="51">
        <f t="shared" si="53"/>
        <v>0</v>
      </c>
      <c r="K45" s="51" t="e">
        <f t="shared" si="54"/>
        <v>#DIV/0!</v>
      </c>
      <c r="L45" s="51">
        <v>0</v>
      </c>
      <c r="M45" s="51" t="str">
        <f t="shared" si="55"/>
        <v>-</v>
      </c>
      <c r="N45" s="51">
        <v>0</v>
      </c>
      <c r="O45" s="51">
        <f t="shared" ref="O45:P45" si="66">D45/7</f>
        <v>0</v>
      </c>
      <c r="P45" s="51">
        <f t="shared" si="66"/>
        <v>0</v>
      </c>
      <c r="Q45" s="51" t="e">
        <f t="shared" si="57"/>
        <v>#DIV/0!</v>
      </c>
      <c r="R45" s="55">
        <v>0</v>
      </c>
      <c r="S45" s="53" t="s">
        <v>34</v>
      </c>
      <c r="T45" s="54" t="s">
        <v>34</v>
      </c>
      <c r="U45" s="52">
        <v>0</v>
      </c>
      <c r="V45" s="55">
        <f t="shared" si="58"/>
        <v>0</v>
      </c>
      <c r="W45" s="55">
        <f t="shared" si="59"/>
        <v>0</v>
      </c>
      <c r="X45" s="52">
        <v>0</v>
      </c>
      <c r="Y45" s="52" t="e">
        <v>#N/A</v>
      </c>
      <c r="Z45" s="56" t="e">
        <f t="shared" si="65"/>
        <v>#N/A</v>
      </c>
      <c r="AA45" s="55" t="e">
        <v>#N/A</v>
      </c>
      <c r="AB45" s="55">
        <f t="shared" si="61"/>
        <v>0</v>
      </c>
      <c r="AC45" s="55">
        <v>0</v>
      </c>
      <c r="AD45" s="55">
        <v>-7.7</v>
      </c>
      <c r="AE45" s="55">
        <v>0</v>
      </c>
      <c r="AF45" s="55" t="e">
        <v>#N/A</v>
      </c>
    </row>
    <row r="46" spans="1:32" s="57" customFormat="1" ht="15.75" customHeight="1">
      <c r="A46" s="17" t="s">
        <v>111</v>
      </c>
      <c r="B46"/>
      <c r="C46" s="51" t="str">
        <f t="shared" si="50"/>
        <v xml:space="preserve"> - </v>
      </c>
      <c r="D46" s="51">
        <v>0</v>
      </c>
      <c r="E46" s="51">
        <v>0</v>
      </c>
      <c r="F46" s="51">
        <v>0</v>
      </c>
      <c r="G46" s="51">
        <v>0</v>
      </c>
      <c r="H46" s="51" t="e">
        <f t="shared" si="51"/>
        <v>#DIV/0!</v>
      </c>
      <c r="I46" s="51" t="e">
        <f t="shared" si="52"/>
        <v>#DIV/0!</v>
      </c>
      <c r="J46" s="51">
        <f t="shared" si="53"/>
        <v>0</v>
      </c>
      <c r="K46" s="51" t="e">
        <f t="shared" si="54"/>
        <v>#DIV/0!</v>
      </c>
      <c r="L46" s="51">
        <v>0</v>
      </c>
      <c r="M46" s="51" t="str">
        <f t="shared" si="55"/>
        <v>-</v>
      </c>
      <c r="N46" s="51">
        <v>0</v>
      </c>
      <c r="O46" s="51">
        <f t="shared" ref="O46:P46" si="67">D46/7</f>
        <v>0</v>
      </c>
      <c r="P46" s="51">
        <f t="shared" si="67"/>
        <v>0</v>
      </c>
      <c r="Q46" s="51" t="e">
        <f t="shared" si="57"/>
        <v>#DIV/0!</v>
      </c>
      <c r="R46" s="55">
        <v>0</v>
      </c>
      <c r="S46" s="53" t="s">
        <v>34</v>
      </c>
      <c r="T46" s="54" t="s">
        <v>34</v>
      </c>
      <c r="U46" s="52">
        <v>0</v>
      </c>
      <c r="V46" s="55">
        <f t="shared" si="58"/>
        <v>0</v>
      </c>
      <c r="W46" s="55">
        <f t="shared" si="59"/>
        <v>0</v>
      </c>
      <c r="X46" s="52">
        <v>0</v>
      </c>
      <c r="Y46" s="52" t="e">
        <v>#N/A</v>
      </c>
      <c r="Z46" s="56" t="e">
        <f t="shared" si="65"/>
        <v>#N/A</v>
      </c>
      <c r="AA46" s="55" t="e">
        <v>#N/A</v>
      </c>
      <c r="AB46" s="55">
        <f t="shared" si="61"/>
        <v>0</v>
      </c>
      <c r="AC46" s="55">
        <v>0</v>
      </c>
      <c r="AD46" s="55">
        <v>-7.7</v>
      </c>
      <c r="AE46" s="55">
        <v>0</v>
      </c>
      <c r="AF46" s="55" t="e">
        <v>#N/A</v>
      </c>
    </row>
    <row r="47" spans="1:32" s="57" customFormat="1" ht="15.75" customHeight="1">
      <c r="A47" s="17" t="s">
        <v>113</v>
      </c>
      <c r="B47"/>
      <c r="C47" s="51" t="str">
        <f t="shared" si="50"/>
        <v xml:space="preserve"> - </v>
      </c>
      <c r="D47" s="51">
        <v>0</v>
      </c>
      <c r="E47" s="51">
        <v>0</v>
      </c>
      <c r="F47" s="51">
        <v>0</v>
      </c>
      <c r="G47" s="51">
        <v>0</v>
      </c>
      <c r="H47" s="51" t="e">
        <f t="shared" si="51"/>
        <v>#DIV/0!</v>
      </c>
      <c r="I47" s="51" t="e">
        <f t="shared" si="52"/>
        <v>#DIV/0!</v>
      </c>
      <c r="J47" s="51">
        <f t="shared" si="53"/>
        <v>0</v>
      </c>
      <c r="K47" s="51" t="e">
        <f t="shared" si="54"/>
        <v>#DIV/0!</v>
      </c>
      <c r="L47" s="51">
        <v>0</v>
      </c>
      <c r="M47" s="51" t="str">
        <f t="shared" si="55"/>
        <v>-</v>
      </c>
      <c r="N47" s="51">
        <v>0</v>
      </c>
      <c r="O47" s="51">
        <f t="shared" ref="O47:P47" si="68">D47/7</f>
        <v>0</v>
      </c>
      <c r="P47" s="51">
        <f t="shared" si="68"/>
        <v>0</v>
      </c>
      <c r="Q47" s="51" t="e">
        <f t="shared" si="57"/>
        <v>#DIV/0!</v>
      </c>
      <c r="R47" s="55">
        <v>0</v>
      </c>
      <c r="S47" s="53" t="s">
        <v>34</v>
      </c>
      <c r="T47" s="54" t="s">
        <v>34</v>
      </c>
      <c r="U47" s="52">
        <v>0</v>
      </c>
      <c r="V47" s="55">
        <f t="shared" si="58"/>
        <v>0</v>
      </c>
      <c r="W47" s="55">
        <f t="shared" si="59"/>
        <v>0</v>
      </c>
      <c r="X47" s="52">
        <v>0</v>
      </c>
      <c r="Y47" s="52" t="e">
        <v>#N/A</v>
      </c>
      <c r="Z47" s="56" t="e">
        <f t="shared" si="65"/>
        <v>#N/A</v>
      </c>
      <c r="AA47" s="55" t="e">
        <v>#N/A</v>
      </c>
      <c r="AB47" s="55">
        <f t="shared" si="61"/>
        <v>0</v>
      </c>
      <c r="AC47" s="55">
        <v>0</v>
      </c>
      <c r="AD47" s="55">
        <v>-7.7</v>
      </c>
      <c r="AE47" s="55">
        <v>0</v>
      </c>
      <c r="AF47" s="55" t="e">
        <v>#N/A</v>
      </c>
    </row>
    <row r="48" spans="1:32" s="57" customFormat="1" ht="15.75" customHeight="1">
      <c r="A48" s="17" t="s">
        <v>115</v>
      </c>
      <c r="B48"/>
      <c r="C48" s="51" t="str">
        <f t="shared" si="50"/>
        <v xml:space="preserve"> - </v>
      </c>
      <c r="D48" s="51">
        <v>0</v>
      </c>
      <c r="E48" s="51">
        <v>0</v>
      </c>
      <c r="F48" s="51">
        <v>0</v>
      </c>
      <c r="G48" s="51">
        <v>0</v>
      </c>
      <c r="H48" s="51" t="e">
        <f t="shared" si="51"/>
        <v>#DIV/0!</v>
      </c>
      <c r="I48" s="51" t="e">
        <f t="shared" si="52"/>
        <v>#DIV/0!</v>
      </c>
      <c r="J48" s="51">
        <f t="shared" si="53"/>
        <v>0</v>
      </c>
      <c r="K48" s="51" t="e">
        <f t="shared" si="54"/>
        <v>#DIV/0!</v>
      </c>
      <c r="L48" s="51">
        <v>0</v>
      </c>
      <c r="M48" s="51" t="str">
        <f t="shared" si="55"/>
        <v>-</v>
      </c>
      <c r="N48" s="51">
        <v>0</v>
      </c>
      <c r="O48" s="51">
        <f t="shared" ref="O48:P48" si="69">D48/7</f>
        <v>0</v>
      </c>
      <c r="P48" s="51">
        <f t="shared" si="69"/>
        <v>0</v>
      </c>
      <c r="Q48" s="51" t="e">
        <f t="shared" si="57"/>
        <v>#DIV/0!</v>
      </c>
      <c r="R48" s="55">
        <f ca="1">IFERROR(__xludf.DUMMYFUNCTION("IFERROR(VLOOKUP($B$2,IMPORTRANGE(""https://docs.google.com/spreadsheets/d/1iVgg6Mw12RULLujzHmfOFIY8Q_KaAD8anoZzgtVAQ74/edit#gid=1503384807"",""Second Star - Summary!A1:AD2000""),9,FALSE),"""")"),0)</f>
        <v>0</v>
      </c>
      <c r="S48" s="53" t="str">
        <f ca="1">IFERROR(__xludf.DUMMYFUNCTION("IFERROR(VLOOKUP($B$2,IMPORTRANGE(""https://docs.google.com/spreadsheets/d/1iVgg6Mw12RULLujzHmfOFIY8Q_KaAD8anoZzgtVAQ74/edit#gid=1503384807"",""Second Star - Summary!A1:AD2000""),28,FALSE),"""")"),"")</f>
        <v/>
      </c>
      <c r="T48" s="54" t="str">
        <f ca="1">IFERROR(__xludf.DUMMYFUNCTION("IFERROR(VLOOKUP($B$2,IMPORTRANGE(""https://docs.google.com/spreadsheets/d/1iVgg6Mw12RULLujzHmfOFIY8Q_KaAD8anoZzgtVAQ74/edit#gid=1503384807"",""Second Star - Summary!A1:AD2000""),29,FALSE),"""")"),"")</f>
        <v/>
      </c>
      <c r="U48" s="52">
        <v>0</v>
      </c>
      <c r="V48" s="55">
        <f t="shared" si="58"/>
        <v>0</v>
      </c>
      <c r="W48" s="55">
        <f t="shared" si="59"/>
        <v>0</v>
      </c>
      <c r="X48" s="52">
        <v>0</v>
      </c>
      <c r="Y48" s="52" t="e">
        <v>#N/A</v>
      </c>
      <c r="Z48" s="56" t="e">
        <f t="shared" si="65"/>
        <v>#N/A</v>
      </c>
      <c r="AA48" s="55" t="e">
        <v>#N/A</v>
      </c>
      <c r="AB48" s="55">
        <f t="shared" si="61"/>
        <v>0</v>
      </c>
      <c r="AC48" s="55">
        <v>0</v>
      </c>
      <c r="AD48" s="55">
        <v>-7.7</v>
      </c>
      <c r="AE48" s="55">
        <v>0</v>
      </c>
      <c r="AF48" s="55" t="e">
        <v>#N/A</v>
      </c>
    </row>
    <row r="49" spans="1:32" s="57" customFormat="1" ht="15.75" customHeight="1">
      <c r="A49" s="17" t="s">
        <v>117</v>
      </c>
      <c r="B49"/>
      <c r="C49" s="51" t="str">
        <f t="shared" si="50"/>
        <v xml:space="preserve"> - </v>
      </c>
      <c r="D49" s="51">
        <v>0</v>
      </c>
      <c r="E49" s="51">
        <v>0</v>
      </c>
      <c r="F49" s="51">
        <v>0</v>
      </c>
      <c r="G49" s="51">
        <v>0</v>
      </c>
      <c r="H49" s="51" t="e">
        <f t="shared" si="51"/>
        <v>#DIV/0!</v>
      </c>
      <c r="I49" s="51" t="e">
        <f t="shared" si="52"/>
        <v>#DIV/0!</v>
      </c>
      <c r="J49" s="51">
        <f t="shared" ref="J49:J56" si="70">F49*0.85+G49+AD49*D49+D49*AC49+AE49+AB49</f>
        <v>0</v>
      </c>
      <c r="K49" s="51" t="e">
        <f t="shared" si="54"/>
        <v>#DIV/0!</v>
      </c>
      <c r="L49" s="51">
        <v>0</v>
      </c>
      <c r="M49" s="51" t="str">
        <f t="shared" si="55"/>
        <v>-</v>
      </c>
      <c r="N49" s="51">
        <v>0</v>
      </c>
      <c r="O49" s="51">
        <f t="shared" ref="O49:P49" si="71">D49/7</f>
        <v>0</v>
      </c>
      <c r="P49" s="51">
        <f t="shared" si="71"/>
        <v>0</v>
      </c>
      <c r="Q49" s="51" t="e">
        <f t="shared" si="57"/>
        <v>#DIV/0!</v>
      </c>
      <c r="R49" s="55">
        <f ca="1">IFERROR(__xludf.DUMMYFUNCTION("IFERROR(VLOOKUP($B$2,IMPORTRANGE(""https://docs.google.com/spreadsheets/d/1iVgg6Mw12RULLujzHmfOFIY8Q_KaAD8anoZzgtVAQ74/edit#gid=1503384807"",""Second Star - Summary!A1:AD2000""),9,FALSE),"""")"),0)</f>
        <v>0</v>
      </c>
      <c r="S49" s="53" t="str">
        <f ca="1">IFERROR(__xludf.DUMMYFUNCTION("IFERROR(VLOOKUP($B$2,IMPORTRANGE(""https://docs.google.com/spreadsheets/d/1iVgg6Mw12RULLujzHmfOFIY8Q_KaAD8anoZzgtVAQ74/edit#gid=1503384807"",""Second Star - Summary!A1:AD2000""),28,FALSE),"""")"),"")</f>
        <v/>
      </c>
      <c r="T49" s="54" t="str">
        <f ca="1">IFERROR(__xludf.DUMMYFUNCTION("IFERROR(VLOOKUP($B$2,IMPORTRANGE(""https://docs.google.com/spreadsheets/d/1iVgg6Mw12RULLujzHmfOFIY8Q_KaAD8anoZzgtVAQ74/edit#gid=1503384807"",""Second Star - Summary!A1:AD2000""),29,FALSE),"""")"),"")</f>
        <v/>
      </c>
      <c r="U49" s="52">
        <v>0</v>
      </c>
      <c r="V49" s="55">
        <f t="shared" si="58"/>
        <v>0</v>
      </c>
      <c r="W49" s="55">
        <f t="shared" si="59"/>
        <v>0</v>
      </c>
      <c r="X49" s="52">
        <v>0</v>
      </c>
      <c r="Y49" s="52" t="e">
        <v>#N/A</v>
      </c>
      <c r="Z49" s="56" t="e">
        <f t="shared" si="65"/>
        <v>#N/A</v>
      </c>
      <c r="AA49" s="55" t="e">
        <v>#N/A</v>
      </c>
      <c r="AB49" s="55">
        <f t="shared" si="61"/>
        <v>0</v>
      </c>
      <c r="AC49" s="55">
        <v>0</v>
      </c>
      <c r="AD49" s="55">
        <v>-7.7</v>
      </c>
      <c r="AE49" s="55">
        <v>0</v>
      </c>
      <c r="AF49" s="55" t="e">
        <v>#N/A</v>
      </c>
    </row>
    <row r="50" spans="1:32" s="57" customFormat="1" ht="15.75" customHeight="1">
      <c r="A50" s="2" t="s">
        <v>119</v>
      </c>
      <c r="B50"/>
      <c r="C50" s="51" t="str">
        <f t="shared" si="50"/>
        <v xml:space="preserve"> - </v>
      </c>
      <c r="D50" s="51">
        <v>0</v>
      </c>
      <c r="E50" s="51">
        <v>0</v>
      </c>
      <c r="F50" s="51">
        <v>0</v>
      </c>
      <c r="G50" s="51">
        <v>0</v>
      </c>
      <c r="H50" s="51" t="e">
        <f t="shared" si="51"/>
        <v>#DIV/0!</v>
      </c>
      <c r="I50" s="51" t="e">
        <f t="shared" si="52"/>
        <v>#DIV/0!</v>
      </c>
      <c r="J50" s="51">
        <f t="shared" si="70"/>
        <v>0</v>
      </c>
      <c r="K50" s="51" t="e">
        <f t="shared" si="54"/>
        <v>#DIV/0!</v>
      </c>
      <c r="L50" s="51">
        <v>0</v>
      </c>
      <c r="M50" s="51" t="str">
        <f t="shared" si="55"/>
        <v>-</v>
      </c>
      <c r="N50" s="51">
        <v>0</v>
      </c>
      <c r="O50" s="51">
        <f t="shared" ref="O50:P50" si="72">D50/7</f>
        <v>0</v>
      </c>
      <c r="P50" s="51">
        <f t="shared" si="72"/>
        <v>0</v>
      </c>
      <c r="Q50" s="51" t="e">
        <f t="shared" si="57"/>
        <v>#DIV/0!</v>
      </c>
      <c r="R50" s="55">
        <f ca="1">IFERROR(__xludf.DUMMYFUNCTION("IFERROR(VLOOKUP($B$2,IMPORTRANGE(""https://docs.google.com/spreadsheets/d/1iVgg6Mw12RULLujzHmfOFIY8Q_KaAD8anoZzgtVAQ74/edit#gid=1503384807"",""Second Star - Summary!A1:AD2000""),9,FALSE),"""")"),0)</f>
        <v>0</v>
      </c>
      <c r="S50" s="53" t="str">
        <f ca="1">IFERROR(__xludf.DUMMYFUNCTION("IFERROR(VLOOKUP($B$2,IMPORTRANGE(""https://docs.google.com/spreadsheets/d/1iVgg6Mw12RULLujzHmfOFIY8Q_KaAD8anoZzgtVAQ74/edit#gid=1503384807"",""Second Star - Summary!A1:AD2000""),28,FALSE),"""")"),"")</f>
        <v/>
      </c>
      <c r="T50" s="54" t="str">
        <f ca="1">IFERROR(__xludf.DUMMYFUNCTION("IFERROR(VLOOKUP($B$2,IMPORTRANGE(""https://docs.google.com/spreadsheets/d/1iVgg6Mw12RULLujzHmfOFIY8Q_KaAD8anoZzgtVAQ74/edit#gid=1503384807"",""Second Star - Summary!A1:AD2000""),29,FALSE),"""")"),"")</f>
        <v/>
      </c>
      <c r="U50" s="52">
        <v>0</v>
      </c>
      <c r="V50" s="55">
        <f t="shared" si="58"/>
        <v>0</v>
      </c>
      <c r="W50" s="55">
        <f t="shared" si="59"/>
        <v>0</v>
      </c>
      <c r="X50" s="52">
        <v>0</v>
      </c>
      <c r="Y50" s="52" t="e">
        <v>#N/A</v>
      </c>
      <c r="Z50" s="56" t="e">
        <f t="shared" si="65"/>
        <v>#N/A</v>
      </c>
      <c r="AA50" s="55" t="e">
        <v>#N/A</v>
      </c>
      <c r="AB50" s="55">
        <f t="shared" si="61"/>
        <v>0</v>
      </c>
      <c r="AC50" s="55">
        <v>0</v>
      </c>
      <c r="AD50" s="55">
        <v>-7.7</v>
      </c>
      <c r="AE50" s="55">
        <v>0</v>
      </c>
      <c r="AF50" s="55" t="e">
        <v>#N/A</v>
      </c>
    </row>
    <row r="51" spans="1:32" s="57" customFormat="1" ht="15.75" customHeight="1">
      <c r="A51" s="2" t="s">
        <v>121</v>
      </c>
      <c r="B51"/>
      <c r="C51" s="51" t="str">
        <f t="shared" si="50"/>
        <v xml:space="preserve"> - </v>
      </c>
      <c r="D51" s="51">
        <v>0</v>
      </c>
      <c r="E51" s="51">
        <v>0</v>
      </c>
      <c r="F51" s="51">
        <v>0</v>
      </c>
      <c r="G51" s="51">
        <v>0</v>
      </c>
      <c r="H51" s="51" t="e">
        <f t="shared" si="51"/>
        <v>#DIV/0!</v>
      </c>
      <c r="I51" s="51" t="e">
        <f t="shared" si="52"/>
        <v>#DIV/0!</v>
      </c>
      <c r="J51" s="51">
        <f t="shared" si="70"/>
        <v>0</v>
      </c>
      <c r="K51" s="51" t="e">
        <f t="shared" si="54"/>
        <v>#DIV/0!</v>
      </c>
      <c r="L51" s="51">
        <v>0</v>
      </c>
      <c r="M51" s="51" t="str">
        <f t="shared" si="55"/>
        <v>-</v>
      </c>
      <c r="N51" s="51">
        <v>0</v>
      </c>
      <c r="O51" s="51">
        <f t="shared" ref="O51:P51" si="73">D51/7</f>
        <v>0</v>
      </c>
      <c r="P51" s="51">
        <f t="shared" si="73"/>
        <v>0</v>
      </c>
      <c r="Q51" s="51" t="e">
        <f t="shared" si="57"/>
        <v>#DIV/0!</v>
      </c>
      <c r="R51" s="55">
        <f ca="1">IFERROR(__xludf.DUMMYFUNCTION("IFERROR(VLOOKUP($B$2,IMPORTRANGE(""https://docs.google.com/spreadsheets/d/1iVgg6Mw12RULLujzHmfOFIY8Q_KaAD8anoZzgtVAQ74/edit#gid=1503384807"",""Second Star - Summary!A1:AD2000""),9,FALSE),"""")"),0)</f>
        <v>0</v>
      </c>
      <c r="S51" s="53" t="str">
        <f ca="1">IFERROR(__xludf.DUMMYFUNCTION("IFERROR(VLOOKUP($B$2,IMPORTRANGE(""https://docs.google.com/spreadsheets/d/1iVgg6Mw12RULLujzHmfOFIY8Q_KaAD8anoZzgtVAQ74/edit#gid=1503384807"",""Second Star - Summary!A1:AD2000""),28,FALSE),"""")"),"")</f>
        <v/>
      </c>
      <c r="T51" s="54" t="str">
        <f ca="1">IFERROR(__xludf.DUMMYFUNCTION("IFERROR(VLOOKUP($B$2,IMPORTRANGE(""https://docs.google.com/spreadsheets/d/1iVgg6Mw12RULLujzHmfOFIY8Q_KaAD8anoZzgtVAQ74/edit#gid=1503384807"",""Second Star - Summary!A1:AD2000""),29,FALSE),"""")"),"")</f>
        <v/>
      </c>
      <c r="U51" s="52">
        <v>0</v>
      </c>
      <c r="V51" s="55">
        <f t="shared" si="58"/>
        <v>0</v>
      </c>
      <c r="W51" s="55">
        <f t="shared" si="59"/>
        <v>0</v>
      </c>
      <c r="X51" s="52">
        <v>0</v>
      </c>
      <c r="Y51" s="52" t="e">
        <v>#N/A</v>
      </c>
      <c r="Z51" s="56" t="e">
        <f t="shared" si="65"/>
        <v>#N/A</v>
      </c>
      <c r="AA51" s="55" t="e">
        <v>#N/A</v>
      </c>
      <c r="AB51" s="55">
        <f t="shared" si="61"/>
        <v>0</v>
      </c>
      <c r="AC51" s="55">
        <v>0</v>
      </c>
      <c r="AD51" s="55">
        <v>-7.7</v>
      </c>
      <c r="AE51" s="55">
        <v>0</v>
      </c>
      <c r="AF51" s="55" t="e">
        <v>#N/A</v>
      </c>
    </row>
    <row r="52" spans="1:32" s="57" customFormat="1" ht="15.75" customHeight="1">
      <c r="A52" s="17" t="s">
        <v>123</v>
      </c>
      <c r="B52"/>
      <c r="C52" s="51" t="str">
        <f t="shared" si="50"/>
        <v xml:space="preserve"> - </v>
      </c>
      <c r="D52" s="51">
        <v>0</v>
      </c>
      <c r="E52" s="51">
        <v>0</v>
      </c>
      <c r="F52" s="51">
        <v>0</v>
      </c>
      <c r="G52" s="51">
        <v>0</v>
      </c>
      <c r="H52" s="51" t="e">
        <f t="shared" si="51"/>
        <v>#DIV/0!</v>
      </c>
      <c r="I52" s="51" t="e">
        <f t="shared" si="52"/>
        <v>#DIV/0!</v>
      </c>
      <c r="J52" s="51">
        <f t="shared" si="70"/>
        <v>0</v>
      </c>
      <c r="K52" s="51" t="e">
        <f t="shared" si="54"/>
        <v>#DIV/0!</v>
      </c>
      <c r="L52" s="51">
        <v>0</v>
      </c>
      <c r="M52" s="51" t="str">
        <f t="shared" si="55"/>
        <v>-</v>
      </c>
      <c r="N52" s="51">
        <v>0</v>
      </c>
      <c r="O52" s="51">
        <f t="shared" ref="O52:P52" si="74">D52/7</f>
        <v>0</v>
      </c>
      <c r="P52" s="51">
        <f t="shared" si="74"/>
        <v>0</v>
      </c>
      <c r="Q52" s="51" t="e">
        <f t="shared" si="57"/>
        <v>#DIV/0!</v>
      </c>
      <c r="R52" s="55">
        <f ca="1">IFERROR(__xludf.DUMMYFUNCTION("IFERROR(VLOOKUP($B$2,IMPORTRANGE(""https://docs.google.com/spreadsheets/d/1iVgg6Mw12RULLujzHmfOFIY8Q_KaAD8anoZzgtVAQ74/edit#gid=1503384807"",""Second Star - Summary!A1:AD2000""),9,FALSE),"""")"),0)</f>
        <v>0</v>
      </c>
      <c r="S52" s="53" t="str">
        <f ca="1">IFERROR(__xludf.DUMMYFUNCTION("IFERROR(VLOOKUP($B$2,IMPORTRANGE(""https://docs.google.com/spreadsheets/d/1iVgg6Mw12RULLujzHmfOFIY8Q_KaAD8anoZzgtVAQ74/edit#gid=1503384807"",""Second Star - Summary!A1:AD2000""),28,FALSE),"""")"),"")</f>
        <v/>
      </c>
      <c r="T52" s="54" t="str">
        <f ca="1">IFERROR(__xludf.DUMMYFUNCTION("IFERROR(VLOOKUP($B$2,IMPORTRANGE(""https://docs.google.com/spreadsheets/d/1iVgg6Mw12RULLujzHmfOFIY8Q_KaAD8anoZzgtVAQ74/edit#gid=1503384807"",""Second Star - Summary!A1:AD2000""),29,FALSE),"""")"),"")</f>
        <v/>
      </c>
      <c r="U52" s="52">
        <v>0</v>
      </c>
      <c r="V52" s="55">
        <f t="shared" si="58"/>
        <v>0</v>
      </c>
      <c r="W52" s="55">
        <f t="shared" si="59"/>
        <v>0</v>
      </c>
      <c r="X52" s="52">
        <v>0</v>
      </c>
      <c r="Y52" s="52" t="e">
        <v>#N/A</v>
      </c>
      <c r="Z52" s="56" t="e">
        <f t="shared" si="65"/>
        <v>#N/A</v>
      </c>
      <c r="AA52" s="55" t="e">
        <v>#N/A</v>
      </c>
      <c r="AB52" s="55">
        <f t="shared" si="61"/>
        <v>0</v>
      </c>
      <c r="AC52" s="55">
        <v>0</v>
      </c>
      <c r="AD52" s="55">
        <v>-7.7</v>
      </c>
      <c r="AE52" s="55">
        <v>0</v>
      </c>
      <c r="AF52" s="55">
        <v>0</v>
      </c>
    </row>
    <row r="53" spans="1:32" s="57" customFormat="1">
      <c r="A53" s="17" t="s">
        <v>38</v>
      </c>
      <c r="B53"/>
      <c r="C53" s="51" t="str">
        <f t="shared" si="50"/>
        <v xml:space="preserve"> - </v>
      </c>
      <c r="D53" s="51">
        <v>0</v>
      </c>
      <c r="E53" s="51">
        <v>0</v>
      </c>
      <c r="F53" s="51">
        <v>0</v>
      </c>
      <c r="G53" s="51">
        <v>0</v>
      </c>
      <c r="H53" s="51" t="e">
        <f t="shared" si="51"/>
        <v>#DIV/0!</v>
      </c>
      <c r="I53" s="51" t="e">
        <f t="shared" si="52"/>
        <v>#DIV/0!</v>
      </c>
      <c r="J53" s="51">
        <f t="shared" si="70"/>
        <v>0</v>
      </c>
      <c r="K53" s="51" t="e">
        <f t="shared" si="54"/>
        <v>#DIV/0!</v>
      </c>
      <c r="L53" s="51">
        <v>0</v>
      </c>
      <c r="M53" s="51" t="str">
        <f t="shared" si="55"/>
        <v>-</v>
      </c>
      <c r="N53" s="51">
        <v>0</v>
      </c>
      <c r="O53" s="51">
        <f t="shared" ref="O53:P53" si="75">D53/7</f>
        <v>0</v>
      </c>
      <c r="P53" s="51">
        <f t="shared" si="75"/>
        <v>0</v>
      </c>
      <c r="Q53" s="51" t="e">
        <f t="shared" si="57"/>
        <v>#DIV/0!</v>
      </c>
      <c r="R53" s="55">
        <f ca="1">IFERROR(__xludf.DUMMYFUNCTION("IFERROR(VLOOKUP($B$2,IMPORTRANGE(""https://docs.google.com/spreadsheets/d/1iVgg6Mw12RULLujzHmfOFIY8Q_KaAD8anoZzgtVAQ74/edit#gid=1503384807"",""Second Star - Summary!A1:AD2000""),9,FALSE),"""")"),0)</f>
        <v>0</v>
      </c>
      <c r="S53" s="53" t="str">
        <f ca="1">IFERROR(__xludf.DUMMYFUNCTION("IFERROR(VLOOKUP($B$2,IMPORTRANGE(""https://docs.google.com/spreadsheets/d/1iVgg6Mw12RULLujzHmfOFIY8Q_KaAD8anoZzgtVAQ74/edit#gid=1503384807"",""Second Star - Summary!A1:AD2000""),28,FALSE),"""")"),"")</f>
        <v/>
      </c>
      <c r="T53" s="54" t="str">
        <f ca="1">IFERROR(__xludf.DUMMYFUNCTION("IFERROR(VLOOKUP($B$2,IMPORTRANGE(""https://docs.google.com/spreadsheets/d/1iVgg6Mw12RULLujzHmfOFIY8Q_KaAD8anoZzgtVAQ74/edit#gid=1503384807"",""Second Star - Summary!A1:AD2000""),29,FALSE),"""")"),"")</f>
        <v/>
      </c>
      <c r="U53" s="52">
        <v>0</v>
      </c>
      <c r="V53" s="55">
        <f t="shared" si="58"/>
        <v>0</v>
      </c>
      <c r="W53" s="55">
        <f t="shared" si="59"/>
        <v>0</v>
      </c>
      <c r="X53" s="52">
        <v>0</v>
      </c>
      <c r="Y53" s="52" t="e">
        <v>#N/A</v>
      </c>
      <c r="Z53" s="56" t="e">
        <f t="shared" si="65"/>
        <v>#N/A</v>
      </c>
      <c r="AA53" s="55" t="e">
        <v>#N/A</v>
      </c>
      <c r="AB53" s="55">
        <f t="shared" si="61"/>
        <v>0</v>
      </c>
      <c r="AC53" s="55">
        <v>0</v>
      </c>
      <c r="AD53" s="55">
        <v>-7.7</v>
      </c>
      <c r="AE53" s="55">
        <v>0</v>
      </c>
      <c r="AF53" s="55">
        <v>0</v>
      </c>
    </row>
    <row r="54" spans="1:32" s="57" customFormat="1">
      <c r="A54" s="17" t="s">
        <v>40</v>
      </c>
      <c r="B54"/>
      <c r="C54" s="51" t="str">
        <f t="shared" si="50"/>
        <v xml:space="preserve"> - </v>
      </c>
      <c r="D54" s="51">
        <v>0</v>
      </c>
      <c r="E54" s="51">
        <v>0</v>
      </c>
      <c r="F54" s="51">
        <v>0</v>
      </c>
      <c r="G54" s="51">
        <v>0</v>
      </c>
      <c r="H54" s="51" t="e">
        <f t="shared" si="51"/>
        <v>#DIV/0!</v>
      </c>
      <c r="I54" s="51" t="e">
        <f t="shared" si="52"/>
        <v>#DIV/0!</v>
      </c>
      <c r="J54" s="51">
        <f t="shared" si="70"/>
        <v>0</v>
      </c>
      <c r="K54" s="51" t="e">
        <f t="shared" si="54"/>
        <v>#DIV/0!</v>
      </c>
      <c r="L54" s="51">
        <v>0</v>
      </c>
      <c r="M54" s="51" t="str">
        <f t="shared" si="55"/>
        <v>-</v>
      </c>
      <c r="N54" s="51">
        <v>0</v>
      </c>
      <c r="O54" s="51">
        <f t="shared" ref="O54:P54" si="76">D54/7</f>
        <v>0</v>
      </c>
      <c r="P54" s="51">
        <f t="shared" si="76"/>
        <v>0</v>
      </c>
      <c r="Q54" s="51" t="e">
        <f t="shared" si="57"/>
        <v>#DIV/0!</v>
      </c>
      <c r="R54" s="55">
        <f ca="1">IFERROR(__xludf.DUMMYFUNCTION("IFERROR(VLOOKUP($B$2,IMPORTRANGE(""https://docs.google.com/spreadsheets/d/1iVgg6Mw12RULLujzHmfOFIY8Q_KaAD8anoZzgtVAQ74/edit#gid=1503384807"",""Second Star - Summary!A1:AD2000""),9,FALSE),"""")"),0)</f>
        <v>0</v>
      </c>
      <c r="S54" s="53" t="str">
        <f ca="1">IFERROR(__xludf.DUMMYFUNCTION("IFERROR(VLOOKUP($B$2,IMPORTRANGE(""https://docs.google.com/spreadsheets/d/1iVgg6Mw12RULLujzHmfOFIY8Q_KaAD8anoZzgtVAQ74/edit#gid=1503384807"",""Second Star - Summary!A1:AD2000""),28,FALSE),"""")"),"")</f>
        <v/>
      </c>
      <c r="T54" s="54" t="str">
        <f ca="1">IFERROR(__xludf.DUMMYFUNCTION("IFERROR(VLOOKUP($B$2,IMPORTRANGE(""https://docs.google.com/spreadsheets/d/1iVgg6Mw12RULLujzHmfOFIY8Q_KaAD8anoZzgtVAQ74/edit#gid=1503384807"",""Second Star - Summary!A1:AD2000""),29,FALSE),"""")"),"")</f>
        <v/>
      </c>
      <c r="U54" s="52">
        <v>0</v>
      </c>
      <c r="V54" s="55">
        <f t="shared" si="58"/>
        <v>0</v>
      </c>
      <c r="W54" s="55">
        <f t="shared" si="59"/>
        <v>0</v>
      </c>
      <c r="X54" s="52">
        <v>0</v>
      </c>
      <c r="Y54" s="52" t="e">
        <v>#N/A</v>
      </c>
      <c r="Z54" s="56" t="e">
        <f t="shared" si="65"/>
        <v>#N/A</v>
      </c>
      <c r="AA54" s="55" t="e">
        <v>#N/A</v>
      </c>
      <c r="AB54" s="55">
        <f t="shared" si="61"/>
        <v>0</v>
      </c>
      <c r="AC54" s="55">
        <v>0</v>
      </c>
      <c r="AD54" s="55">
        <v>-7.7</v>
      </c>
      <c r="AE54" s="55">
        <v>0</v>
      </c>
      <c r="AF54" s="55">
        <v>0</v>
      </c>
    </row>
    <row r="55" spans="1:32" s="57" customFormat="1" ht="15.75" customHeight="1">
      <c r="A55" s="17" t="s">
        <v>32</v>
      </c>
      <c r="B55"/>
      <c r="C55" s="51" t="str">
        <f t="shared" si="50"/>
        <v xml:space="preserve"> - </v>
      </c>
      <c r="D55" s="51">
        <v>0</v>
      </c>
      <c r="E55" s="51">
        <v>0</v>
      </c>
      <c r="F55" s="51">
        <v>0</v>
      </c>
      <c r="G55" s="51">
        <v>0</v>
      </c>
      <c r="H55" s="51" t="e">
        <f t="shared" si="51"/>
        <v>#DIV/0!</v>
      </c>
      <c r="I55" s="51" t="e">
        <f t="shared" si="52"/>
        <v>#DIV/0!</v>
      </c>
      <c r="J55" s="51">
        <f t="shared" si="70"/>
        <v>0</v>
      </c>
      <c r="K55" s="51" t="e">
        <f t="shared" si="54"/>
        <v>#DIV/0!</v>
      </c>
      <c r="L55" s="51">
        <v>0</v>
      </c>
      <c r="M55" s="51" t="str">
        <f t="shared" si="55"/>
        <v>-</v>
      </c>
      <c r="N55" s="51">
        <v>0</v>
      </c>
      <c r="O55" s="51">
        <f t="shared" ref="O55:P55" si="77">D55/7</f>
        <v>0</v>
      </c>
      <c r="P55" s="51">
        <f t="shared" si="77"/>
        <v>0</v>
      </c>
      <c r="Q55" s="51" t="e">
        <f t="shared" si="57"/>
        <v>#DIV/0!</v>
      </c>
      <c r="R55" s="55">
        <v>0</v>
      </c>
      <c r="S55" s="53" t="s">
        <v>34</v>
      </c>
      <c r="T55" s="54" t="s">
        <v>34</v>
      </c>
      <c r="U55" s="52">
        <v>0</v>
      </c>
      <c r="V55" s="55">
        <f t="shared" si="58"/>
        <v>0</v>
      </c>
      <c r="W55" s="55">
        <f t="shared" si="59"/>
        <v>0</v>
      </c>
      <c r="X55" s="52">
        <v>0</v>
      </c>
      <c r="Y55" s="52" t="e">
        <v>#N/A</v>
      </c>
      <c r="Z55" s="56" t="e">
        <f t="shared" si="65"/>
        <v>#N/A</v>
      </c>
      <c r="AA55" s="55" t="e">
        <v>#N/A</v>
      </c>
      <c r="AB55" s="55">
        <f t="shared" si="61"/>
        <v>0</v>
      </c>
      <c r="AC55" s="55">
        <v>0</v>
      </c>
      <c r="AD55" s="55">
        <v>-7.7</v>
      </c>
      <c r="AE55" s="55">
        <v>0</v>
      </c>
      <c r="AF55" s="55" t="e">
        <v>#N/A</v>
      </c>
    </row>
    <row r="56" spans="1:32" s="57" customFormat="1" ht="15.75" customHeight="1">
      <c r="A56" s="30" t="s">
        <v>36</v>
      </c>
      <c r="B56"/>
      <c r="C56" s="51" t="str">
        <f t="shared" si="50"/>
        <v xml:space="preserve"> - </v>
      </c>
      <c r="D56" s="51">
        <v>0</v>
      </c>
      <c r="E56" s="51">
        <v>0</v>
      </c>
      <c r="F56" s="51">
        <v>0</v>
      </c>
      <c r="G56" s="51">
        <v>0</v>
      </c>
      <c r="H56" s="51" t="e">
        <f t="shared" si="51"/>
        <v>#DIV/0!</v>
      </c>
      <c r="I56" s="51" t="e">
        <f t="shared" si="52"/>
        <v>#DIV/0!</v>
      </c>
      <c r="J56" s="51">
        <f t="shared" si="70"/>
        <v>0</v>
      </c>
      <c r="K56" s="51" t="e">
        <f t="shared" si="54"/>
        <v>#DIV/0!</v>
      </c>
      <c r="L56" s="51">
        <v>0</v>
      </c>
      <c r="M56" s="51" t="str">
        <f t="shared" si="55"/>
        <v>-</v>
      </c>
      <c r="N56" s="51">
        <v>0</v>
      </c>
      <c r="O56" s="51">
        <f t="shared" ref="O56:P56" si="78">D56/7</f>
        <v>0</v>
      </c>
      <c r="P56" s="51">
        <f t="shared" si="78"/>
        <v>0</v>
      </c>
      <c r="Q56" s="51" t="e">
        <f t="shared" si="57"/>
        <v>#DIV/0!</v>
      </c>
      <c r="R56" s="55">
        <f ca="1">IFERROR(__xludf.DUMMYFUNCTION("IFERROR(VLOOKUP($B$2,IMPORTRANGE(""https://docs.google.com/spreadsheets/d/1iVgg6Mw12RULLujzHmfOFIY8Q_KaAD8anoZzgtVAQ74/edit#gid=1503384807"",""Second Star - Summary!A1:AD2000""),9,FALSE),"""")"),0)</f>
        <v>0</v>
      </c>
      <c r="S56" s="53" t="str">
        <f ca="1">IFERROR(__xludf.DUMMYFUNCTION("IFERROR(VLOOKUP($B$2,IMPORTRANGE(""https://docs.google.com/spreadsheets/d/1iVgg6Mw12RULLujzHmfOFIY8Q_KaAD8anoZzgtVAQ74/edit#gid=1503384807"",""Second Star - Summary!A1:AD2000""),28,FALSE),"""")"),"")</f>
        <v/>
      </c>
      <c r="T56" s="54" t="str">
        <f ca="1">IFERROR(__xludf.DUMMYFUNCTION("IFERROR(VLOOKUP($B$2,IMPORTRANGE(""https://docs.google.com/spreadsheets/d/1iVgg6Mw12RULLujzHmfOFIY8Q_KaAD8anoZzgtVAQ74/edit#gid=1503384807"",""Second Star - Summary!A1:AD2000""),29,FALSE),"""")"),"")</f>
        <v/>
      </c>
      <c r="U56" s="59">
        <v>0</v>
      </c>
      <c r="V56" s="55">
        <f t="shared" si="58"/>
        <v>0</v>
      </c>
      <c r="W56" s="55">
        <f t="shared" si="59"/>
        <v>0</v>
      </c>
      <c r="X56" s="59">
        <v>0</v>
      </c>
      <c r="Y56" s="59" t="e">
        <v>#N/A</v>
      </c>
      <c r="Z56" s="56" t="e">
        <f t="shared" si="65"/>
        <v>#N/A</v>
      </c>
      <c r="AA56" s="55" t="e">
        <v>#N/A</v>
      </c>
      <c r="AB56" s="55">
        <f t="shared" si="61"/>
        <v>0</v>
      </c>
      <c r="AC56" s="55">
        <v>0</v>
      </c>
      <c r="AD56" s="55">
        <v>-7.7</v>
      </c>
      <c r="AE56" s="55">
        <v>0</v>
      </c>
      <c r="AF56" s="55" t="e">
        <v>#N/A</v>
      </c>
    </row>
    <row r="57" spans="1:32" ht="15.75" customHeight="1">
      <c r="C57" s="24"/>
      <c r="D57" s="18"/>
      <c r="E57" s="18"/>
      <c r="F57" s="19"/>
      <c r="G57" s="19"/>
      <c r="H57" s="19"/>
      <c r="I57" s="18"/>
      <c r="J57" s="18"/>
      <c r="K57" s="18"/>
      <c r="L57" s="18"/>
      <c r="M57" s="20"/>
      <c r="N57" s="18"/>
      <c r="O57" s="18"/>
      <c r="P57" s="18"/>
      <c r="Q57" s="18"/>
      <c r="S57" s="21"/>
      <c r="T57" s="1"/>
      <c r="AC57" s="22"/>
      <c r="AD57" s="22"/>
      <c r="AE57" s="22"/>
      <c r="AF57" s="23"/>
    </row>
    <row r="58" spans="1:32" ht="15.75" customHeight="1">
      <c r="C58" s="24"/>
      <c r="D58" s="18"/>
      <c r="E58" s="18"/>
      <c r="F58" s="19"/>
      <c r="G58" s="19"/>
      <c r="H58" s="19"/>
      <c r="I58" s="18"/>
      <c r="J58" s="18"/>
      <c r="K58" s="18"/>
      <c r="L58" s="18"/>
      <c r="M58" s="20"/>
      <c r="N58" s="18"/>
      <c r="O58" s="18"/>
      <c r="P58" s="18"/>
      <c r="Q58" s="18"/>
      <c r="S58" s="21"/>
      <c r="T58" s="1"/>
      <c r="AC58" s="22"/>
      <c r="AD58" s="22"/>
      <c r="AE58" s="22"/>
      <c r="AF58" s="23"/>
    </row>
    <row r="59" spans="1:32" ht="15.75" customHeight="1">
      <c r="C59" s="24"/>
      <c r="D59" s="18"/>
      <c r="E59" s="18"/>
      <c r="F59" s="19"/>
      <c r="G59" s="19"/>
      <c r="H59" s="19"/>
      <c r="I59" s="18"/>
      <c r="J59" s="18"/>
      <c r="K59" s="18"/>
      <c r="L59" s="18"/>
      <c r="M59" s="20"/>
      <c r="N59" s="18"/>
      <c r="O59" s="18"/>
      <c r="P59" s="18"/>
      <c r="Q59" s="18"/>
      <c r="S59" s="21"/>
      <c r="T59" s="1"/>
      <c r="AC59" s="22"/>
      <c r="AD59" s="22"/>
      <c r="AE59" s="22"/>
      <c r="AF59" s="23"/>
    </row>
    <row r="60" spans="1:32" ht="15.75" customHeight="1">
      <c r="C60" s="24"/>
      <c r="D60" s="18"/>
      <c r="E60" s="18"/>
      <c r="F60" s="19"/>
      <c r="G60" s="19"/>
      <c r="H60" s="19"/>
      <c r="I60" s="18"/>
      <c r="J60" s="18"/>
      <c r="K60" s="18"/>
      <c r="L60" s="18"/>
      <c r="M60" s="20"/>
      <c r="N60" s="18"/>
      <c r="O60" s="18"/>
      <c r="P60" s="18"/>
      <c r="Q60" s="18"/>
      <c r="S60" s="21"/>
      <c r="T60" s="1"/>
      <c r="AC60" s="22"/>
      <c r="AD60" s="22"/>
      <c r="AE60" s="22"/>
      <c r="AF60" s="23"/>
    </row>
    <row r="61" spans="1:32" ht="15.75" customHeight="1">
      <c r="C61" s="24"/>
      <c r="D61" s="18"/>
      <c r="E61" s="18"/>
      <c r="F61" s="19"/>
      <c r="G61" s="19"/>
      <c r="H61" s="19"/>
      <c r="I61" s="18"/>
      <c r="J61" s="18"/>
      <c r="K61" s="18"/>
      <c r="L61" s="18"/>
      <c r="M61" s="20"/>
      <c r="N61" s="18"/>
      <c r="O61" s="18"/>
      <c r="P61" s="18"/>
      <c r="Q61" s="18"/>
      <c r="S61" s="21"/>
      <c r="T61" s="1"/>
      <c r="AC61" s="22"/>
      <c r="AD61" s="22"/>
      <c r="AE61" s="22"/>
      <c r="AF61" s="23"/>
    </row>
    <row r="62" spans="1:32" ht="15.75" customHeight="1">
      <c r="C62" s="24"/>
      <c r="D62" s="18"/>
      <c r="E62" s="18"/>
      <c r="F62" s="19"/>
      <c r="G62" s="19"/>
      <c r="H62" s="19"/>
      <c r="I62" s="18"/>
      <c r="J62" s="18"/>
      <c r="K62" s="18"/>
      <c r="L62" s="18"/>
      <c r="M62" s="20"/>
      <c r="N62" s="18"/>
      <c r="O62" s="18"/>
      <c r="P62" s="18"/>
      <c r="Q62" s="18"/>
      <c r="S62" s="21"/>
      <c r="T62" s="1"/>
      <c r="AC62" s="22"/>
      <c r="AD62" s="22"/>
      <c r="AE62" s="22"/>
      <c r="AF62" s="23"/>
    </row>
    <row r="63" spans="1:32" ht="15.75" customHeight="1">
      <c r="C63" s="24"/>
      <c r="D63" s="18"/>
      <c r="E63" s="18"/>
      <c r="F63" s="19"/>
      <c r="G63" s="19"/>
      <c r="H63" s="19"/>
      <c r="I63" s="18"/>
      <c r="J63" s="18"/>
      <c r="K63" s="18"/>
      <c r="L63" s="18"/>
      <c r="M63" s="20"/>
      <c r="N63" s="18"/>
      <c r="O63" s="18"/>
      <c r="P63" s="18"/>
      <c r="Q63" s="18"/>
      <c r="S63" s="21"/>
      <c r="T63" s="1"/>
      <c r="AC63" s="22"/>
      <c r="AD63" s="22"/>
      <c r="AE63" s="22"/>
      <c r="AF63" s="23"/>
    </row>
    <row r="64" spans="1:32" ht="15.75" customHeight="1">
      <c r="C64" s="24"/>
      <c r="D64" s="18"/>
      <c r="E64" s="18"/>
      <c r="F64" s="19"/>
      <c r="G64" s="19"/>
      <c r="H64" s="19"/>
      <c r="I64" s="18"/>
      <c r="J64" s="18"/>
      <c r="K64" s="18"/>
      <c r="L64" s="18"/>
      <c r="M64" s="20"/>
      <c r="N64" s="18"/>
      <c r="O64" s="18"/>
      <c r="P64" s="18"/>
      <c r="Q64" s="18"/>
      <c r="S64" s="21"/>
      <c r="T64" s="1"/>
      <c r="AC64" s="22"/>
      <c r="AD64" s="22"/>
      <c r="AE64" s="22"/>
      <c r="AF64" s="23"/>
    </row>
    <row r="65" spans="3:32" ht="15.75" customHeight="1">
      <c r="C65" s="24"/>
      <c r="D65" s="18"/>
      <c r="E65" s="18"/>
      <c r="F65" s="19"/>
      <c r="G65" s="19"/>
      <c r="H65" s="19"/>
      <c r="I65" s="18"/>
      <c r="J65" s="18"/>
      <c r="K65" s="18"/>
      <c r="L65" s="18"/>
      <c r="M65" s="20"/>
      <c r="N65" s="18"/>
      <c r="O65" s="18"/>
      <c r="P65" s="18"/>
      <c r="Q65" s="18"/>
      <c r="S65" s="21"/>
      <c r="T65" s="1"/>
      <c r="AC65" s="22"/>
      <c r="AD65" s="22"/>
      <c r="AE65" s="22"/>
      <c r="AF65" s="23"/>
    </row>
    <row r="66" spans="3:32" ht="15.75" customHeight="1">
      <c r="C66" s="24"/>
      <c r="D66" s="18"/>
      <c r="E66" s="18"/>
      <c r="F66" s="19"/>
      <c r="G66" s="19"/>
      <c r="H66" s="19"/>
      <c r="I66" s="18"/>
      <c r="J66" s="18"/>
      <c r="K66" s="18"/>
      <c r="L66" s="18"/>
      <c r="M66" s="20"/>
      <c r="N66" s="18"/>
      <c r="O66" s="18"/>
      <c r="P66" s="18"/>
      <c r="Q66" s="18"/>
      <c r="S66" s="21"/>
      <c r="T66" s="1"/>
      <c r="AC66" s="22"/>
      <c r="AD66" s="22"/>
      <c r="AE66" s="22"/>
      <c r="AF66" s="23"/>
    </row>
    <row r="67" spans="3:32" ht="15.75" customHeight="1">
      <c r="C67" s="24"/>
      <c r="D67" s="18"/>
      <c r="E67" s="18"/>
      <c r="F67" s="19"/>
      <c r="G67" s="19"/>
      <c r="H67" s="19"/>
      <c r="I67" s="18"/>
      <c r="J67" s="18"/>
      <c r="K67" s="18"/>
      <c r="L67" s="18"/>
      <c r="M67" s="20"/>
      <c r="N67" s="18"/>
      <c r="O67" s="18"/>
      <c r="P67" s="18"/>
      <c r="Q67" s="18"/>
      <c r="S67" s="21"/>
      <c r="T67" s="1"/>
      <c r="AC67" s="22"/>
      <c r="AD67" s="22"/>
      <c r="AE67" s="22"/>
      <c r="AF67" s="23"/>
    </row>
    <row r="68" spans="3:32" ht="15.75" customHeight="1">
      <c r="C68" s="24"/>
      <c r="D68" s="18"/>
      <c r="E68" s="18"/>
      <c r="F68" s="19"/>
      <c r="G68" s="19"/>
      <c r="H68" s="19"/>
      <c r="I68" s="18"/>
      <c r="J68" s="18"/>
      <c r="K68" s="18"/>
      <c r="L68" s="18"/>
      <c r="M68" s="20"/>
      <c r="N68" s="18"/>
      <c r="O68" s="18"/>
      <c r="P68" s="18"/>
      <c r="Q68" s="18"/>
      <c r="S68" s="21"/>
      <c r="T68" s="1"/>
      <c r="AC68" s="22"/>
      <c r="AD68" s="22"/>
      <c r="AE68" s="22"/>
      <c r="AF68" s="23"/>
    </row>
    <row r="69" spans="3:32" ht="15.75" customHeight="1">
      <c r="C69" s="24"/>
      <c r="D69" s="18"/>
      <c r="E69" s="18"/>
      <c r="F69" s="19"/>
      <c r="G69" s="19"/>
      <c r="H69" s="19"/>
      <c r="I69" s="18"/>
      <c r="J69" s="18"/>
      <c r="K69" s="18"/>
      <c r="L69" s="18"/>
      <c r="M69" s="20"/>
      <c r="N69" s="18"/>
      <c r="O69" s="18"/>
      <c r="P69" s="18"/>
      <c r="Q69" s="18"/>
      <c r="S69" s="21"/>
      <c r="T69" s="1"/>
      <c r="AC69" s="22"/>
      <c r="AD69" s="22"/>
      <c r="AE69" s="22"/>
      <c r="AF69" s="23"/>
    </row>
    <row r="70" spans="3:32" ht="15.75" customHeight="1">
      <c r="C70" s="24"/>
      <c r="D70" s="18"/>
      <c r="E70" s="18"/>
      <c r="F70" s="19"/>
      <c r="G70" s="19"/>
      <c r="H70" s="19"/>
      <c r="I70" s="18"/>
      <c r="J70" s="18"/>
      <c r="K70" s="18"/>
      <c r="L70" s="18"/>
      <c r="M70" s="20"/>
      <c r="N70" s="18"/>
      <c r="O70" s="18"/>
      <c r="P70" s="18"/>
      <c r="Q70" s="18"/>
      <c r="S70" s="21"/>
      <c r="T70" s="1"/>
      <c r="AC70" s="22"/>
      <c r="AD70" s="22"/>
      <c r="AE70" s="22"/>
      <c r="AF70" s="23"/>
    </row>
    <row r="71" spans="3:32" ht="15.75" customHeight="1">
      <c r="C71" s="24"/>
      <c r="D71" s="18"/>
      <c r="E71" s="18"/>
      <c r="F71" s="19"/>
      <c r="G71" s="19"/>
      <c r="H71" s="19"/>
      <c r="I71" s="18"/>
      <c r="J71" s="18"/>
      <c r="K71" s="18"/>
      <c r="L71" s="18"/>
      <c r="M71" s="20"/>
      <c r="N71" s="18"/>
      <c r="O71" s="18"/>
      <c r="P71" s="18"/>
      <c r="Q71" s="18"/>
      <c r="S71" s="21"/>
      <c r="T71" s="1"/>
      <c r="AC71" s="22"/>
      <c r="AD71" s="22"/>
      <c r="AE71" s="22"/>
      <c r="AF71" s="23"/>
    </row>
    <row r="72" spans="3:32" ht="15.75" customHeight="1">
      <c r="C72" s="24"/>
      <c r="D72" s="18"/>
      <c r="E72" s="18"/>
      <c r="F72" s="19"/>
      <c r="G72" s="19"/>
      <c r="H72" s="19"/>
      <c r="I72" s="18"/>
      <c r="J72" s="18"/>
      <c r="K72" s="18"/>
      <c r="L72" s="18"/>
      <c r="M72" s="20"/>
      <c r="N72" s="18"/>
      <c r="O72" s="18"/>
      <c r="P72" s="18"/>
      <c r="Q72" s="18"/>
      <c r="S72" s="21"/>
      <c r="T72" s="1"/>
      <c r="AC72" s="22"/>
      <c r="AD72" s="22"/>
      <c r="AE72" s="22"/>
      <c r="AF72" s="23"/>
    </row>
    <row r="73" spans="3:32" ht="15.75" customHeight="1">
      <c r="C73" s="24"/>
      <c r="D73" s="18"/>
      <c r="E73" s="18"/>
      <c r="F73" s="19"/>
      <c r="G73" s="19"/>
      <c r="H73" s="19"/>
      <c r="I73" s="18"/>
      <c r="J73" s="18"/>
      <c r="K73" s="18"/>
      <c r="L73" s="18"/>
      <c r="M73" s="20"/>
      <c r="N73" s="18"/>
      <c r="O73" s="18"/>
      <c r="P73" s="18"/>
      <c r="Q73" s="18"/>
      <c r="S73" s="21"/>
      <c r="T73" s="1"/>
      <c r="AC73" s="22"/>
      <c r="AD73" s="22"/>
      <c r="AE73" s="22"/>
      <c r="AF73" s="23"/>
    </row>
    <row r="74" spans="3:32" ht="15.75" customHeight="1">
      <c r="C74" s="24"/>
      <c r="D74" s="18"/>
      <c r="E74" s="18"/>
      <c r="F74" s="19"/>
      <c r="G74" s="19"/>
      <c r="H74" s="19"/>
      <c r="I74" s="18"/>
      <c r="J74" s="18"/>
      <c r="K74" s="18"/>
      <c r="L74" s="18"/>
      <c r="M74" s="20"/>
      <c r="N74" s="18"/>
      <c r="O74" s="18"/>
      <c r="P74" s="18"/>
      <c r="Q74" s="18"/>
      <c r="S74" s="21"/>
      <c r="T74" s="1"/>
      <c r="AC74" s="22"/>
      <c r="AD74" s="22"/>
      <c r="AE74" s="22"/>
      <c r="AF74" s="23"/>
    </row>
    <row r="75" spans="3:32" ht="15.75" customHeight="1">
      <c r="C75" s="24"/>
      <c r="D75" s="18"/>
      <c r="E75" s="18"/>
      <c r="F75" s="19"/>
      <c r="G75" s="19"/>
      <c r="H75" s="19"/>
      <c r="I75" s="18"/>
      <c r="J75" s="18"/>
      <c r="K75" s="18"/>
      <c r="L75" s="18"/>
      <c r="M75" s="20"/>
      <c r="N75" s="18"/>
      <c r="O75" s="18"/>
      <c r="P75" s="18"/>
      <c r="Q75" s="18"/>
      <c r="S75" s="21"/>
      <c r="T75" s="1"/>
      <c r="AC75" s="22"/>
      <c r="AD75" s="22"/>
      <c r="AE75" s="22"/>
      <c r="AF75" s="23"/>
    </row>
    <row r="76" spans="3:32" ht="15.75" customHeight="1">
      <c r="C76" s="24"/>
      <c r="D76" s="18"/>
      <c r="E76" s="18"/>
      <c r="F76" s="19"/>
      <c r="G76" s="19"/>
      <c r="H76" s="19"/>
      <c r="I76" s="18"/>
      <c r="J76" s="18"/>
      <c r="K76" s="18"/>
      <c r="L76" s="18"/>
      <c r="M76" s="20"/>
      <c r="N76" s="18"/>
      <c r="O76" s="18"/>
      <c r="P76" s="18"/>
      <c r="Q76" s="18"/>
      <c r="S76" s="21"/>
      <c r="T76" s="1"/>
      <c r="AC76" s="22"/>
      <c r="AD76" s="22"/>
      <c r="AE76" s="22"/>
      <c r="AF76" s="23"/>
    </row>
    <row r="77" spans="3:32" ht="15.75" customHeight="1">
      <c r="C77" s="24"/>
      <c r="D77" s="18"/>
      <c r="E77" s="18"/>
      <c r="F77" s="19"/>
      <c r="G77" s="19"/>
      <c r="H77" s="19"/>
      <c r="I77" s="18"/>
      <c r="J77" s="18"/>
      <c r="K77" s="18"/>
      <c r="L77" s="18"/>
      <c r="M77" s="20"/>
      <c r="N77" s="18"/>
      <c r="O77" s="18"/>
      <c r="P77" s="18"/>
      <c r="Q77" s="18"/>
      <c r="S77" s="21"/>
      <c r="T77" s="1"/>
      <c r="AC77" s="22"/>
      <c r="AD77" s="22"/>
      <c r="AE77" s="22"/>
      <c r="AF77" s="23"/>
    </row>
    <row r="78" spans="3:32" ht="15.75" customHeight="1">
      <c r="C78" s="24"/>
      <c r="D78" s="18"/>
      <c r="E78" s="18"/>
      <c r="F78" s="19"/>
      <c r="G78" s="19"/>
      <c r="H78" s="19"/>
      <c r="I78" s="18"/>
      <c r="J78" s="18"/>
      <c r="K78" s="18"/>
      <c r="L78" s="18"/>
      <c r="M78" s="20"/>
      <c r="N78" s="18"/>
      <c r="O78" s="18"/>
      <c r="P78" s="18"/>
      <c r="Q78" s="18"/>
      <c r="S78" s="21"/>
      <c r="T78" s="1"/>
      <c r="AC78" s="22"/>
      <c r="AD78" s="22"/>
      <c r="AE78" s="22"/>
      <c r="AF78" s="23"/>
    </row>
    <row r="79" spans="3:32" ht="15.75" customHeight="1">
      <c r="C79" s="24"/>
      <c r="D79" s="18"/>
      <c r="E79" s="18"/>
      <c r="F79" s="19"/>
      <c r="G79" s="19"/>
      <c r="H79" s="19"/>
      <c r="I79" s="18"/>
      <c r="J79" s="18"/>
      <c r="K79" s="18"/>
      <c r="L79" s="18"/>
      <c r="M79" s="20"/>
      <c r="N79" s="18"/>
      <c r="O79" s="18"/>
      <c r="P79" s="18"/>
      <c r="Q79" s="18"/>
      <c r="S79" s="21"/>
      <c r="T79" s="1"/>
      <c r="AC79" s="22"/>
      <c r="AD79" s="22"/>
      <c r="AE79" s="22"/>
      <c r="AF79" s="23"/>
    </row>
    <row r="80" spans="3:32" ht="15.75" customHeight="1">
      <c r="C80" s="24"/>
      <c r="D80" s="18"/>
      <c r="E80" s="18"/>
      <c r="F80" s="19"/>
      <c r="G80" s="19"/>
      <c r="H80" s="19"/>
      <c r="I80" s="18"/>
      <c r="J80" s="18"/>
      <c r="K80" s="18"/>
      <c r="L80" s="18"/>
      <c r="M80" s="20"/>
      <c r="N80" s="18"/>
      <c r="O80" s="18"/>
      <c r="P80" s="18"/>
      <c r="Q80" s="18"/>
      <c r="S80" s="21"/>
      <c r="T80" s="1"/>
      <c r="AC80" s="22"/>
      <c r="AD80" s="22"/>
      <c r="AE80" s="22"/>
      <c r="AF80" s="23"/>
    </row>
    <row r="81" spans="3:32" ht="15.75" customHeight="1">
      <c r="C81" s="24"/>
      <c r="D81" s="18"/>
      <c r="E81" s="18"/>
      <c r="F81" s="19"/>
      <c r="G81" s="19"/>
      <c r="H81" s="19"/>
      <c r="I81" s="18"/>
      <c r="J81" s="18"/>
      <c r="K81" s="18"/>
      <c r="L81" s="18"/>
      <c r="M81" s="20"/>
      <c r="N81" s="18"/>
      <c r="O81" s="18"/>
      <c r="P81" s="18"/>
      <c r="Q81" s="18"/>
      <c r="S81" s="21"/>
      <c r="T81" s="1"/>
      <c r="AC81" s="22"/>
      <c r="AD81" s="22"/>
      <c r="AE81" s="22"/>
      <c r="AF81" s="23"/>
    </row>
    <row r="82" spans="3:32" ht="15.75" customHeight="1">
      <c r="C82" s="24"/>
      <c r="D82" s="18"/>
      <c r="E82" s="18"/>
      <c r="F82" s="19"/>
      <c r="G82" s="19"/>
      <c r="H82" s="19"/>
      <c r="I82" s="18"/>
      <c r="J82" s="18"/>
      <c r="K82" s="18"/>
      <c r="L82" s="18"/>
      <c r="M82" s="20"/>
      <c r="N82" s="18"/>
      <c r="O82" s="18"/>
      <c r="P82" s="18"/>
      <c r="Q82" s="18"/>
      <c r="S82" s="21"/>
      <c r="T82" s="1"/>
      <c r="AC82" s="22"/>
      <c r="AD82" s="22"/>
      <c r="AE82" s="22"/>
      <c r="AF82" s="23"/>
    </row>
    <row r="83" spans="3:32" ht="15.75" customHeight="1">
      <c r="C83" s="24"/>
      <c r="D83" s="18"/>
      <c r="E83" s="18"/>
      <c r="F83" s="19"/>
      <c r="G83" s="19"/>
      <c r="H83" s="19"/>
      <c r="I83" s="18"/>
      <c r="J83" s="18"/>
      <c r="K83" s="18"/>
      <c r="L83" s="18"/>
      <c r="M83" s="20"/>
      <c r="N83" s="18"/>
      <c r="O83" s="18"/>
      <c r="P83" s="18"/>
      <c r="Q83" s="18"/>
      <c r="S83" s="21"/>
      <c r="T83" s="1"/>
      <c r="AC83" s="22"/>
      <c r="AD83" s="22"/>
      <c r="AE83" s="22"/>
      <c r="AF83" s="23"/>
    </row>
    <row r="84" spans="3:32" ht="15.75" customHeight="1">
      <c r="C84" s="24"/>
      <c r="D84" s="18"/>
      <c r="E84" s="18"/>
      <c r="F84" s="19"/>
      <c r="G84" s="19"/>
      <c r="H84" s="19"/>
      <c r="I84" s="18"/>
      <c r="J84" s="18"/>
      <c r="K84" s="18"/>
      <c r="L84" s="18"/>
      <c r="M84" s="20"/>
      <c r="N84" s="18"/>
      <c r="O84" s="18"/>
      <c r="P84" s="18"/>
      <c r="Q84" s="18"/>
      <c r="S84" s="21"/>
      <c r="T84" s="1"/>
      <c r="AC84" s="22"/>
      <c r="AD84" s="22"/>
      <c r="AE84" s="22"/>
      <c r="AF84" s="23"/>
    </row>
    <row r="85" spans="3:32" ht="15.75" customHeight="1">
      <c r="C85" s="24"/>
      <c r="D85" s="18"/>
      <c r="E85" s="18"/>
      <c r="F85" s="19"/>
      <c r="G85" s="19"/>
      <c r="H85" s="19"/>
      <c r="I85" s="18"/>
      <c r="J85" s="18"/>
      <c r="K85" s="18"/>
      <c r="L85" s="18"/>
      <c r="M85" s="20"/>
      <c r="N85" s="18"/>
      <c r="O85" s="18"/>
      <c r="P85" s="18"/>
      <c r="Q85" s="18"/>
      <c r="S85" s="21"/>
      <c r="T85" s="1"/>
      <c r="AC85" s="22"/>
      <c r="AD85" s="22"/>
      <c r="AE85" s="22"/>
      <c r="AF85" s="23"/>
    </row>
    <row r="86" spans="3:32" ht="15.75" customHeight="1">
      <c r="C86" s="24"/>
      <c r="D86" s="18"/>
      <c r="E86" s="18"/>
      <c r="F86" s="19"/>
      <c r="G86" s="19"/>
      <c r="H86" s="19"/>
      <c r="I86" s="18"/>
      <c r="J86" s="18"/>
      <c r="K86" s="18"/>
      <c r="L86" s="18"/>
      <c r="M86" s="20"/>
      <c r="N86" s="18"/>
      <c r="O86" s="18"/>
      <c r="P86" s="18"/>
      <c r="Q86" s="18"/>
      <c r="S86" s="21"/>
      <c r="T86" s="1"/>
      <c r="AC86" s="22"/>
      <c r="AD86" s="22"/>
      <c r="AE86" s="22"/>
      <c r="AF86" s="23"/>
    </row>
    <row r="87" spans="3:32" ht="15.75" customHeight="1">
      <c r="C87" s="24"/>
      <c r="D87" s="18"/>
      <c r="E87" s="18"/>
      <c r="F87" s="19"/>
      <c r="G87" s="19"/>
      <c r="H87" s="19"/>
      <c r="I87" s="18"/>
      <c r="J87" s="18"/>
      <c r="K87" s="18"/>
      <c r="L87" s="18"/>
      <c r="M87" s="20"/>
      <c r="N87" s="18"/>
      <c r="O87" s="18"/>
      <c r="P87" s="18"/>
      <c r="Q87" s="18"/>
      <c r="S87" s="21"/>
      <c r="T87" s="1"/>
      <c r="AC87" s="22"/>
      <c r="AD87" s="22"/>
      <c r="AE87" s="22"/>
      <c r="AF87" s="23"/>
    </row>
    <row r="88" spans="3:32" ht="15.75" customHeight="1">
      <c r="C88" s="24"/>
      <c r="D88" s="18"/>
      <c r="E88" s="18"/>
      <c r="F88" s="19"/>
      <c r="G88" s="19"/>
      <c r="H88" s="19"/>
      <c r="I88" s="18"/>
      <c r="J88" s="18"/>
      <c r="K88" s="18"/>
      <c r="L88" s="18"/>
      <c r="M88" s="20"/>
      <c r="N88" s="18"/>
      <c r="O88" s="18"/>
      <c r="P88" s="18"/>
      <c r="Q88" s="18"/>
      <c r="S88" s="21"/>
      <c r="T88" s="1"/>
      <c r="AC88" s="22"/>
      <c r="AD88" s="22"/>
      <c r="AE88" s="22"/>
      <c r="AF88" s="23"/>
    </row>
    <row r="89" spans="3:32" ht="15.75" customHeight="1">
      <c r="C89" s="24"/>
      <c r="D89" s="18"/>
      <c r="E89" s="18"/>
      <c r="F89" s="19"/>
      <c r="G89" s="19"/>
      <c r="H89" s="19"/>
      <c r="I89" s="18"/>
      <c r="J89" s="18"/>
      <c r="K89" s="18"/>
      <c r="L89" s="18"/>
      <c r="M89" s="20"/>
      <c r="N89" s="18"/>
      <c r="O89" s="18"/>
      <c r="P89" s="18"/>
      <c r="Q89" s="18"/>
      <c r="S89" s="21"/>
      <c r="T89" s="1"/>
      <c r="AC89" s="22"/>
      <c r="AD89" s="22"/>
      <c r="AE89" s="22"/>
      <c r="AF89" s="23"/>
    </row>
    <row r="90" spans="3:32" ht="15.75" customHeight="1">
      <c r="C90" s="24"/>
      <c r="D90" s="18"/>
      <c r="E90" s="18"/>
      <c r="F90" s="19"/>
      <c r="G90" s="19"/>
      <c r="H90" s="19"/>
      <c r="I90" s="18"/>
      <c r="J90" s="18"/>
      <c r="K90" s="18"/>
      <c r="L90" s="18"/>
      <c r="M90" s="20"/>
      <c r="N90" s="18"/>
      <c r="O90" s="18"/>
      <c r="P90" s="18"/>
      <c r="Q90" s="18"/>
      <c r="S90" s="21"/>
      <c r="T90" s="1"/>
      <c r="AC90" s="22"/>
      <c r="AD90" s="22"/>
      <c r="AE90" s="22"/>
      <c r="AF90" s="23"/>
    </row>
    <row r="91" spans="3:32" ht="15.75" customHeight="1">
      <c r="C91" s="24"/>
      <c r="D91" s="18"/>
      <c r="E91" s="18"/>
      <c r="F91" s="19"/>
      <c r="G91" s="19"/>
      <c r="H91" s="19"/>
      <c r="I91" s="18"/>
      <c r="J91" s="18"/>
      <c r="K91" s="18"/>
      <c r="L91" s="18"/>
      <c r="M91" s="20"/>
      <c r="N91" s="18"/>
      <c r="O91" s="18"/>
      <c r="P91" s="18"/>
      <c r="Q91" s="18"/>
      <c r="S91" s="21"/>
      <c r="T91" s="1"/>
      <c r="AC91" s="22"/>
      <c r="AD91" s="22"/>
      <c r="AE91" s="22"/>
      <c r="AF91" s="23"/>
    </row>
    <row r="92" spans="3:32" ht="15.75" customHeight="1">
      <c r="C92" s="24"/>
      <c r="D92" s="18"/>
      <c r="E92" s="18"/>
      <c r="F92" s="19"/>
      <c r="G92" s="19"/>
      <c r="H92" s="19"/>
      <c r="I92" s="18"/>
      <c r="J92" s="18"/>
      <c r="K92" s="18"/>
      <c r="L92" s="18"/>
      <c r="M92" s="20"/>
      <c r="N92" s="18"/>
      <c r="O92" s="18"/>
      <c r="P92" s="18"/>
      <c r="Q92" s="18"/>
      <c r="S92" s="21"/>
      <c r="T92" s="1"/>
      <c r="AC92" s="22"/>
      <c r="AD92" s="22"/>
      <c r="AE92" s="22"/>
      <c r="AF92" s="23"/>
    </row>
    <row r="93" spans="3:32" ht="15.75" customHeight="1">
      <c r="C93" s="24"/>
      <c r="D93" s="18"/>
      <c r="E93" s="18"/>
      <c r="F93" s="19"/>
      <c r="G93" s="19"/>
      <c r="H93" s="19"/>
      <c r="I93" s="18"/>
      <c r="J93" s="18"/>
      <c r="K93" s="18"/>
      <c r="L93" s="18"/>
      <c r="M93" s="20"/>
      <c r="N93" s="18"/>
      <c r="O93" s="18"/>
      <c r="P93" s="18"/>
      <c r="Q93" s="18"/>
      <c r="S93" s="21"/>
      <c r="T93" s="1"/>
      <c r="AC93" s="22"/>
      <c r="AD93" s="22"/>
      <c r="AE93" s="22"/>
      <c r="AF93" s="23"/>
    </row>
    <row r="94" spans="3:32" ht="15.75" customHeight="1">
      <c r="C94" s="24"/>
      <c r="D94" s="18"/>
      <c r="E94" s="18"/>
      <c r="F94" s="19"/>
      <c r="G94" s="19"/>
      <c r="H94" s="19"/>
      <c r="I94" s="18"/>
      <c r="J94" s="18"/>
      <c r="K94" s="18"/>
      <c r="L94" s="18"/>
      <c r="M94" s="20"/>
      <c r="N94" s="18"/>
      <c r="O94" s="18"/>
      <c r="P94" s="18"/>
      <c r="Q94" s="18"/>
      <c r="S94" s="21"/>
      <c r="T94" s="1"/>
      <c r="AC94" s="22"/>
      <c r="AD94" s="22"/>
      <c r="AE94" s="22"/>
      <c r="AF94" s="23"/>
    </row>
    <row r="95" spans="3:32" ht="15.75" customHeight="1">
      <c r="C95" s="24"/>
      <c r="D95" s="18"/>
      <c r="E95" s="18"/>
      <c r="F95" s="19"/>
      <c r="G95" s="19"/>
      <c r="H95" s="19"/>
      <c r="I95" s="18"/>
      <c r="J95" s="18"/>
      <c r="K95" s="18"/>
      <c r="L95" s="18"/>
      <c r="M95" s="20"/>
      <c r="N95" s="18"/>
      <c r="O95" s="18"/>
      <c r="P95" s="18"/>
      <c r="Q95" s="18"/>
      <c r="S95" s="21"/>
      <c r="T95" s="1"/>
      <c r="AC95" s="22"/>
      <c r="AD95" s="22"/>
      <c r="AE95" s="22"/>
      <c r="AF95" s="23"/>
    </row>
    <row r="96" spans="3:32" ht="15.75" customHeight="1">
      <c r="C96" s="24"/>
      <c r="D96" s="18"/>
      <c r="E96" s="18"/>
      <c r="F96" s="19"/>
      <c r="G96" s="19"/>
      <c r="H96" s="19"/>
      <c r="I96" s="18"/>
      <c r="J96" s="18"/>
      <c r="K96" s="18"/>
      <c r="L96" s="18"/>
      <c r="M96" s="20"/>
      <c r="N96" s="18"/>
      <c r="O96" s="18"/>
      <c r="P96" s="18"/>
      <c r="Q96" s="18"/>
      <c r="S96" s="21"/>
      <c r="T96" s="1"/>
      <c r="AC96" s="22"/>
      <c r="AD96" s="22"/>
      <c r="AE96" s="22"/>
      <c r="AF96" s="23"/>
    </row>
    <row r="97" spans="3:32" ht="15.75" customHeight="1">
      <c r="C97" s="24"/>
      <c r="D97" s="18"/>
      <c r="E97" s="18"/>
      <c r="F97" s="19"/>
      <c r="G97" s="19"/>
      <c r="H97" s="19"/>
      <c r="I97" s="18"/>
      <c r="J97" s="18"/>
      <c r="K97" s="18"/>
      <c r="L97" s="18"/>
      <c r="M97" s="20"/>
      <c r="N97" s="18"/>
      <c r="O97" s="18"/>
      <c r="P97" s="18"/>
      <c r="Q97" s="18"/>
      <c r="S97" s="21"/>
      <c r="T97" s="1"/>
      <c r="AC97" s="22"/>
      <c r="AD97" s="22"/>
      <c r="AE97" s="22"/>
      <c r="AF97" s="23"/>
    </row>
    <row r="98" spans="3:32" ht="15.75" customHeight="1">
      <c r="C98" s="24"/>
      <c r="D98" s="18"/>
      <c r="E98" s="18"/>
      <c r="F98" s="19"/>
      <c r="G98" s="19"/>
      <c r="H98" s="19"/>
      <c r="I98" s="18"/>
      <c r="J98" s="18"/>
      <c r="K98" s="18"/>
      <c r="L98" s="18"/>
      <c r="M98" s="20"/>
      <c r="N98" s="18"/>
      <c r="O98" s="18"/>
      <c r="P98" s="18"/>
      <c r="Q98" s="18"/>
      <c r="S98" s="21"/>
      <c r="T98" s="1"/>
      <c r="AC98" s="22"/>
      <c r="AD98" s="22"/>
      <c r="AE98" s="22"/>
      <c r="AF98" s="23"/>
    </row>
    <row r="99" spans="3:32" ht="15.75" customHeight="1">
      <c r="C99" s="24"/>
      <c r="D99" s="18"/>
      <c r="E99" s="18"/>
      <c r="F99" s="19"/>
      <c r="G99" s="19"/>
      <c r="H99" s="19"/>
      <c r="I99" s="18"/>
      <c r="J99" s="18"/>
      <c r="K99" s="18"/>
      <c r="L99" s="18"/>
      <c r="M99" s="20"/>
      <c r="N99" s="18"/>
      <c r="O99" s="18"/>
      <c r="P99" s="18"/>
      <c r="Q99" s="18"/>
      <c r="S99" s="21"/>
      <c r="T99" s="1"/>
      <c r="AC99" s="22"/>
      <c r="AD99" s="22"/>
      <c r="AE99" s="22"/>
      <c r="AF99" s="23"/>
    </row>
    <row r="100" spans="3:32" ht="15.75" customHeight="1">
      <c r="C100" s="24"/>
      <c r="D100" s="18"/>
      <c r="E100" s="18"/>
      <c r="F100" s="19"/>
      <c r="G100" s="19"/>
      <c r="H100" s="19"/>
      <c r="I100" s="18"/>
      <c r="J100" s="18"/>
      <c r="K100" s="18"/>
      <c r="L100" s="18"/>
      <c r="M100" s="20"/>
      <c r="N100" s="18"/>
      <c r="O100" s="18"/>
      <c r="P100" s="18"/>
      <c r="Q100" s="18"/>
      <c r="S100" s="21"/>
      <c r="T100" s="1"/>
      <c r="AC100" s="22"/>
      <c r="AD100" s="22"/>
      <c r="AE100" s="22"/>
      <c r="AF100" s="23"/>
    </row>
    <row r="101" spans="3:32" ht="15.75" customHeight="1">
      <c r="C101" s="24"/>
      <c r="D101" s="18"/>
      <c r="E101" s="18"/>
      <c r="F101" s="19"/>
      <c r="G101" s="19"/>
      <c r="H101" s="19"/>
      <c r="I101" s="18"/>
      <c r="J101" s="18"/>
      <c r="K101" s="18"/>
      <c r="L101" s="18"/>
      <c r="M101" s="20"/>
      <c r="N101" s="18"/>
      <c r="O101" s="18"/>
      <c r="P101" s="18"/>
      <c r="Q101" s="18"/>
      <c r="S101" s="21"/>
      <c r="T101" s="1"/>
      <c r="AC101" s="22"/>
      <c r="AD101" s="22"/>
      <c r="AE101" s="22"/>
      <c r="AF101" s="23"/>
    </row>
    <row r="102" spans="3:32" ht="15.75" customHeight="1">
      <c r="C102" s="24"/>
      <c r="D102" s="18"/>
      <c r="E102" s="18"/>
      <c r="F102" s="19"/>
      <c r="G102" s="19"/>
      <c r="H102" s="19"/>
      <c r="I102" s="18"/>
      <c r="J102" s="18"/>
      <c r="K102" s="18"/>
      <c r="L102" s="18"/>
      <c r="M102" s="20"/>
      <c r="N102" s="18"/>
      <c r="O102" s="18"/>
      <c r="P102" s="18"/>
      <c r="Q102" s="18"/>
      <c r="S102" s="21"/>
      <c r="T102" s="1"/>
      <c r="AC102" s="22"/>
      <c r="AD102" s="22"/>
      <c r="AE102" s="22"/>
      <c r="AF102" s="23"/>
    </row>
    <row r="103" spans="3:32" ht="15.75" customHeight="1">
      <c r="C103" s="24"/>
      <c r="D103" s="18"/>
      <c r="E103" s="18"/>
      <c r="F103" s="19"/>
      <c r="G103" s="19"/>
      <c r="H103" s="19"/>
      <c r="I103" s="18"/>
      <c r="J103" s="18"/>
      <c r="K103" s="18"/>
      <c r="L103" s="18"/>
      <c r="M103" s="20"/>
      <c r="N103" s="18"/>
      <c r="O103" s="18"/>
      <c r="P103" s="18"/>
      <c r="Q103" s="18"/>
      <c r="S103" s="21"/>
      <c r="T103" s="1"/>
      <c r="AC103" s="22"/>
      <c r="AD103" s="22"/>
      <c r="AE103" s="22"/>
      <c r="AF103" s="23"/>
    </row>
    <row r="104" spans="3:32" ht="15.75" customHeight="1">
      <c r="C104" s="24"/>
      <c r="D104" s="18"/>
      <c r="E104" s="18"/>
      <c r="F104" s="19"/>
      <c r="G104" s="19"/>
      <c r="H104" s="19"/>
      <c r="I104" s="18"/>
      <c r="J104" s="18"/>
      <c r="K104" s="18"/>
      <c r="L104" s="18"/>
      <c r="M104" s="20"/>
      <c r="N104" s="18"/>
      <c r="O104" s="18"/>
      <c r="P104" s="18"/>
      <c r="Q104" s="18"/>
      <c r="S104" s="21"/>
      <c r="T104" s="1"/>
      <c r="AC104" s="22"/>
      <c r="AD104" s="22"/>
      <c r="AE104" s="22"/>
      <c r="AF104" s="23"/>
    </row>
    <row r="105" spans="3:32" ht="15.75" customHeight="1">
      <c r="C105" s="24"/>
      <c r="D105" s="18"/>
      <c r="E105" s="18"/>
      <c r="F105" s="19"/>
      <c r="G105" s="19"/>
      <c r="H105" s="19"/>
      <c r="I105" s="18"/>
      <c r="J105" s="18"/>
      <c r="K105" s="18"/>
      <c r="L105" s="18"/>
      <c r="M105" s="20"/>
      <c r="N105" s="18"/>
      <c r="O105" s="18"/>
      <c r="P105" s="18"/>
      <c r="Q105" s="18"/>
      <c r="S105" s="21"/>
      <c r="T105" s="1"/>
      <c r="AC105" s="22"/>
      <c r="AD105" s="22"/>
      <c r="AE105" s="22"/>
      <c r="AF105" s="23"/>
    </row>
    <row r="106" spans="3:32" ht="15.75" customHeight="1">
      <c r="C106" s="24"/>
      <c r="D106" s="18"/>
      <c r="E106" s="18"/>
      <c r="F106" s="19"/>
      <c r="G106" s="19"/>
      <c r="H106" s="19"/>
      <c r="I106" s="18"/>
      <c r="J106" s="18"/>
      <c r="K106" s="18"/>
      <c r="L106" s="18"/>
      <c r="M106" s="20"/>
      <c r="N106" s="18"/>
      <c r="O106" s="18"/>
      <c r="P106" s="18"/>
      <c r="Q106" s="18"/>
      <c r="S106" s="21"/>
      <c r="T106" s="1"/>
      <c r="AC106" s="22"/>
      <c r="AD106" s="22"/>
      <c r="AE106" s="22"/>
      <c r="AF106" s="23"/>
    </row>
    <row r="107" spans="3:32" ht="15.75" customHeight="1">
      <c r="C107" s="24"/>
      <c r="D107" s="18"/>
      <c r="E107" s="18"/>
      <c r="F107" s="19"/>
      <c r="G107" s="19"/>
      <c r="H107" s="19"/>
      <c r="I107" s="18"/>
      <c r="J107" s="18"/>
      <c r="K107" s="18"/>
      <c r="L107" s="18"/>
      <c r="M107" s="20"/>
      <c r="N107" s="18"/>
      <c r="O107" s="18"/>
      <c r="P107" s="18"/>
      <c r="Q107" s="18"/>
      <c r="S107" s="21"/>
      <c r="T107" s="1"/>
      <c r="AC107" s="22"/>
      <c r="AD107" s="22"/>
      <c r="AE107" s="22"/>
      <c r="AF107" s="23"/>
    </row>
    <row r="108" spans="3:32" ht="15.75" customHeight="1">
      <c r="C108" s="24"/>
      <c r="D108" s="18"/>
      <c r="E108" s="18"/>
      <c r="F108" s="19"/>
      <c r="G108" s="19"/>
      <c r="H108" s="19"/>
      <c r="I108" s="18"/>
      <c r="J108" s="18"/>
      <c r="K108" s="18"/>
      <c r="L108" s="18"/>
      <c r="M108" s="20"/>
      <c r="N108" s="18"/>
      <c r="O108" s="18"/>
      <c r="P108" s="18"/>
      <c r="Q108" s="18"/>
      <c r="S108" s="21"/>
      <c r="T108" s="1"/>
      <c r="AC108" s="22"/>
      <c r="AD108" s="22"/>
      <c r="AE108" s="22"/>
      <c r="AF108" s="23"/>
    </row>
    <row r="109" spans="3:32" ht="15.75" customHeight="1">
      <c r="C109" s="24"/>
      <c r="D109" s="18"/>
      <c r="E109" s="18"/>
      <c r="F109" s="19"/>
      <c r="G109" s="19"/>
      <c r="H109" s="19"/>
      <c r="I109" s="18"/>
      <c r="J109" s="18"/>
      <c r="K109" s="18"/>
      <c r="L109" s="18"/>
      <c r="M109" s="20"/>
      <c r="N109" s="18"/>
      <c r="O109" s="18"/>
      <c r="P109" s="18"/>
      <c r="Q109" s="18"/>
      <c r="S109" s="21"/>
      <c r="T109" s="1"/>
      <c r="AC109" s="22"/>
      <c r="AD109" s="22"/>
      <c r="AE109" s="22"/>
      <c r="AF109" s="23"/>
    </row>
    <row r="110" spans="3:32" ht="15.75" customHeight="1">
      <c r="C110" s="24"/>
      <c r="D110" s="18"/>
      <c r="E110" s="18"/>
      <c r="F110" s="19"/>
      <c r="G110" s="19"/>
      <c r="H110" s="19"/>
      <c r="I110" s="18"/>
      <c r="J110" s="18"/>
      <c r="K110" s="18"/>
      <c r="L110" s="18"/>
      <c r="M110" s="20"/>
      <c r="N110" s="18"/>
      <c r="O110" s="18"/>
      <c r="P110" s="18"/>
      <c r="Q110" s="18"/>
      <c r="S110" s="21"/>
      <c r="T110" s="1"/>
      <c r="AC110" s="22"/>
      <c r="AD110" s="22"/>
      <c r="AE110" s="22"/>
      <c r="AF110" s="23"/>
    </row>
    <row r="111" spans="3:32" ht="15.75" customHeight="1">
      <c r="C111" s="24"/>
      <c r="D111" s="18"/>
      <c r="E111" s="18"/>
      <c r="F111" s="19"/>
      <c r="G111" s="19"/>
      <c r="H111" s="19"/>
      <c r="I111" s="18"/>
      <c r="J111" s="18"/>
      <c r="K111" s="18"/>
      <c r="L111" s="18"/>
      <c r="M111" s="20"/>
      <c r="N111" s="18"/>
      <c r="O111" s="18"/>
      <c r="P111" s="18"/>
      <c r="Q111" s="18"/>
      <c r="S111" s="21"/>
      <c r="T111" s="1"/>
      <c r="AC111" s="22"/>
      <c r="AD111" s="22"/>
      <c r="AE111" s="22"/>
      <c r="AF111" s="23"/>
    </row>
    <row r="112" spans="3:32" ht="15.75" customHeight="1">
      <c r="C112" s="24"/>
      <c r="D112" s="18"/>
      <c r="E112" s="18"/>
      <c r="F112" s="19"/>
      <c r="G112" s="19"/>
      <c r="H112" s="19"/>
      <c r="I112" s="18"/>
      <c r="J112" s="18"/>
      <c r="K112" s="18"/>
      <c r="L112" s="18"/>
      <c r="M112" s="20"/>
      <c r="N112" s="18"/>
      <c r="O112" s="18"/>
      <c r="P112" s="18"/>
      <c r="Q112" s="18"/>
      <c r="S112" s="21"/>
      <c r="T112" s="1"/>
      <c r="AC112" s="22"/>
      <c r="AD112" s="22"/>
      <c r="AE112" s="22"/>
      <c r="AF112" s="23"/>
    </row>
    <row r="113" spans="3:32" ht="15.75" customHeight="1">
      <c r="C113" s="24"/>
      <c r="D113" s="18"/>
      <c r="E113" s="18"/>
      <c r="F113" s="19"/>
      <c r="G113" s="19"/>
      <c r="H113" s="19"/>
      <c r="I113" s="18"/>
      <c r="J113" s="18"/>
      <c r="K113" s="18"/>
      <c r="L113" s="18"/>
      <c r="M113" s="20"/>
      <c r="N113" s="18"/>
      <c r="O113" s="18"/>
      <c r="P113" s="18"/>
      <c r="Q113" s="18"/>
      <c r="S113" s="21"/>
      <c r="T113" s="1"/>
      <c r="AC113" s="22"/>
      <c r="AD113" s="22"/>
      <c r="AE113" s="22"/>
      <c r="AF113" s="23"/>
    </row>
    <row r="114" spans="3:32" ht="15.75" customHeight="1">
      <c r="C114" s="24"/>
      <c r="D114" s="18"/>
      <c r="E114" s="18"/>
      <c r="F114" s="19"/>
      <c r="G114" s="19"/>
      <c r="H114" s="19"/>
      <c r="I114" s="18"/>
      <c r="J114" s="18"/>
      <c r="K114" s="18"/>
      <c r="L114" s="18"/>
      <c r="M114" s="20"/>
      <c r="N114" s="18"/>
      <c r="O114" s="18"/>
      <c r="P114" s="18"/>
      <c r="Q114" s="18"/>
      <c r="S114" s="21"/>
      <c r="T114" s="1"/>
      <c r="AC114" s="22"/>
      <c r="AD114" s="22"/>
      <c r="AE114" s="22"/>
      <c r="AF114" s="23"/>
    </row>
    <row r="115" spans="3:32" ht="15.75" customHeight="1">
      <c r="C115" s="24"/>
      <c r="D115" s="18"/>
      <c r="E115" s="18"/>
      <c r="F115" s="19"/>
      <c r="G115" s="19"/>
      <c r="H115" s="19"/>
      <c r="I115" s="18"/>
      <c r="J115" s="18"/>
      <c r="K115" s="18"/>
      <c r="L115" s="18"/>
      <c r="M115" s="20"/>
      <c r="N115" s="18"/>
      <c r="O115" s="18"/>
      <c r="P115" s="18"/>
      <c r="Q115" s="18"/>
      <c r="S115" s="21"/>
      <c r="T115" s="1"/>
      <c r="AC115" s="22"/>
      <c r="AD115" s="22"/>
      <c r="AE115" s="22"/>
      <c r="AF115" s="23"/>
    </row>
    <row r="116" spans="3:32" ht="15.75" customHeight="1">
      <c r="C116" s="24"/>
      <c r="D116" s="18"/>
      <c r="E116" s="18"/>
      <c r="F116" s="19"/>
      <c r="G116" s="19"/>
      <c r="H116" s="19"/>
      <c r="I116" s="18"/>
      <c r="J116" s="18"/>
      <c r="K116" s="18"/>
      <c r="L116" s="18"/>
      <c r="M116" s="20"/>
      <c r="N116" s="18"/>
      <c r="O116" s="18"/>
      <c r="P116" s="18"/>
      <c r="Q116" s="18"/>
      <c r="S116" s="21"/>
      <c r="T116" s="1"/>
      <c r="AC116" s="22"/>
      <c r="AD116" s="22"/>
      <c r="AE116" s="22"/>
      <c r="AF116" s="23"/>
    </row>
    <row r="117" spans="3:32" ht="15.75" customHeight="1">
      <c r="C117" s="24"/>
      <c r="D117" s="18"/>
      <c r="E117" s="18"/>
      <c r="F117" s="19"/>
      <c r="G117" s="19"/>
      <c r="H117" s="19"/>
      <c r="I117" s="18"/>
      <c r="J117" s="18"/>
      <c r="K117" s="18"/>
      <c r="L117" s="18"/>
      <c r="M117" s="20"/>
      <c r="N117" s="18"/>
      <c r="O117" s="18"/>
      <c r="P117" s="18"/>
      <c r="Q117" s="18"/>
      <c r="S117" s="21"/>
      <c r="T117" s="1"/>
      <c r="AC117" s="22"/>
      <c r="AD117" s="22"/>
      <c r="AE117" s="22"/>
      <c r="AF117" s="23"/>
    </row>
    <row r="118" spans="3:32" ht="15.75" customHeight="1">
      <c r="C118" s="24"/>
      <c r="D118" s="18"/>
      <c r="E118" s="18"/>
      <c r="F118" s="19"/>
      <c r="G118" s="19"/>
      <c r="H118" s="19"/>
      <c r="I118" s="18"/>
      <c r="J118" s="18"/>
      <c r="K118" s="18"/>
      <c r="L118" s="18"/>
      <c r="M118" s="20"/>
      <c r="N118" s="18"/>
      <c r="O118" s="18"/>
      <c r="P118" s="18"/>
      <c r="Q118" s="18"/>
      <c r="S118" s="21"/>
      <c r="T118" s="1"/>
      <c r="AC118" s="22"/>
      <c r="AD118" s="22"/>
      <c r="AE118" s="22"/>
      <c r="AF118" s="23"/>
    </row>
    <row r="119" spans="3:32" ht="15.75" customHeight="1">
      <c r="C119" s="24"/>
      <c r="D119" s="18"/>
      <c r="E119" s="18"/>
      <c r="F119" s="19"/>
      <c r="G119" s="19"/>
      <c r="H119" s="19"/>
      <c r="I119" s="18"/>
      <c r="J119" s="18"/>
      <c r="K119" s="18"/>
      <c r="L119" s="18"/>
      <c r="M119" s="20"/>
      <c r="N119" s="18"/>
      <c r="O119" s="18"/>
      <c r="P119" s="18"/>
      <c r="Q119" s="18"/>
      <c r="S119" s="21"/>
      <c r="T119" s="1"/>
      <c r="AC119" s="22"/>
      <c r="AD119" s="22"/>
      <c r="AE119" s="22"/>
      <c r="AF119" s="23"/>
    </row>
    <row r="120" spans="3:32" ht="15.75" customHeight="1">
      <c r="C120" s="24"/>
      <c r="D120" s="18"/>
      <c r="E120" s="18"/>
      <c r="F120" s="19"/>
      <c r="G120" s="19"/>
      <c r="H120" s="19"/>
      <c r="I120" s="18"/>
      <c r="J120" s="18"/>
      <c r="K120" s="18"/>
      <c r="L120" s="18"/>
      <c r="M120" s="20"/>
      <c r="N120" s="18"/>
      <c r="O120" s="18"/>
      <c r="P120" s="18"/>
      <c r="Q120" s="18"/>
      <c r="S120" s="21"/>
      <c r="T120" s="1"/>
      <c r="AC120" s="22"/>
      <c r="AD120" s="22"/>
      <c r="AE120" s="22"/>
      <c r="AF120" s="23"/>
    </row>
    <row r="121" spans="3:32" ht="15.75" customHeight="1">
      <c r="C121" s="24"/>
      <c r="D121" s="18"/>
      <c r="E121" s="18"/>
      <c r="F121" s="19"/>
      <c r="G121" s="19"/>
      <c r="H121" s="19"/>
      <c r="I121" s="18"/>
      <c r="J121" s="18"/>
      <c r="K121" s="18"/>
      <c r="L121" s="18"/>
      <c r="M121" s="20"/>
      <c r="N121" s="18"/>
      <c r="O121" s="18"/>
      <c r="P121" s="18"/>
      <c r="Q121" s="18"/>
      <c r="S121" s="21"/>
      <c r="T121" s="1"/>
      <c r="AC121" s="22"/>
      <c r="AD121" s="22"/>
      <c r="AE121" s="22"/>
      <c r="AF121" s="23"/>
    </row>
    <row r="122" spans="3:32" ht="15.75" customHeight="1">
      <c r="C122" s="24"/>
      <c r="D122" s="18"/>
      <c r="E122" s="18"/>
      <c r="F122" s="19"/>
      <c r="G122" s="19"/>
      <c r="H122" s="19"/>
      <c r="I122" s="18"/>
      <c r="J122" s="18"/>
      <c r="K122" s="18"/>
      <c r="L122" s="18"/>
      <c r="M122" s="20"/>
      <c r="N122" s="18"/>
      <c r="O122" s="18"/>
      <c r="P122" s="18"/>
      <c r="Q122" s="18"/>
      <c r="S122" s="21"/>
      <c r="T122" s="1"/>
      <c r="AC122" s="22"/>
      <c r="AD122" s="22"/>
      <c r="AE122" s="22"/>
      <c r="AF122" s="23"/>
    </row>
    <row r="123" spans="3:32" ht="15.75" customHeight="1">
      <c r="C123" s="24"/>
      <c r="D123" s="18"/>
      <c r="E123" s="18"/>
      <c r="F123" s="19"/>
      <c r="G123" s="19"/>
      <c r="H123" s="19"/>
      <c r="I123" s="18"/>
      <c r="J123" s="18"/>
      <c r="K123" s="18"/>
      <c r="L123" s="18"/>
      <c r="M123" s="20"/>
      <c r="N123" s="18"/>
      <c r="O123" s="18"/>
      <c r="P123" s="18"/>
      <c r="Q123" s="18"/>
      <c r="S123" s="21"/>
      <c r="T123" s="1"/>
      <c r="AC123" s="22"/>
      <c r="AD123" s="22"/>
      <c r="AE123" s="22"/>
      <c r="AF123" s="23"/>
    </row>
    <row r="124" spans="3:32" ht="15.75" customHeight="1">
      <c r="C124" s="24"/>
      <c r="D124" s="18"/>
      <c r="E124" s="18"/>
      <c r="F124" s="19"/>
      <c r="G124" s="19"/>
      <c r="H124" s="19"/>
      <c r="I124" s="18"/>
      <c r="J124" s="18"/>
      <c r="K124" s="18"/>
      <c r="L124" s="18"/>
      <c r="M124" s="20"/>
      <c r="N124" s="18"/>
      <c r="O124" s="18"/>
      <c r="P124" s="18"/>
      <c r="Q124" s="18"/>
      <c r="S124" s="21"/>
      <c r="T124" s="1"/>
      <c r="AC124" s="22"/>
      <c r="AD124" s="22"/>
      <c r="AE124" s="22"/>
      <c r="AF124" s="23"/>
    </row>
    <row r="125" spans="3:32" ht="15.75" customHeight="1">
      <c r="C125" s="24"/>
      <c r="D125" s="18"/>
      <c r="E125" s="18"/>
      <c r="F125" s="19"/>
      <c r="G125" s="19"/>
      <c r="H125" s="19"/>
      <c r="I125" s="18"/>
      <c r="J125" s="18"/>
      <c r="K125" s="18"/>
      <c r="L125" s="18"/>
      <c r="M125" s="20"/>
      <c r="N125" s="18"/>
      <c r="O125" s="18"/>
      <c r="P125" s="18"/>
      <c r="Q125" s="18"/>
      <c r="S125" s="21"/>
      <c r="T125" s="1"/>
      <c r="AC125" s="22"/>
      <c r="AD125" s="22"/>
      <c r="AE125" s="22"/>
      <c r="AF125" s="23"/>
    </row>
    <row r="126" spans="3:32" ht="15.75" customHeight="1">
      <c r="C126" s="24"/>
      <c r="D126" s="18"/>
      <c r="E126" s="18"/>
      <c r="F126" s="19"/>
      <c r="G126" s="19"/>
      <c r="H126" s="19"/>
      <c r="I126" s="18"/>
      <c r="J126" s="18"/>
      <c r="K126" s="18"/>
      <c r="L126" s="18"/>
      <c r="M126" s="20"/>
      <c r="N126" s="18"/>
      <c r="O126" s="18"/>
      <c r="P126" s="18"/>
      <c r="Q126" s="18"/>
      <c r="S126" s="21"/>
      <c r="T126" s="1"/>
      <c r="AC126" s="22"/>
      <c r="AD126" s="22"/>
      <c r="AE126" s="22"/>
      <c r="AF126" s="23"/>
    </row>
    <row r="127" spans="3:32" ht="15.75" customHeight="1">
      <c r="C127" s="24"/>
      <c r="D127" s="18"/>
      <c r="E127" s="18"/>
      <c r="F127" s="19"/>
      <c r="G127" s="19"/>
      <c r="H127" s="19"/>
      <c r="I127" s="18"/>
      <c r="J127" s="18"/>
      <c r="K127" s="18"/>
      <c r="L127" s="18"/>
      <c r="M127" s="20"/>
      <c r="N127" s="18"/>
      <c r="O127" s="18"/>
      <c r="P127" s="18"/>
      <c r="Q127" s="18"/>
      <c r="S127" s="21"/>
      <c r="T127" s="1"/>
      <c r="AC127" s="22"/>
      <c r="AD127" s="22"/>
      <c r="AE127" s="22"/>
      <c r="AF127" s="23"/>
    </row>
    <row r="128" spans="3:32" ht="15.75" customHeight="1">
      <c r="C128" s="24"/>
      <c r="D128" s="18"/>
      <c r="E128" s="18"/>
      <c r="F128" s="19"/>
      <c r="G128" s="19"/>
      <c r="H128" s="19"/>
      <c r="I128" s="18"/>
      <c r="J128" s="18"/>
      <c r="K128" s="18"/>
      <c r="L128" s="18"/>
      <c r="M128" s="20"/>
      <c r="N128" s="18"/>
      <c r="O128" s="18"/>
      <c r="P128" s="18"/>
      <c r="Q128" s="18"/>
      <c r="S128" s="21"/>
      <c r="T128" s="1"/>
      <c r="AC128" s="22"/>
      <c r="AD128" s="22"/>
      <c r="AE128" s="22"/>
      <c r="AF128" s="23"/>
    </row>
    <row r="129" spans="3:32" ht="15.75" customHeight="1">
      <c r="C129" s="24"/>
      <c r="D129" s="18"/>
      <c r="E129" s="18"/>
      <c r="F129" s="19"/>
      <c r="G129" s="19"/>
      <c r="H129" s="19"/>
      <c r="I129" s="18"/>
      <c r="J129" s="18"/>
      <c r="K129" s="18"/>
      <c r="L129" s="18"/>
      <c r="M129" s="20"/>
      <c r="N129" s="18"/>
      <c r="O129" s="18"/>
      <c r="P129" s="18"/>
      <c r="Q129" s="18"/>
      <c r="S129" s="21"/>
      <c r="T129" s="1"/>
      <c r="AC129" s="22"/>
      <c r="AD129" s="22"/>
      <c r="AE129" s="22"/>
      <c r="AF129" s="23"/>
    </row>
    <row r="130" spans="3:32" ht="15.75" customHeight="1">
      <c r="C130" s="24"/>
      <c r="D130" s="18"/>
      <c r="E130" s="18"/>
      <c r="F130" s="19"/>
      <c r="G130" s="19"/>
      <c r="H130" s="19"/>
      <c r="I130" s="18"/>
      <c r="J130" s="18"/>
      <c r="K130" s="18"/>
      <c r="L130" s="18"/>
      <c r="M130" s="20"/>
      <c r="N130" s="18"/>
      <c r="O130" s="18"/>
      <c r="P130" s="18"/>
      <c r="Q130" s="18"/>
      <c r="S130" s="21"/>
      <c r="T130" s="1"/>
      <c r="AC130" s="22"/>
      <c r="AD130" s="22"/>
      <c r="AE130" s="22"/>
      <c r="AF130" s="23"/>
    </row>
    <row r="131" spans="3:32" ht="15.75" customHeight="1">
      <c r="C131" s="24"/>
      <c r="D131" s="18"/>
      <c r="E131" s="18"/>
      <c r="F131" s="19"/>
      <c r="G131" s="19"/>
      <c r="H131" s="19"/>
      <c r="I131" s="18"/>
      <c r="J131" s="18"/>
      <c r="K131" s="18"/>
      <c r="L131" s="18"/>
      <c r="M131" s="20"/>
      <c r="N131" s="18"/>
      <c r="O131" s="18"/>
      <c r="P131" s="18"/>
      <c r="Q131" s="18"/>
      <c r="S131" s="21"/>
      <c r="T131" s="1"/>
      <c r="AC131" s="22"/>
      <c r="AD131" s="22"/>
      <c r="AE131" s="22"/>
      <c r="AF131" s="23"/>
    </row>
    <row r="132" spans="3:32" ht="15.75" customHeight="1">
      <c r="C132" s="24"/>
      <c r="D132" s="18"/>
      <c r="E132" s="18"/>
      <c r="F132" s="19"/>
      <c r="G132" s="19"/>
      <c r="H132" s="19"/>
      <c r="I132" s="18"/>
      <c r="J132" s="18"/>
      <c r="K132" s="18"/>
      <c r="L132" s="18"/>
      <c r="M132" s="20"/>
      <c r="N132" s="18"/>
      <c r="O132" s="18"/>
      <c r="P132" s="18"/>
      <c r="Q132" s="18"/>
      <c r="S132" s="21"/>
      <c r="T132" s="1"/>
      <c r="AC132" s="22"/>
      <c r="AD132" s="22"/>
      <c r="AE132" s="22"/>
      <c r="AF132" s="23"/>
    </row>
    <row r="133" spans="3:32" ht="15.75" customHeight="1">
      <c r="C133" s="24"/>
      <c r="D133" s="18"/>
      <c r="E133" s="18"/>
      <c r="F133" s="19"/>
      <c r="G133" s="19"/>
      <c r="H133" s="19"/>
      <c r="I133" s="18"/>
      <c r="J133" s="18"/>
      <c r="K133" s="18"/>
      <c r="L133" s="18"/>
      <c r="M133" s="20"/>
      <c r="N133" s="18"/>
      <c r="O133" s="18"/>
      <c r="P133" s="18"/>
      <c r="Q133" s="18"/>
      <c r="S133" s="21"/>
      <c r="T133" s="1"/>
      <c r="AC133" s="22"/>
      <c r="AD133" s="22"/>
      <c r="AE133" s="22"/>
      <c r="AF133" s="23"/>
    </row>
    <row r="134" spans="3:32" ht="15.75" customHeight="1">
      <c r="C134" s="24"/>
      <c r="D134" s="18"/>
      <c r="E134" s="18"/>
      <c r="F134" s="19"/>
      <c r="G134" s="19"/>
      <c r="H134" s="19"/>
      <c r="I134" s="18"/>
      <c r="J134" s="18"/>
      <c r="K134" s="18"/>
      <c r="L134" s="18"/>
      <c r="M134" s="20"/>
      <c r="N134" s="18"/>
      <c r="O134" s="18"/>
      <c r="P134" s="18"/>
      <c r="Q134" s="18"/>
      <c r="S134" s="21"/>
      <c r="T134" s="1"/>
      <c r="AC134" s="22"/>
      <c r="AD134" s="22"/>
      <c r="AE134" s="22"/>
      <c r="AF134" s="23"/>
    </row>
    <row r="135" spans="3:32" ht="15.75" customHeight="1">
      <c r="C135" s="24"/>
      <c r="D135" s="18"/>
      <c r="E135" s="18"/>
      <c r="F135" s="19"/>
      <c r="G135" s="19"/>
      <c r="H135" s="19"/>
      <c r="I135" s="18"/>
      <c r="J135" s="18"/>
      <c r="K135" s="18"/>
      <c r="L135" s="18"/>
      <c r="M135" s="20"/>
      <c r="N135" s="18"/>
      <c r="O135" s="18"/>
      <c r="P135" s="18"/>
      <c r="Q135" s="18"/>
      <c r="S135" s="21"/>
      <c r="T135" s="1"/>
      <c r="AC135" s="22"/>
      <c r="AD135" s="22"/>
      <c r="AE135" s="22"/>
      <c r="AF135" s="23"/>
    </row>
    <row r="136" spans="3:32" ht="15.75" customHeight="1">
      <c r="C136" s="24"/>
      <c r="D136" s="18"/>
      <c r="E136" s="18"/>
      <c r="F136" s="19"/>
      <c r="G136" s="19"/>
      <c r="H136" s="19"/>
      <c r="I136" s="18"/>
      <c r="J136" s="18"/>
      <c r="K136" s="18"/>
      <c r="L136" s="18"/>
      <c r="M136" s="20"/>
      <c r="N136" s="18"/>
      <c r="O136" s="18"/>
      <c r="P136" s="18"/>
      <c r="Q136" s="18"/>
      <c r="S136" s="21"/>
      <c r="T136" s="1"/>
      <c r="AC136" s="22"/>
      <c r="AD136" s="22"/>
      <c r="AE136" s="22"/>
      <c r="AF136" s="23"/>
    </row>
    <row r="137" spans="3:32" ht="15.75" customHeight="1">
      <c r="C137" s="24"/>
      <c r="D137" s="18"/>
      <c r="E137" s="18"/>
      <c r="F137" s="19"/>
      <c r="G137" s="19"/>
      <c r="H137" s="19"/>
      <c r="I137" s="18"/>
      <c r="J137" s="18"/>
      <c r="K137" s="18"/>
      <c r="L137" s="18"/>
      <c r="M137" s="20"/>
      <c r="N137" s="18"/>
      <c r="O137" s="18"/>
      <c r="P137" s="18"/>
      <c r="Q137" s="18"/>
      <c r="S137" s="21"/>
      <c r="T137" s="1"/>
      <c r="AC137" s="22"/>
      <c r="AD137" s="22"/>
      <c r="AE137" s="22"/>
      <c r="AF137" s="23"/>
    </row>
    <row r="138" spans="3:32" ht="15.75" customHeight="1">
      <c r="C138" s="24"/>
      <c r="D138" s="18"/>
      <c r="E138" s="18"/>
      <c r="F138" s="19"/>
      <c r="G138" s="19"/>
      <c r="H138" s="19"/>
      <c r="I138" s="18"/>
      <c r="J138" s="18"/>
      <c r="K138" s="18"/>
      <c r="L138" s="18"/>
      <c r="M138" s="20"/>
      <c r="N138" s="18"/>
      <c r="O138" s="18"/>
      <c r="P138" s="18"/>
      <c r="Q138" s="18"/>
      <c r="S138" s="21"/>
      <c r="T138" s="1"/>
      <c r="AC138" s="22"/>
      <c r="AD138" s="22"/>
      <c r="AE138" s="22"/>
      <c r="AF138" s="23"/>
    </row>
    <row r="139" spans="3:32" ht="15.75" customHeight="1">
      <c r="C139" s="24"/>
      <c r="D139" s="18"/>
      <c r="E139" s="18"/>
      <c r="F139" s="19"/>
      <c r="G139" s="19"/>
      <c r="H139" s="19"/>
      <c r="I139" s="18"/>
      <c r="J139" s="18"/>
      <c r="K139" s="18"/>
      <c r="L139" s="18"/>
      <c r="M139" s="20"/>
      <c r="N139" s="18"/>
      <c r="O139" s="18"/>
      <c r="P139" s="18"/>
      <c r="Q139" s="18"/>
      <c r="S139" s="21"/>
      <c r="T139" s="1"/>
      <c r="AC139" s="22"/>
      <c r="AD139" s="22"/>
      <c r="AE139" s="22"/>
      <c r="AF139" s="23"/>
    </row>
    <row r="140" spans="3:32" ht="15.75" customHeight="1">
      <c r="C140" s="24"/>
      <c r="D140" s="18"/>
      <c r="E140" s="18"/>
      <c r="F140" s="19"/>
      <c r="G140" s="19"/>
      <c r="H140" s="19"/>
      <c r="I140" s="18"/>
      <c r="J140" s="18"/>
      <c r="K140" s="18"/>
      <c r="L140" s="18"/>
      <c r="M140" s="20"/>
      <c r="N140" s="18"/>
      <c r="O140" s="18"/>
      <c r="P140" s="18"/>
      <c r="Q140" s="18"/>
      <c r="S140" s="21"/>
      <c r="T140" s="1"/>
      <c r="AC140" s="22"/>
      <c r="AD140" s="22"/>
      <c r="AE140" s="22"/>
      <c r="AF140" s="23"/>
    </row>
    <row r="141" spans="3:32" ht="15.75" customHeight="1">
      <c r="C141" s="24"/>
      <c r="D141" s="18"/>
      <c r="E141" s="18"/>
      <c r="F141" s="19"/>
      <c r="G141" s="19"/>
      <c r="H141" s="19"/>
      <c r="I141" s="18"/>
      <c r="J141" s="18"/>
      <c r="K141" s="18"/>
      <c r="L141" s="18"/>
      <c r="M141" s="20"/>
      <c r="N141" s="18"/>
      <c r="O141" s="18"/>
      <c r="P141" s="18"/>
      <c r="Q141" s="18"/>
      <c r="S141" s="21"/>
      <c r="T141" s="1"/>
      <c r="AC141" s="22"/>
      <c r="AD141" s="22"/>
      <c r="AE141" s="22"/>
      <c r="AF141" s="23"/>
    </row>
    <row r="142" spans="3:32" ht="15.75" customHeight="1">
      <c r="C142" s="24"/>
      <c r="D142" s="18"/>
      <c r="E142" s="18"/>
      <c r="F142" s="19"/>
      <c r="G142" s="19"/>
      <c r="H142" s="19"/>
      <c r="I142" s="18"/>
      <c r="J142" s="18"/>
      <c r="K142" s="18"/>
      <c r="L142" s="18"/>
      <c r="M142" s="20"/>
      <c r="N142" s="18"/>
      <c r="O142" s="18"/>
      <c r="P142" s="18"/>
      <c r="Q142" s="18"/>
      <c r="S142" s="21"/>
      <c r="T142" s="1"/>
      <c r="AC142" s="22"/>
      <c r="AD142" s="22"/>
      <c r="AE142" s="22"/>
      <c r="AF142" s="23"/>
    </row>
    <row r="143" spans="3:32" ht="15.75" customHeight="1">
      <c r="C143" s="24"/>
      <c r="D143" s="18"/>
      <c r="E143" s="18"/>
      <c r="F143" s="19"/>
      <c r="G143" s="19"/>
      <c r="H143" s="19"/>
      <c r="I143" s="18"/>
      <c r="J143" s="18"/>
      <c r="K143" s="18"/>
      <c r="L143" s="18"/>
      <c r="M143" s="20"/>
      <c r="N143" s="18"/>
      <c r="O143" s="18"/>
      <c r="P143" s="18"/>
      <c r="Q143" s="18"/>
      <c r="S143" s="21"/>
      <c r="T143" s="1"/>
      <c r="AC143" s="22"/>
      <c r="AD143" s="22"/>
      <c r="AE143" s="22"/>
      <c r="AF143" s="23"/>
    </row>
    <row r="144" spans="3:32" ht="15.75" customHeight="1">
      <c r="C144" s="24"/>
      <c r="D144" s="18"/>
      <c r="E144" s="18"/>
      <c r="F144" s="19"/>
      <c r="G144" s="19"/>
      <c r="H144" s="19"/>
      <c r="I144" s="18"/>
      <c r="J144" s="18"/>
      <c r="K144" s="18"/>
      <c r="L144" s="18"/>
      <c r="M144" s="20"/>
      <c r="N144" s="18"/>
      <c r="O144" s="18"/>
      <c r="P144" s="18"/>
      <c r="Q144" s="18"/>
      <c r="S144" s="21"/>
      <c r="T144" s="1"/>
      <c r="AC144" s="22"/>
      <c r="AD144" s="22"/>
      <c r="AE144" s="22"/>
      <c r="AF144" s="23"/>
    </row>
    <row r="145" spans="3:32" ht="15.75" customHeight="1">
      <c r="C145" s="24"/>
      <c r="D145" s="18"/>
      <c r="E145" s="18"/>
      <c r="F145" s="19"/>
      <c r="G145" s="19"/>
      <c r="H145" s="19"/>
      <c r="I145" s="18"/>
      <c r="J145" s="18"/>
      <c r="K145" s="18"/>
      <c r="L145" s="18"/>
      <c r="M145" s="20"/>
      <c r="N145" s="18"/>
      <c r="O145" s="18"/>
      <c r="P145" s="18"/>
      <c r="Q145" s="18"/>
      <c r="S145" s="21"/>
      <c r="T145" s="1"/>
      <c r="AC145" s="22"/>
      <c r="AD145" s="22"/>
      <c r="AE145" s="22"/>
      <c r="AF145" s="23"/>
    </row>
    <row r="146" spans="3:32" ht="15.75" customHeight="1">
      <c r="C146" s="24"/>
      <c r="D146" s="18"/>
      <c r="E146" s="18"/>
      <c r="F146" s="19"/>
      <c r="G146" s="19"/>
      <c r="H146" s="19"/>
      <c r="I146" s="18"/>
      <c r="J146" s="18"/>
      <c r="K146" s="18"/>
      <c r="L146" s="18"/>
      <c r="M146" s="20"/>
      <c r="N146" s="18"/>
      <c r="O146" s="18"/>
      <c r="P146" s="18"/>
      <c r="Q146" s="18"/>
      <c r="S146" s="21"/>
      <c r="T146" s="1"/>
      <c r="AC146" s="22"/>
      <c r="AD146" s="22"/>
      <c r="AE146" s="22"/>
      <c r="AF146" s="23"/>
    </row>
    <row r="147" spans="3:32" ht="15.75" customHeight="1">
      <c r="C147" s="24"/>
      <c r="D147" s="18"/>
      <c r="E147" s="18"/>
      <c r="F147" s="19"/>
      <c r="G147" s="19"/>
      <c r="H147" s="19"/>
      <c r="I147" s="18"/>
      <c r="J147" s="18"/>
      <c r="K147" s="18"/>
      <c r="L147" s="18"/>
      <c r="M147" s="20"/>
      <c r="N147" s="18"/>
      <c r="O147" s="18"/>
      <c r="P147" s="18"/>
      <c r="Q147" s="18"/>
      <c r="S147" s="21"/>
      <c r="T147" s="1"/>
      <c r="AC147" s="22"/>
      <c r="AD147" s="22"/>
      <c r="AE147" s="22"/>
      <c r="AF147" s="23"/>
    </row>
    <row r="148" spans="3:32" ht="15.75" customHeight="1">
      <c r="C148" s="24"/>
      <c r="D148" s="18"/>
      <c r="E148" s="18"/>
      <c r="F148" s="19"/>
      <c r="G148" s="19"/>
      <c r="H148" s="19"/>
      <c r="I148" s="18"/>
      <c r="J148" s="18"/>
      <c r="K148" s="18"/>
      <c r="L148" s="18"/>
      <c r="M148" s="20"/>
      <c r="N148" s="18"/>
      <c r="O148" s="18"/>
      <c r="P148" s="18"/>
      <c r="Q148" s="18"/>
      <c r="S148" s="21"/>
      <c r="T148" s="1"/>
      <c r="AC148" s="22"/>
      <c r="AD148" s="22"/>
      <c r="AE148" s="22"/>
      <c r="AF148" s="23"/>
    </row>
    <row r="149" spans="3:32" ht="15.75" customHeight="1">
      <c r="C149" s="24"/>
      <c r="D149" s="18"/>
      <c r="E149" s="18"/>
      <c r="F149" s="19"/>
      <c r="G149" s="19"/>
      <c r="H149" s="19"/>
      <c r="I149" s="18"/>
      <c r="J149" s="18"/>
      <c r="K149" s="18"/>
      <c r="L149" s="18"/>
      <c r="M149" s="20"/>
      <c r="N149" s="18"/>
      <c r="O149" s="18"/>
      <c r="P149" s="18"/>
      <c r="Q149" s="18"/>
      <c r="S149" s="21"/>
      <c r="T149" s="1"/>
      <c r="AC149" s="22"/>
      <c r="AD149" s="22"/>
      <c r="AE149" s="22"/>
      <c r="AF149" s="23"/>
    </row>
    <row r="150" spans="3:32" ht="15.75" customHeight="1">
      <c r="C150" s="24"/>
      <c r="D150" s="18"/>
      <c r="E150" s="18"/>
      <c r="F150" s="19"/>
      <c r="G150" s="19"/>
      <c r="H150" s="19"/>
      <c r="I150" s="18"/>
      <c r="J150" s="18"/>
      <c r="K150" s="18"/>
      <c r="L150" s="18"/>
      <c r="M150" s="20"/>
      <c r="N150" s="18"/>
      <c r="O150" s="18"/>
      <c r="P150" s="18"/>
      <c r="Q150" s="18"/>
      <c r="S150" s="21"/>
      <c r="T150" s="1"/>
      <c r="AC150" s="22"/>
      <c r="AD150" s="22"/>
      <c r="AE150" s="22"/>
      <c r="AF150" s="23"/>
    </row>
    <row r="151" spans="3:32" ht="15.75" customHeight="1">
      <c r="C151" s="3"/>
      <c r="D151" s="3"/>
      <c r="E151" s="3"/>
      <c r="F151" s="3"/>
      <c r="G151" s="3"/>
      <c r="H151" s="3"/>
      <c r="I151" s="3"/>
      <c r="J151" s="3"/>
      <c r="K151" s="3"/>
      <c r="L151" s="3"/>
      <c r="M151" s="3"/>
      <c r="N151" s="3"/>
      <c r="O151" s="3"/>
      <c r="P151" s="3"/>
      <c r="AF151" s="23"/>
    </row>
    <row r="152" spans="3:32" ht="15.75" customHeight="1">
      <c r="C152" s="3"/>
      <c r="D152" s="3"/>
      <c r="E152" s="3"/>
      <c r="F152" s="3"/>
      <c r="G152" s="3"/>
      <c r="H152" s="3"/>
      <c r="I152" s="3"/>
      <c r="J152" s="3"/>
      <c r="K152" s="3"/>
      <c r="L152" s="3"/>
      <c r="M152" s="3"/>
      <c r="N152" s="3"/>
      <c r="O152" s="3"/>
      <c r="P152" s="3"/>
      <c r="AF152" s="23"/>
    </row>
    <row r="153" spans="3:32" ht="15.75" customHeight="1">
      <c r="C153" s="3"/>
      <c r="D153" s="3"/>
      <c r="E153" s="3"/>
      <c r="F153" s="3"/>
      <c r="G153" s="3"/>
      <c r="H153" s="3"/>
      <c r="I153" s="3"/>
      <c r="J153" s="3"/>
      <c r="K153" s="3"/>
      <c r="L153" s="3"/>
      <c r="M153" s="3"/>
      <c r="N153" s="3"/>
      <c r="O153" s="3"/>
      <c r="P153" s="3"/>
      <c r="AF153" s="23"/>
    </row>
    <row r="154" spans="3:32" ht="15.75" customHeight="1">
      <c r="C154" s="3"/>
      <c r="D154" s="3"/>
      <c r="E154" s="3"/>
      <c r="F154" s="3"/>
      <c r="G154" s="3"/>
      <c r="H154" s="3"/>
      <c r="I154" s="3"/>
      <c r="J154" s="3"/>
      <c r="K154" s="3"/>
      <c r="L154" s="3"/>
      <c r="M154" s="3"/>
      <c r="N154" s="3"/>
      <c r="O154" s="3"/>
      <c r="P154" s="3"/>
      <c r="AF154" s="23"/>
    </row>
    <row r="155" spans="3:32" ht="15.75" customHeight="1">
      <c r="C155" s="3"/>
      <c r="D155" s="3"/>
      <c r="E155" s="3"/>
      <c r="F155" s="3"/>
      <c r="G155" s="3"/>
      <c r="H155" s="3"/>
      <c r="I155" s="3"/>
      <c r="J155" s="3"/>
      <c r="K155" s="3"/>
      <c r="L155" s="3"/>
      <c r="M155" s="3"/>
      <c r="N155" s="3"/>
      <c r="O155" s="3"/>
      <c r="P155" s="3"/>
      <c r="AF155" s="23"/>
    </row>
    <row r="156" spans="3:32" ht="15.75" customHeight="1">
      <c r="C156" s="3"/>
      <c r="D156" s="3"/>
      <c r="E156" s="3"/>
      <c r="F156" s="3"/>
      <c r="G156" s="3"/>
      <c r="H156" s="3"/>
      <c r="I156" s="3"/>
      <c r="J156" s="3"/>
      <c r="K156" s="3"/>
      <c r="L156" s="3"/>
      <c r="M156" s="3"/>
      <c r="N156" s="3"/>
      <c r="O156" s="3"/>
      <c r="P156" s="3"/>
      <c r="AF156" s="23"/>
    </row>
    <row r="157" spans="3:32" ht="15.75" customHeight="1">
      <c r="C157" s="3"/>
      <c r="D157" s="3"/>
      <c r="E157" s="3"/>
      <c r="F157" s="3"/>
      <c r="G157" s="3"/>
      <c r="H157" s="3"/>
      <c r="I157" s="3"/>
      <c r="J157" s="3"/>
      <c r="K157" s="3"/>
      <c r="L157" s="3"/>
      <c r="M157" s="3"/>
      <c r="N157" s="3"/>
      <c r="O157" s="3"/>
      <c r="P157" s="3"/>
      <c r="AF157" s="23"/>
    </row>
    <row r="158" spans="3:32" ht="15.75" customHeight="1">
      <c r="C158" s="3"/>
      <c r="D158" s="3"/>
      <c r="E158" s="3"/>
      <c r="F158" s="3"/>
      <c r="G158" s="3"/>
      <c r="H158" s="3"/>
      <c r="I158" s="3"/>
      <c r="J158" s="3"/>
      <c r="K158" s="3"/>
      <c r="L158" s="3"/>
      <c r="M158" s="3"/>
      <c r="N158" s="3"/>
      <c r="O158" s="3"/>
      <c r="P158" s="3"/>
      <c r="AF158" s="23"/>
    </row>
    <row r="159" spans="3:32" ht="15.75" customHeight="1">
      <c r="C159" s="3"/>
      <c r="D159" s="3"/>
      <c r="E159" s="3"/>
      <c r="F159" s="3"/>
      <c r="G159" s="3"/>
      <c r="H159" s="3"/>
      <c r="I159" s="3"/>
      <c r="J159" s="3"/>
      <c r="K159" s="3"/>
      <c r="L159" s="3"/>
      <c r="M159" s="3"/>
      <c r="N159" s="3"/>
      <c r="O159" s="3"/>
      <c r="P159" s="3"/>
      <c r="AF159" s="23"/>
    </row>
    <row r="160" spans="3:32" ht="15.75" customHeight="1">
      <c r="C160" s="3"/>
      <c r="D160" s="3"/>
      <c r="E160" s="3"/>
      <c r="F160" s="3"/>
      <c r="G160" s="3"/>
      <c r="H160" s="3"/>
      <c r="I160" s="3"/>
      <c r="J160" s="3"/>
      <c r="K160" s="3"/>
      <c r="L160" s="3"/>
      <c r="M160" s="3"/>
      <c r="N160" s="3"/>
      <c r="O160" s="3"/>
      <c r="P160" s="3"/>
      <c r="AF160" s="23"/>
    </row>
    <row r="161" spans="3:32" ht="15.75" customHeight="1">
      <c r="C161" s="3"/>
      <c r="D161" s="3"/>
      <c r="E161" s="3"/>
      <c r="F161" s="3"/>
      <c r="G161" s="3"/>
      <c r="H161" s="3"/>
      <c r="I161" s="3"/>
      <c r="J161" s="3"/>
      <c r="K161" s="3"/>
      <c r="L161" s="3"/>
      <c r="M161" s="3"/>
      <c r="N161" s="3"/>
      <c r="O161" s="3"/>
      <c r="P161" s="3"/>
      <c r="AF161" s="23"/>
    </row>
    <row r="162" spans="3:32" ht="15.75" customHeight="1">
      <c r="C162" s="3"/>
      <c r="D162" s="3"/>
      <c r="E162" s="3"/>
      <c r="F162" s="3"/>
      <c r="G162" s="3"/>
      <c r="H162" s="3"/>
      <c r="I162" s="3"/>
      <c r="J162" s="3"/>
      <c r="K162" s="3"/>
      <c r="L162" s="3"/>
      <c r="M162" s="3"/>
      <c r="N162" s="3"/>
      <c r="O162" s="3"/>
      <c r="P162" s="3"/>
      <c r="AF162" s="23"/>
    </row>
    <row r="163" spans="3:32" ht="15.75" customHeight="1">
      <c r="C163" s="3"/>
      <c r="D163" s="3"/>
      <c r="E163" s="3"/>
      <c r="F163" s="3"/>
      <c r="G163" s="3"/>
      <c r="H163" s="3"/>
      <c r="I163" s="3"/>
      <c r="J163" s="3"/>
      <c r="K163" s="3"/>
      <c r="L163" s="3"/>
      <c r="M163" s="3"/>
      <c r="N163" s="3"/>
      <c r="O163" s="3"/>
      <c r="P163" s="3"/>
      <c r="AF163" s="23"/>
    </row>
    <row r="164" spans="3:32" ht="15.75" customHeight="1">
      <c r="C164" s="3"/>
      <c r="D164" s="3"/>
      <c r="E164" s="3"/>
      <c r="F164" s="3"/>
      <c r="G164" s="3"/>
      <c r="H164" s="3"/>
      <c r="I164" s="3"/>
      <c r="J164" s="3"/>
      <c r="K164" s="3"/>
      <c r="L164" s="3"/>
      <c r="M164" s="3"/>
      <c r="N164" s="3"/>
      <c r="O164" s="3"/>
      <c r="P164" s="3"/>
      <c r="AF164" s="23"/>
    </row>
    <row r="165" spans="3:32" ht="15.75" customHeight="1">
      <c r="C165" s="3"/>
      <c r="D165" s="3"/>
      <c r="E165" s="3"/>
      <c r="F165" s="3"/>
      <c r="G165" s="3"/>
      <c r="H165" s="3"/>
      <c r="I165" s="3"/>
      <c r="J165" s="3"/>
      <c r="K165" s="3"/>
      <c r="L165" s="3"/>
      <c r="M165" s="3"/>
      <c r="N165" s="3"/>
      <c r="O165" s="3"/>
      <c r="P165" s="3"/>
      <c r="AF165" s="23"/>
    </row>
    <row r="166" spans="3:32" ht="15.75" customHeight="1">
      <c r="C166" s="3"/>
      <c r="D166" s="3"/>
      <c r="E166" s="3"/>
      <c r="F166" s="3"/>
      <c r="G166" s="3"/>
      <c r="H166" s="3"/>
      <c r="I166" s="3"/>
      <c r="J166" s="3"/>
      <c r="K166" s="3"/>
      <c r="L166" s="3"/>
      <c r="M166" s="3"/>
      <c r="N166" s="3"/>
      <c r="O166" s="3"/>
      <c r="P166" s="3"/>
      <c r="AF166" s="23"/>
    </row>
    <row r="167" spans="3:32" ht="15.75" customHeight="1">
      <c r="C167" s="3"/>
      <c r="D167" s="3"/>
      <c r="E167" s="3"/>
      <c r="F167" s="3"/>
      <c r="G167" s="3"/>
      <c r="H167" s="3"/>
      <c r="I167" s="3"/>
      <c r="J167" s="3"/>
      <c r="K167" s="3"/>
      <c r="L167" s="3"/>
      <c r="M167" s="3"/>
      <c r="N167" s="3"/>
      <c r="O167" s="3"/>
      <c r="P167" s="3"/>
      <c r="AF167" s="23"/>
    </row>
    <row r="168" spans="3:32" ht="15.75" customHeight="1">
      <c r="C168" s="3"/>
      <c r="D168" s="3"/>
      <c r="E168" s="3"/>
      <c r="F168" s="3"/>
      <c r="G168" s="3"/>
      <c r="H168" s="3"/>
      <c r="I168" s="3"/>
      <c r="J168" s="3"/>
      <c r="K168" s="3"/>
      <c r="L168" s="3"/>
      <c r="M168" s="3"/>
      <c r="N168" s="3"/>
      <c r="O168" s="3"/>
      <c r="P168" s="3"/>
      <c r="AF168" s="23"/>
    </row>
    <row r="169" spans="3:32" ht="15.75" customHeight="1">
      <c r="C169" s="3"/>
      <c r="D169" s="3"/>
      <c r="E169" s="3"/>
      <c r="F169" s="3"/>
      <c r="G169" s="3"/>
      <c r="H169" s="3"/>
      <c r="I169" s="3"/>
      <c r="J169" s="3"/>
      <c r="K169" s="3"/>
      <c r="L169" s="3"/>
      <c r="M169" s="3"/>
      <c r="N169" s="3"/>
      <c r="O169" s="3"/>
      <c r="P169" s="3"/>
      <c r="AF169" s="23"/>
    </row>
    <row r="170" spans="3:32" ht="15.75" customHeight="1">
      <c r="E170" s="2"/>
      <c r="P170" s="2"/>
      <c r="AF170" s="23"/>
    </row>
    <row r="171" spans="3:32" ht="15.75" customHeight="1">
      <c r="E171" s="2"/>
      <c r="P171" s="2"/>
      <c r="AF171" s="23"/>
    </row>
    <row r="172" spans="3:32" ht="15.75" customHeight="1">
      <c r="E172" s="2"/>
      <c r="P172" s="2"/>
      <c r="AF172" s="23"/>
    </row>
    <row r="173" spans="3:32" ht="15.75" customHeight="1">
      <c r="E173" s="2"/>
      <c r="P173" s="2"/>
      <c r="AF173" s="23"/>
    </row>
    <row r="174" spans="3:32" ht="15.75" customHeight="1">
      <c r="E174" s="2"/>
      <c r="P174" s="2"/>
      <c r="AF174" s="23"/>
    </row>
    <row r="175" spans="3:32" ht="15.75" customHeight="1">
      <c r="E175" s="2"/>
      <c r="P175" s="2"/>
      <c r="AF175" s="23"/>
    </row>
    <row r="176" spans="3:32" ht="15.75" customHeight="1">
      <c r="E176" s="2"/>
      <c r="P176" s="2"/>
      <c r="AF176" s="23"/>
    </row>
    <row r="177" spans="5:32" ht="15.75" customHeight="1">
      <c r="E177" s="2"/>
      <c r="P177" s="2"/>
      <c r="AF177" s="23"/>
    </row>
    <row r="178" spans="5:32" ht="15.75" customHeight="1">
      <c r="E178" s="2"/>
      <c r="P178" s="2"/>
      <c r="AF178" s="23"/>
    </row>
    <row r="179" spans="5:32" ht="15.75" customHeight="1">
      <c r="E179" s="2"/>
      <c r="P179" s="2"/>
      <c r="AF179" s="23"/>
    </row>
    <row r="180" spans="5:32" ht="15.75" customHeight="1">
      <c r="E180" s="2"/>
      <c r="P180" s="2"/>
      <c r="AF180" s="23"/>
    </row>
    <row r="181" spans="5:32" ht="15.75" customHeight="1">
      <c r="E181" s="2"/>
      <c r="P181" s="2"/>
      <c r="AF181" s="23"/>
    </row>
    <row r="182" spans="5:32" ht="15.75" customHeight="1">
      <c r="E182" s="2"/>
      <c r="P182" s="2"/>
      <c r="AF182" s="23"/>
    </row>
    <row r="183" spans="5:32" ht="15.75" customHeight="1">
      <c r="E183" s="2"/>
      <c r="P183" s="2"/>
      <c r="AF183" s="23"/>
    </row>
    <row r="184" spans="5:32" ht="15.75" customHeight="1">
      <c r="E184" s="2"/>
      <c r="P184" s="2"/>
      <c r="AF184" s="23"/>
    </row>
    <row r="185" spans="5:32" ht="15.75" customHeight="1">
      <c r="E185" s="2"/>
      <c r="P185" s="2"/>
      <c r="AF185" s="23"/>
    </row>
    <row r="186" spans="5:32" ht="15.75" customHeight="1">
      <c r="E186" s="2"/>
      <c r="P186" s="2"/>
      <c r="AF186" s="23"/>
    </row>
    <row r="187" spans="5:32" ht="15.75" customHeight="1">
      <c r="E187" s="2"/>
      <c r="P187" s="2"/>
      <c r="AF187" s="23"/>
    </row>
    <row r="188" spans="5:32" ht="15.75" customHeight="1">
      <c r="E188" s="2"/>
      <c r="P188" s="2"/>
      <c r="AF188" s="23"/>
    </row>
    <row r="189" spans="5:32" ht="15.75" customHeight="1">
      <c r="E189" s="2"/>
      <c r="P189" s="2"/>
      <c r="AF189" s="23"/>
    </row>
    <row r="190" spans="5:32" ht="15.75" customHeight="1">
      <c r="E190" s="2"/>
      <c r="P190" s="2"/>
      <c r="AF190" s="23"/>
    </row>
    <row r="191" spans="5:32" ht="15.75" customHeight="1">
      <c r="E191" s="2"/>
      <c r="P191" s="2"/>
      <c r="AF191" s="23"/>
    </row>
    <row r="192" spans="5:32" ht="15.75" customHeight="1">
      <c r="E192" s="2"/>
      <c r="P192" s="2"/>
      <c r="AF192" s="23"/>
    </row>
    <row r="193" spans="5:32" ht="15.75" customHeight="1">
      <c r="E193" s="2"/>
      <c r="P193" s="2"/>
      <c r="AF193" s="23"/>
    </row>
    <row r="194" spans="5:32" ht="15.75" customHeight="1">
      <c r="E194" s="2"/>
      <c r="P194" s="2"/>
      <c r="AF194" s="23"/>
    </row>
    <row r="195" spans="5:32" ht="15.75" customHeight="1">
      <c r="E195" s="2"/>
      <c r="P195" s="2"/>
      <c r="AF195" s="23"/>
    </row>
    <row r="196" spans="5:32" ht="15.75" customHeight="1">
      <c r="E196" s="2"/>
      <c r="P196" s="2"/>
      <c r="AF196" s="23"/>
    </row>
    <row r="197" spans="5:32" ht="15.75" customHeight="1">
      <c r="E197" s="2"/>
      <c r="P197" s="2"/>
      <c r="AF197" s="23"/>
    </row>
    <row r="198" spans="5:32" ht="15.75" customHeight="1">
      <c r="E198" s="2"/>
      <c r="P198" s="2"/>
      <c r="AF198" s="23"/>
    </row>
    <row r="199" spans="5:32" ht="15.75" customHeight="1">
      <c r="E199" s="2"/>
      <c r="P199" s="2"/>
      <c r="AF199" s="23"/>
    </row>
    <row r="200" spans="5:32" ht="15.75" customHeight="1">
      <c r="E200" s="2"/>
      <c r="P200" s="2"/>
      <c r="AF200" s="23"/>
    </row>
    <row r="201" spans="5:32" ht="15.75" customHeight="1">
      <c r="E201" s="2"/>
      <c r="P201" s="2"/>
      <c r="AF201" s="23"/>
    </row>
    <row r="202" spans="5:32" ht="15.75" customHeight="1">
      <c r="E202" s="2"/>
      <c r="P202" s="2"/>
      <c r="AF202" s="23"/>
    </row>
    <row r="203" spans="5:32" ht="15.75" customHeight="1">
      <c r="E203" s="2"/>
      <c r="P203" s="2"/>
      <c r="AF203" s="23"/>
    </row>
    <row r="204" spans="5:32" ht="15.75" customHeight="1">
      <c r="E204" s="2"/>
      <c r="P204" s="2"/>
      <c r="AF204" s="23"/>
    </row>
    <row r="205" spans="5:32" ht="15.75" customHeight="1">
      <c r="E205" s="2"/>
      <c r="P205" s="2"/>
      <c r="AF205" s="23"/>
    </row>
    <row r="206" spans="5:32" ht="15.75" customHeight="1">
      <c r="E206" s="2"/>
      <c r="P206" s="2"/>
      <c r="AF206" s="23"/>
    </row>
    <row r="207" spans="5:32" ht="15.75" customHeight="1">
      <c r="E207" s="2"/>
      <c r="P207" s="2"/>
      <c r="AF207" s="23"/>
    </row>
    <row r="208" spans="5:32" ht="15.75" customHeight="1">
      <c r="E208" s="2"/>
      <c r="P208" s="2"/>
      <c r="AF208" s="23"/>
    </row>
    <row r="209" spans="5:32" ht="15.75" customHeight="1">
      <c r="E209" s="2"/>
      <c r="P209" s="2"/>
      <c r="AF209" s="23"/>
    </row>
    <row r="210" spans="5:32" ht="15.75" customHeight="1">
      <c r="E210" s="2"/>
      <c r="P210" s="2"/>
      <c r="AF210" s="23"/>
    </row>
    <row r="211" spans="5:32" ht="15.75" customHeight="1">
      <c r="E211" s="2"/>
      <c r="P211" s="2"/>
      <c r="AF211" s="23"/>
    </row>
    <row r="212" spans="5:32" ht="15.75" customHeight="1">
      <c r="E212" s="2"/>
      <c r="P212" s="2"/>
      <c r="AF212" s="23"/>
    </row>
    <row r="213" spans="5:32" ht="15.75" customHeight="1">
      <c r="E213" s="2"/>
      <c r="P213" s="2"/>
      <c r="AF213" s="23"/>
    </row>
    <row r="214" spans="5:32" ht="15.75" customHeight="1">
      <c r="E214" s="2"/>
      <c r="P214" s="2"/>
      <c r="AF214" s="23"/>
    </row>
    <row r="215" spans="5:32" ht="15.75" customHeight="1">
      <c r="E215" s="2"/>
      <c r="P215" s="2"/>
      <c r="AF215" s="23"/>
    </row>
    <row r="216" spans="5:32" ht="15.75" customHeight="1">
      <c r="E216" s="2"/>
      <c r="P216" s="2"/>
      <c r="AF216" s="23"/>
    </row>
    <row r="217" spans="5:32" ht="15.75" customHeight="1">
      <c r="E217" s="2"/>
      <c r="P217" s="2"/>
      <c r="AF217" s="23"/>
    </row>
    <row r="218" spans="5:32" ht="15.75" customHeight="1">
      <c r="E218" s="2"/>
      <c r="P218" s="2"/>
      <c r="AF218" s="23"/>
    </row>
    <row r="219" spans="5:32" ht="15.75" customHeight="1">
      <c r="E219" s="2"/>
      <c r="P219" s="2"/>
      <c r="AF219" s="23"/>
    </row>
    <row r="220" spans="5:32" ht="15.75" customHeight="1">
      <c r="E220" s="2"/>
      <c r="P220" s="2"/>
      <c r="AF220" s="23"/>
    </row>
    <row r="221" spans="5:32" ht="15.75" customHeight="1">
      <c r="E221" s="2"/>
      <c r="P221" s="2"/>
      <c r="AF221" s="23"/>
    </row>
    <row r="222" spans="5:32" ht="15.75" customHeight="1">
      <c r="E222" s="2"/>
      <c r="P222" s="2"/>
      <c r="AF222" s="23"/>
    </row>
    <row r="223" spans="5:32" ht="15.75" customHeight="1">
      <c r="E223" s="2"/>
      <c r="P223" s="2"/>
      <c r="AF223" s="23"/>
    </row>
    <row r="224" spans="5:32" ht="15.75" customHeight="1">
      <c r="E224" s="2"/>
      <c r="P224" s="2"/>
      <c r="AF224" s="23"/>
    </row>
    <row r="225" spans="5:32" ht="15.75" customHeight="1">
      <c r="E225" s="2"/>
      <c r="P225" s="2"/>
      <c r="AF225" s="23"/>
    </row>
    <row r="226" spans="5:32" ht="15.75" customHeight="1">
      <c r="E226" s="2"/>
      <c r="P226" s="2"/>
      <c r="AF226" s="23"/>
    </row>
    <row r="227" spans="5:32" ht="15.75" customHeight="1">
      <c r="E227" s="2"/>
      <c r="P227" s="2"/>
      <c r="AF227" s="23"/>
    </row>
    <row r="228" spans="5:32" ht="15.75" customHeight="1">
      <c r="E228" s="2"/>
      <c r="P228" s="2"/>
      <c r="AF228" s="23"/>
    </row>
    <row r="229" spans="5:32" ht="15.75" customHeight="1">
      <c r="E229" s="2"/>
      <c r="P229" s="2"/>
      <c r="AF229" s="23"/>
    </row>
    <row r="230" spans="5:32" ht="15.75" customHeight="1">
      <c r="AF230" s="23"/>
    </row>
    <row r="231" spans="5:32" ht="15.75" customHeight="1">
      <c r="AF231" s="23"/>
    </row>
    <row r="232" spans="5:32" ht="15.75" customHeight="1">
      <c r="AF232" s="23"/>
    </row>
    <row r="233" spans="5:32" ht="15.75" customHeight="1">
      <c r="AF233" s="23"/>
    </row>
    <row r="234" spans="5:32" ht="15.75" customHeight="1">
      <c r="AF234" s="23"/>
    </row>
    <row r="235" spans="5:32" ht="15.75" customHeight="1">
      <c r="AF235" s="23"/>
    </row>
    <row r="236" spans="5:32" ht="15.75" customHeight="1">
      <c r="AF236" s="23"/>
    </row>
    <row r="237" spans="5:32" ht="15.75" customHeight="1">
      <c r="AF237" s="23"/>
    </row>
    <row r="238" spans="5:32" ht="15.75" customHeight="1">
      <c r="AF238" s="23"/>
    </row>
    <row r="239" spans="5:32" ht="15.75" customHeight="1"/>
    <row r="240" spans="5: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W1:W2"/>
    <mergeCell ref="AE1:AE2"/>
    <mergeCell ref="AF1:AF2"/>
    <mergeCell ref="X1:X2"/>
    <mergeCell ref="Y1:Y2"/>
    <mergeCell ref="Z1:Z2"/>
    <mergeCell ref="AA1:AA2"/>
    <mergeCell ref="AB1:AB2"/>
    <mergeCell ref="AC1:AC2"/>
    <mergeCell ref="AD1:AD2"/>
    <mergeCell ref="R1:R2"/>
    <mergeCell ref="S1:S2"/>
    <mergeCell ref="T1:T2"/>
    <mergeCell ref="U1:U2"/>
    <mergeCell ref="V1:V2"/>
    <mergeCell ref="M1:M2"/>
    <mergeCell ref="N1:N2"/>
    <mergeCell ref="O1:O2"/>
    <mergeCell ref="P1:P2"/>
    <mergeCell ref="Q1:Q2"/>
    <mergeCell ref="H1:H2"/>
    <mergeCell ref="I1:I2"/>
    <mergeCell ref="J1:J2"/>
    <mergeCell ref="K1:K2"/>
    <mergeCell ref="L1:L2"/>
    <mergeCell ref="C1:C2"/>
    <mergeCell ref="D1:D2"/>
    <mergeCell ref="E1:E2"/>
    <mergeCell ref="F1:F2"/>
    <mergeCell ref="G1:G2"/>
  </mergeCells>
  <conditionalFormatting sqref="Q1:Q3 Q57:Q1000">
    <cfRule type="cellIs" dxfId="6" priority="1" operator="lessThan">
      <formula>100</formula>
    </cfRule>
  </conditionalFormatting>
  <conditionalFormatting sqref="Q1:Q3 Q57:Q1000">
    <cfRule type="cellIs" dxfId="5" priority="2" operator="lessThan">
      <formula>100</formula>
    </cfRule>
  </conditionalFormatting>
  <conditionalFormatting sqref="I1:I3 I57:I1000">
    <cfRule type="cellIs" dxfId="4" priority="3" operator="lessThan">
      <formula>0.05</formula>
    </cfRule>
  </conditionalFormatting>
  <conditionalFormatting sqref="I4:I17">
    <cfRule type="cellIs" dxfId="3" priority="4" operator="lessThan">
      <formula>0.05</formula>
    </cfRule>
  </conditionalFormatting>
  <conditionalFormatting sqref="I18:I56">
    <cfRule type="cellIs" dxfId="2" priority="5" operator="lessThan">
      <formula>0.05</formula>
    </cfRule>
  </conditionalFormatting>
  <conditionalFormatting sqref="Q4:Q56">
    <cfRule type="cellIs" dxfId="1" priority="6" operator="lessThan">
      <formula>100</formula>
    </cfRule>
  </conditionalFormatting>
  <conditionalFormatting sqref="Q4:Q56">
    <cfRule type="cellIs" dxfId="0" priority="7" operator="lessThan">
      <formula>100</formula>
    </cfRule>
  </conditionalFormatting>
  <pageMargins left="0.7" right="0.7" top="0.75" bottom="0.75" header="0" footer="0"/>
  <pageSetup orientation="portrait"/>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75</vt:i4>
      </vt:variant>
    </vt:vector>
  </HeadingPairs>
  <TitlesOfParts>
    <vt:vector size="75" baseType="lpstr">
      <vt:lpstr>SS-BCL-BWDW200</vt:lpstr>
      <vt:lpstr>SS-BCL-DICE-6PK</vt:lpstr>
      <vt:lpstr>SS-BCL-HTOSS-A</vt:lpstr>
      <vt:lpstr>SS-DD-BAMBOO-CRIB-042852E</vt:lpstr>
      <vt:lpstr>SS-DD-BAMBOO-CRIB-PAD-DEEP-2PK</vt:lpstr>
      <vt:lpstr>SS-DD-ORGANIC-FITTED-CRIB-18285</vt:lpstr>
      <vt:lpstr>SS-DD-ORGANIC-FITTED-MATTRESS-1</vt:lpstr>
      <vt:lpstr>SS-DD-ORGANIC-FITTED-MINI-CRIB-</vt:lpstr>
      <vt:lpstr>SS-DD-WM17X24-FBA-3PK-BG</vt:lpstr>
      <vt:lpstr>SS-DD-WM17X24-FBA-BG</vt:lpstr>
      <vt:lpstr>SS-DD-WMCP-FBA-3PK-BG</vt:lpstr>
      <vt:lpstr>SS-DD-WMCP-FBA-BG</vt:lpstr>
      <vt:lpstr>SS-DD-WMO1-FBA-4PK-BG</vt:lpstr>
      <vt:lpstr>SS-DD-WMO1-FBA-BG</vt:lpstr>
      <vt:lpstr>SS-DD-WMOL-FBA-2PK-BG</vt:lpstr>
      <vt:lpstr>SS-DD-WMOL-FBA-BG</vt:lpstr>
      <vt:lpstr>SS-DD-WMS1-FBA-2PK</vt:lpstr>
      <vt:lpstr>SS-DD-WMS1-FBA-BG</vt:lpstr>
      <vt:lpstr>SS-DD-WMS3-FBA-BG</vt:lpstr>
      <vt:lpstr>SS-DD-WMS3-FBA-BG-2PK</vt:lpstr>
      <vt:lpstr>SS-DD-WMXL-BG</vt:lpstr>
      <vt:lpstr>SS-IL-BTL16C-12-A</vt:lpstr>
      <vt:lpstr>SS-DD-WMXL-TUCK-FBA-BG</vt:lpstr>
      <vt:lpstr>SS-HC-BLOCKING9G</vt:lpstr>
      <vt:lpstr>SS-IL-BTL32A-6PK</vt:lpstr>
      <vt:lpstr>SS-J-W6f12-FBA-FBA</vt:lpstr>
      <vt:lpstr>SS-J-W6F16-FBA</vt:lpstr>
      <vt:lpstr>SS-J-W6F9-FBA</vt:lpstr>
      <vt:lpstr>SS-J-W6PS-FBA</vt:lpstr>
      <vt:lpstr>SS-J-W6FQ-FBA</vt:lpstr>
      <vt:lpstr>SS-J-W6Q12-FBA</vt:lpstr>
      <vt:lpstr>SS-J-W6Q16-FBA</vt:lpstr>
      <vt:lpstr>SS-J-W6T12-FBA</vt:lpstr>
      <vt:lpstr>SS-J-W6T16-FBA</vt:lpstr>
      <vt:lpstr>SS-J-W6X12-FBA</vt:lpstr>
      <vt:lpstr>SS-J-W6X16-FBA</vt:lpstr>
      <vt:lpstr>SS-J-W6X9-FBA</vt:lpstr>
      <vt:lpstr>SS-J-WCPQ-FBA</vt:lpstr>
      <vt:lpstr>SS-J-W6FT-FBA</vt:lpstr>
      <vt:lpstr>SS-WMS1-FBA</vt:lpstr>
      <vt:lpstr>SS-J-W6T9-FBA</vt:lpstr>
      <vt:lpstr>SS-J-LJR-L-FBA</vt:lpstr>
      <vt:lpstr>SS-PUN-TS</vt:lpstr>
      <vt:lpstr>SS-PUN-TS-A</vt:lpstr>
      <vt:lpstr>SS-PUN-TS-B</vt:lpstr>
      <vt:lpstr>SS-PUN-TS-HD-A</vt:lpstr>
      <vt:lpstr>SS-PUN-TS-HD</vt:lpstr>
      <vt:lpstr>SS-PP-B20X20TRD-RBYG</vt:lpstr>
      <vt:lpstr>SS-PP-CRQT-6BALL</vt:lpstr>
      <vt:lpstr>Cornhole Bags - BL &amp; BK</vt:lpstr>
      <vt:lpstr>Cornhole Bags - BL &amp; GY</vt:lpstr>
      <vt:lpstr>Cornhole Bags - FLAG Bright</vt:lpstr>
      <vt:lpstr>Cornhole Bags - OR &amp; BK</vt:lpstr>
      <vt:lpstr>Cornhole Bags - OR &amp; BL</vt:lpstr>
      <vt:lpstr>Cornhole Bags - RE &amp; BK</vt:lpstr>
      <vt:lpstr>Cornhole Bags - RE &amp; BL</vt:lpstr>
      <vt:lpstr>Cornhole Bags - RE &amp; GR</vt:lpstr>
      <vt:lpstr>Cornhole Bags - SL &amp; BK</vt:lpstr>
      <vt:lpstr>SS-PUN-CHC-BLBK</vt:lpstr>
      <vt:lpstr>SS-PUN-CHC-BLGY</vt:lpstr>
      <vt:lpstr>SS-PUN-CHC-FLAG</vt:lpstr>
      <vt:lpstr>SS-PUN-CHC-ORBK</vt:lpstr>
      <vt:lpstr>SS-PUN-CHC-REBK</vt:lpstr>
      <vt:lpstr>SS-PUN-CHC-REBL</vt:lpstr>
      <vt:lpstr>SS-PUN-CHC-REGR</vt:lpstr>
      <vt:lpstr>SS-PUN-CHC-SLBK</vt:lpstr>
      <vt:lpstr>SS-PUN-CHC-YEBK</vt:lpstr>
      <vt:lpstr>SS-WMXL-2PK</vt:lpstr>
      <vt:lpstr>SS-WMXL-Tuck-2PK</vt:lpstr>
      <vt:lpstr>SS-IL-WB48X72-15LB-A</vt:lpstr>
      <vt:lpstr>SS-IL-WB60X80-15LB-A</vt:lpstr>
      <vt:lpstr>SS-IL-WB60X80-18LB-A</vt:lpstr>
      <vt:lpstr>SS-PP-INPONGR</vt:lpstr>
      <vt:lpstr>SS-DD-ORGANIC-FITTED-COTTON-MAT</vt:lpstr>
      <vt:lpstr>SS-J-DDPL24-FBA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2021-04-21T18:00:56Z</dcterms:modified>
</cp:coreProperties>
</file>